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drawings/drawing19.xml" ContentType="application/vnd.openxmlformats-officedocument.drawing+xml"/>
  <Override PartName="/xl/comments19.xml" ContentType="application/vnd.openxmlformats-officedocument.spreadsheetml.comments+xml"/>
  <Override PartName="/xl/drawings/drawing20.xml" ContentType="application/vnd.openxmlformats-officedocument.drawing+xml"/>
  <Override PartName="/xl/comments20.xml" ContentType="application/vnd.openxmlformats-officedocument.spreadsheetml.comments+xml"/>
  <Override PartName="/xl/drawings/drawing21.xml" ContentType="application/vnd.openxmlformats-officedocument.drawing+xml"/>
  <Override PartName="/xl/comments21.xml" ContentType="application/vnd.openxmlformats-officedocument.spreadsheetml.comments+xml"/>
  <Override PartName="/xl/drawings/drawing22.xml" ContentType="application/vnd.openxmlformats-officedocument.drawing+xml"/>
  <Override PartName="/xl/comments22.xml" ContentType="application/vnd.openxmlformats-officedocument.spreadsheetml.comments+xml"/>
  <Override PartName="/xl/drawings/drawing23.xml" ContentType="application/vnd.openxmlformats-officedocument.drawing+xml"/>
  <Override PartName="/xl/comments23.xml" ContentType="application/vnd.openxmlformats-officedocument.spreadsheetml.comments+xml"/>
  <Override PartName="/xl/drawings/drawing24.xml" ContentType="application/vnd.openxmlformats-officedocument.drawing+xml"/>
  <Override PartName="/xl/comments24.xml" ContentType="application/vnd.openxmlformats-officedocument.spreadsheetml.comments+xml"/>
  <Override PartName="/xl/drawings/drawing25.xml" ContentType="application/vnd.openxmlformats-officedocument.drawing+xml"/>
  <Override PartName="/xl/comments25.xml" ContentType="application/vnd.openxmlformats-officedocument.spreadsheetml.comments+xml"/>
  <Override PartName="/xl/drawings/drawing26.xml" ContentType="application/vnd.openxmlformats-officedocument.drawing+xml"/>
  <Override PartName="/xl/comments26.xml" ContentType="application/vnd.openxmlformats-officedocument.spreadsheetml.comments+xml"/>
  <Override PartName="/xl/drawings/drawing27.xml" ContentType="application/vnd.openxmlformats-officedocument.drawing+xml"/>
  <Override PartName="/xl/comments27.xml" ContentType="application/vnd.openxmlformats-officedocument.spreadsheetml.comments+xml"/>
  <Override PartName="/xl/drawings/drawing28.xml" ContentType="application/vnd.openxmlformats-officedocument.drawing+xml"/>
  <Override PartName="/xl/comments28.xml" ContentType="application/vnd.openxmlformats-officedocument.spreadsheetml.comments+xml"/>
  <Override PartName="/xl/drawings/drawing29.xml" ContentType="application/vnd.openxmlformats-officedocument.drawing+xml"/>
  <Override PartName="/xl/comments29.xml" ContentType="application/vnd.openxmlformats-officedocument.spreadsheetml.comments+xml"/>
  <Override PartName="/xl/drawings/drawing30.xml" ContentType="application/vnd.openxmlformats-officedocument.drawing+xml"/>
  <Override PartName="/xl/comments30.xml" ContentType="application/vnd.openxmlformats-officedocument.spreadsheetml.comments+xml"/>
  <Override PartName="/xl/drawings/drawing31.xml" ContentType="application/vnd.openxmlformats-officedocument.drawing+xml"/>
  <Override PartName="/xl/comments31.xml" ContentType="application/vnd.openxmlformats-officedocument.spreadsheetml.comments+xml"/>
  <Override PartName="/xl/drawings/drawing32.xml" ContentType="application/vnd.openxmlformats-officedocument.drawing+xml"/>
  <Override PartName="/xl/comments32.xml" ContentType="application/vnd.openxmlformats-officedocument.spreadsheetml.comments+xml"/>
  <Override PartName="/xl/drawings/drawing33.xml" ContentType="application/vnd.openxmlformats-officedocument.drawing+xml"/>
  <Override PartName="/xl/comments33.xml" ContentType="application/vnd.openxmlformats-officedocument.spreadsheetml.comments+xml"/>
  <Override PartName="/xl/drawings/drawing34.xml" ContentType="application/vnd.openxmlformats-officedocument.drawing+xml"/>
  <Override PartName="/xl/comments34.xml" ContentType="application/vnd.openxmlformats-officedocument.spreadsheetml.comments+xml"/>
  <Override PartName="/xl/drawings/drawing35.xml" ContentType="application/vnd.openxmlformats-officedocument.drawing+xml"/>
  <Override PartName="/xl/comments35.xml" ContentType="application/vnd.openxmlformats-officedocument.spreadsheetml.comments+xml"/>
  <Override PartName="/xl/drawings/drawing36.xml" ContentType="application/vnd.openxmlformats-officedocument.drawing+xml"/>
  <Override PartName="/xl/comments3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K:\Bearbeitung CPDS\Government Composition (Supplement)\Update 2017 (1960-2015)\"/>
    </mc:Choice>
  </mc:AlternateContent>
  <bookViews>
    <workbookView xWindow="75" yWindow="660" windowWidth="16200" windowHeight="13665" tabRatio="842" firstSheet="1" activeTab="1"/>
  </bookViews>
  <sheets>
    <sheet name="Australia" sheetId="1" r:id="rId1"/>
    <sheet name="Austria" sheetId="2" r:id="rId2"/>
    <sheet name="Belgium" sheetId="3" r:id="rId3"/>
    <sheet name="Bulgaria" sheetId="28" r:id="rId4"/>
    <sheet name="Canada" sheetId="5" r:id="rId5"/>
    <sheet name="Croatia" sheetId="30" r:id="rId6"/>
    <sheet name="Cyprus" sheetId="6" r:id="rId7"/>
    <sheet name="Czech Republic" sheetId="29" r:id="rId8"/>
    <sheet name="Denmark" sheetId="7" r:id="rId9"/>
    <sheet name="Estonia" sheetId="31" r:id="rId10"/>
    <sheet name="Finland" sheetId="8" r:id="rId11"/>
    <sheet name="France" sheetId="15" r:id="rId12"/>
    <sheet name="Germany" sheetId="14" r:id="rId13"/>
    <sheet name="Greece" sheetId="13" r:id="rId14"/>
    <sheet name="Hungary" sheetId="32" r:id="rId15"/>
    <sheet name="Iceland" sheetId="12" r:id="rId16"/>
    <sheet name="Ireland" sheetId="11" r:id="rId17"/>
    <sheet name="Italy" sheetId="10" r:id="rId18"/>
    <sheet name="Japan" sheetId="9" r:id="rId19"/>
    <sheet name="Latvia" sheetId="33" r:id="rId20"/>
    <sheet name="Lithuania" sheetId="34" r:id="rId21"/>
    <sheet name="Luxembourg" sheetId="21" r:id="rId22"/>
    <sheet name="Malta" sheetId="20" r:id="rId23"/>
    <sheet name="Netherlands" sheetId="19" r:id="rId24"/>
    <sheet name="New Zealand" sheetId="18" r:id="rId25"/>
    <sheet name="Norway" sheetId="17" r:id="rId26"/>
    <sheet name="Poland" sheetId="35" r:id="rId27"/>
    <sheet name="Portugal" sheetId="16" r:id="rId28"/>
    <sheet name="Romania" sheetId="36" r:id="rId29"/>
    <sheet name="Slovakia" sheetId="37" r:id="rId30"/>
    <sheet name="Slovenia" sheetId="38" r:id="rId31"/>
    <sheet name="Spain" sheetId="26" r:id="rId32"/>
    <sheet name="Sweden" sheetId="25" r:id="rId33"/>
    <sheet name="Switzerland" sheetId="24" r:id="rId34"/>
    <sheet name="United Kingdom" sheetId="23" r:id="rId35"/>
    <sheet name="United States" sheetId="22" r:id="rId36"/>
  </sheets>
  <calcPr calcId="152511"/>
</workbook>
</file>

<file path=xl/calcChain.xml><?xml version="1.0" encoding="utf-8"?>
<calcChain xmlns="http://schemas.openxmlformats.org/spreadsheetml/2006/main">
  <c r="H111" i="36" l="1"/>
  <c r="E184" i="23"/>
  <c r="B184" i="23"/>
  <c r="C184" i="23"/>
  <c r="D184" i="23"/>
  <c r="K115" i="23"/>
  <c r="L115" i="23"/>
  <c r="M115" i="23"/>
  <c r="N115" i="23"/>
  <c r="K116" i="23"/>
  <c r="N116" i="23" s="1"/>
  <c r="L116" i="23"/>
  <c r="M116" i="23"/>
  <c r="K117" i="23"/>
  <c r="L117" i="23"/>
  <c r="M117" i="23"/>
  <c r="N117" i="23"/>
  <c r="K118" i="23"/>
  <c r="N118" i="23" s="1"/>
  <c r="L118" i="23"/>
  <c r="M118" i="23"/>
  <c r="K119" i="23"/>
  <c r="L119" i="23"/>
  <c r="M119" i="23"/>
  <c r="N119" i="23"/>
  <c r="K120" i="23"/>
  <c r="N120" i="23" s="1"/>
  <c r="L120" i="23"/>
  <c r="M120" i="23"/>
  <c r="H199" i="13" l="1"/>
  <c r="B199" i="13"/>
  <c r="S97" i="37" l="1"/>
  <c r="J185" i="5"/>
  <c r="J189" i="1"/>
  <c r="B111" i="36" l="1"/>
  <c r="S193" i="8" l="1"/>
  <c r="T193" i="8"/>
  <c r="J96" i="29" l="1"/>
  <c r="U99" i="28" l="1"/>
  <c r="T99" i="28"/>
  <c r="S99" i="28"/>
  <c r="L99" i="28"/>
  <c r="J99" i="28"/>
  <c r="H99" i="28"/>
  <c r="D99" i="28"/>
  <c r="C99" i="28"/>
  <c r="B99" i="28"/>
  <c r="U195" i="22" l="1"/>
  <c r="T195" i="22"/>
  <c r="S195" i="22"/>
  <c r="L195" i="22"/>
  <c r="J195" i="22"/>
  <c r="H195" i="22"/>
  <c r="D195" i="22"/>
  <c r="C195" i="22"/>
  <c r="B195" i="22"/>
  <c r="S184" i="23"/>
  <c r="T184" i="23"/>
  <c r="U184" i="23"/>
  <c r="H184" i="23"/>
  <c r="J184" i="23"/>
  <c r="L184" i="23"/>
  <c r="B183" i="24"/>
  <c r="C183" i="24"/>
  <c r="D183" i="24"/>
  <c r="E183" i="24"/>
  <c r="H183" i="24"/>
  <c r="N183" i="24" s="1"/>
  <c r="J183" i="24"/>
  <c r="L183" i="24"/>
  <c r="S183" i="24"/>
  <c r="T183" i="24"/>
  <c r="U183" i="24"/>
  <c r="W183" i="24"/>
  <c r="R119" i="24"/>
  <c r="S183" i="25"/>
  <c r="T183" i="25"/>
  <c r="U183" i="25"/>
  <c r="W183" i="25"/>
  <c r="H183" i="25"/>
  <c r="J183" i="25"/>
  <c r="L183" i="25"/>
  <c r="N183" i="25"/>
  <c r="B183" i="25"/>
  <c r="C183" i="25"/>
  <c r="D183" i="25"/>
  <c r="E183" i="25"/>
  <c r="R119" i="25"/>
  <c r="R118" i="25"/>
  <c r="K118" i="25"/>
  <c r="N118" i="25" s="1"/>
  <c r="L118" i="25"/>
  <c r="M118" i="25"/>
  <c r="K119" i="25"/>
  <c r="N119" i="25" s="1"/>
  <c r="L119" i="25"/>
  <c r="M119" i="25"/>
  <c r="N184" i="23" l="1"/>
  <c r="W184" i="23"/>
  <c r="W195" i="22"/>
  <c r="N195" i="22"/>
  <c r="E195" i="22"/>
  <c r="S146" i="26"/>
  <c r="W146" i="26"/>
  <c r="T146" i="26"/>
  <c r="U146" i="26"/>
  <c r="H146" i="26"/>
  <c r="J146" i="26"/>
  <c r="L146" i="26"/>
  <c r="N146" i="26"/>
  <c r="B146" i="26"/>
  <c r="C146" i="26"/>
  <c r="D146" i="26"/>
  <c r="E146" i="26"/>
  <c r="R83" i="26"/>
  <c r="R82" i="26"/>
  <c r="K82" i="26"/>
  <c r="N82" i="26" s="1"/>
  <c r="L82" i="26"/>
  <c r="M82" i="26"/>
  <c r="K83" i="26"/>
  <c r="L83" i="26"/>
  <c r="M83" i="26"/>
  <c r="N83" i="26"/>
  <c r="W94" i="38"/>
  <c r="U94" i="38"/>
  <c r="T94" i="38"/>
  <c r="S94" i="38"/>
  <c r="H94" i="38"/>
  <c r="L94" i="38"/>
  <c r="N94" i="38" s="1"/>
  <c r="J94" i="38"/>
  <c r="D94" i="38"/>
  <c r="C94" i="38"/>
  <c r="B94" i="38"/>
  <c r="R61" i="38"/>
  <c r="R60" i="38"/>
  <c r="K60" i="38"/>
  <c r="N61" i="38" s="1"/>
  <c r="L60" i="38"/>
  <c r="M60" i="38"/>
  <c r="N60" i="38"/>
  <c r="K61" i="38"/>
  <c r="L61" i="38"/>
  <c r="M61" i="38"/>
  <c r="W97" i="37"/>
  <c r="T97" i="37"/>
  <c r="U97" i="37"/>
  <c r="H97" i="37"/>
  <c r="J97" i="37"/>
  <c r="L97" i="37"/>
  <c r="N97" i="37"/>
  <c r="B97" i="37"/>
  <c r="C97" i="37"/>
  <c r="D97" i="37"/>
  <c r="E97" i="37"/>
  <c r="R64" i="37"/>
  <c r="R63" i="37"/>
  <c r="K63" i="37"/>
  <c r="L63" i="37"/>
  <c r="M63" i="37"/>
  <c r="N63" i="37"/>
  <c r="K64" i="37"/>
  <c r="N64" i="37" s="1"/>
  <c r="L64" i="37"/>
  <c r="M64" i="37"/>
  <c r="W111" i="36"/>
  <c r="U111" i="36"/>
  <c r="T111" i="36"/>
  <c r="S111" i="36"/>
  <c r="U110" i="36"/>
  <c r="T110" i="36"/>
  <c r="S110" i="36"/>
  <c r="N111" i="36"/>
  <c r="L111" i="36"/>
  <c r="J111" i="36"/>
  <c r="J110" i="36"/>
  <c r="L110" i="36"/>
  <c r="H110" i="36"/>
  <c r="E111" i="36"/>
  <c r="D111" i="36"/>
  <c r="D110" i="36"/>
  <c r="C111" i="36"/>
  <c r="C110" i="36"/>
  <c r="B110" i="36"/>
  <c r="R75" i="36"/>
  <c r="M78" i="36"/>
  <c r="N78" i="36"/>
  <c r="L78" i="36"/>
  <c r="K78" i="36"/>
  <c r="K77" i="36"/>
  <c r="L77" i="36"/>
  <c r="M77" i="36"/>
  <c r="N77" i="36"/>
  <c r="K76" i="36"/>
  <c r="N76" i="36" s="1"/>
  <c r="L76" i="36"/>
  <c r="M76" i="36"/>
  <c r="K75" i="36"/>
  <c r="L75" i="36"/>
  <c r="M75" i="36"/>
  <c r="N75" i="36" s="1"/>
  <c r="E94" i="38" l="1"/>
  <c r="S153" i="16"/>
  <c r="U153" i="16"/>
  <c r="T153" i="16"/>
  <c r="L153" i="16"/>
  <c r="J153" i="16"/>
  <c r="H153" i="16"/>
  <c r="D153" i="16"/>
  <c r="C153" i="16"/>
  <c r="B153" i="16"/>
  <c r="R90" i="16"/>
  <c r="M90" i="16"/>
  <c r="L90" i="16"/>
  <c r="K90" i="16"/>
  <c r="N90" i="16" s="1"/>
  <c r="R89" i="16"/>
  <c r="R88" i="16"/>
  <c r="K89" i="16"/>
  <c r="N89" i="16" s="1"/>
  <c r="L89" i="16"/>
  <c r="M89" i="16"/>
  <c r="K88" i="16"/>
  <c r="L88" i="16"/>
  <c r="M88" i="16"/>
  <c r="N88" i="16"/>
  <c r="S123" i="35"/>
  <c r="T123" i="35"/>
  <c r="U123" i="35"/>
  <c r="W123" i="35"/>
  <c r="H123" i="35"/>
  <c r="N123" i="35" s="1"/>
  <c r="J123" i="35"/>
  <c r="L123" i="35"/>
  <c r="B123" i="35"/>
  <c r="E123" i="35" s="1"/>
  <c r="C123" i="35"/>
  <c r="D123" i="35"/>
  <c r="R88" i="35"/>
  <c r="R89" i="35"/>
  <c r="K88" i="35"/>
  <c r="L88" i="35"/>
  <c r="M88" i="35"/>
  <c r="N88" i="35"/>
  <c r="K89" i="35"/>
  <c r="N89" i="35" s="1"/>
  <c r="L89" i="35"/>
  <c r="M89" i="35"/>
  <c r="K90" i="35"/>
  <c r="N90" i="35" s="1"/>
  <c r="L90" i="35"/>
  <c r="M90" i="35"/>
  <c r="S185" i="17"/>
  <c r="T185" i="17"/>
  <c r="U185" i="17"/>
  <c r="W185" i="17"/>
  <c r="H185" i="17"/>
  <c r="J185" i="17"/>
  <c r="L185" i="17"/>
  <c r="N185" i="17"/>
  <c r="B185" i="17"/>
  <c r="C185" i="17"/>
  <c r="D185" i="17"/>
  <c r="E185" i="17"/>
  <c r="R121" i="17"/>
  <c r="R120" i="17"/>
  <c r="N120" i="17"/>
  <c r="N121" i="17"/>
  <c r="U187" i="18"/>
  <c r="T187" i="18"/>
  <c r="S187" i="18"/>
  <c r="W187" i="18" s="1"/>
  <c r="L187" i="18"/>
  <c r="N187" i="18" s="1"/>
  <c r="J187" i="18"/>
  <c r="H187" i="18"/>
  <c r="D187" i="18"/>
  <c r="C187" i="18"/>
  <c r="B187" i="18"/>
  <c r="E187" i="18" s="1"/>
  <c r="R123" i="18"/>
  <c r="R122" i="18"/>
  <c r="K122" i="18"/>
  <c r="N122" i="18" s="1"/>
  <c r="L122" i="18"/>
  <c r="M122" i="18"/>
  <c r="K123" i="18"/>
  <c r="L123" i="18"/>
  <c r="M123" i="18"/>
  <c r="N123" i="18"/>
  <c r="S188" i="19"/>
  <c r="T188" i="19"/>
  <c r="W188" i="19" s="1"/>
  <c r="U188" i="19"/>
  <c r="H188" i="19"/>
  <c r="J188" i="19"/>
  <c r="L188" i="19"/>
  <c r="N188" i="19"/>
  <c r="B188" i="19"/>
  <c r="C188" i="19"/>
  <c r="D188" i="19"/>
  <c r="E188" i="19"/>
  <c r="R124" i="19"/>
  <c r="R123" i="19"/>
  <c r="K123" i="19"/>
  <c r="L123" i="19"/>
  <c r="N123" i="19" s="1"/>
  <c r="M123" i="19"/>
  <c r="K124" i="19"/>
  <c r="N124" i="19" s="1"/>
  <c r="L124" i="19"/>
  <c r="M124" i="19"/>
  <c r="W153" i="16" l="1"/>
  <c r="N153" i="16"/>
  <c r="E153" i="16"/>
  <c r="S162" i="20"/>
  <c r="T162" i="20"/>
  <c r="U162" i="20"/>
  <c r="W162" i="20"/>
  <c r="H162" i="20"/>
  <c r="J162" i="20"/>
  <c r="L162" i="20"/>
  <c r="N162" i="20"/>
  <c r="B162" i="20"/>
  <c r="E162" i="20" s="1"/>
  <c r="C162" i="20"/>
  <c r="D162" i="20"/>
  <c r="M102" i="20"/>
  <c r="M104" i="20"/>
  <c r="R105" i="20"/>
  <c r="M105" i="20"/>
  <c r="L105" i="20"/>
  <c r="K105" i="20"/>
  <c r="N105" i="20" s="1"/>
  <c r="R104" i="20"/>
  <c r="N104" i="20"/>
  <c r="L104" i="20"/>
  <c r="K104" i="20"/>
  <c r="S183" i="21"/>
  <c r="T183" i="21"/>
  <c r="U183" i="21"/>
  <c r="W183" i="21"/>
  <c r="H183" i="21"/>
  <c r="J183" i="21"/>
  <c r="L183" i="21"/>
  <c r="N183" i="21"/>
  <c r="B183" i="21"/>
  <c r="C183" i="21"/>
  <c r="D183" i="21"/>
  <c r="E183" i="21"/>
  <c r="R118" i="21"/>
  <c r="R119" i="21"/>
  <c r="K118" i="21"/>
  <c r="N118" i="21" s="1"/>
  <c r="L118" i="21"/>
  <c r="M118" i="21"/>
  <c r="K119" i="21"/>
  <c r="L119" i="21"/>
  <c r="M119" i="21"/>
  <c r="N119" i="21"/>
  <c r="S92" i="34"/>
  <c r="W92" i="34" s="1"/>
  <c r="T92" i="34"/>
  <c r="U92" i="34"/>
  <c r="K57" i="34"/>
  <c r="L57" i="34"/>
  <c r="M57" i="34"/>
  <c r="N57" i="34"/>
  <c r="K58" i="34"/>
  <c r="N58" i="34" s="1"/>
  <c r="L58" i="34"/>
  <c r="M58" i="34"/>
  <c r="K59" i="34"/>
  <c r="L59" i="34"/>
  <c r="C92" i="34" s="1"/>
  <c r="M59" i="34"/>
  <c r="D92" i="34" s="1"/>
  <c r="N59" i="34"/>
  <c r="L56" i="34"/>
  <c r="R59" i="34"/>
  <c r="H92" i="34" s="1"/>
  <c r="R58" i="34"/>
  <c r="U92" i="33"/>
  <c r="T92" i="33"/>
  <c r="S92" i="33"/>
  <c r="L92" i="33"/>
  <c r="J92" i="33"/>
  <c r="H92" i="33"/>
  <c r="H91" i="33"/>
  <c r="D92" i="33"/>
  <c r="C92" i="33"/>
  <c r="B92" i="33"/>
  <c r="R59" i="33"/>
  <c r="R58" i="33"/>
  <c r="K58" i="33"/>
  <c r="N58" i="33" s="1"/>
  <c r="L58" i="33"/>
  <c r="M58" i="33"/>
  <c r="K59" i="33"/>
  <c r="L59" i="33"/>
  <c r="M59" i="33"/>
  <c r="N59" i="33"/>
  <c r="S199" i="9"/>
  <c r="T199" i="9"/>
  <c r="U199" i="9"/>
  <c r="W199" i="9"/>
  <c r="H199" i="9"/>
  <c r="J199" i="9"/>
  <c r="L199" i="9"/>
  <c r="N199" i="9"/>
  <c r="B199" i="9"/>
  <c r="E199" i="9"/>
  <c r="C199" i="9"/>
  <c r="D199" i="9"/>
  <c r="R135" i="9"/>
  <c r="R134" i="9"/>
  <c r="K134" i="9"/>
  <c r="L134" i="9"/>
  <c r="M134" i="9"/>
  <c r="N134" i="9"/>
  <c r="K135" i="9"/>
  <c r="N135" i="9" s="1"/>
  <c r="L135" i="9"/>
  <c r="M135" i="9"/>
  <c r="U204" i="10"/>
  <c r="W204" i="10"/>
  <c r="T204" i="10"/>
  <c r="S204" i="10"/>
  <c r="L204" i="10"/>
  <c r="J204" i="10"/>
  <c r="H204" i="10"/>
  <c r="D204" i="10"/>
  <c r="C204" i="10"/>
  <c r="B204" i="10"/>
  <c r="R140" i="10"/>
  <c r="R139" i="10"/>
  <c r="R138" i="10"/>
  <c r="R137" i="10"/>
  <c r="K137" i="10"/>
  <c r="N137" i="10" s="1"/>
  <c r="L137" i="10"/>
  <c r="M137" i="10"/>
  <c r="K138" i="10"/>
  <c r="L138" i="10"/>
  <c r="M138" i="10"/>
  <c r="N138" i="10"/>
  <c r="K139" i="10"/>
  <c r="N139" i="10" s="1"/>
  <c r="L139" i="10"/>
  <c r="M139" i="10"/>
  <c r="K140" i="10"/>
  <c r="L140" i="10"/>
  <c r="M140" i="10"/>
  <c r="N140" i="10"/>
  <c r="N92" i="34" l="1"/>
  <c r="B92" i="34"/>
  <c r="E92" i="34" s="1"/>
  <c r="L92" i="34"/>
  <c r="J92" i="34"/>
  <c r="W92" i="33"/>
  <c r="N92" i="33"/>
  <c r="E92" i="33"/>
  <c r="N204" i="10"/>
  <c r="E204" i="10"/>
  <c r="S187" i="11"/>
  <c r="T187" i="11"/>
  <c r="U187" i="11"/>
  <c r="W187" i="11"/>
  <c r="H187" i="11"/>
  <c r="J187" i="11"/>
  <c r="L187" i="11"/>
  <c r="N187" i="11"/>
  <c r="B187" i="11"/>
  <c r="C187" i="11"/>
  <c r="D187" i="11"/>
  <c r="E187" i="11"/>
  <c r="R123" i="11"/>
  <c r="M123" i="11"/>
  <c r="N123" i="11" s="1"/>
  <c r="L123" i="11"/>
  <c r="K123" i="11"/>
  <c r="R122" i="11"/>
  <c r="M122" i="11"/>
  <c r="L122" i="11"/>
  <c r="K122" i="11"/>
  <c r="N122" i="11" s="1"/>
  <c r="T184" i="12"/>
  <c r="W184" i="12" s="1"/>
  <c r="S184" i="12"/>
  <c r="U184" i="12"/>
  <c r="H184" i="12"/>
  <c r="N184" i="12" s="1"/>
  <c r="J184" i="12"/>
  <c r="L184" i="12"/>
  <c r="B184" i="12"/>
  <c r="C184" i="12"/>
  <c r="D184" i="12"/>
  <c r="E184" i="12" s="1"/>
  <c r="R120" i="12"/>
  <c r="M120" i="12"/>
  <c r="L120" i="12"/>
  <c r="K120" i="12"/>
  <c r="N120" i="12" s="1"/>
  <c r="R119" i="12"/>
  <c r="N119" i="12"/>
  <c r="M119" i="12"/>
  <c r="L119" i="12"/>
  <c r="K119" i="12"/>
  <c r="S93" i="32"/>
  <c r="W93" i="32"/>
  <c r="T93" i="32"/>
  <c r="U93" i="32"/>
  <c r="S199" i="13"/>
  <c r="H88" i="32"/>
  <c r="L93" i="32"/>
  <c r="L88" i="32"/>
  <c r="H93" i="32"/>
  <c r="J93" i="32"/>
  <c r="N93" i="32"/>
  <c r="B93" i="32"/>
  <c r="C93" i="32"/>
  <c r="D93" i="32"/>
  <c r="E93" i="32"/>
  <c r="B92" i="32"/>
  <c r="E92" i="32"/>
  <c r="R60" i="32"/>
  <c r="M60" i="32"/>
  <c r="L60" i="32"/>
  <c r="K60" i="32"/>
  <c r="N60" i="32" s="1"/>
  <c r="R59" i="32"/>
  <c r="K59" i="32"/>
  <c r="L59" i="32"/>
  <c r="M59" i="32"/>
  <c r="N59" i="32"/>
  <c r="U199" i="13"/>
  <c r="T199" i="13"/>
  <c r="L199" i="13"/>
  <c r="J199" i="13"/>
  <c r="N199" i="13" s="1"/>
  <c r="E199" i="13"/>
  <c r="D199" i="13"/>
  <c r="C199" i="13"/>
  <c r="R135" i="13"/>
  <c r="N135" i="13"/>
  <c r="L135" i="13"/>
  <c r="M135" i="13"/>
  <c r="K135" i="13"/>
  <c r="K134" i="13"/>
  <c r="N134" i="13" s="1"/>
  <c r="L134" i="13"/>
  <c r="M134" i="13"/>
  <c r="R134" i="13"/>
  <c r="R133" i="13"/>
  <c r="K133" i="13"/>
  <c r="N133" i="13" s="1"/>
  <c r="L133" i="13"/>
  <c r="M133" i="13"/>
  <c r="K132" i="13"/>
  <c r="R132" i="13"/>
  <c r="M132" i="13"/>
  <c r="L132" i="13"/>
  <c r="N132" i="13"/>
  <c r="S187" i="14"/>
  <c r="T187" i="14"/>
  <c r="U187" i="14"/>
  <c r="W187" i="14"/>
  <c r="H187" i="14"/>
  <c r="J187" i="14"/>
  <c r="L187" i="14"/>
  <c r="N187" i="14"/>
  <c r="B187" i="14"/>
  <c r="C187" i="14"/>
  <c r="D187" i="14"/>
  <c r="E187" i="14"/>
  <c r="R123" i="14"/>
  <c r="R122" i="14"/>
  <c r="K122" i="14"/>
  <c r="L122" i="14"/>
  <c r="M122" i="14"/>
  <c r="N122" i="14"/>
  <c r="K123" i="14"/>
  <c r="N123" i="14" s="1"/>
  <c r="L123" i="14"/>
  <c r="M123" i="14"/>
  <c r="W199" i="13" l="1"/>
  <c r="U195" i="15"/>
  <c r="T195" i="15"/>
  <c r="S195" i="15"/>
  <c r="L195" i="15"/>
  <c r="J195" i="15"/>
  <c r="H195" i="15"/>
  <c r="D195" i="15"/>
  <c r="C195" i="15"/>
  <c r="B195" i="15"/>
  <c r="R130" i="15"/>
  <c r="R131" i="15"/>
  <c r="L128" i="15"/>
  <c r="M130" i="15"/>
  <c r="M131" i="15"/>
  <c r="K129" i="15"/>
  <c r="K130" i="15"/>
  <c r="N130" i="15" s="1"/>
  <c r="K131" i="15"/>
  <c r="L125" i="15"/>
  <c r="L126" i="15"/>
  <c r="L127" i="15"/>
  <c r="L129" i="15"/>
  <c r="L130" i="15"/>
  <c r="L131" i="15"/>
  <c r="M129" i="15"/>
  <c r="K123" i="15"/>
  <c r="U193" i="8"/>
  <c r="L193" i="8"/>
  <c r="J193" i="8"/>
  <c r="H193" i="8"/>
  <c r="D193" i="8"/>
  <c r="C193" i="8"/>
  <c r="E193" i="8" s="1"/>
  <c r="B193" i="8"/>
  <c r="R129" i="8"/>
  <c r="K129" i="8"/>
  <c r="N129" i="8" s="1"/>
  <c r="L129" i="8"/>
  <c r="M129" i="8"/>
  <c r="R128" i="8"/>
  <c r="K128" i="8"/>
  <c r="L128" i="8"/>
  <c r="M128" i="8"/>
  <c r="N128" i="8"/>
  <c r="U88" i="31"/>
  <c r="T88" i="31"/>
  <c r="S88" i="31"/>
  <c r="W88" i="31" s="1"/>
  <c r="L88" i="31"/>
  <c r="J88" i="31"/>
  <c r="N88" i="31" s="1"/>
  <c r="H88" i="31"/>
  <c r="D88" i="31"/>
  <c r="C88" i="31"/>
  <c r="B88" i="31"/>
  <c r="E88" i="31" s="1"/>
  <c r="R54" i="31"/>
  <c r="R55" i="31"/>
  <c r="R53" i="31"/>
  <c r="N55" i="31"/>
  <c r="K53" i="31"/>
  <c r="L53" i="31"/>
  <c r="M53" i="31"/>
  <c r="N53" i="31"/>
  <c r="K54" i="31"/>
  <c r="N54" i="31" s="1"/>
  <c r="L54" i="31"/>
  <c r="M54" i="31"/>
  <c r="K55" i="31"/>
  <c r="L55" i="31"/>
  <c r="M55" i="31"/>
  <c r="W189" i="1"/>
  <c r="W183" i="2"/>
  <c r="B190" i="3"/>
  <c r="W185" i="5"/>
  <c r="W137" i="6"/>
  <c r="W97" i="29"/>
  <c r="W195" i="15" l="1"/>
  <c r="N195" i="15"/>
  <c r="E195" i="15"/>
  <c r="N131" i="15"/>
  <c r="W193" i="8"/>
  <c r="N193" i="8"/>
  <c r="U185" i="7"/>
  <c r="T185" i="7"/>
  <c r="S185" i="7"/>
  <c r="H185" i="7"/>
  <c r="C185" i="7"/>
  <c r="B185" i="7"/>
  <c r="R121" i="7"/>
  <c r="W185" i="7" s="1"/>
  <c r="K120" i="7"/>
  <c r="N120" i="7" s="1"/>
  <c r="L120" i="7"/>
  <c r="M120" i="7"/>
  <c r="K121" i="7"/>
  <c r="L121" i="7"/>
  <c r="M121" i="7"/>
  <c r="N121" i="7" s="1"/>
  <c r="R120" i="7"/>
  <c r="L96" i="29"/>
  <c r="S96" i="29"/>
  <c r="S97" i="29"/>
  <c r="T97" i="29"/>
  <c r="U97" i="29"/>
  <c r="L97" i="29"/>
  <c r="J97" i="29"/>
  <c r="H97" i="29"/>
  <c r="N97" i="29" s="1"/>
  <c r="H94" i="29"/>
  <c r="H96" i="29"/>
  <c r="B97" i="29"/>
  <c r="E97" i="29"/>
  <c r="C97" i="29"/>
  <c r="D97" i="29"/>
  <c r="B96" i="29"/>
  <c r="R64" i="29"/>
  <c r="R63" i="29"/>
  <c r="K63" i="29"/>
  <c r="N63" i="29" s="1"/>
  <c r="L63" i="29"/>
  <c r="M63" i="29"/>
  <c r="K64" i="29"/>
  <c r="N64" i="29" s="1"/>
  <c r="L64" i="29"/>
  <c r="M64" i="29"/>
  <c r="U76" i="30"/>
  <c r="T76" i="30"/>
  <c r="S76" i="30"/>
  <c r="U137" i="6"/>
  <c r="T137" i="6"/>
  <c r="S137" i="6"/>
  <c r="L137" i="6"/>
  <c r="J137" i="6"/>
  <c r="D137" i="6"/>
  <c r="E137" i="6" s="1"/>
  <c r="C137" i="6"/>
  <c r="H137" i="6"/>
  <c r="B137" i="6"/>
  <c r="R92" i="6"/>
  <c r="R91" i="6"/>
  <c r="K92" i="6"/>
  <c r="K91" i="6"/>
  <c r="L91" i="6"/>
  <c r="M91" i="6"/>
  <c r="N91" i="6"/>
  <c r="L92" i="6"/>
  <c r="M92" i="6"/>
  <c r="N92" i="6"/>
  <c r="J185" i="7" l="1"/>
  <c r="N185" i="7" s="1"/>
  <c r="D185" i="7"/>
  <c r="L185" i="7"/>
  <c r="W76" i="30"/>
  <c r="E185" i="7"/>
  <c r="N137" i="6"/>
  <c r="R43" i="30"/>
  <c r="R42" i="30"/>
  <c r="R41" i="30"/>
  <c r="K41" i="30"/>
  <c r="L41" i="30"/>
  <c r="M41" i="30"/>
  <c r="N41" i="30"/>
  <c r="K42" i="30"/>
  <c r="N42" i="30" s="1"/>
  <c r="L42" i="30"/>
  <c r="M42" i="30"/>
  <c r="K43" i="30"/>
  <c r="B76" i="30" s="1"/>
  <c r="E76" i="30" s="1"/>
  <c r="L43" i="30"/>
  <c r="C76" i="30" s="1"/>
  <c r="M43" i="30"/>
  <c r="D76" i="30" s="1"/>
  <c r="S185" i="5"/>
  <c r="T185" i="5"/>
  <c r="U185" i="5"/>
  <c r="H185" i="5"/>
  <c r="L185" i="5"/>
  <c r="N185" i="5"/>
  <c r="B185" i="5"/>
  <c r="C185" i="5"/>
  <c r="D185" i="5"/>
  <c r="E185" i="5"/>
  <c r="R121" i="5"/>
  <c r="R66" i="28"/>
  <c r="K121" i="5"/>
  <c r="L121" i="5"/>
  <c r="M121" i="5"/>
  <c r="N121" i="5"/>
  <c r="R120" i="5"/>
  <c r="K120" i="5"/>
  <c r="N120" i="5" s="1"/>
  <c r="L120" i="5"/>
  <c r="M120" i="5"/>
  <c r="L76" i="30" l="1"/>
  <c r="J76" i="30"/>
  <c r="H76" i="30"/>
  <c r="N43" i="30"/>
  <c r="W99" i="28"/>
  <c r="S98" i="28"/>
  <c r="R65" i="28"/>
  <c r="K66" i="28"/>
  <c r="M66" i="28"/>
  <c r="M65" i="28"/>
  <c r="K65" i="28"/>
  <c r="L66" i="28"/>
  <c r="L65" i="28"/>
  <c r="D190" i="3"/>
  <c r="L190" i="3"/>
  <c r="W190" i="3"/>
  <c r="U190" i="3"/>
  <c r="T190" i="3"/>
  <c r="S190" i="3"/>
  <c r="R126" i="3"/>
  <c r="R125" i="3"/>
  <c r="J190" i="3" s="1"/>
  <c r="K125" i="3"/>
  <c r="L125" i="3"/>
  <c r="C190" i="3" s="1"/>
  <c r="M125" i="3"/>
  <c r="N125" i="3"/>
  <c r="K126" i="3"/>
  <c r="L126" i="3"/>
  <c r="M126" i="3"/>
  <c r="T183" i="2"/>
  <c r="S183" i="2"/>
  <c r="U183" i="2"/>
  <c r="H183" i="2"/>
  <c r="J183" i="2"/>
  <c r="L183" i="2"/>
  <c r="N183" i="2"/>
  <c r="B183" i="2"/>
  <c r="C183" i="2"/>
  <c r="D183" i="2"/>
  <c r="E183" i="2"/>
  <c r="R119" i="2"/>
  <c r="R118" i="2"/>
  <c r="K118" i="2"/>
  <c r="N118" i="2" s="1"/>
  <c r="L118" i="2"/>
  <c r="M118" i="2"/>
  <c r="K119" i="2"/>
  <c r="L119" i="2"/>
  <c r="M119" i="2"/>
  <c r="N119" i="2"/>
  <c r="S189" i="1"/>
  <c r="T189" i="1"/>
  <c r="U189" i="1"/>
  <c r="H189" i="1"/>
  <c r="N189" i="1" s="1"/>
  <c r="L189" i="1"/>
  <c r="B189" i="1"/>
  <c r="C189" i="1"/>
  <c r="E189" i="1" s="1"/>
  <c r="D189" i="1"/>
  <c r="R125" i="1"/>
  <c r="K125" i="1"/>
  <c r="N125" i="1" s="1"/>
  <c r="L125" i="1"/>
  <c r="M125" i="1"/>
  <c r="R124" i="1"/>
  <c r="K124" i="1"/>
  <c r="N124" i="1" s="1"/>
  <c r="L124" i="1"/>
  <c r="M124" i="1"/>
  <c r="N76" i="30" l="1"/>
  <c r="N65" i="28"/>
  <c r="N66" i="28"/>
  <c r="E99" i="28"/>
  <c r="N99" i="28"/>
  <c r="N126" i="3"/>
  <c r="H190" i="3"/>
  <c r="N111" i="6"/>
  <c r="N112" i="6"/>
  <c r="N113" i="6"/>
  <c r="N114" i="6"/>
  <c r="U107" i="6"/>
  <c r="T107" i="6"/>
  <c r="S107" i="6"/>
  <c r="U105" i="6"/>
  <c r="T105" i="6"/>
  <c r="S105" i="6"/>
  <c r="U102" i="6"/>
  <c r="T102" i="6"/>
  <c r="S102" i="6"/>
  <c r="U100" i="6"/>
  <c r="T100" i="6"/>
  <c r="S100" i="6"/>
  <c r="M42" i="6"/>
  <c r="L42" i="6"/>
  <c r="K42" i="6"/>
  <c r="M41" i="6"/>
  <c r="L41" i="6"/>
  <c r="K41" i="6"/>
  <c r="M40" i="6"/>
  <c r="L40" i="6"/>
  <c r="K40" i="6"/>
  <c r="M39" i="6"/>
  <c r="L39" i="6"/>
  <c r="K39" i="6"/>
  <c r="R24" i="6"/>
  <c r="R25" i="6"/>
  <c r="K25" i="6"/>
  <c r="L25" i="6"/>
  <c r="M25" i="6"/>
  <c r="K24" i="6"/>
  <c r="L24" i="6"/>
  <c r="M24" i="6"/>
  <c r="R21" i="6"/>
  <c r="K21" i="6"/>
  <c r="N21" i="6" s="1"/>
  <c r="L21" i="6"/>
  <c r="M21" i="6"/>
  <c r="R13" i="6"/>
  <c r="K13" i="6"/>
  <c r="L13" i="6"/>
  <c r="M13" i="6"/>
  <c r="N25" i="6" l="1"/>
  <c r="N13" i="6"/>
  <c r="N24" i="6"/>
  <c r="K59" i="38"/>
  <c r="U93" i="38" l="1"/>
  <c r="T93" i="38"/>
  <c r="S93" i="38"/>
  <c r="R59" i="38"/>
  <c r="M59" i="38"/>
  <c r="L59" i="38"/>
  <c r="R58" i="38"/>
  <c r="K58" i="38"/>
  <c r="L58" i="38"/>
  <c r="M58" i="38"/>
  <c r="R57" i="38"/>
  <c r="K57" i="38"/>
  <c r="L57" i="38"/>
  <c r="M57" i="38"/>
  <c r="D93" i="38" s="1"/>
  <c r="U104" i="6"/>
  <c r="T104" i="6"/>
  <c r="S104" i="6"/>
  <c r="U103" i="6"/>
  <c r="T103" i="6"/>
  <c r="S103" i="6"/>
  <c r="U111" i="6"/>
  <c r="T111" i="6"/>
  <c r="S111" i="6"/>
  <c r="U109" i="6"/>
  <c r="T109" i="6"/>
  <c r="S109" i="6"/>
  <c r="U108" i="6"/>
  <c r="T108" i="6"/>
  <c r="S108" i="6"/>
  <c r="U110" i="6"/>
  <c r="T110" i="6"/>
  <c r="S110" i="6"/>
  <c r="S106" i="6"/>
  <c r="T106" i="6"/>
  <c r="U106" i="6"/>
  <c r="S101" i="6"/>
  <c r="T101" i="6"/>
  <c r="U101" i="6"/>
  <c r="T129" i="6"/>
  <c r="U129" i="6"/>
  <c r="S129" i="6"/>
  <c r="U128" i="6"/>
  <c r="T128" i="6"/>
  <c r="S128" i="6"/>
  <c r="U127" i="6"/>
  <c r="T127" i="6"/>
  <c r="S127" i="6"/>
  <c r="M9" i="6"/>
  <c r="D100" i="6" s="1"/>
  <c r="M10" i="6"/>
  <c r="M11" i="6"/>
  <c r="M12" i="6"/>
  <c r="M14" i="6"/>
  <c r="M15" i="6"/>
  <c r="M16" i="6"/>
  <c r="M17" i="6"/>
  <c r="M18" i="6"/>
  <c r="M19" i="6"/>
  <c r="M20" i="6"/>
  <c r="M22" i="6"/>
  <c r="M23" i="6"/>
  <c r="M26" i="6"/>
  <c r="M27" i="6"/>
  <c r="M28" i="6"/>
  <c r="M29" i="6"/>
  <c r="M30" i="6"/>
  <c r="M31" i="6"/>
  <c r="M32" i="6"/>
  <c r="M33" i="6"/>
  <c r="M34" i="6"/>
  <c r="M35" i="6"/>
  <c r="L9" i="6"/>
  <c r="C100" i="6" s="1"/>
  <c r="L10" i="6"/>
  <c r="L11" i="6"/>
  <c r="L12" i="6"/>
  <c r="L14" i="6"/>
  <c r="L15" i="6"/>
  <c r="L16" i="6"/>
  <c r="L17" i="6"/>
  <c r="L18" i="6"/>
  <c r="L19" i="6"/>
  <c r="L20" i="6"/>
  <c r="L22" i="6"/>
  <c r="L23" i="6"/>
  <c r="L26" i="6"/>
  <c r="L27" i="6"/>
  <c r="L28" i="6"/>
  <c r="L29" i="6"/>
  <c r="L30" i="6"/>
  <c r="L31" i="6"/>
  <c r="L32" i="6"/>
  <c r="L33" i="6"/>
  <c r="L34" i="6"/>
  <c r="L35" i="6"/>
  <c r="K9" i="6"/>
  <c r="B100" i="6" s="1"/>
  <c r="K10" i="6"/>
  <c r="K11" i="6"/>
  <c r="K12" i="6"/>
  <c r="K14" i="6"/>
  <c r="B102" i="6" s="1"/>
  <c r="K15" i="6"/>
  <c r="K16" i="6"/>
  <c r="K17" i="6"/>
  <c r="K18" i="6"/>
  <c r="K19" i="6"/>
  <c r="B105" i="6" s="1"/>
  <c r="K20" i="6"/>
  <c r="K22" i="6"/>
  <c r="K23" i="6"/>
  <c r="K26" i="6"/>
  <c r="K27" i="6"/>
  <c r="K28" i="6"/>
  <c r="K29" i="6"/>
  <c r="K30" i="6"/>
  <c r="B109" i="6" s="1"/>
  <c r="K31" i="6"/>
  <c r="K32" i="6"/>
  <c r="K33" i="6"/>
  <c r="K34" i="6"/>
  <c r="K35" i="6"/>
  <c r="R9" i="6"/>
  <c r="R10" i="6"/>
  <c r="R11" i="6"/>
  <c r="R12" i="6"/>
  <c r="R14" i="6"/>
  <c r="R15" i="6"/>
  <c r="R16" i="6"/>
  <c r="R17" i="6"/>
  <c r="R18" i="6"/>
  <c r="R19" i="6"/>
  <c r="R20" i="6"/>
  <c r="R22" i="6"/>
  <c r="R23" i="6"/>
  <c r="R26" i="6"/>
  <c r="R27" i="6"/>
  <c r="R28" i="6"/>
  <c r="R29" i="6"/>
  <c r="R30" i="6"/>
  <c r="R31" i="6"/>
  <c r="R32" i="6"/>
  <c r="R33" i="6"/>
  <c r="R34" i="6"/>
  <c r="R35" i="6"/>
  <c r="N58" i="38" l="1"/>
  <c r="J93" i="38"/>
  <c r="N59" i="38"/>
  <c r="C93" i="38"/>
  <c r="B93" i="38"/>
  <c r="E93" i="38" s="1"/>
  <c r="H109" i="6"/>
  <c r="L109" i="6"/>
  <c r="J109" i="6"/>
  <c r="C107" i="6"/>
  <c r="C102" i="6"/>
  <c r="B106" i="6"/>
  <c r="J110" i="6"/>
  <c r="L110" i="6"/>
  <c r="H110" i="6"/>
  <c r="J102" i="6"/>
  <c r="L102" i="6"/>
  <c r="H102" i="6"/>
  <c r="C105" i="6"/>
  <c r="L105" i="6"/>
  <c r="J105" i="6"/>
  <c r="H105" i="6"/>
  <c r="N105" i="6" s="1"/>
  <c r="L100" i="6"/>
  <c r="H100" i="6"/>
  <c r="J100" i="6"/>
  <c r="C103" i="6"/>
  <c r="B107" i="6"/>
  <c r="D102" i="6"/>
  <c r="H107" i="6"/>
  <c r="J107" i="6"/>
  <c r="L107" i="6"/>
  <c r="D105" i="6"/>
  <c r="B101" i="6"/>
  <c r="D107" i="6"/>
  <c r="L106" i="6"/>
  <c r="W110" i="6"/>
  <c r="N19" i="6"/>
  <c r="W105" i="6"/>
  <c r="B110" i="6"/>
  <c r="W102" i="6"/>
  <c r="W109" i="6"/>
  <c r="W111" i="6"/>
  <c r="N29" i="6"/>
  <c r="N18" i="6"/>
  <c r="D108" i="6"/>
  <c r="N17" i="6"/>
  <c r="W107" i="6"/>
  <c r="L103" i="6"/>
  <c r="N27" i="6"/>
  <c r="W104" i="6"/>
  <c r="W101" i="6"/>
  <c r="W106" i="6"/>
  <c r="W108" i="6"/>
  <c r="D104" i="6"/>
  <c r="D110" i="6"/>
  <c r="N22" i="6"/>
  <c r="L101" i="6"/>
  <c r="C104" i="6"/>
  <c r="H106" i="6"/>
  <c r="N16" i="6"/>
  <c r="D111" i="6"/>
  <c r="D103" i="6"/>
  <c r="J101" i="6"/>
  <c r="B111" i="6"/>
  <c r="C111" i="6"/>
  <c r="N23" i="6"/>
  <c r="H101" i="6"/>
  <c r="N101" i="6" s="1"/>
  <c r="L108" i="6"/>
  <c r="L104" i="6"/>
  <c r="D109" i="6"/>
  <c r="D101" i="6"/>
  <c r="H103" i="6"/>
  <c r="C109" i="6"/>
  <c r="W100" i="6"/>
  <c r="W103" i="6"/>
  <c r="C106" i="6"/>
  <c r="H104" i="6"/>
  <c r="N104" i="6" s="1"/>
  <c r="C108" i="6"/>
  <c r="J104" i="6"/>
  <c r="N15" i="6"/>
  <c r="D106" i="6"/>
  <c r="B104" i="6"/>
  <c r="N30" i="6"/>
  <c r="N28" i="6"/>
  <c r="N26" i="6"/>
  <c r="J106" i="6"/>
  <c r="N14" i="6"/>
  <c r="N33" i="6"/>
  <c r="C110" i="6"/>
  <c r="B108" i="6"/>
  <c r="H108" i="6"/>
  <c r="N32" i="6"/>
  <c r="N12" i="6"/>
  <c r="B103" i="6"/>
  <c r="J108" i="6"/>
  <c r="J103" i="6"/>
  <c r="N10" i="6"/>
  <c r="C101" i="6"/>
  <c r="E100" i="6"/>
  <c r="W93" i="38"/>
  <c r="H93" i="38"/>
  <c r="L93" i="38"/>
  <c r="N35" i="6"/>
  <c r="N34" i="6"/>
  <c r="N9" i="6"/>
  <c r="N31" i="6"/>
  <c r="N20" i="6"/>
  <c r="N11" i="6"/>
  <c r="S182" i="25"/>
  <c r="T182" i="25"/>
  <c r="U182" i="25"/>
  <c r="W182" i="25"/>
  <c r="H182" i="25"/>
  <c r="N182" i="25" s="1"/>
  <c r="L182" i="25"/>
  <c r="K117" i="25"/>
  <c r="L117" i="25"/>
  <c r="M117" i="25"/>
  <c r="R117" i="25"/>
  <c r="R116" i="25"/>
  <c r="J182" i="25" s="1"/>
  <c r="M116" i="25"/>
  <c r="D182" i="25" s="1"/>
  <c r="L116" i="25"/>
  <c r="C182" i="25" s="1"/>
  <c r="K116" i="25"/>
  <c r="S145" i="26"/>
  <c r="T145" i="26"/>
  <c r="U145" i="26"/>
  <c r="H145" i="26"/>
  <c r="R81" i="26"/>
  <c r="M81" i="26"/>
  <c r="D145" i="26" s="1"/>
  <c r="L81" i="26"/>
  <c r="K81" i="26"/>
  <c r="R80" i="26"/>
  <c r="M80" i="26"/>
  <c r="L80" i="26"/>
  <c r="C145" i="26" s="1"/>
  <c r="K80" i="26"/>
  <c r="S96" i="37"/>
  <c r="W96" i="37" s="1"/>
  <c r="T96" i="37"/>
  <c r="U96" i="37"/>
  <c r="R62" i="37"/>
  <c r="L96" i="37" s="1"/>
  <c r="M62" i="37"/>
  <c r="L62" i="37"/>
  <c r="C96" i="37"/>
  <c r="K62" i="37"/>
  <c r="N62" i="37"/>
  <c r="R61" i="37"/>
  <c r="M61" i="37"/>
  <c r="N61" i="37" s="1"/>
  <c r="D96" i="37"/>
  <c r="L61" i="37"/>
  <c r="K61" i="37"/>
  <c r="R74" i="36"/>
  <c r="K74" i="36"/>
  <c r="L74" i="36"/>
  <c r="M74" i="36"/>
  <c r="R73" i="36"/>
  <c r="K73" i="36"/>
  <c r="L73" i="36"/>
  <c r="M73" i="36"/>
  <c r="R72" i="36"/>
  <c r="K72" i="36"/>
  <c r="L72" i="36"/>
  <c r="M72" i="36"/>
  <c r="R71" i="36"/>
  <c r="R70" i="36"/>
  <c r="R69" i="36"/>
  <c r="K71" i="36"/>
  <c r="L71" i="36"/>
  <c r="M71" i="36"/>
  <c r="K70" i="36"/>
  <c r="L70" i="36"/>
  <c r="M70" i="36"/>
  <c r="K69" i="36"/>
  <c r="L69" i="36"/>
  <c r="M69" i="36"/>
  <c r="R68" i="36"/>
  <c r="K68" i="36"/>
  <c r="L68" i="36"/>
  <c r="M68" i="36"/>
  <c r="R67" i="36"/>
  <c r="L67" i="36"/>
  <c r="M67" i="36"/>
  <c r="K67" i="36"/>
  <c r="S152" i="16"/>
  <c r="T152" i="16"/>
  <c r="B152" i="16"/>
  <c r="U152" i="16"/>
  <c r="W152" i="16"/>
  <c r="R87" i="16"/>
  <c r="M87" i="16"/>
  <c r="L87" i="16"/>
  <c r="K87" i="16"/>
  <c r="N87" i="16"/>
  <c r="R86" i="16"/>
  <c r="M86" i="16"/>
  <c r="D152" i="16" s="1"/>
  <c r="L86" i="16"/>
  <c r="K86" i="16"/>
  <c r="U122" i="35"/>
  <c r="T122" i="35"/>
  <c r="S122" i="35"/>
  <c r="D122" i="35"/>
  <c r="E122" i="35" s="1"/>
  <c r="R87" i="35"/>
  <c r="M87" i="35"/>
  <c r="N87" i="35"/>
  <c r="K87" i="35"/>
  <c r="L87" i="35"/>
  <c r="R86" i="35"/>
  <c r="M86" i="35"/>
  <c r="L86" i="35"/>
  <c r="K86" i="35"/>
  <c r="N86" i="35" s="1"/>
  <c r="R85" i="35"/>
  <c r="N85" i="35"/>
  <c r="M85" i="35"/>
  <c r="L85" i="35"/>
  <c r="C122" i="35" s="1"/>
  <c r="K85" i="35"/>
  <c r="B122" i="35" s="1"/>
  <c r="S184" i="17"/>
  <c r="T184" i="17"/>
  <c r="U184" i="17"/>
  <c r="W184" i="17"/>
  <c r="H184" i="17"/>
  <c r="N184" i="17" s="1"/>
  <c r="B184" i="17"/>
  <c r="C184" i="17"/>
  <c r="D184" i="17"/>
  <c r="E184" i="17"/>
  <c r="R119" i="17"/>
  <c r="J184" i="17" s="1"/>
  <c r="N119" i="17"/>
  <c r="R118" i="17"/>
  <c r="L184" i="17" s="1"/>
  <c r="N118" i="17"/>
  <c r="S186" i="18"/>
  <c r="U186" i="18"/>
  <c r="T186" i="18"/>
  <c r="R121" i="18"/>
  <c r="K121" i="18"/>
  <c r="N121" i="18" s="1"/>
  <c r="L121" i="18"/>
  <c r="M121" i="18"/>
  <c r="R120" i="18"/>
  <c r="M120" i="18"/>
  <c r="L120" i="18"/>
  <c r="K120" i="18"/>
  <c r="R119" i="18"/>
  <c r="M119" i="18"/>
  <c r="D186" i="18" s="1"/>
  <c r="L119" i="18"/>
  <c r="K119" i="18"/>
  <c r="N119" i="18" s="1"/>
  <c r="S187" i="19"/>
  <c r="T187" i="19"/>
  <c r="U187" i="19"/>
  <c r="C187" i="19"/>
  <c r="D187" i="19"/>
  <c r="R122" i="19"/>
  <c r="M122" i="19"/>
  <c r="L122" i="19"/>
  <c r="K122" i="19"/>
  <c r="N122" i="19" s="1"/>
  <c r="R121" i="19"/>
  <c r="N121" i="19"/>
  <c r="M121" i="19"/>
  <c r="L121" i="19"/>
  <c r="K121" i="19"/>
  <c r="B187" i="19" s="1"/>
  <c r="U161" i="20"/>
  <c r="S161" i="20"/>
  <c r="T161" i="20"/>
  <c r="W161" i="20"/>
  <c r="R103" i="20"/>
  <c r="R102" i="20"/>
  <c r="K102" i="20"/>
  <c r="B161" i="20" s="1"/>
  <c r="N102" i="20"/>
  <c r="L102" i="20"/>
  <c r="K103" i="20"/>
  <c r="N103" i="20"/>
  <c r="L103" i="20"/>
  <c r="M103" i="20"/>
  <c r="R36" i="6"/>
  <c r="U86" i="33"/>
  <c r="U91" i="33"/>
  <c r="U88" i="33"/>
  <c r="U87" i="33"/>
  <c r="U77" i="33"/>
  <c r="T91" i="33"/>
  <c r="T88" i="33"/>
  <c r="T87" i="33"/>
  <c r="T86" i="33"/>
  <c r="W86" i="33" s="1"/>
  <c r="T85" i="33"/>
  <c r="T96" i="29"/>
  <c r="H203" i="10"/>
  <c r="S203" i="10"/>
  <c r="W203" i="10" s="1"/>
  <c r="T203" i="10"/>
  <c r="U203" i="10"/>
  <c r="B203" i="10"/>
  <c r="C203" i="10"/>
  <c r="U202" i="10"/>
  <c r="T202" i="10"/>
  <c r="S202" i="10"/>
  <c r="W202" i="10" s="1"/>
  <c r="R136" i="10"/>
  <c r="K134" i="10"/>
  <c r="L134" i="10"/>
  <c r="M134" i="10"/>
  <c r="D203" i="10" s="1"/>
  <c r="K135" i="10"/>
  <c r="L135" i="10"/>
  <c r="M135" i="10"/>
  <c r="R133" i="10"/>
  <c r="R134" i="10"/>
  <c r="J203" i="10" s="1"/>
  <c r="R135" i="10"/>
  <c r="K133" i="10"/>
  <c r="L133" i="10"/>
  <c r="M133" i="10"/>
  <c r="N133" i="10" s="1"/>
  <c r="U98" i="28"/>
  <c r="T98" i="28"/>
  <c r="N135" i="10"/>
  <c r="N134" i="10"/>
  <c r="S182" i="24"/>
  <c r="W182" i="24" s="1"/>
  <c r="T182" i="24"/>
  <c r="U182" i="24"/>
  <c r="H182" i="24"/>
  <c r="J182" i="24"/>
  <c r="L182" i="24"/>
  <c r="B182" i="24"/>
  <c r="E182" i="24" s="1"/>
  <c r="C182" i="24"/>
  <c r="D182" i="24"/>
  <c r="S183" i="23"/>
  <c r="T183" i="23"/>
  <c r="U183" i="23"/>
  <c r="H183" i="23"/>
  <c r="N183" i="23" s="1"/>
  <c r="J183" i="23"/>
  <c r="L183" i="23"/>
  <c r="B183" i="23"/>
  <c r="E183" i="23" s="1"/>
  <c r="C183" i="23"/>
  <c r="D183" i="23"/>
  <c r="U194" i="22"/>
  <c r="T194" i="22"/>
  <c r="S194" i="22"/>
  <c r="W194" i="22" s="1"/>
  <c r="L194" i="22"/>
  <c r="N194" i="22" s="1"/>
  <c r="J194" i="22"/>
  <c r="H194" i="22"/>
  <c r="D194" i="22"/>
  <c r="C194" i="22"/>
  <c r="B194" i="22"/>
  <c r="E194" i="22" s="1"/>
  <c r="U182" i="21"/>
  <c r="S182" i="21"/>
  <c r="T182" i="21"/>
  <c r="B182" i="21"/>
  <c r="C182" i="21"/>
  <c r="D182" i="21"/>
  <c r="R117" i="21"/>
  <c r="M117" i="21"/>
  <c r="L117" i="21"/>
  <c r="K117" i="21"/>
  <c r="N117" i="21"/>
  <c r="R116" i="21"/>
  <c r="N116" i="21"/>
  <c r="M116" i="21"/>
  <c r="L116" i="21"/>
  <c r="K116" i="21"/>
  <c r="S91" i="34"/>
  <c r="W91" i="34" s="1"/>
  <c r="T91" i="34"/>
  <c r="U91" i="34"/>
  <c r="R57" i="34"/>
  <c r="J91" i="34" s="1"/>
  <c r="N91" i="34" s="1"/>
  <c r="H91" i="34"/>
  <c r="R56" i="34"/>
  <c r="K56" i="34"/>
  <c r="B91" i="34" s="1"/>
  <c r="C91" i="34"/>
  <c r="M56" i="34"/>
  <c r="N56" i="34"/>
  <c r="S91" i="33"/>
  <c r="W91" i="33" s="1"/>
  <c r="R57" i="33"/>
  <c r="K57" i="33"/>
  <c r="N57" i="33" s="1"/>
  <c r="L57" i="33"/>
  <c r="M57" i="33"/>
  <c r="R55" i="33"/>
  <c r="R56" i="33"/>
  <c r="S88" i="33"/>
  <c r="S87" i="33"/>
  <c r="S86" i="33"/>
  <c r="K56" i="33"/>
  <c r="L56" i="33"/>
  <c r="M56" i="33"/>
  <c r="M55" i="33"/>
  <c r="K55" i="33"/>
  <c r="L55" i="33"/>
  <c r="C91" i="33" s="1"/>
  <c r="R54" i="33"/>
  <c r="M54" i="33"/>
  <c r="L54" i="33"/>
  <c r="K54" i="33"/>
  <c r="S198" i="9"/>
  <c r="T198" i="9"/>
  <c r="U198" i="9"/>
  <c r="S197" i="9"/>
  <c r="H198" i="9"/>
  <c r="R133" i="9"/>
  <c r="M133" i="9"/>
  <c r="L133" i="9"/>
  <c r="K133" i="9"/>
  <c r="N133" i="9" s="1"/>
  <c r="R132" i="9"/>
  <c r="L198" i="9" s="1"/>
  <c r="M132" i="9"/>
  <c r="D198" i="9" s="1"/>
  <c r="L132" i="9"/>
  <c r="C198" i="9" s="1"/>
  <c r="K132" i="9"/>
  <c r="M136" i="10"/>
  <c r="L136" i="10"/>
  <c r="K136" i="10"/>
  <c r="S186" i="11"/>
  <c r="T186" i="11"/>
  <c r="W186" i="11" s="1"/>
  <c r="U186" i="11"/>
  <c r="R121" i="11"/>
  <c r="M121" i="11"/>
  <c r="L121" i="11"/>
  <c r="K121" i="11"/>
  <c r="N121" i="11"/>
  <c r="R120" i="11"/>
  <c r="M120" i="11"/>
  <c r="D186" i="11" s="1"/>
  <c r="L120" i="11"/>
  <c r="K120" i="11"/>
  <c r="B186" i="11" s="1"/>
  <c r="J183" i="12"/>
  <c r="H183" i="12"/>
  <c r="S183" i="12"/>
  <c r="W183" i="12" s="1"/>
  <c r="T183" i="12"/>
  <c r="U183" i="12"/>
  <c r="L183" i="12"/>
  <c r="N183" i="12"/>
  <c r="R118" i="12"/>
  <c r="K118" i="12"/>
  <c r="M118" i="12"/>
  <c r="L118" i="12"/>
  <c r="R117" i="12"/>
  <c r="M117" i="12"/>
  <c r="D183" i="12" s="1"/>
  <c r="L117" i="12"/>
  <c r="C183" i="12" s="1"/>
  <c r="K117" i="12"/>
  <c r="N117" i="12"/>
  <c r="W92" i="32"/>
  <c r="S92" i="32"/>
  <c r="T92" i="32"/>
  <c r="U92" i="32"/>
  <c r="R58" i="32"/>
  <c r="K58" i="32"/>
  <c r="L58" i="32"/>
  <c r="M58" i="32"/>
  <c r="R57" i="32"/>
  <c r="M57" i="32"/>
  <c r="L57" i="32"/>
  <c r="K57" i="32"/>
  <c r="S198" i="13"/>
  <c r="T198" i="13"/>
  <c r="U198" i="13"/>
  <c r="R131" i="13"/>
  <c r="L198" i="13"/>
  <c r="R130" i="13"/>
  <c r="J198" i="13" s="1"/>
  <c r="M131" i="13"/>
  <c r="L131" i="13"/>
  <c r="K131" i="13"/>
  <c r="N131" i="13" s="1"/>
  <c r="M130" i="13"/>
  <c r="D198" i="13" s="1"/>
  <c r="L130" i="13"/>
  <c r="C198" i="13" s="1"/>
  <c r="K130" i="13"/>
  <c r="B198" i="13" s="1"/>
  <c r="E198" i="13" s="1"/>
  <c r="W186" i="14"/>
  <c r="U186" i="14"/>
  <c r="S186" i="14"/>
  <c r="T186" i="14"/>
  <c r="L186" i="14"/>
  <c r="B186" i="14"/>
  <c r="E186" i="14" s="1"/>
  <c r="R121" i="14"/>
  <c r="R120" i="14"/>
  <c r="H186" i="14" s="1"/>
  <c r="M121" i="14"/>
  <c r="L121" i="14"/>
  <c r="K121" i="14"/>
  <c r="M120" i="14"/>
  <c r="D186" i="14" s="1"/>
  <c r="L120" i="14"/>
  <c r="C186" i="14" s="1"/>
  <c r="K120" i="14"/>
  <c r="N120" i="14" s="1"/>
  <c r="C194" i="15"/>
  <c r="U194" i="15"/>
  <c r="T194" i="15"/>
  <c r="S194" i="15"/>
  <c r="W194" i="15" s="1"/>
  <c r="R129" i="15"/>
  <c r="L194" i="15"/>
  <c r="D194" i="15"/>
  <c r="R128" i="15"/>
  <c r="M128" i="15"/>
  <c r="K128" i="15"/>
  <c r="N128" i="15" s="1"/>
  <c r="R127" i="15"/>
  <c r="M127" i="15"/>
  <c r="K127" i="15"/>
  <c r="N127" i="15" s="1"/>
  <c r="U192" i="8"/>
  <c r="S192" i="8"/>
  <c r="T192" i="8"/>
  <c r="W192" i="8"/>
  <c r="B192" i="8"/>
  <c r="K127" i="8"/>
  <c r="N127" i="8" s="1"/>
  <c r="L127" i="8"/>
  <c r="M127" i="8"/>
  <c r="R127" i="8"/>
  <c r="R126" i="8"/>
  <c r="M126" i="8"/>
  <c r="L126" i="8"/>
  <c r="C192" i="8" s="1"/>
  <c r="K126" i="8"/>
  <c r="R125" i="8"/>
  <c r="K125" i="8"/>
  <c r="L125" i="8"/>
  <c r="M125" i="8"/>
  <c r="N125" i="8"/>
  <c r="R124" i="8"/>
  <c r="N124" i="8"/>
  <c r="M124" i="8"/>
  <c r="L124" i="8"/>
  <c r="K124" i="8"/>
  <c r="S87" i="31"/>
  <c r="T87" i="31"/>
  <c r="W87" i="31" s="1"/>
  <c r="U87" i="31"/>
  <c r="R52" i="31"/>
  <c r="K52" i="31"/>
  <c r="N52" i="31" s="1"/>
  <c r="L52" i="31"/>
  <c r="M52" i="31"/>
  <c r="R51" i="31"/>
  <c r="J87" i="31" s="1"/>
  <c r="K51" i="31"/>
  <c r="B87" i="31" s="1"/>
  <c r="E87" i="31" s="1"/>
  <c r="L51" i="31"/>
  <c r="C87" i="31" s="1"/>
  <c r="M51" i="31"/>
  <c r="D87" i="31" s="1"/>
  <c r="S184" i="7"/>
  <c r="T184" i="7"/>
  <c r="U184" i="7"/>
  <c r="C184" i="7"/>
  <c r="B184" i="7"/>
  <c r="E184" i="7"/>
  <c r="R118" i="7"/>
  <c r="R119" i="7"/>
  <c r="M119" i="7"/>
  <c r="K119" i="7"/>
  <c r="N119" i="7" s="1"/>
  <c r="M118" i="7"/>
  <c r="N118" i="7"/>
  <c r="K118" i="7"/>
  <c r="L119" i="7"/>
  <c r="L118" i="7"/>
  <c r="R117" i="7"/>
  <c r="W184" i="7" s="1"/>
  <c r="M117" i="7"/>
  <c r="D184" i="7" s="1"/>
  <c r="L117" i="7"/>
  <c r="K117" i="7"/>
  <c r="N117" i="7"/>
  <c r="U96" i="29"/>
  <c r="R62" i="29"/>
  <c r="M62" i="29"/>
  <c r="K62" i="29"/>
  <c r="N62" i="29" s="1"/>
  <c r="L62" i="29"/>
  <c r="R61" i="29"/>
  <c r="K61" i="29"/>
  <c r="L61" i="29"/>
  <c r="C96" i="29" s="1"/>
  <c r="M61" i="29"/>
  <c r="U136" i="6"/>
  <c r="T136" i="6"/>
  <c r="S136" i="6"/>
  <c r="K88" i="6"/>
  <c r="K89" i="6"/>
  <c r="R90" i="6"/>
  <c r="K90" i="6"/>
  <c r="L90" i="6"/>
  <c r="M90" i="6"/>
  <c r="R89" i="6"/>
  <c r="L89" i="6"/>
  <c r="M89" i="6"/>
  <c r="R88" i="6"/>
  <c r="L88" i="6"/>
  <c r="M88" i="6"/>
  <c r="S75" i="30"/>
  <c r="J75" i="30"/>
  <c r="D75" i="30"/>
  <c r="T75" i="30"/>
  <c r="U75" i="30"/>
  <c r="C75" i="30"/>
  <c r="R40" i="30"/>
  <c r="K40" i="30"/>
  <c r="N40" i="30" s="1"/>
  <c r="L40" i="30"/>
  <c r="M40" i="30"/>
  <c r="R39" i="30"/>
  <c r="K39" i="30"/>
  <c r="B75" i="30" s="1"/>
  <c r="E75" i="30" s="1"/>
  <c r="N39" i="30"/>
  <c r="L39" i="30"/>
  <c r="M39" i="30"/>
  <c r="S184" i="5"/>
  <c r="T184" i="5"/>
  <c r="U184" i="5"/>
  <c r="D184" i="5"/>
  <c r="R119" i="5"/>
  <c r="R118" i="5"/>
  <c r="M119" i="5"/>
  <c r="L119" i="5"/>
  <c r="K119" i="5"/>
  <c r="N119" i="5"/>
  <c r="M118" i="5"/>
  <c r="L118" i="5"/>
  <c r="C184" i="5" s="1"/>
  <c r="K118" i="5"/>
  <c r="B184" i="5" s="1"/>
  <c r="N118" i="5"/>
  <c r="R64" i="28"/>
  <c r="M63" i="28"/>
  <c r="M64" i="28"/>
  <c r="K63" i="28"/>
  <c r="K64" i="28"/>
  <c r="L64" i="28"/>
  <c r="R63" i="28"/>
  <c r="L63" i="28"/>
  <c r="R62" i="28"/>
  <c r="H98" i="28" s="1"/>
  <c r="M62" i="28"/>
  <c r="D98" i="28" s="1"/>
  <c r="L62" i="28"/>
  <c r="N62" i="28" s="1"/>
  <c r="K62" i="28"/>
  <c r="U189" i="3"/>
  <c r="T189" i="3"/>
  <c r="S189" i="3"/>
  <c r="R124" i="3"/>
  <c r="N190" i="3" s="1"/>
  <c r="L124" i="3"/>
  <c r="N124" i="3" s="1"/>
  <c r="K124" i="3"/>
  <c r="M124" i="3"/>
  <c r="E190" i="3" s="1"/>
  <c r="R123" i="3"/>
  <c r="K104" i="3"/>
  <c r="K123" i="3"/>
  <c r="L123" i="3"/>
  <c r="M123" i="3"/>
  <c r="D189" i="3" s="1"/>
  <c r="K122" i="3"/>
  <c r="N122" i="3" s="1"/>
  <c r="R122" i="3"/>
  <c r="L122" i="3"/>
  <c r="M122" i="3"/>
  <c r="H169" i="2"/>
  <c r="H179" i="2"/>
  <c r="J182" i="2"/>
  <c r="L182" i="2"/>
  <c r="S182" i="2"/>
  <c r="T182" i="2"/>
  <c r="U182" i="2"/>
  <c r="W182" i="2"/>
  <c r="N182" i="2"/>
  <c r="H182" i="2"/>
  <c r="R116" i="2"/>
  <c r="R117" i="2"/>
  <c r="K117" i="2"/>
  <c r="L117" i="2"/>
  <c r="M117" i="2"/>
  <c r="K116" i="2"/>
  <c r="B182" i="2" s="1"/>
  <c r="L116" i="2"/>
  <c r="C182" i="2" s="1"/>
  <c r="M116" i="2"/>
  <c r="D182" i="2" s="1"/>
  <c r="N116" i="2"/>
  <c r="S188" i="1"/>
  <c r="U188" i="1"/>
  <c r="T188" i="1"/>
  <c r="R120" i="1"/>
  <c r="R122" i="1"/>
  <c r="J188" i="1" s="1"/>
  <c r="R123" i="1"/>
  <c r="M122" i="1"/>
  <c r="M123" i="1"/>
  <c r="L122" i="1"/>
  <c r="C188" i="1" s="1"/>
  <c r="L123" i="1"/>
  <c r="K122" i="1"/>
  <c r="K123" i="1"/>
  <c r="K117" i="1"/>
  <c r="D160" i="20"/>
  <c r="U159" i="20"/>
  <c r="T159" i="20"/>
  <c r="S159" i="20"/>
  <c r="W159" i="20" s="1"/>
  <c r="H159" i="20"/>
  <c r="U158" i="20"/>
  <c r="T158" i="20"/>
  <c r="S158" i="20"/>
  <c r="U157" i="20"/>
  <c r="T157" i="20"/>
  <c r="S157" i="20"/>
  <c r="W157" i="20" s="1"/>
  <c r="L157" i="20"/>
  <c r="U156" i="20"/>
  <c r="T156" i="20"/>
  <c r="S156" i="20"/>
  <c r="W156" i="20" s="1"/>
  <c r="U154" i="20"/>
  <c r="T154" i="20"/>
  <c r="S154" i="20"/>
  <c r="W154" i="20" s="1"/>
  <c r="D154" i="20"/>
  <c r="C154" i="20"/>
  <c r="T152" i="20"/>
  <c r="S152" i="20"/>
  <c r="D152" i="20"/>
  <c r="U150" i="20"/>
  <c r="T150" i="20"/>
  <c r="S150" i="20"/>
  <c r="W150" i="20" s="1"/>
  <c r="H149" i="20"/>
  <c r="U147" i="20"/>
  <c r="T147" i="20"/>
  <c r="S147" i="20"/>
  <c r="W147" i="20" s="1"/>
  <c r="D146" i="20"/>
  <c r="C146" i="20"/>
  <c r="B146" i="20"/>
  <c r="S144" i="20"/>
  <c r="D142" i="20"/>
  <c r="U140" i="20"/>
  <c r="T140" i="20"/>
  <c r="U138" i="20"/>
  <c r="T138" i="20"/>
  <c r="H137" i="20"/>
  <c r="U136" i="20"/>
  <c r="T136" i="20"/>
  <c r="S136" i="20"/>
  <c r="U135" i="20"/>
  <c r="T135" i="20"/>
  <c r="S135" i="20"/>
  <c r="W135" i="20" s="1"/>
  <c r="L134" i="20"/>
  <c r="J134" i="20"/>
  <c r="U133" i="20"/>
  <c r="T133" i="20"/>
  <c r="S133" i="20"/>
  <c r="W133" i="20" s="1"/>
  <c r="U132" i="20"/>
  <c r="T132" i="20"/>
  <c r="S132" i="20"/>
  <c r="S131" i="20"/>
  <c r="J131" i="20"/>
  <c r="U130" i="20"/>
  <c r="T130" i="20"/>
  <c r="S130" i="20"/>
  <c r="U129" i="20"/>
  <c r="T129" i="20"/>
  <c r="S129" i="20"/>
  <c r="W129" i="20" s="1"/>
  <c r="H128" i="20"/>
  <c r="D128" i="20"/>
  <c r="C128" i="20"/>
  <c r="U127" i="20"/>
  <c r="T127" i="20"/>
  <c r="S127" i="20"/>
  <c r="W127" i="20" s="1"/>
  <c r="U126" i="20"/>
  <c r="T126" i="20"/>
  <c r="S126" i="20"/>
  <c r="U125" i="20"/>
  <c r="T125" i="20"/>
  <c r="S125" i="20"/>
  <c r="W125" i="20" s="1"/>
  <c r="U124" i="20"/>
  <c r="T124" i="20"/>
  <c r="S124" i="20"/>
  <c r="H124" i="20"/>
  <c r="U122" i="20"/>
  <c r="T122" i="20"/>
  <c r="S122" i="20"/>
  <c r="W122" i="20" s="1"/>
  <c r="C122" i="20"/>
  <c r="U121" i="20"/>
  <c r="W121" i="20"/>
  <c r="T121" i="20"/>
  <c r="S121" i="20"/>
  <c r="U120" i="20"/>
  <c r="T120" i="20"/>
  <c r="S120" i="20"/>
  <c r="B120" i="20"/>
  <c r="U119" i="20"/>
  <c r="W119" i="20"/>
  <c r="T119" i="20"/>
  <c r="S119" i="20"/>
  <c r="U118" i="20"/>
  <c r="T118" i="20"/>
  <c r="S118" i="20"/>
  <c r="W118" i="20" s="1"/>
  <c r="U117" i="20"/>
  <c r="W117" i="20"/>
  <c r="T117" i="20"/>
  <c r="S117" i="20"/>
  <c r="L117" i="20"/>
  <c r="U116" i="20"/>
  <c r="T116" i="20"/>
  <c r="S116" i="20"/>
  <c r="U115" i="20"/>
  <c r="T115" i="20"/>
  <c r="S115" i="20"/>
  <c r="W115" i="20" s="1"/>
  <c r="U114" i="20"/>
  <c r="T114" i="20"/>
  <c r="S114" i="20"/>
  <c r="J113" i="20"/>
  <c r="H113" i="20"/>
  <c r="R101" i="20"/>
  <c r="M101" i="20"/>
  <c r="L101" i="20"/>
  <c r="K101" i="20"/>
  <c r="E101" i="20"/>
  <c r="U160" i="20" s="1"/>
  <c r="R100" i="20"/>
  <c r="M100" i="20"/>
  <c r="L100" i="20"/>
  <c r="C160" i="20" s="1"/>
  <c r="K100" i="20"/>
  <c r="R99" i="20"/>
  <c r="M99" i="20"/>
  <c r="L99" i="20"/>
  <c r="K99" i="20"/>
  <c r="N99" i="20" s="1"/>
  <c r="R98" i="20"/>
  <c r="M98" i="20"/>
  <c r="D159" i="20" s="1"/>
  <c r="L98" i="20"/>
  <c r="C159" i="20" s="1"/>
  <c r="K98" i="20"/>
  <c r="B159" i="20" s="1"/>
  <c r="R97" i="20"/>
  <c r="M97" i="20"/>
  <c r="L97" i="20"/>
  <c r="K97" i="20"/>
  <c r="N97" i="20" s="1"/>
  <c r="R96" i="20"/>
  <c r="M96" i="20"/>
  <c r="D158" i="20" s="1"/>
  <c r="L96" i="20"/>
  <c r="C158" i="20" s="1"/>
  <c r="K96" i="20"/>
  <c r="B158" i="20" s="1"/>
  <c r="R95" i="20"/>
  <c r="M95" i="20"/>
  <c r="L95" i="20"/>
  <c r="K95" i="20"/>
  <c r="N95" i="20" s="1"/>
  <c r="R94" i="20"/>
  <c r="H157" i="20" s="1"/>
  <c r="M94" i="20"/>
  <c r="L94" i="20"/>
  <c r="K94" i="20"/>
  <c r="R93" i="20"/>
  <c r="M93" i="20"/>
  <c r="D156" i="20" s="1"/>
  <c r="L93" i="20"/>
  <c r="K93" i="20"/>
  <c r="N93" i="20" s="1"/>
  <c r="R92" i="20"/>
  <c r="M92" i="20"/>
  <c r="L92" i="20"/>
  <c r="C156" i="20" s="1"/>
  <c r="K92" i="20"/>
  <c r="R91" i="20"/>
  <c r="M91" i="20"/>
  <c r="L91" i="20"/>
  <c r="K91" i="20"/>
  <c r="N91" i="20" s="1"/>
  <c r="E91" i="20"/>
  <c r="R90" i="20"/>
  <c r="M90" i="20"/>
  <c r="D155" i="20" s="1"/>
  <c r="L90" i="20"/>
  <c r="C155" i="20" s="1"/>
  <c r="K90" i="20"/>
  <c r="R89" i="20"/>
  <c r="M89" i="20"/>
  <c r="L89" i="20"/>
  <c r="K89" i="20"/>
  <c r="R88" i="20"/>
  <c r="M88" i="20"/>
  <c r="L88" i="20"/>
  <c r="K88" i="20"/>
  <c r="N88" i="20" s="1"/>
  <c r="R87" i="20"/>
  <c r="M87" i="20"/>
  <c r="L87" i="20"/>
  <c r="K87" i="20"/>
  <c r="E87" i="20"/>
  <c r="R86" i="20"/>
  <c r="L153" i="20" s="1"/>
  <c r="M86" i="20"/>
  <c r="L86" i="20"/>
  <c r="K86" i="20"/>
  <c r="R85" i="20"/>
  <c r="M85" i="20"/>
  <c r="L85" i="20"/>
  <c r="K85" i="20"/>
  <c r="N85" i="20" s="1"/>
  <c r="E85" i="20"/>
  <c r="U152" i="20" s="1"/>
  <c r="R84" i="20"/>
  <c r="M84" i="20"/>
  <c r="L84" i="20"/>
  <c r="K84" i="20"/>
  <c r="B152" i="20" s="1"/>
  <c r="R83" i="20"/>
  <c r="M83" i="20"/>
  <c r="L83" i="20"/>
  <c r="K83" i="20"/>
  <c r="N83" i="20" s="1"/>
  <c r="E83" i="20"/>
  <c r="R82" i="20"/>
  <c r="M82" i="20"/>
  <c r="L82" i="20"/>
  <c r="K82" i="20"/>
  <c r="R81" i="20"/>
  <c r="M81" i="20"/>
  <c r="L81" i="20"/>
  <c r="K81" i="20"/>
  <c r="E81" i="20"/>
  <c r="R80" i="20"/>
  <c r="M80" i="20"/>
  <c r="L80" i="20"/>
  <c r="K80" i="20"/>
  <c r="N80" i="20"/>
  <c r="R79" i="20"/>
  <c r="M79" i="20"/>
  <c r="L79" i="20"/>
  <c r="N79" i="20"/>
  <c r="K79" i="20"/>
  <c r="E79" i="20"/>
  <c r="R78" i="20"/>
  <c r="M78" i="20"/>
  <c r="D149" i="20" s="1"/>
  <c r="L78" i="20"/>
  <c r="C149" i="20" s="1"/>
  <c r="K78" i="20"/>
  <c r="B149" i="20" s="1"/>
  <c r="R77" i="20"/>
  <c r="M77" i="20"/>
  <c r="L77" i="20"/>
  <c r="K77" i="20"/>
  <c r="N77" i="20" s="1"/>
  <c r="E77" i="20"/>
  <c r="U148" i="20" s="1"/>
  <c r="R76" i="20"/>
  <c r="M76" i="20"/>
  <c r="D148" i="20" s="1"/>
  <c r="N76" i="20"/>
  <c r="L76" i="20"/>
  <c r="K76" i="20"/>
  <c r="R75" i="20"/>
  <c r="L147" i="20" s="1"/>
  <c r="M75" i="20"/>
  <c r="L75" i="20"/>
  <c r="K75" i="20"/>
  <c r="R74" i="20"/>
  <c r="H147" i="20" s="1"/>
  <c r="M74" i="20"/>
  <c r="L74" i="20"/>
  <c r="K74" i="20"/>
  <c r="B147" i="20" s="1"/>
  <c r="N74" i="20"/>
  <c r="R73" i="20"/>
  <c r="M73" i="20"/>
  <c r="L73" i="20"/>
  <c r="N73" i="20"/>
  <c r="K73" i="20"/>
  <c r="E73" i="20"/>
  <c r="U146" i="20" s="1"/>
  <c r="R72" i="20"/>
  <c r="M72" i="20"/>
  <c r="L72" i="20"/>
  <c r="K72" i="20"/>
  <c r="N72" i="20" s="1"/>
  <c r="R71" i="20"/>
  <c r="M71" i="20"/>
  <c r="L71" i="20"/>
  <c r="K71" i="20"/>
  <c r="N71" i="20"/>
  <c r="E71" i="20"/>
  <c r="R70" i="20"/>
  <c r="M70" i="20"/>
  <c r="N70" i="20"/>
  <c r="L70" i="20"/>
  <c r="K70" i="20"/>
  <c r="R69" i="20"/>
  <c r="M69" i="20"/>
  <c r="D144" i="20" s="1"/>
  <c r="L69" i="20"/>
  <c r="C144" i="20" s="1"/>
  <c r="K69" i="20"/>
  <c r="E69" i="20"/>
  <c r="U144" i="20" s="1"/>
  <c r="R68" i="20"/>
  <c r="M68" i="20"/>
  <c r="L68" i="20"/>
  <c r="K68" i="20"/>
  <c r="B144" i="20" s="1"/>
  <c r="N68" i="20"/>
  <c r="R67" i="20"/>
  <c r="M67" i="20"/>
  <c r="L67" i="20"/>
  <c r="K67" i="20"/>
  <c r="N67" i="20" s="1"/>
  <c r="E67" i="20"/>
  <c r="R66" i="20"/>
  <c r="M66" i="20"/>
  <c r="D143" i="20" s="1"/>
  <c r="L66" i="20"/>
  <c r="C143" i="20" s="1"/>
  <c r="K66" i="20"/>
  <c r="B143" i="20" s="1"/>
  <c r="R65" i="20"/>
  <c r="M65" i="20"/>
  <c r="L65" i="20"/>
  <c r="K65" i="20"/>
  <c r="N65" i="20" s="1"/>
  <c r="E65" i="20"/>
  <c r="U142" i="20" s="1"/>
  <c r="R64" i="20"/>
  <c r="M64" i="20"/>
  <c r="L64" i="20"/>
  <c r="K64" i="20"/>
  <c r="R63" i="20"/>
  <c r="M63" i="20"/>
  <c r="L63" i="20"/>
  <c r="K63" i="20"/>
  <c r="E63" i="20"/>
  <c r="R62" i="20"/>
  <c r="M62" i="20"/>
  <c r="L62" i="20"/>
  <c r="C141" i="20" s="1"/>
  <c r="K62" i="20"/>
  <c r="B141" i="20" s="1"/>
  <c r="R61" i="20"/>
  <c r="M61" i="20"/>
  <c r="L61" i="20"/>
  <c r="K61" i="20"/>
  <c r="N61" i="20" s="1"/>
  <c r="E61" i="20"/>
  <c r="S140" i="20" s="1"/>
  <c r="W140" i="20" s="1"/>
  <c r="R60" i="20"/>
  <c r="M60" i="20"/>
  <c r="D140" i="20" s="1"/>
  <c r="L60" i="20"/>
  <c r="C140" i="20" s="1"/>
  <c r="K60" i="20"/>
  <c r="R59" i="20"/>
  <c r="M59" i="20"/>
  <c r="L59" i="20"/>
  <c r="K59" i="20"/>
  <c r="N59" i="20"/>
  <c r="E59" i="20"/>
  <c r="R58" i="20"/>
  <c r="M58" i="20"/>
  <c r="L58" i="20"/>
  <c r="K58" i="20"/>
  <c r="N58" i="20"/>
  <c r="R57" i="20"/>
  <c r="M57" i="20"/>
  <c r="L57" i="20"/>
  <c r="K57" i="20"/>
  <c r="E57" i="20"/>
  <c r="S138" i="20" s="1"/>
  <c r="R56" i="20"/>
  <c r="M56" i="20"/>
  <c r="L56" i="20"/>
  <c r="K56" i="20"/>
  <c r="N56" i="20"/>
  <c r="R55" i="20"/>
  <c r="M55" i="20"/>
  <c r="L55" i="20"/>
  <c r="K55" i="20"/>
  <c r="N55" i="20" s="1"/>
  <c r="E55" i="20"/>
  <c r="R54" i="20"/>
  <c r="M54" i="20"/>
  <c r="D137" i="20" s="1"/>
  <c r="L54" i="20"/>
  <c r="C137" i="20" s="1"/>
  <c r="K54" i="20"/>
  <c r="R53" i="20"/>
  <c r="M53" i="20"/>
  <c r="L53" i="20"/>
  <c r="K53" i="20"/>
  <c r="N53" i="20" s="1"/>
  <c r="R52" i="20"/>
  <c r="M52" i="20"/>
  <c r="D136" i="20" s="1"/>
  <c r="L52" i="20"/>
  <c r="K52" i="20"/>
  <c r="R51" i="20"/>
  <c r="M51" i="20"/>
  <c r="L51" i="20"/>
  <c r="N51" i="20"/>
  <c r="K51" i="20"/>
  <c r="R50" i="20"/>
  <c r="M50" i="20"/>
  <c r="L50" i="20"/>
  <c r="C135" i="20" s="1"/>
  <c r="K50" i="20"/>
  <c r="N50" i="20"/>
  <c r="R49" i="20"/>
  <c r="N49" i="20"/>
  <c r="M49" i="20"/>
  <c r="L49" i="20"/>
  <c r="K49" i="20"/>
  <c r="E49" i="20"/>
  <c r="S134" i="20" s="1"/>
  <c r="R48" i="20"/>
  <c r="M48" i="20"/>
  <c r="L48" i="20"/>
  <c r="N48" i="20"/>
  <c r="K48" i="20"/>
  <c r="B134" i="20" s="1"/>
  <c r="R47" i="20"/>
  <c r="M47" i="20"/>
  <c r="L47" i="20"/>
  <c r="K47" i="20"/>
  <c r="B133" i="20" s="1"/>
  <c r="N47" i="20"/>
  <c r="R46" i="20"/>
  <c r="N46" i="20"/>
  <c r="M46" i="20"/>
  <c r="D133" i="20" s="1"/>
  <c r="L46" i="20"/>
  <c r="C133" i="20" s="1"/>
  <c r="K46" i="20"/>
  <c r="R45" i="20"/>
  <c r="M45" i="20"/>
  <c r="L45" i="20"/>
  <c r="K45" i="20"/>
  <c r="N45" i="20"/>
  <c r="R44" i="20"/>
  <c r="M44" i="20"/>
  <c r="D132" i="20" s="1"/>
  <c r="L44" i="20"/>
  <c r="C132" i="20" s="1"/>
  <c r="K44" i="20"/>
  <c r="B132" i="20" s="1"/>
  <c r="R43" i="20"/>
  <c r="M43" i="20"/>
  <c r="L43" i="20"/>
  <c r="K43" i="20"/>
  <c r="N43" i="20" s="1"/>
  <c r="E43" i="20"/>
  <c r="R42" i="20"/>
  <c r="L131" i="20" s="1"/>
  <c r="M42" i="20"/>
  <c r="D131" i="20" s="1"/>
  <c r="L42" i="20"/>
  <c r="K42" i="20"/>
  <c r="N42" i="20"/>
  <c r="R41" i="20"/>
  <c r="M41" i="20"/>
  <c r="L41" i="20"/>
  <c r="K41" i="20"/>
  <c r="R40" i="20"/>
  <c r="M40" i="20"/>
  <c r="L40" i="20"/>
  <c r="C130" i="20" s="1"/>
  <c r="K40" i="20"/>
  <c r="R39" i="20"/>
  <c r="M39" i="20"/>
  <c r="L39" i="20"/>
  <c r="K39" i="20"/>
  <c r="N39" i="20" s="1"/>
  <c r="R38" i="20"/>
  <c r="M38" i="20"/>
  <c r="D129" i="20" s="1"/>
  <c r="L38" i="20"/>
  <c r="K38" i="20"/>
  <c r="B129" i="20" s="1"/>
  <c r="R37" i="20"/>
  <c r="M37" i="20"/>
  <c r="L37" i="20"/>
  <c r="N37" i="20"/>
  <c r="K37" i="20"/>
  <c r="E37" i="20"/>
  <c r="R36" i="20"/>
  <c r="M36" i="20"/>
  <c r="L36" i="20"/>
  <c r="K36" i="20"/>
  <c r="N36" i="20" s="1"/>
  <c r="R35" i="20"/>
  <c r="M35" i="20"/>
  <c r="L35" i="20"/>
  <c r="K35" i="20"/>
  <c r="R34" i="20"/>
  <c r="L127" i="20" s="1"/>
  <c r="M34" i="20"/>
  <c r="L34" i="20"/>
  <c r="N34" i="20"/>
  <c r="K34" i="20"/>
  <c r="B127" i="20" s="1"/>
  <c r="R33" i="20"/>
  <c r="M33" i="20"/>
  <c r="L33" i="20"/>
  <c r="K33" i="20"/>
  <c r="N33" i="20"/>
  <c r="R32" i="20"/>
  <c r="N32" i="20"/>
  <c r="M32" i="20"/>
  <c r="D126" i="20" s="1"/>
  <c r="L32" i="20"/>
  <c r="C126" i="20" s="1"/>
  <c r="K32" i="20"/>
  <c r="R31" i="20"/>
  <c r="M31" i="20"/>
  <c r="L31" i="20"/>
  <c r="K31" i="20"/>
  <c r="N31" i="20"/>
  <c r="R30" i="20"/>
  <c r="M30" i="20"/>
  <c r="D125" i="20" s="1"/>
  <c r="L30" i="20"/>
  <c r="K30" i="20"/>
  <c r="B125" i="20" s="1"/>
  <c r="R29" i="20"/>
  <c r="M29" i="20"/>
  <c r="L29" i="20"/>
  <c r="K29" i="20"/>
  <c r="B124" i="20" s="1"/>
  <c r="R28" i="20"/>
  <c r="M28" i="20"/>
  <c r="D124" i="20" s="1"/>
  <c r="L28" i="20"/>
  <c r="K28" i="20"/>
  <c r="N28" i="20" s="1"/>
  <c r="R27" i="20"/>
  <c r="M27" i="20"/>
  <c r="L27" i="20"/>
  <c r="N27" i="20" s="1"/>
  <c r="K27" i="20"/>
  <c r="E27" i="20"/>
  <c r="R26" i="20"/>
  <c r="M26" i="20"/>
  <c r="L26" i="20"/>
  <c r="K26" i="20"/>
  <c r="B123" i="20" s="1"/>
  <c r="R25" i="20"/>
  <c r="M25" i="20"/>
  <c r="L25" i="20"/>
  <c r="K25" i="20"/>
  <c r="N25" i="20" s="1"/>
  <c r="R24" i="20"/>
  <c r="M24" i="20"/>
  <c r="D122" i="20" s="1"/>
  <c r="L24" i="20"/>
  <c r="N24" i="20" s="1"/>
  <c r="K24" i="20"/>
  <c r="B122" i="20" s="1"/>
  <c r="R23" i="20"/>
  <c r="M23" i="20"/>
  <c r="L23" i="20"/>
  <c r="K23" i="20"/>
  <c r="N23" i="20" s="1"/>
  <c r="R22" i="20"/>
  <c r="L121" i="20" s="1"/>
  <c r="M22" i="20"/>
  <c r="L22" i="20"/>
  <c r="C121" i="20" s="1"/>
  <c r="K22" i="20"/>
  <c r="N22" i="20"/>
  <c r="R21" i="20"/>
  <c r="M21" i="20"/>
  <c r="L21" i="20"/>
  <c r="N21" i="20" s="1"/>
  <c r="K21" i="20"/>
  <c r="R20" i="20"/>
  <c r="M20" i="20"/>
  <c r="D120" i="20" s="1"/>
  <c r="L20" i="20"/>
  <c r="K20" i="20"/>
  <c r="N20" i="20"/>
  <c r="R19" i="20"/>
  <c r="M19" i="20"/>
  <c r="L19" i="20"/>
  <c r="K19" i="20"/>
  <c r="N19" i="20" s="1"/>
  <c r="R18" i="20"/>
  <c r="L119" i="20" s="1"/>
  <c r="M18" i="20"/>
  <c r="L18" i="20"/>
  <c r="C119" i="20" s="1"/>
  <c r="K18" i="20"/>
  <c r="B119" i="20" s="1"/>
  <c r="R17" i="20"/>
  <c r="M17" i="20"/>
  <c r="L17" i="20"/>
  <c r="K17" i="20"/>
  <c r="N17" i="20" s="1"/>
  <c r="E17" i="20"/>
  <c r="R16" i="20"/>
  <c r="M16" i="20"/>
  <c r="D118" i="20" s="1"/>
  <c r="L16" i="20"/>
  <c r="C118" i="20" s="1"/>
  <c r="K16" i="20"/>
  <c r="B118" i="20" s="1"/>
  <c r="R15" i="20"/>
  <c r="M15" i="20"/>
  <c r="N15" i="20"/>
  <c r="L15" i="20"/>
  <c r="K15" i="20"/>
  <c r="R14" i="20"/>
  <c r="H117" i="20" s="1"/>
  <c r="M14" i="20"/>
  <c r="D117" i="20" s="1"/>
  <c r="L14" i="20"/>
  <c r="K14" i="20"/>
  <c r="N14" i="20" s="1"/>
  <c r="R13" i="20"/>
  <c r="M13" i="20"/>
  <c r="D116" i="20" s="1"/>
  <c r="L13" i="20"/>
  <c r="K13" i="20"/>
  <c r="R12" i="20"/>
  <c r="M12" i="20"/>
  <c r="L12" i="20"/>
  <c r="N12" i="20"/>
  <c r="K12" i="20"/>
  <c r="B116" i="20" s="1"/>
  <c r="R11" i="20"/>
  <c r="H115" i="20" s="1"/>
  <c r="M11" i="20"/>
  <c r="L11" i="20"/>
  <c r="K11" i="20"/>
  <c r="N11" i="20"/>
  <c r="R10" i="20"/>
  <c r="M10" i="20"/>
  <c r="D115" i="20" s="1"/>
  <c r="L10" i="20"/>
  <c r="C115" i="20" s="1"/>
  <c r="K10" i="20"/>
  <c r="R9" i="20"/>
  <c r="M9" i="20"/>
  <c r="L9" i="20"/>
  <c r="K9" i="20"/>
  <c r="N9" i="20"/>
  <c r="R8" i="20"/>
  <c r="M8" i="20"/>
  <c r="D114" i="20" s="1"/>
  <c r="L8" i="20"/>
  <c r="C114" i="20" s="1"/>
  <c r="K8" i="20"/>
  <c r="R7" i="20"/>
  <c r="L113" i="20" s="1"/>
  <c r="M7" i="20"/>
  <c r="D113" i="20" s="1"/>
  <c r="L7" i="20"/>
  <c r="C113" i="20" s="1"/>
  <c r="K7" i="20"/>
  <c r="B113" i="20" s="1"/>
  <c r="E7" i="20"/>
  <c r="U97" i="28"/>
  <c r="U90" i="34"/>
  <c r="T90" i="34"/>
  <c r="S90" i="34"/>
  <c r="W90" i="34" s="1"/>
  <c r="E61" i="28"/>
  <c r="S97" i="28" s="1"/>
  <c r="T97" i="28"/>
  <c r="R61" i="28"/>
  <c r="M61" i="28"/>
  <c r="L61" i="28"/>
  <c r="K61" i="28"/>
  <c r="N61" i="28" s="1"/>
  <c r="E56" i="38"/>
  <c r="U92" i="38"/>
  <c r="R56" i="38"/>
  <c r="R55" i="38"/>
  <c r="K56" i="38"/>
  <c r="L56" i="38"/>
  <c r="M56" i="38"/>
  <c r="K55" i="38"/>
  <c r="B92" i="38" s="1"/>
  <c r="L55" i="38"/>
  <c r="M55" i="38"/>
  <c r="U121" i="35"/>
  <c r="E84" i="35"/>
  <c r="T121" i="35"/>
  <c r="R82" i="35"/>
  <c r="J121" i="35" s="1"/>
  <c r="K82" i="35"/>
  <c r="L82" i="35"/>
  <c r="N82" i="35"/>
  <c r="M82" i="35"/>
  <c r="D121" i="35"/>
  <c r="R83" i="35"/>
  <c r="R84" i="35"/>
  <c r="K83" i="35"/>
  <c r="L83" i="35"/>
  <c r="M83" i="35"/>
  <c r="B91" i="32"/>
  <c r="L91" i="32"/>
  <c r="S91" i="32"/>
  <c r="T91" i="32"/>
  <c r="U90" i="32"/>
  <c r="T90" i="32"/>
  <c r="W90" i="32" s="1"/>
  <c r="S90" i="32"/>
  <c r="E56" i="32"/>
  <c r="U91" i="32" s="1"/>
  <c r="R54" i="32"/>
  <c r="K54" i="32"/>
  <c r="L54" i="32"/>
  <c r="N54" i="32" s="1"/>
  <c r="M54" i="32"/>
  <c r="E54" i="32"/>
  <c r="K52" i="32"/>
  <c r="E51" i="32"/>
  <c r="S89" i="32" s="1"/>
  <c r="L60" i="29"/>
  <c r="N60" i="29" s="1"/>
  <c r="M60" i="29"/>
  <c r="U134" i="6"/>
  <c r="R86" i="6"/>
  <c r="U196" i="10"/>
  <c r="T196" i="10"/>
  <c r="S196" i="10"/>
  <c r="N201" i="10"/>
  <c r="R132" i="10"/>
  <c r="M132" i="10"/>
  <c r="L132" i="10"/>
  <c r="K132" i="10"/>
  <c r="R54" i="38"/>
  <c r="K53" i="38"/>
  <c r="K54" i="38"/>
  <c r="L54" i="38"/>
  <c r="M54" i="38"/>
  <c r="R53" i="38"/>
  <c r="L53" i="38"/>
  <c r="M53" i="38"/>
  <c r="K52" i="38"/>
  <c r="L52" i="38"/>
  <c r="M52" i="38"/>
  <c r="R52" i="38"/>
  <c r="J92" i="38" s="1"/>
  <c r="U95" i="37"/>
  <c r="T95" i="37"/>
  <c r="S95" i="37"/>
  <c r="W95" i="37" s="1"/>
  <c r="L95" i="37"/>
  <c r="R59" i="37"/>
  <c r="H95" i="37" s="1"/>
  <c r="R60" i="37"/>
  <c r="M60" i="37"/>
  <c r="K60" i="37"/>
  <c r="L60" i="37"/>
  <c r="K59" i="37"/>
  <c r="L59" i="37"/>
  <c r="M59" i="37"/>
  <c r="D95" i="37"/>
  <c r="E66" i="36"/>
  <c r="R66" i="36"/>
  <c r="R65" i="36"/>
  <c r="L66" i="36"/>
  <c r="K66" i="36"/>
  <c r="M66" i="36"/>
  <c r="K65" i="36"/>
  <c r="L65" i="36"/>
  <c r="M65" i="36"/>
  <c r="D109" i="36" s="1"/>
  <c r="K84" i="35"/>
  <c r="L84" i="35"/>
  <c r="M84" i="35"/>
  <c r="R81" i="35"/>
  <c r="M81" i="35"/>
  <c r="L81" i="35"/>
  <c r="K81" i="35"/>
  <c r="B90" i="34"/>
  <c r="R55" i="34"/>
  <c r="M55" i="34"/>
  <c r="L55" i="34"/>
  <c r="C90" i="34" s="1"/>
  <c r="K55" i="34"/>
  <c r="N55" i="34" s="1"/>
  <c r="R54" i="34"/>
  <c r="M54" i="34"/>
  <c r="D90" i="34"/>
  <c r="L54" i="34"/>
  <c r="K54" i="34"/>
  <c r="U90" i="33"/>
  <c r="T90" i="33"/>
  <c r="S90" i="33"/>
  <c r="R53" i="33"/>
  <c r="M53" i="33"/>
  <c r="L53" i="33"/>
  <c r="C90" i="33" s="1"/>
  <c r="K53" i="33"/>
  <c r="N53" i="33" s="1"/>
  <c r="R52" i="33"/>
  <c r="J90" i="33" s="1"/>
  <c r="M52" i="33"/>
  <c r="L52" i="33"/>
  <c r="K52" i="33"/>
  <c r="R55" i="32"/>
  <c r="H91" i="32" s="1"/>
  <c r="R56" i="32"/>
  <c r="K56" i="32"/>
  <c r="L56" i="32"/>
  <c r="M56" i="32"/>
  <c r="K55" i="32"/>
  <c r="L55" i="32"/>
  <c r="M55" i="32"/>
  <c r="D91" i="32" s="1"/>
  <c r="U86" i="31"/>
  <c r="T86" i="31"/>
  <c r="S86" i="31"/>
  <c r="W86" i="31"/>
  <c r="R50" i="31"/>
  <c r="M50" i="31"/>
  <c r="L50" i="31"/>
  <c r="C86" i="31"/>
  <c r="K50" i="31"/>
  <c r="N50" i="31" s="1"/>
  <c r="R49" i="31"/>
  <c r="L86" i="31" s="1"/>
  <c r="M49" i="31"/>
  <c r="N49" i="31" s="1"/>
  <c r="L49" i="31"/>
  <c r="K49" i="31"/>
  <c r="E60" i="29"/>
  <c r="S95" i="29" s="1"/>
  <c r="R58" i="29"/>
  <c r="K58" i="29"/>
  <c r="B95" i="29" s="1"/>
  <c r="L58" i="29"/>
  <c r="M58" i="29"/>
  <c r="R60" i="29"/>
  <c r="K60" i="29"/>
  <c r="R59" i="29"/>
  <c r="K59" i="29"/>
  <c r="L59" i="29"/>
  <c r="N59" i="29" s="1"/>
  <c r="M59" i="29"/>
  <c r="E57" i="29"/>
  <c r="E87" i="6"/>
  <c r="U135" i="6" s="1"/>
  <c r="R87" i="6"/>
  <c r="K87" i="6"/>
  <c r="L87" i="6"/>
  <c r="M87" i="6"/>
  <c r="K86" i="6"/>
  <c r="L86" i="6"/>
  <c r="M86" i="6"/>
  <c r="K85" i="6"/>
  <c r="L85" i="6"/>
  <c r="R85" i="6"/>
  <c r="M85" i="6"/>
  <c r="U74" i="30"/>
  <c r="T74" i="30"/>
  <c r="S74" i="30"/>
  <c r="W74" i="30"/>
  <c r="L74" i="30"/>
  <c r="E38" i="30"/>
  <c r="R37" i="30"/>
  <c r="R38" i="30"/>
  <c r="J74" i="30" s="1"/>
  <c r="K38" i="30"/>
  <c r="B74" i="30"/>
  <c r="L38" i="30"/>
  <c r="C74" i="30"/>
  <c r="M38" i="30"/>
  <c r="K37" i="30"/>
  <c r="L37" i="30"/>
  <c r="M37" i="30"/>
  <c r="D74" i="30" s="1"/>
  <c r="N37" i="30"/>
  <c r="H181" i="24"/>
  <c r="R131" i="10"/>
  <c r="K131" i="10"/>
  <c r="B202" i="10" s="1"/>
  <c r="L131" i="10"/>
  <c r="N131" i="10"/>
  <c r="M131" i="10"/>
  <c r="T193" i="22"/>
  <c r="U193" i="22"/>
  <c r="S193" i="22"/>
  <c r="L193" i="22"/>
  <c r="B193" i="22"/>
  <c r="E193" i="22" s="1"/>
  <c r="W193" i="22"/>
  <c r="E126" i="22"/>
  <c r="R126" i="22"/>
  <c r="K126" i="22"/>
  <c r="L126" i="22"/>
  <c r="M126" i="22"/>
  <c r="D193" i="22" s="1"/>
  <c r="N126" i="22"/>
  <c r="K125" i="22"/>
  <c r="L125" i="22"/>
  <c r="C193" i="22" s="1"/>
  <c r="M125" i="22"/>
  <c r="R125" i="22"/>
  <c r="H193" i="22" s="1"/>
  <c r="U182" i="23"/>
  <c r="T182" i="23"/>
  <c r="S182" i="23"/>
  <c r="W182" i="23" s="1"/>
  <c r="L182" i="23"/>
  <c r="J182" i="23"/>
  <c r="B182" i="23"/>
  <c r="R116" i="23"/>
  <c r="H182" i="23" s="1"/>
  <c r="R115" i="23"/>
  <c r="C182" i="23"/>
  <c r="D182" i="23"/>
  <c r="U181" i="24"/>
  <c r="T181" i="24"/>
  <c r="S181" i="24"/>
  <c r="J181" i="24"/>
  <c r="N181" i="24"/>
  <c r="D181" i="24"/>
  <c r="W181" i="24"/>
  <c r="R115" i="24"/>
  <c r="M115" i="24"/>
  <c r="N115" i="24" s="1"/>
  <c r="L115" i="24"/>
  <c r="K115" i="24"/>
  <c r="R114" i="24"/>
  <c r="L181" i="24" s="1"/>
  <c r="M114" i="24"/>
  <c r="L114" i="24"/>
  <c r="C181" i="24" s="1"/>
  <c r="K114" i="24"/>
  <c r="B181" i="24" s="1"/>
  <c r="N114" i="24"/>
  <c r="U181" i="25"/>
  <c r="T181" i="25"/>
  <c r="W181" i="25" s="1"/>
  <c r="S181" i="25"/>
  <c r="D181" i="25"/>
  <c r="E181" i="25" s="1"/>
  <c r="C181" i="25"/>
  <c r="R114" i="25"/>
  <c r="L181" i="25" s="1"/>
  <c r="R115" i="25"/>
  <c r="K115" i="25"/>
  <c r="L115" i="25"/>
  <c r="M115" i="25"/>
  <c r="N115" i="25"/>
  <c r="K114" i="25"/>
  <c r="B181" i="25" s="1"/>
  <c r="L114" i="25"/>
  <c r="M114" i="25"/>
  <c r="N114" i="25" s="1"/>
  <c r="U144" i="26"/>
  <c r="T144" i="26"/>
  <c r="S144" i="26"/>
  <c r="W144" i="26" s="1"/>
  <c r="L144" i="26"/>
  <c r="H144" i="26"/>
  <c r="N144" i="26" s="1"/>
  <c r="R79" i="26"/>
  <c r="R78" i="26"/>
  <c r="J144" i="26" s="1"/>
  <c r="K79" i="26"/>
  <c r="L79" i="26"/>
  <c r="M79" i="26"/>
  <c r="D144" i="26" s="1"/>
  <c r="N79" i="26"/>
  <c r="K78" i="26"/>
  <c r="N78" i="26" s="1"/>
  <c r="L78" i="26"/>
  <c r="C144" i="26" s="1"/>
  <c r="M78" i="26"/>
  <c r="E85" i="16"/>
  <c r="R83" i="16"/>
  <c r="R84" i="16"/>
  <c r="R85" i="16"/>
  <c r="K83" i="16"/>
  <c r="L83" i="16"/>
  <c r="M83" i="16"/>
  <c r="K84" i="16"/>
  <c r="L84" i="16"/>
  <c r="M84" i="16"/>
  <c r="K85" i="16"/>
  <c r="L85" i="16"/>
  <c r="M85" i="16"/>
  <c r="T183" i="17"/>
  <c r="S183" i="17"/>
  <c r="L183" i="17"/>
  <c r="E117" i="17"/>
  <c r="U183" i="17" s="1"/>
  <c r="R117" i="17"/>
  <c r="N117" i="17"/>
  <c r="R116" i="17"/>
  <c r="K116" i="17"/>
  <c r="B183" i="17"/>
  <c r="L116" i="17"/>
  <c r="C183" i="17" s="1"/>
  <c r="M116" i="17"/>
  <c r="D183" i="17" s="1"/>
  <c r="S183" i="18"/>
  <c r="U185" i="18"/>
  <c r="T185" i="18"/>
  <c r="S185" i="18"/>
  <c r="C185" i="18"/>
  <c r="R108" i="18"/>
  <c r="R118" i="18"/>
  <c r="R117" i="18"/>
  <c r="L185" i="18" s="1"/>
  <c r="K118" i="18"/>
  <c r="L118" i="18"/>
  <c r="M118" i="18"/>
  <c r="D185" i="18" s="1"/>
  <c r="N118" i="18"/>
  <c r="K117" i="18"/>
  <c r="N117" i="18" s="1"/>
  <c r="L117" i="18"/>
  <c r="M117" i="18"/>
  <c r="U186" i="19"/>
  <c r="T186" i="19"/>
  <c r="S186" i="19"/>
  <c r="D186" i="19"/>
  <c r="R120" i="19"/>
  <c r="R119" i="19"/>
  <c r="K120" i="19"/>
  <c r="L120" i="19"/>
  <c r="N120" i="19" s="1"/>
  <c r="M120" i="19"/>
  <c r="K119" i="19"/>
  <c r="B186" i="19" s="1"/>
  <c r="L119" i="19"/>
  <c r="C186" i="19" s="1"/>
  <c r="E186" i="19" s="1"/>
  <c r="N119" i="19"/>
  <c r="M119" i="19"/>
  <c r="S185" i="19"/>
  <c r="L181" i="21"/>
  <c r="U181" i="21"/>
  <c r="E115" i="21"/>
  <c r="R115" i="21"/>
  <c r="K115" i="21"/>
  <c r="L115" i="21"/>
  <c r="M115" i="21"/>
  <c r="D181" i="21" s="1"/>
  <c r="R114" i="21"/>
  <c r="H181" i="21" s="1"/>
  <c r="K114" i="21"/>
  <c r="B181" i="21" s="1"/>
  <c r="L114" i="21"/>
  <c r="M114" i="21"/>
  <c r="W197" i="9"/>
  <c r="U197" i="9"/>
  <c r="U193" i="9"/>
  <c r="T197" i="9"/>
  <c r="T193" i="9"/>
  <c r="S193" i="9"/>
  <c r="R130" i="9"/>
  <c r="R131" i="9"/>
  <c r="J197" i="9" s="1"/>
  <c r="K131" i="9"/>
  <c r="L131" i="9"/>
  <c r="M131" i="9"/>
  <c r="K130" i="9"/>
  <c r="L130" i="9"/>
  <c r="M130" i="9"/>
  <c r="D197" i="9" s="1"/>
  <c r="U185" i="11"/>
  <c r="T185" i="11"/>
  <c r="W185" i="11" s="1"/>
  <c r="S185" i="11"/>
  <c r="D185" i="11"/>
  <c r="B185" i="11"/>
  <c r="R119" i="11"/>
  <c r="J185" i="11" s="1"/>
  <c r="R118" i="11"/>
  <c r="L185" i="11" s="1"/>
  <c r="K119" i="11"/>
  <c r="L119" i="11"/>
  <c r="M119" i="11"/>
  <c r="K118" i="11"/>
  <c r="L118" i="11"/>
  <c r="N118" i="11" s="1"/>
  <c r="M118" i="11"/>
  <c r="S182" i="12"/>
  <c r="W182" i="12"/>
  <c r="T182" i="12"/>
  <c r="R116" i="12"/>
  <c r="R115" i="12"/>
  <c r="L116" i="12"/>
  <c r="K116" i="12"/>
  <c r="M116" i="12"/>
  <c r="K115" i="12"/>
  <c r="B182" i="12" s="1"/>
  <c r="L115" i="12"/>
  <c r="C182" i="12" s="1"/>
  <c r="M115" i="12"/>
  <c r="D182" i="12" s="1"/>
  <c r="E112" i="12"/>
  <c r="E116" i="12"/>
  <c r="U182" i="12" s="1"/>
  <c r="M129" i="13"/>
  <c r="T197" i="13"/>
  <c r="S197" i="13"/>
  <c r="R129" i="13"/>
  <c r="K129" i="13"/>
  <c r="L129" i="13"/>
  <c r="R128" i="13"/>
  <c r="K128" i="13"/>
  <c r="L128" i="13"/>
  <c r="M128" i="13"/>
  <c r="D197" i="13" s="1"/>
  <c r="E129" i="13"/>
  <c r="U197" i="13" s="1"/>
  <c r="M119" i="14"/>
  <c r="E119" i="14"/>
  <c r="L185" i="14" s="1"/>
  <c r="R119" i="14"/>
  <c r="K119" i="14"/>
  <c r="N119" i="14" s="1"/>
  <c r="L119" i="14"/>
  <c r="R118" i="14"/>
  <c r="K118" i="14"/>
  <c r="L118" i="14"/>
  <c r="M118" i="14"/>
  <c r="U193" i="15"/>
  <c r="T193" i="15"/>
  <c r="S193" i="15"/>
  <c r="W193" i="15" s="1"/>
  <c r="C193" i="15"/>
  <c r="R125" i="15"/>
  <c r="R126" i="15"/>
  <c r="K126" i="15"/>
  <c r="M126" i="15"/>
  <c r="D193" i="15" s="1"/>
  <c r="K125" i="15"/>
  <c r="N125" i="15" s="1"/>
  <c r="M125" i="15"/>
  <c r="U191" i="8"/>
  <c r="T191" i="8"/>
  <c r="S191" i="8"/>
  <c r="W191" i="8"/>
  <c r="J191" i="8"/>
  <c r="B191" i="8"/>
  <c r="R123" i="8"/>
  <c r="R122" i="8"/>
  <c r="H191" i="8" s="1"/>
  <c r="K123" i="8"/>
  <c r="L123" i="8"/>
  <c r="M123" i="8"/>
  <c r="K122" i="8"/>
  <c r="L122" i="8"/>
  <c r="M122" i="8"/>
  <c r="D191" i="8" s="1"/>
  <c r="N122" i="8"/>
  <c r="U183" i="7"/>
  <c r="T183" i="7"/>
  <c r="K116" i="7"/>
  <c r="L116" i="7"/>
  <c r="M116" i="7"/>
  <c r="R115" i="7"/>
  <c r="R116" i="7"/>
  <c r="K115" i="7"/>
  <c r="B183" i="7" s="1"/>
  <c r="L115" i="7"/>
  <c r="C183" i="7" s="1"/>
  <c r="M115" i="7"/>
  <c r="E116" i="7"/>
  <c r="S183" i="7" s="1"/>
  <c r="H174" i="2"/>
  <c r="L181" i="12"/>
  <c r="H183" i="5"/>
  <c r="E121" i="1"/>
  <c r="U187" i="1" s="1"/>
  <c r="E115" i="1"/>
  <c r="S185" i="1" s="1"/>
  <c r="S188" i="3"/>
  <c r="T183" i="5"/>
  <c r="U188" i="3"/>
  <c r="T188" i="3"/>
  <c r="E117" i="5"/>
  <c r="S183" i="5" s="1"/>
  <c r="R117" i="5"/>
  <c r="R116" i="5"/>
  <c r="W183" i="5" s="1"/>
  <c r="K117" i="5"/>
  <c r="L117" i="5"/>
  <c r="C183" i="5" s="1"/>
  <c r="M117" i="5"/>
  <c r="K116" i="5"/>
  <c r="B183" i="5" s="1"/>
  <c r="L116" i="5"/>
  <c r="M116" i="5"/>
  <c r="D183" i="5" s="1"/>
  <c r="S187" i="3"/>
  <c r="R121" i="3"/>
  <c r="R120" i="3"/>
  <c r="K121" i="3"/>
  <c r="L121" i="3"/>
  <c r="C188" i="3" s="1"/>
  <c r="M121" i="3"/>
  <c r="M120" i="3"/>
  <c r="L120" i="3"/>
  <c r="K120" i="3"/>
  <c r="S196" i="13"/>
  <c r="R58" i="28"/>
  <c r="R59" i="28"/>
  <c r="R60" i="28"/>
  <c r="M60" i="28"/>
  <c r="L60" i="28"/>
  <c r="K59" i="28"/>
  <c r="N59" i="28" s="1"/>
  <c r="K60" i="28"/>
  <c r="N60" i="28" s="1"/>
  <c r="L59" i="28"/>
  <c r="M59" i="28"/>
  <c r="R57" i="28"/>
  <c r="M57" i="28"/>
  <c r="M58" i="28"/>
  <c r="L57" i="28"/>
  <c r="L58" i="28"/>
  <c r="K57" i="28"/>
  <c r="B97" i="28" s="1"/>
  <c r="K58" i="28"/>
  <c r="L181" i="2"/>
  <c r="S181" i="2"/>
  <c r="E115" i="2"/>
  <c r="U181" i="2"/>
  <c r="R115" i="2"/>
  <c r="K115" i="2"/>
  <c r="N115" i="2" s="1"/>
  <c r="B181" i="2"/>
  <c r="L115" i="2"/>
  <c r="M115" i="2"/>
  <c r="R114" i="2"/>
  <c r="W181" i="2"/>
  <c r="K114" i="2"/>
  <c r="L114" i="2"/>
  <c r="M114" i="2"/>
  <c r="U186" i="1"/>
  <c r="T186" i="1"/>
  <c r="S186" i="1"/>
  <c r="U182" i="1"/>
  <c r="T182" i="1"/>
  <c r="S182" i="1"/>
  <c r="U178" i="1"/>
  <c r="T178" i="1"/>
  <c r="S178" i="1"/>
  <c r="U174" i="1"/>
  <c r="T174" i="1"/>
  <c r="S174" i="1"/>
  <c r="U170" i="1"/>
  <c r="T170" i="1"/>
  <c r="S170" i="1"/>
  <c r="U166" i="1"/>
  <c r="T166" i="1"/>
  <c r="S166" i="1"/>
  <c r="U162" i="1"/>
  <c r="T162" i="1"/>
  <c r="S162" i="1"/>
  <c r="U158" i="1"/>
  <c r="T158" i="1"/>
  <c r="S158" i="1"/>
  <c r="U154" i="1"/>
  <c r="T154" i="1"/>
  <c r="S154" i="1"/>
  <c r="U150" i="1"/>
  <c r="T150" i="1"/>
  <c r="S150" i="1"/>
  <c r="U146" i="1"/>
  <c r="T146" i="1"/>
  <c r="S146" i="1"/>
  <c r="U142" i="1"/>
  <c r="T142" i="1"/>
  <c r="S142" i="1"/>
  <c r="U138" i="1"/>
  <c r="T138" i="1"/>
  <c r="S138" i="1"/>
  <c r="U134" i="1"/>
  <c r="T134" i="1"/>
  <c r="S134" i="1"/>
  <c r="M121" i="1"/>
  <c r="K121" i="1"/>
  <c r="L121" i="1"/>
  <c r="R121" i="1"/>
  <c r="K120" i="1"/>
  <c r="N120" i="1" s="1"/>
  <c r="L120" i="1"/>
  <c r="M120" i="1"/>
  <c r="R118" i="1"/>
  <c r="R119" i="1"/>
  <c r="J187" i="1" s="1"/>
  <c r="M118" i="1"/>
  <c r="M119" i="1"/>
  <c r="L118" i="1"/>
  <c r="C187" i="1" s="1"/>
  <c r="L119" i="1"/>
  <c r="K118" i="1"/>
  <c r="K119" i="1"/>
  <c r="T139" i="22"/>
  <c r="U139" i="22"/>
  <c r="S139" i="22"/>
  <c r="W139" i="22"/>
  <c r="S129" i="23"/>
  <c r="L128" i="23"/>
  <c r="T127" i="25"/>
  <c r="U127" i="25"/>
  <c r="S127" i="25"/>
  <c r="W127" i="25" s="1"/>
  <c r="H127" i="25"/>
  <c r="T129" i="17"/>
  <c r="U129" i="17"/>
  <c r="S129" i="17"/>
  <c r="S130" i="17"/>
  <c r="T131" i="18"/>
  <c r="U131" i="18"/>
  <c r="S131" i="18"/>
  <c r="W131" i="18" s="1"/>
  <c r="C132" i="19"/>
  <c r="T143" i="9"/>
  <c r="U143" i="9"/>
  <c r="S143" i="9"/>
  <c r="B143" i="9"/>
  <c r="T131" i="11"/>
  <c r="S132" i="11"/>
  <c r="J131" i="11"/>
  <c r="H131" i="11"/>
  <c r="S129" i="12"/>
  <c r="T143" i="13"/>
  <c r="U143" i="13"/>
  <c r="S143" i="13"/>
  <c r="W143" i="13" s="1"/>
  <c r="S144" i="13"/>
  <c r="B143" i="13"/>
  <c r="T131" i="14"/>
  <c r="U131" i="14"/>
  <c r="S132" i="14"/>
  <c r="S131" i="14"/>
  <c r="S140" i="15"/>
  <c r="T137" i="8"/>
  <c r="U137" i="8"/>
  <c r="S138" i="8"/>
  <c r="H137" i="8"/>
  <c r="T129" i="7"/>
  <c r="U129" i="7"/>
  <c r="W129" i="7"/>
  <c r="S129" i="7"/>
  <c r="S130" i="7"/>
  <c r="U129" i="5"/>
  <c r="W129" i="5" s="1"/>
  <c r="T129" i="5"/>
  <c r="S129" i="5"/>
  <c r="S130" i="5"/>
  <c r="B129" i="5"/>
  <c r="T134" i="3"/>
  <c r="U134" i="3"/>
  <c r="S134" i="3"/>
  <c r="W134" i="3" s="1"/>
  <c r="S135" i="3"/>
  <c r="S128" i="2"/>
  <c r="T133" i="1"/>
  <c r="U133" i="1"/>
  <c r="S133" i="1"/>
  <c r="R6" i="22"/>
  <c r="L139" i="22" s="1"/>
  <c r="M6" i="22"/>
  <c r="D139" i="22" s="1"/>
  <c r="L6" i="22"/>
  <c r="K6" i="22"/>
  <c r="R7" i="22"/>
  <c r="J139" i="22" s="1"/>
  <c r="M7" i="22"/>
  <c r="L7" i="22"/>
  <c r="K7" i="22"/>
  <c r="N7" i="22"/>
  <c r="E7" i="23"/>
  <c r="R6" i="23"/>
  <c r="H128" i="23" s="1"/>
  <c r="M6" i="23"/>
  <c r="L6" i="23"/>
  <c r="C128" i="23" s="1"/>
  <c r="K6" i="23"/>
  <c r="N6" i="23"/>
  <c r="R7" i="23"/>
  <c r="M7" i="23"/>
  <c r="N7" i="23" s="1"/>
  <c r="L7" i="23"/>
  <c r="K7" i="23"/>
  <c r="O6" i="24"/>
  <c r="S127" i="24" s="1"/>
  <c r="K6" i="24"/>
  <c r="M6" i="24"/>
  <c r="D127" i="24" s="1"/>
  <c r="L6" i="24"/>
  <c r="E7" i="24"/>
  <c r="R7" i="24"/>
  <c r="M7" i="24"/>
  <c r="L7" i="24"/>
  <c r="K7" i="24"/>
  <c r="N7" i="24" s="1"/>
  <c r="R6" i="25"/>
  <c r="L127" i="25" s="1"/>
  <c r="M6" i="25"/>
  <c r="L6" i="25"/>
  <c r="K6" i="25"/>
  <c r="R7" i="25"/>
  <c r="M7" i="25"/>
  <c r="L7" i="25"/>
  <c r="K7" i="25"/>
  <c r="N7" i="25"/>
  <c r="R6" i="17"/>
  <c r="M6" i="17"/>
  <c r="D129" i="17" s="1"/>
  <c r="L6" i="17"/>
  <c r="K6" i="17"/>
  <c r="B129" i="17" s="1"/>
  <c r="R7" i="17"/>
  <c r="M7" i="17"/>
  <c r="L7" i="17"/>
  <c r="N7" i="17" s="1"/>
  <c r="K7" i="17"/>
  <c r="R6" i="18"/>
  <c r="L131" i="18" s="1"/>
  <c r="M6" i="18"/>
  <c r="D131" i="18"/>
  <c r="L6" i="18"/>
  <c r="K6" i="18"/>
  <c r="R7" i="18"/>
  <c r="M7" i="18"/>
  <c r="L7" i="18"/>
  <c r="K7" i="18"/>
  <c r="N7" i="18" s="1"/>
  <c r="K6" i="19"/>
  <c r="E7" i="19"/>
  <c r="R6" i="19"/>
  <c r="M6" i="19"/>
  <c r="R7" i="19"/>
  <c r="M7" i="19"/>
  <c r="L7" i="19"/>
  <c r="K7" i="19"/>
  <c r="N7" i="19" s="1"/>
  <c r="E7" i="21"/>
  <c r="R6" i="21"/>
  <c r="M6" i="21"/>
  <c r="D127" i="21" s="1"/>
  <c r="L6" i="21"/>
  <c r="C127" i="21" s="1"/>
  <c r="K6" i="21"/>
  <c r="R7" i="21"/>
  <c r="M7" i="21"/>
  <c r="L7" i="21"/>
  <c r="K7" i="21"/>
  <c r="B127" i="21"/>
  <c r="N7" i="21"/>
  <c r="R6" i="9"/>
  <c r="M6" i="9"/>
  <c r="D143" i="9" s="1"/>
  <c r="N6" i="9"/>
  <c r="L6" i="9"/>
  <c r="K6" i="9"/>
  <c r="R7" i="9"/>
  <c r="J143" i="9" s="1"/>
  <c r="M7" i="9"/>
  <c r="L7" i="9"/>
  <c r="K7" i="9"/>
  <c r="R6" i="2"/>
  <c r="O6" i="8"/>
  <c r="S137" i="8" s="1"/>
  <c r="W137" i="8" s="1"/>
  <c r="E7" i="10"/>
  <c r="S148" i="10"/>
  <c r="R6" i="10"/>
  <c r="M6" i="10"/>
  <c r="D148" i="10" s="1"/>
  <c r="L6" i="10"/>
  <c r="K6" i="10"/>
  <c r="N6" i="10" s="1"/>
  <c r="R7" i="10"/>
  <c r="J148" i="10"/>
  <c r="M7" i="10"/>
  <c r="N7" i="10"/>
  <c r="L7" i="10"/>
  <c r="K7" i="10"/>
  <c r="E7" i="11"/>
  <c r="S131" i="11" s="1"/>
  <c r="R6" i="11"/>
  <c r="L131" i="11" s="1"/>
  <c r="M6" i="11"/>
  <c r="D131" i="11" s="1"/>
  <c r="L6" i="11"/>
  <c r="C131" i="11" s="1"/>
  <c r="K6" i="11"/>
  <c r="B131" i="11" s="1"/>
  <c r="E131" i="11" s="1"/>
  <c r="N6" i="11"/>
  <c r="R7" i="11"/>
  <c r="M7" i="11"/>
  <c r="L7" i="11"/>
  <c r="K7" i="11"/>
  <c r="N7" i="11" s="1"/>
  <c r="E7" i="12"/>
  <c r="R6" i="12"/>
  <c r="M6" i="12"/>
  <c r="N6" i="12" s="1"/>
  <c r="L6" i="12"/>
  <c r="K6" i="12"/>
  <c r="R7" i="12"/>
  <c r="M7" i="12"/>
  <c r="L7" i="12"/>
  <c r="C128" i="12" s="1"/>
  <c r="K7" i="12"/>
  <c r="N7" i="12" s="1"/>
  <c r="R6" i="13"/>
  <c r="M6" i="13"/>
  <c r="L6" i="13"/>
  <c r="C143" i="13" s="1"/>
  <c r="K6" i="13"/>
  <c r="N6" i="13" s="1"/>
  <c r="R7" i="13"/>
  <c r="M7" i="13"/>
  <c r="D143" i="13" s="1"/>
  <c r="L7" i="13"/>
  <c r="K7" i="13"/>
  <c r="R6" i="14"/>
  <c r="M6" i="14"/>
  <c r="L6" i="14"/>
  <c r="C131" i="14"/>
  <c r="K6" i="14"/>
  <c r="N6" i="14" s="1"/>
  <c r="B131" i="14"/>
  <c r="R7" i="14"/>
  <c r="H131" i="14"/>
  <c r="M7" i="14"/>
  <c r="L7" i="14"/>
  <c r="K7" i="14"/>
  <c r="E7" i="15"/>
  <c r="T139" i="15"/>
  <c r="R6" i="15"/>
  <c r="M6" i="15"/>
  <c r="L6" i="15"/>
  <c r="K6" i="15"/>
  <c r="R7" i="15"/>
  <c r="M7" i="15"/>
  <c r="D139" i="15" s="1"/>
  <c r="L7" i="15"/>
  <c r="N7" i="15" s="1"/>
  <c r="K7" i="15"/>
  <c r="E7" i="8"/>
  <c r="R6" i="8"/>
  <c r="L137" i="8" s="1"/>
  <c r="M6" i="8"/>
  <c r="D137" i="8" s="1"/>
  <c r="L6" i="8"/>
  <c r="C137" i="8" s="1"/>
  <c r="K6" i="8"/>
  <c r="R6" i="7"/>
  <c r="H129" i="7" s="1"/>
  <c r="M6" i="7"/>
  <c r="L6" i="7"/>
  <c r="C129" i="7" s="1"/>
  <c r="K6" i="7"/>
  <c r="B129" i="7" s="1"/>
  <c r="R6" i="5"/>
  <c r="M6" i="5"/>
  <c r="D129" i="5" s="1"/>
  <c r="L6" i="5"/>
  <c r="K6" i="5"/>
  <c r="R6" i="3"/>
  <c r="M6" i="3"/>
  <c r="L6" i="3"/>
  <c r="C134" i="3" s="1"/>
  <c r="K6" i="3"/>
  <c r="R6" i="1"/>
  <c r="M6" i="1"/>
  <c r="L6" i="1"/>
  <c r="K6" i="1"/>
  <c r="M6" i="2"/>
  <c r="L6" i="2"/>
  <c r="K6" i="2"/>
  <c r="K7" i="2"/>
  <c r="E7" i="2"/>
  <c r="T127" i="2" s="1"/>
  <c r="R7" i="8"/>
  <c r="M7" i="8"/>
  <c r="L7" i="8"/>
  <c r="K7" i="8"/>
  <c r="N7" i="8" s="1"/>
  <c r="R7" i="7"/>
  <c r="M7" i="7"/>
  <c r="L7" i="7"/>
  <c r="K7" i="7"/>
  <c r="N7" i="7" s="1"/>
  <c r="R7" i="5"/>
  <c r="M7" i="5"/>
  <c r="L7" i="5"/>
  <c r="K7" i="5"/>
  <c r="N7" i="5" s="1"/>
  <c r="R7" i="3"/>
  <c r="M7" i="3"/>
  <c r="L7" i="3"/>
  <c r="K7" i="3"/>
  <c r="R7" i="2"/>
  <c r="M7" i="2"/>
  <c r="L7" i="2"/>
  <c r="R7" i="1"/>
  <c r="M7" i="1"/>
  <c r="N7" i="1" s="1"/>
  <c r="L7" i="1"/>
  <c r="K7" i="1"/>
  <c r="P65" i="7"/>
  <c r="P64" i="7"/>
  <c r="L151" i="13"/>
  <c r="T151" i="13"/>
  <c r="U151" i="13"/>
  <c r="S151" i="13"/>
  <c r="W151" i="13" s="1"/>
  <c r="K11" i="1"/>
  <c r="T158" i="13"/>
  <c r="U158" i="13"/>
  <c r="S158" i="13"/>
  <c r="N117" i="16"/>
  <c r="R25" i="38"/>
  <c r="M25" i="38"/>
  <c r="L25" i="38"/>
  <c r="K25" i="38"/>
  <c r="N25" i="38" s="1"/>
  <c r="T73" i="37"/>
  <c r="U73" i="37"/>
  <c r="S73" i="37"/>
  <c r="T72" i="37"/>
  <c r="U72" i="37"/>
  <c r="S72" i="37"/>
  <c r="W72" i="37" s="1"/>
  <c r="R44" i="37"/>
  <c r="M44" i="37"/>
  <c r="L44" i="37"/>
  <c r="K44" i="37"/>
  <c r="N44" i="37"/>
  <c r="T80" i="37"/>
  <c r="W80" i="37" s="1"/>
  <c r="U80" i="37"/>
  <c r="S80" i="37"/>
  <c r="R25" i="37"/>
  <c r="M25" i="37"/>
  <c r="L25" i="37"/>
  <c r="K25" i="37"/>
  <c r="N25" i="37" s="1"/>
  <c r="R26" i="37"/>
  <c r="M26" i="37"/>
  <c r="L26" i="37"/>
  <c r="K26" i="37"/>
  <c r="N26" i="37"/>
  <c r="M8" i="37"/>
  <c r="D73" i="37" s="1"/>
  <c r="L8" i="37"/>
  <c r="K8" i="37"/>
  <c r="M7" i="37"/>
  <c r="D72" i="37" s="1"/>
  <c r="L7" i="37"/>
  <c r="C72" i="37"/>
  <c r="K7" i="37"/>
  <c r="B72" i="37"/>
  <c r="M10" i="37"/>
  <c r="M9" i="37"/>
  <c r="L10" i="37"/>
  <c r="L9" i="37"/>
  <c r="L11" i="37"/>
  <c r="R7" i="37"/>
  <c r="J72" i="37" s="1"/>
  <c r="R8" i="37"/>
  <c r="T86" i="36"/>
  <c r="U86" i="36"/>
  <c r="S86" i="36"/>
  <c r="T103" i="36"/>
  <c r="U103" i="36"/>
  <c r="W103" i="36"/>
  <c r="S103" i="36"/>
  <c r="R47" i="36"/>
  <c r="M47" i="36"/>
  <c r="L47" i="36"/>
  <c r="N47" i="36" s="1"/>
  <c r="K47" i="36"/>
  <c r="R46" i="36"/>
  <c r="M46" i="36"/>
  <c r="L46" i="36"/>
  <c r="K46" i="36"/>
  <c r="R45" i="36"/>
  <c r="M45" i="36"/>
  <c r="L45" i="36"/>
  <c r="K45" i="36"/>
  <c r="T117" i="35"/>
  <c r="U117" i="35"/>
  <c r="S117" i="35"/>
  <c r="T115" i="35"/>
  <c r="U115" i="35"/>
  <c r="S115" i="35"/>
  <c r="W115" i="35" s="1"/>
  <c r="T114" i="35"/>
  <c r="U114" i="35"/>
  <c r="S114" i="35"/>
  <c r="T112" i="35"/>
  <c r="U112" i="35"/>
  <c r="S112" i="35"/>
  <c r="T111" i="35"/>
  <c r="U111" i="35"/>
  <c r="S111" i="35"/>
  <c r="W111" i="35" s="1"/>
  <c r="T108" i="35"/>
  <c r="U108" i="35"/>
  <c r="S108" i="35"/>
  <c r="T105" i="35"/>
  <c r="U105" i="35"/>
  <c r="S105" i="35"/>
  <c r="T99" i="35"/>
  <c r="U99" i="35"/>
  <c r="S99" i="35"/>
  <c r="R60" i="35"/>
  <c r="M60" i="35"/>
  <c r="L60" i="35"/>
  <c r="K60" i="35"/>
  <c r="R42" i="35"/>
  <c r="M42" i="35"/>
  <c r="L42" i="35"/>
  <c r="K42" i="35"/>
  <c r="R30" i="35"/>
  <c r="M30" i="35"/>
  <c r="L30" i="35"/>
  <c r="K30" i="35"/>
  <c r="N30" i="35" s="1"/>
  <c r="U107" i="35"/>
  <c r="W107" i="35" s="1"/>
  <c r="T107" i="35"/>
  <c r="S107" i="35"/>
  <c r="U104" i="35"/>
  <c r="T104" i="35"/>
  <c r="W104" i="35"/>
  <c r="S104" i="35"/>
  <c r="R20" i="35"/>
  <c r="M20" i="35"/>
  <c r="L20" i="35"/>
  <c r="K20" i="35"/>
  <c r="L12" i="35"/>
  <c r="M12" i="35"/>
  <c r="T76" i="34"/>
  <c r="U76" i="34"/>
  <c r="S76" i="34"/>
  <c r="R45" i="34"/>
  <c r="R46" i="34"/>
  <c r="R47" i="34"/>
  <c r="R48" i="34"/>
  <c r="J87" i="34"/>
  <c r="R49" i="34"/>
  <c r="L87" i="34" s="1"/>
  <c r="R50" i="34"/>
  <c r="K26" i="34"/>
  <c r="L26" i="34"/>
  <c r="M26" i="34"/>
  <c r="K25" i="34"/>
  <c r="L25" i="34"/>
  <c r="M25" i="34"/>
  <c r="K24" i="34"/>
  <c r="L24" i="34"/>
  <c r="M24" i="34"/>
  <c r="K23" i="34"/>
  <c r="N23" i="34" s="1"/>
  <c r="L23" i="34"/>
  <c r="M23" i="34"/>
  <c r="L22" i="34"/>
  <c r="N22" i="34"/>
  <c r="K22" i="34"/>
  <c r="M22" i="34"/>
  <c r="W77" i="33"/>
  <c r="T70" i="33"/>
  <c r="U70" i="33"/>
  <c r="T71" i="33"/>
  <c r="U71" i="33"/>
  <c r="T72" i="33"/>
  <c r="U72" i="33"/>
  <c r="T73" i="33"/>
  <c r="U73" i="33"/>
  <c r="T74" i="33"/>
  <c r="U74" i="33"/>
  <c r="T75" i="33"/>
  <c r="U75" i="33"/>
  <c r="T76" i="33"/>
  <c r="U76" i="33"/>
  <c r="T77" i="33"/>
  <c r="T78" i="33"/>
  <c r="U78" i="33"/>
  <c r="T79" i="33"/>
  <c r="U79" i="33"/>
  <c r="T80" i="33"/>
  <c r="U80" i="33"/>
  <c r="T81" i="33"/>
  <c r="U81" i="33"/>
  <c r="T82" i="33"/>
  <c r="U82" i="33"/>
  <c r="T83" i="33"/>
  <c r="W83" i="33" s="1"/>
  <c r="U83" i="33"/>
  <c r="T84" i="33"/>
  <c r="U84" i="33"/>
  <c r="U85" i="33"/>
  <c r="T89" i="33"/>
  <c r="U89" i="33"/>
  <c r="S89" i="33"/>
  <c r="W89" i="33" s="1"/>
  <c r="S85" i="33"/>
  <c r="S84" i="33"/>
  <c r="S83" i="33"/>
  <c r="S82" i="33"/>
  <c r="S81" i="33"/>
  <c r="S80" i="33"/>
  <c r="W80" i="33" s="1"/>
  <c r="S79" i="33"/>
  <c r="W79" i="33" s="1"/>
  <c r="S78" i="33"/>
  <c r="W78" i="33" s="1"/>
  <c r="S77" i="33"/>
  <c r="S76" i="33"/>
  <c r="S75" i="33"/>
  <c r="W75" i="33" s="1"/>
  <c r="S74" i="33"/>
  <c r="S73" i="33"/>
  <c r="W73" i="33" s="1"/>
  <c r="S72" i="33"/>
  <c r="S71" i="33"/>
  <c r="S70" i="33"/>
  <c r="W70" i="33" s="1"/>
  <c r="B78" i="33"/>
  <c r="M18" i="33"/>
  <c r="M19" i="33"/>
  <c r="M20" i="33"/>
  <c r="M21" i="33"/>
  <c r="N21" i="33" s="1"/>
  <c r="M22" i="33"/>
  <c r="N22" i="33" s="1"/>
  <c r="M23" i="33"/>
  <c r="M24" i="33"/>
  <c r="M25" i="33"/>
  <c r="D78" i="33" s="1"/>
  <c r="M26" i="33"/>
  <c r="M27" i="33"/>
  <c r="K19" i="33"/>
  <c r="N19" i="33" s="1"/>
  <c r="L19" i="33"/>
  <c r="K20" i="33"/>
  <c r="B76" i="33" s="1"/>
  <c r="L20" i="33"/>
  <c r="K21" i="33"/>
  <c r="L21" i="33"/>
  <c r="K22" i="33"/>
  <c r="L22" i="33"/>
  <c r="K23" i="33"/>
  <c r="L23" i="33"/>
  <c r="K24" i="33"/>
  <c r="N24" i="33" s="1"/>
  <c r="L24" i="33"/>
  <c r="K25" i="33"/>
  <c r="L25" i="33"/>
  <c r="C78" i="33" s="1"/>
  <c r="E78" i="33" s="1"/>
  <c r="K26" i="33"/>
  <c r="L26" i="33"/>
  <c r="N26" i="33" s="1"/>
  <c r="K27" i="33"/>
  <c r="N27" i="33" s="1"/>
  <c r="L27" i="33"/>
  <c r="R19" i="33"/>
  <c r="R20" i="33"/>
  <c r="R21" i="33"/>
  <c r="R22" i="33"/>
  <c r="J76" i="33" s="1"/>
  <c r="L18" i="33"/>
  <c r="K18" i="33"/>
  <c r="N18" i="33" s="1"/>
  <c r="K17" i="33"/>
  <c r="B75" i="33" s="1"/>
  <c r="K16" i="33"/>
  <c r="N16" i="33" s="1"/>
  <c r="L17" i="33"/>
  <c r="C75" i="33" s="1"/>
  <c r="L16" i="33"/>
  <c r="M17" i="33"/>
  <c r="M16" i="33"/>
  <c r="R16" i="33"/>
  <c r="T68" i="32"/>
  <c r="U68" i="32"/>
  <c r="S68" i="32"/>
  <c r="T69" i="32"/>
  <c r="U69" i="32"/>
  <c r="T70" i="32"/>
  <c r="U70" i="32"/>
  <c r="T71" i="32"/>
  <c r="W71" i="32" s="1"/>
  <c r="U71" i="32"/>
  <c r="T72" i="32"/>
  <c r="U72" i="32"/>
  <c r="T73" i="32"/>
  <c r="U73" i="32"/>
  <c r="T74" i="32"/>
  <c r="U74" i="32"/>
  <c r="T75" i="32"/>
  <c r="U75" i="32"/>
  <c r="T76" i="32"/>
  <c r="U76" i="32"/>
  <c r="T77" i="32"/>
  <c r="U77" i="32"/>
  <c r="T78" i="32"/>
  <c r="U78" i="32"/>
  <c r="T79" i="32"/>
  <c r="U79" i="32"/>
  <c r="T80" i="32"/>
  <c r="U80" i="32"/>
  <c r="T81" i="32"/>
  <c r="U81" i="32"/>
  <c r="T82" i="32"/>
  <c r="U82" i="32"/>
  <c r="T83" i="32"/>
  <c r="U83" i="32"/>
  <c r="T84" i="32"/>
  <c r="U84" i="32"/>
  <c r="T85" i="32"/>
  <c r="W85" i="32" s="1"/>
  <c r="U85" i="32"/>
  <c r="T86" i="32"/>
  <c r="U86" i="32"/>
  <c r="T87" i="32"/>
  <c r="U87" i="32"/>
  <c r="T88" i="32"/>
  <c r="W88" i="32" s="1"/>
  <c r="U88" i="32"/>
  <c r="T89" i="32"/>
  <c r="U89" i="32"/>
  <c r="S88" i="32"/>
  <c r="S87" i="32"/>
  <c r="W87" i="32" s="1"/>
  <c r="S86" i="32"/>
  <c r="W86" i="32" s="1"/>
  <c r="S85" i="32"/>
  <c r="S84" i="32"/>
  <c r="W84" i="32" s="1"/>
  <c r="S83" i="32"/>
  <c r="W83" i="32" s="1"/>
  <c r="S82" i="32"/>
  <c r="S81" i="32"/>
  <c r="S80" i="32"/>
  <c r="W80" i="32" s="1"/>
  <c r="S79" i="32"/>
  <c r="W79" i="32" s="1"/>
  <c r="S78" i="32"/>
  <c r="S77" i="32"/>
  <c r="W77" i="32" s="1"/>
  <c r="S76" i="32"/>
  <c r="W76" i="32" s="1"/>
  <c r="S75" i="32"/>
  <c r="W75" i="32" s="1"/>
  <c r="S74" i="32"/>
  <c r="S73" i="32"/>
  <c r="W73" i="32"/>
  <c r="S72" i="32"/>
  <c r="W72" i="32" s="1"/>
  <c r="S71" i="32"/>
  <c r="S70" i="32"/>
  <c r="S69" i="32"/>
  <c r="W69" i="32"/>
  <c r="N20" i="33"/>
  <c r="L42" i="32"/>
  <c r="R7" i="32"/>
  <c r="M7" i="32"/>
  <c r="L7" i="32"/>
  <c r="N7" i="32" s="1"/>
  <c r="K7" i="32"/>
  <c r="J70" i="31"/>
  <c r="L73" i="31"/>
  <c r="H67" i="31"/>
  <c r="T65" i="31"/>
  <c r="U65" i="31"/>
  <c r="W65" i="31" s="1"/>
  <c r="T66" i="31"/>
  <c r="U66" i="31"/>
  <c r="T67" i="31"/>
  <c r="U67" i="31"/>
  <c r="T68" i="31"/>
  <c r="U68" i="31"/>
  <c r="T69" i="31"/>
  <c r="U69" i="31"/>
  <c r="T70" i="31"/>
  <c r="W70" i="31" s="1"/>
  <c r="U70" i="31"/>
  <c r="T71" i="31"/>
  <c r="U71" i="31"/>
  <c r="T72" i="31"/>
  <c r="U72" i="31"/>
  <c r="T73" i="31"/>
  <c r="U73" i="31"/>
  <c r="T74" i="31"/>
  <c r="U74" i="31"/>
  <c r="T75" i="31"/>
  <c r="U75" i="31"/>
  <c r="T76" i="31"/>
  <c r="U76" i="31"/>
  <c r="W76" i="31" s="1"/>
  <c r="T77" i="31"/>
  <c r="U77" i="31"/>
  <c r="T78" i="31"/>
  <c r="U78" i="31"/>
  <c r="T79" i="31"/>
  <c r="U79" i="31"/>
  <c r="T80" i="31"/>
  <c r="U80" i="31"/>
  <c r="T81" i="31"/>
  <c r="U81" i="31"/>
  <c r="T82" i="31"/>
  <c r="U82" i="31"/>
  <c r="T83" i="31"/>
  <c r="U83" i="31"/>
  <c r="T84" i="31"/>
  <c r="W84" i="31" s="1"/>
  <c r="U84" i="31"/>
  <c r="T85" i="31"/>
  <c r="W85" i="31" s="1"/>
  <c r="U85" i="31"/>
  <c r="S85" i="31"/>
  <c r="S84" i="31"/>
  <c r="S83" i="31"/>
  <c r="W83" i="31"/>
  <c r="S82" i="31"/>
  <c r="W82" i="31" s="1"/>
  <c r="S81" i="31"/>
  <c r="S80" i="31"/>
  <c r="W80" i="31" s="1"/>
  <c r="S79" i="31"/>
  <c r="W79" i="31"/>
  <c r="S78" i="31"/>
  <c r="W78" i="31" s="1"/>
  <c r="S77" i="31"/>
  <c r="S76" i="31"/>
  <c r="S75" i="31"/>
  <c r="W75" i="31"/>
  <c r="S74" i="31"/>
  <c r="W74" i="31" s="1"/>
  <c r="S73" i="31"/>
  <c r="S72" i="31"/>
  <c r="W72" i="31" s="1"/>
  <c r="S71" i="31"/>
  <c r="W71" i="31"/>
  <c r="S70" i="31"/>
  <c r="S69" i="31"/>
  <c r="W69" i="31"/>
  <c r="S68" i="31"/>
  <c r="W68" i="31" s="1"/>
  <c r="S67" i="31"/>
  <c r="W67" i="31"/>
  <c r="S66" i="31"/>
  <c r="W66" i="31" s="1"/>
  <c r="S65" i="31"/>
  <c r="R12" i="31"/>
  <c r="J68" i="31"/>
  <c r="R13" i="31"/>
  <c r="R14" i="31"/>
  <c r="R15" i="31"/>
  <c r="R16" i="31"/>
  <c r="R17" i="31"/>
  <c r="L70" i="31" s="1"/>
  <c r="R18" i="31"/>
  <c r="R19" i="31"/>
  <c r="R20" i="31"/>
  <c r="L71" i="31" s="1"/>
  <c r="J71" i="31"/>
  <c r="R21" i="31"/>
  <c r="R22" i="31"/>
  <c r="R23" i="31"/>
  <c r="H73" i="31" s="1"/>
  <c r="R24" i="31"/>
  <c r="J73" i="31" s="1"/>
  <c r="R25" i="31"/>
  <c r="J74" i="31" s="1"/>
  <c r="R26" i="31"/>
  <c r="R27" i="31"/>
  <c r="H75" i="31"/>
  <c r="R28" i="31"/>
  <c r="J75" i="31"/>
  <c r="R29" i="31"/>
  <c r="R8" i="31"/>
  <c r="R9" i="31"/>
  <c r="R10" i="31"/>
  <c r="J67" i="31" s="1"/>
  <c r="R11" i="31"/>
  <c r="R7" i="31"/>
  <c r="J65" i="31"/>
  <c r="T74" i="28"/>
  <c r="U74" i="28"/>
  <c r="S74" i="28"/>
  <c r="T72" i="29"/>
  <c r="U72" i="29"/>
  <c r="S72" i="29"/>
  <c r="T73" i="29"/>
  <c r="U73" i="29"/>
  <c r="T74" i="29"/>
  <c r="U74" i="29"/>
  <c r="T75" i="29"/>
  <c r="U75" i="29"/>
  <c r="T76" i="29"/>
  <c r="U76" i="29"/>
  <c r="T77" i="29"/>
  <c r="U77" i="29"/>
  <c r="T78" i="29"/>
  <c r="U78" i="29"/>
  <c r="T79" i="29"/>
  <c r="U79" i="29"/>
  <c r="T80" i="29"/>
  <c r="U80" i="29"/>
  <c r="T81" i="29"/>
  <c r="U81" i="29"/>
  <c r="T82" i="29"/>
  <c r="U82" i="29"/>
  <c r="T83" i="29"/>
  <c r="U83" i="29"/>
  <c r="T84" i="29"/>
  <c r="U84" i="29"/>
  <c r="T85" i="29"/>
  <c r="U85" i="29"/>
  <c r="T86" i="29"/>
  <c r="U86" i="29"/>
  <c r="T87" i="29"/>
  <c r="U87" i="29"/>
  <c r="T88" i="29"/>
  <c r="U88" i="29"/>
  <c r="T89" i="29"/>
  <c r="U89" i="29"/>
  <c r="T90" i="29"/>
  <c r="U90" i="29"/>
  <c r="T91" i="29"/>
  <c r="U91" i="29"/>
  <c r="T92" i="29"/>
  <c r="U92" i="29"/>
  <c r="T93" i="29"/>
  <c r="U93" i="29"/>
  <c r="S94" i="29"/>
  <c r="S93" i="29"/>
  <c r="W93" i="29" s="1"/>
  <c r="S92" i="29"/>
  <c r="S91" i="29"/>
  <c r="W91" i="29" s="1"/>
  <c r="S90" i="29"/>
  <c r="S89" i="29"/>
  <c r="W89" i="29" s="1"/>
  <c r="S88" i="29"/>
  <c r="S87" i="29"/>
  <c r="S86" i="29"/>
  <c r="S85" i="29"/>
  <c r="W85" i="29" s="1"/>
  <c r="S84" i="29"/>
  <c r="S83" i="29"/>
  <c r="S82" i="29"/>
  <c r="S81" i="29"/>
  <c r="W81" i="29" s="1"/>
  <c r="S80" i="29"/>
  <c r="S79" i="29"/>
  <c r="S78" i="29"/>
  <c r="W78" i="29"/>
  <c r="S77" i="29"/>
  <c r="W77" i="29" s="1"/>
  <c r="S76" i="29"/>
  <c r="S75" i="29"/>
  <c r="S74" i="29"/>
  <c r="S73" i="29"/>
  <c r="R54" i="29"/>
  <c r="M54" i="29"/>
  <c r="L54" i="29"/>
  <c r="C93" i="29" s="1"/>
  <c r="K54" i="29"/>
  <c r="N54" i="29" s="1"/>
  <c r="R41" i="29"/>
  <c r="J87" i="29" s="1"/>
  <c r="M41" i="29"/>
  <c r="L41" i="29"/>
  <c r="K41" i="29"/>
  <c r="R40" i="29"/>
  <c r="M40" i="29"/>
  <c r="L40" i="29"/>
  <c r="C87" i="29" s="1"/>
  <c r="K40" i="29"/>
  <c r="N40" i="29" s="1"/>
  <c r="R35" i="29"/>
  <c r="J85" i="29" s="1"/>
  <c r="M35" i="29"/>
  <c r="L35" i="29"/>
  <c r="K35" i="29"/>
  <c r="R26" i="29"/>
  <c r="M26" i="29"/>
  <c r="L26" i="29"/>
  <c r="K26" i="29"/>
  <c r="N26" i="29" s="1"/>
  <c r="K7" i="29"/>
  <c r="B72" i="29" s="1"/>
  <c r="E72" i="29" s="1"/>
  <c r="L7" i="29"/>
  <c r="C72" i="29" s="1"/>
  <c r="M7" i="29"/>
  <c r="D72" i="29" s="1"/>
  <c r="K8" i="29"/>
  <c r="L8" i="29"/>
  <c r="N8" i="29" s="1"/>
  <c r="M8" i="29"/>
  <c r="D73" i="29" s="1"/>
  <c r="K9" i="29"/>
  <c r="N9" i="29" s="1"/>
  <c r="L9" i="29"/>
  <c r="M9" i="29"/>
  <c r="K10" i="29"/>
  <c r="L10" i="29"/>
  <c r="M10" i="29"/>
  <c r="K11" i="29"/>
  <c r="L11" i="29"/>
  <c r="C74" i="29" s="1"/>
  <c r="M11" i="29"/>
  <c r="K12" i="29"/>
  <c r="B75" i="29" s="1"/>
  <c r="L12" i="29"/>
  <c r="C75" i="29" s="1"/>
  <c r="M12" i="29"/>
  <c r="K13" i="29"/>
  <c r="L13" i="29"/>
  <c r="M13" i="29"/>
  <c r="D75" i="29" s="1"/>
  <c r="K14" i="29"/>
  <c r="L14" i="29"/>
  <c r="C76" i="29" s="1"/>
  <c r="M14" i="29"/>
  <c r="D76" i="29" s="1"/>
  <c r="K15" i="29"/>
  <c r="N15" i="29" s="1"/>
  <c r="L15" i="29"/>
  <c r="M15" i="29"/>
  <c r="K16" i="29"/>
  <c r="L16" i="29"/>
  <c r="M16" i="29"/>
  <c r="K17" i="29"/>
  <c r="B77" i="29" s="1"/>
  <c r="L17" i="29"/>
  <c r="C77" i="29" s="1"/>
  <c r="M17" i="29"/>
  <c r="K18" i="29"/>
  <c r="L18" i="29"/>
  <c r="M18" i="29"/>
  <c r="K19" i="29"/>
  <c r="L19" i="29"/>
  <c r="N19" i="29" s="1"/>
  <c r="M19" i="29"/>
  <c r="D78" i="29" s="1"/>
  <c r="K20" i="29"/>
  <c r="B79" i="29" s="1"/>
  <c r="L20" i="29"/>
  <c r="C79" i="29" s="1"/>
  <c r="M20" i="29"/>
  <c r="K21" i="29"/>
  <c r="N21" i="29" s="1"/>
  <c r="L21" i="29"/>
  <c r="M21" i="29"/>
  <c r="K22" i="29"/>
  <c r="L22" i="29"/>
  <c r="C80" i="29" s="1"/>
  <c r="M22" i="29"/>
  <c r="D80" i="29" s="1"/>
  <c r="K23" i="29"/>
  <c r="N23" i="29" s="1"/>
  <c r="L23" i="29"/>
  <c r="M23" i="29"/>
  <c r="K24" i="29"/>
  <c r="L24" i="29"/>
  <c r="M24" i="29"/>
  <c r="K25" i="29"/>
  <c r="L25" i="29"/>
  <c r="M25" i="29"/>
  <c r="D81" i="29" s="1"/>
  <c r="K27" i="29"/>
  <c r="L27" i="29"/>
  <c r="M27" i="29"/>
  <c r="K28" i="29"/>
  <c r="L28" i="29"/>
  <c r="N28" i="29" s="1"/>
  <c r="C82" i="29"/>
  <c r="M28" i="29"/>
  <c r="K29" i="29"/>
  <c r="B82" i="29" s="1"/>
  <c r="E82" i="29" s="1"/>
  <c r="L29" i="29"/>
  <c r="M29" i="29"/>
  <c r="K30" i="29"/>
  <c r="L30" i="29"/>
  <c r="M30" i="29"/>
  <c r="D83" i="29" s="1"/>
  <c r="K31" i="29"/>
  <c r="N31" i="29" s="1"/>
  <c r="L31" i="29"/>
  <c r="M31" i="29"/>
  <c r="K32" i="29"/>
  <c r="L32" i="29"/>
  <c r="M32" i="29"/>
  <c r="K33" i="29"/>
  <c r="L33" i="29"/>
  <c r="M33" i="29"/>
  <c r="D84" i="29" s="1"/>
  <c r="K34" i="29"/>
  <c r="B85" i="29" s="1"/>
  <c r="L34" i="29"/>
  <c r="C85" i="29" s="1"/>
  <c r="E85" i="29" s="1"/>
  <c r="M34" i="29"/>
  <c r="K36" i="29"/>
  <c r="L36" i="29"/>
  <c r="M36" i="29"/>
  <c r="K37" i="29"/>
  <c r="N37" i="29" s="1"/>
  <c r="L37" i="29"/>
  <c r="C86" i="29" s="1"/>
  <c r="M37" i="29"/>
  <c r="D86" i="29" s="1"/>
  <c r="R23" i="29"/>
  <c r="L80" i="29" s="1"/>
  <c r="E12" i="35"/>
  <c r="M25" i="36"/>
  <c r="L20" i="36"/>
  <c r="L21" i="36"/>
  <c r="L22" i="36"/>
  <c r="L23" i="36"/>
  <c r="L24" i="36"/>
  <c r="L25" i="36"/>
  <c r="L26" i="36"/>
  <c r="L27" i="36"/>
  <c r="L28" i="36"/>
  <c r="L29" i="36"/>
  <c r="L30" i="36"/>
  <c r="L31" i="36"/>
  <c r="L32" i="36"/>
  <c r="L33" i="36"/>
  <c r="L34" i="36"/>
  <c r="L35" i="36"/>
  <c r="C99" i="36" s="1"/>
  <c r="L36" i="36"/>
  <c r="K19" i="36"/>
  <c r="K20" i="36"/>
  <c r="K21" i="36"/>
  <c r="K22" i="36"/>
  <c r="K23" i="36"/>
  <c r="K24" i="36"/>
  <c r="K25" i="36"/>
  <c r="K26" i="36"/>
  <c r="K27" i="36"/>
  <c r="K28" i="36"/>
  <c r="K29" i="36"/>
  <c r="K30" i="36"/>
  <c r="B97" i="36"/>
  <c r="K31" i="36"/>
  <c r="K32" i="36"/>
  <c r="K33" i="36"/>
  <c r="K34" i="36"/>
  <c r="K35" i="36"/>
  <c r="K36" i="36"/>
  <c r="M20" i="36"/>
  <c r="W73" i="37"/>
  <c r="T74" i="37"/>
  <c r="U74" i="37"/>
  <c r="S74" i="37"/>
  <c r="K10" i="37"/>
  <c r="N10" i="37" s="1"/>
  <c r="K9" i="37"/>
  <c r="N9" i="37"/>
  <c r="R9" i="37"/>
  <c r="T72" i="38"/>
  <c r="U72" i="38"/>
  <c r="S72" i="38"/>
  <c r="R49" i="35"/>
  <c r="R50" i="35"/>
  <c r="R51" i="35"/>
  <c r="R52" i="35"/>
  <c r="L113" i="35" s="1"/>
  <c r="R51" i="33"/>
  <c r="M51" i="33"/>
  <c r="N51" i="33" s="1"/>
  <c r="L51" i="33"/>
  <c r="K51" i="33"/>
  <c r="R50" i="33"/>
  <c r="J89" i="33" s="1"/>
  <c r="H89" i="33"/>
  <c r="M50" i="33"/>
  <c r="D89" i="33" s="1"/>
  <c r="L50" i="33"/>
  <c r="C89" i="33" s="1"/>
  <c r="K50" i="33"/>
  <c r="R49" i="33"/>
  <c r="M49" i="33"/>
  <c r="L49" i="33"/>
  <c r="K49" i="33"/>
  <c r="N49" i="33" s="1"/>
  <c r="R48" i="33"/>
  <c r="H88" i="33" s="1"/>
  <c r="M48" i="33"/>
  <c r="D88" i="33" s="1"/>
  <c r="L48" i="33"/>
  <c r="K48" i="33"/>
  <c r="R47" i="33"/>
  <c r="M47" i="33"/>
  <c r="L47" i="33"/>
  <c r="K47" i="33"/>
  <c r="N47" i="33" s="1"/>
  <c r="R46" i="33"/>
  <c r="M46" i="33"/>
  <c r="D87" i="33" s="1"/>
  <c r="L46" i="33"/>
  <c r="K46" i="33"/>
  <c r="R45" i="33"/>
  <c r="M45" i="33"/>
  <c r="L45" i="33"/>
  <c r="K45" i="33"/>
  <c r="R44" i="33"/>
  <c r="M44" i="33"/>
  <c r="D86" i="33" s="1"/>
  <c r="E86" i="33" s="1"/>
  <c r="L44" i="33"/>
  <c r="K44" i="33"/>
  <c r="R43" i="33"/>
  <c r="M43" i="33"/>
  <c r="L43" i="33"/>
  <c r="C86" i="33" s="1"/>
  <c r="K43" i="33"/>
  <c r="B86" i="33" s="1"/>
  <c r="R42" i="33"/>
  <c r="M42" i="33"/>
  <c r="D85" i="33" s="1"/>
  <c r="L42" i="33"/>
  <c r="K42" i="33"/>
  <c r="R41" i="33"/>
  <c r="H85" i="33" s="1"/>
  <c r="M41" i="33"/>
  <c r="L41" i="33"/>
  <c r="K41" i="33"/>
  <c r="B85" i="33" s="1"/>
  <c r="R40" i="33"/>
  <c r="H84" i="33" s="1"/>
  <c r="M40" i="33"/>
  <c r="L40" i="33"/>
  <c r="K40" i="33"/>
  <c r="N40" i="33" s="1"/>
  <c r="R39" i="33"/>
  <c r="M39" i="33"/>
  <c r="D84" i="33"/>
  <c r="L39" i="33"/>
  <c r="K39" i="33"/>
  <c r="N39" i="33" s="1"/>
  <c r="R38" i="33"/>
  <c r="M38" i="33"/>
  <c r="L38" i="33"/>
  <c r="K38" i="33"/>
  <c r="R37" i="33"/>
  <c r="M37" i="33"/>
  <c r="D83" i="33" s="1"/>
  <c r="L37" i="33"/>
  <c r="C83" i="33" s="1"/>
  <c r="K37" i="33"/>
  <c r="N37" i="33" s="1"/>
  <c r="R36" i="33"/>
  <c r="M36" i="33"/>
  <c r="N36" i="33"/>
  <c r="L36" i="33"/>
  <c r="K36" i="33"/>
  <c r="R35" i="33"/>
  <c r="H82" i="33" s="1"/>
  <c r="M35" i="33"/>
  <c r="L35" i="33"/>
  <c r="K35" i="33"/>
  <c r="R34" i="33"/>
  <c r="M34" i="33"/>
  <c r="D82" i="33" s="1"/>
  <c r="L34" i="33"/>
  <c r="K34" i="33"/>
  <c r="B82" i="33" s="1"/>
  <c r="R33" i="33"/>
  <c r="M33" i="33"/>
  <c r="L33" i="33"/>
  <c r="N33" i="33" s="1"/>
  <c r="K33" i="33"/>
  <c r="R32" i="33"/>
  <c r="M32" i="33"/>
  <c r="L32" i="33"/>
  <c r="C81" i="33" s="1"/>
  <c r="K32" i="33"/>
  <c r="N32" i="33" s="1"/>
  <c r="R31" i="33"/>
  <c r="L81" i="33" s="1"/>
  <c r="M31" i="33"/>
  <c r="L31" i="33"/>
  <c r="K31" i="33"/>
  <c r="R30" i="33"/>
  <c r="M30" i="33"/>
  <c r="L30" i="33"/>
  <c r="K30" i="33"/>
  <c r="N30" i="33" s="1"/>
  <c r="R29" i="33"/>
  <c r="L80" i="33" s="1"/>
  <c r="M29" i="33"/>
  <c r="N29" i="33" s="1"/>
  <c r="L29" i="33"/>
  <c r="K29" i="33"/>
  <c r="R28" i="33"/>
  <c r="M28" i="33"/>
  <c r="D79" i="33"/>
  <c r="L28" i="33"/>
  <c r="C79" i="33"/>
  <c r="K28" i="33"/>
  <c r="N28" i="33" s="1"/>
  <c r="R27" i="33"/>
  <c r="R26" i="33"/>
  <c r="R25" i="33"/>
  <c r="J78" i="33" s="1"/>
  <c r="R24" i="33"/>
  <c r="R23" i="33"/>
  <c r="H77" i="33"/>
  <c r="R18" i="33"/>
  <c r="R17" i="33"/>
  <c r="H75" i="33" s="1"/>
  <c r="R15" i="33"/>
  <c r="M15" i="33"/>
  <c r="L15" i="33"/>
  <c r="K15" i="33"/>
  <c r="R14" i="33"/>
  <c r="M14" i="33"/>
  <c r="D74" i="33" s="1"/>
  <c r="L14" i="33"/>
  <c r="C74" i="33" s="1"/>
  <c r="K14" i="33"/>
  <c r="B74" i="33" s="1"/>
  <c r="E74" i="33" s="1"/>
  <c r="R13" i="33"/>
  <c r="M13" i="33"/>
  <c r="L13" i="33"/>
  <c r="K13" i="33"/>
  <c r="R12" i="33"/>
  <c r="H73" i="33" s="1"/>
  <c r="M12" i="33"/>
  <c r="D73" i="33" s="1"/>
  <c r="L12" i="33"/>
  <c r="C73" i="33" s="1"/>
  <c r="K12" i="33"/>
  <c r="B73" i="33" s="1"/>
  <c r="E73" i="33" s="1"/>
  <c r="R11" i="33"/>
  <c r="M11" i="33"/>
  <c r="L11" i="33"/>
  <c r="N11" i="33" s="1"/>
  <c r="K11" i="33"/>
  <c r="R10" i="33"/>
  <c r="L72" i="33" s="1"/>
  <c r="M10" i="33"/>
  <c r="D72" i="33" s="1"/>
  <c r="L10" i="33"/>
  <c r="C72" i="33" s="1"/>
  <c r="K10" i="33"/>
  <c r="R9" i="33"/>
  <c r="M9" i="33"/>
  <c r="L9" i="33"/>
  <c r="K9" i="33"/>
  <c r="R8" i="33"/>
  <c r="L71" i="33"/>
  <c r="M8" i="33"/>
  <c r="D71" i="33" s="1"/>
  <c r="L8" i="33"/>
  <c r="N8" i="33" s="1"/>
  <c r="K8" i="33"/>
  <c r="R7" i="33"/>
  <c r="H70" i="33"/>
  <c r="N70" i="33" s="1"/>
  <c r="M7" i="33"/>
  <c r="D70" i="33" s="1"/>
  <c r="L7" i="33"/>
  <c r="C70" i="33" s="1"/>
  <c r="K7" i="33"/>
  <c r="B70" i="33" s="1"/>
  <c r="T114" i="6"/>
  <c r="U114" i="6"/>
  <c r="T118" i="6"/>
  <c r="U118" i="6"/>
  <c r="T122" i="6"/>
  <c r="U122" i="6"/>
  <c r="T126" i="6"/>
  <c r="U126" i="6"/>
  <c r="T130" i="6"/>
  <c r="U130" i="6"/>
  <c r="T131" i="6"/>
  <c r="U131" i="6"/>
  <c r="T133" i="6"/>
  <c r="U133" i="6"/>
  <c r="T134" i="6"/>
  <c r="S134" i="6"/>
  <c r="S133" i="6"/>
  <c r="S131" i="6"/>
  <c r="S130" i="6"/>
  <c r="W127" i="6"/>
  <c r="S126" i="6"/>
  <c r="S122" i="6"/>
  <c r="S118" i="6"/>
  <c r="S114" i="6"/>
  <c r="R80" i="6"/>
  <c r="M80" i="6"/>
  <c r="L80" i="6"/>
  <c r="K80"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1" i="6"/>
  <c r="R82" i="6"/>
  <c r="R83" i="6"/>
  <c r="R84" i="6"/>
  <c r="M69" i="6"/>
  <c r="L69" i="6"/>
  <c r="K69" i="6"/>
  <c r="M67" i="6"/>
  <c r="L67" i="6"/>
  <c r="K67" i="6"/>
  <c r="T71" i="34"/>
  <c r="U71" i="34"/>
  <c r="T72" i="34"/>
  <c r="U72" i="34"/>
  <c r="T74" i="34"/>
  <c r="U74" i="34"/>
  <c r="T75" i="34"/>
  <c r="U75" i="34"/>
  <c r="T79" i="34"/>
  <c r="U79" i="34"/>
  <c r="T80" i="34"/>
  <c r="T82" i="34"/>
  <c r="U82" i="34"/>
  <c r="T84" i="34"/>
  <c r="U84" i="34"/>
  <c r="W84" i="34" s="1"/>
  <c r="U86" i="34"/>
  <c r="T87" i="34"/>
  <c r="U87" i="34"/>
  <c r="S88" i="34"/>
  <c r="S87" i="34"/>
  <c r="W87" i="34" s="1"/>
  <c r="S85" i="34"/>
  <c r="S84" i="34"/>
  <c r="S82" i="34"/>
  <c r="W82" i="34" s="1"/>
  <c r="S79" i="34"/>
  <c r="W79" i="34" s="1"/>
  <c r="S75" i="34"/>
  <c r="W75" i="34" s="1"/>
  <c r="S74" i="34"/>
  <c r="S72" i="34"/>
  <c r="W72" i="34" s="1"/>
  <c r="S71" i="34"/>
  <c r="W71" i="34" s="1"/>
  <c r="E53" i="34"/>
  <c r="T89" i="34" s="1"/>
  <c r="U88" i="34"/>
  <c r="E47" i="34"/>
  <c r="E45" i="34"/>
  <c r="T85" i="34"/>
  <c r="E39" i="34"/>
  <c r="T83" i="34"/>
  <c r="E34" i="34"/>
  <c r="E31" i="34"/>
  <c r="S80" i="34"/>
  <c r="E27" i="34"/>
  <c r="U78" i="34" s="1"/>
  <c r="E25" i="34"/>
  <c r="T77" i="34"/>
  <c r="E16" i="34"/>
  <c r="E7" i="34"/>
  <c r="U69" i="34" s="1"/>
  <c r="E9" i="34"/>
  <c r="R16" i="34"/>
  <c r="R17" i="34"/>
  <c r="R18" i="34"/>
  <c r="H74" i="34" s="1"/>
  <c r="J74" i="34"/>
  <c r="R19" i="34"/>
  <c r="R20" i="34"/>
  <c r="R21" i="34"/>
  <c r="H76" i="34" s="1"/>
  <c r="R22" i="34"/>
  <c r="R23" i="34"/>
  <c r="L76" i="34" s="1"/>
  <c r="R24" i="34"/>
  <c r="R25" i="34"/>
  <c r="H77" i="34" s="1"/>
  <c r="K16" i="34"/>
  <c r="L16" i="34"/>
  <c r="M16" i="34"/>
  <c r="T65" i="30"/>
  <c r="U65" i="30"/>
  <c r="T67" i="30"/>
  <c r="U67" i="30"/>
  <c r="T68" i="30"/>
  <c r="U68" i="30"/>
  <c r="T70" i="30"/>
  <c r="T73" i="30"/>
  <c r="U73" i="30"/>
  <c r="S73" i="30"/>
  <c r="S72" i="30"/>
  <c r="S68" i="30"/>
  <c r="W68" i="30" s="1"/>
  <c r="S67" i="30"/>
  <c r="S65" i="30"/>
  <c r="E34" i="30"/>
  <c r="T72" i="30"/>
  <c r="E32" i="30"/>
  <c r="S71" i="30" s="1"/>
  <c r="E28" i="30"/>
  <c r="S70" i="30" s="1"/>
  <c r="U70" i="30"/>
  <c r="E26" i="30"/>
  <c r="T69" i="30"/>
  <c r="E19" i="30"/>
  <c r="S66" i="30" s="1"/>
  <c r="E15" i="30"/>
  <c r="T64" i="30"/>
  <c r="E12" i="30"/>
  <c r="S63" i="30"/>
  <c r="U63" i="30"/>
  <c r="E10" i="30"/>
  <c r="T62" i="30" s="1"/>
  <c r="E7" i="30"/>
  <c r="T61" i="30"/>
  <c r="K8" i="35"/>
  <c r="K10" i="35"/>
  <c r="L10" i="35"/>
  <c r="M10" i="35" s="1"/>
  <c r="K11" i="35"/>
  <c r="L11" i="35" s="1"/>
  <c r="K12" i="35"/>
  <c r="K7" i="35"/>
  <c r="B99" i="35" s="1"/>
  <c r="L7" i="35"/>
  <c r="T102" i="35"/>
  <c r="U102" i="35"/>
  <c r="T110" i="35"/>
  <c r="U110" i="35"/>
  <c r="T116" i="35"/>
  <c r="U116" i="35"/>
  <c r="T118" i="35"/>
  <c r="U118" i="35"/>
  <c r="T120" i="35"/>
  <c r="U120" i="35"/>
  <c r="W120" i="35"/>
  <c r="S120" i="35"/>
  <c r="S118" i="35"/>
  <c r="S116" i="35"/>
  <c r="S110" i="35"/>
  <c r="W110" i="35" s="1"/>
  <c r="S102" i="35"/>
  <c r="W102" i="35" s="1"/>
  <c r="E10" i="35"/>
  <c r="S100" i="35" s="1"/>
  <c r="E78" i="35"/>
  <c r="T119" i="35"/>
  <c r="E53" i="35"/>
  <c r="T113" i="35" s="1"/>
  <c r="E35" i="35"/>
  <c r="S109" i="35" s="1"/>
  <c r="E25" i="35"/>
  <c r="S106" i="35" s="1"/>
  <c r="E16" i="35"/>
  <c r="T103" i="35"/>
  <c r="U103" i="35"/>
  <c r="M50" i="35"/>
  <c r="M51" i="35"/>
  <c r="M52" i="35"/>
  <c r="M53" i="35"/>
  <c r="M54" i="35"/>
  <c r="M55" i="35"/>
  <c r="M56" i="35"/>
  <c r="M57" i="35"/>
  <c r="M58" i="35"/>
  <c r="M59" i="35"/>
  <c r="M61" i="35"/>
  <c r="M62" i="35"/>
  <c r="M63" i="35"/>
  <c r="M64" i="35"/>
  <c r="N64" i="35" s="1"/>
  <c r="M65" i="35"/>
  <c r="M66" i="35"/>
  <c r="M67" i="35"/>
  <c r="M68" i="35"/>
  <c r="M69" i="35"/>
  <c r="M70" i="35"/>
  <c r="M71" i="35"/>
  <c r="M72" i="35"/>
  <c r="M73" i="35"/>
  <c r="M74" i="35"/>
  <c r="D118" i="35"/>
  <c r="M75" i="35"/>
  <c r="M76" i="35"/>
  <c r="M77" i="35"/>
  <c r="M78" i="35"/>
  <c r="N78" i="35" s="1"/>
  <c r="M79" i="35"/>
  <c r="M80" i="35"/>
  <c r="L48" i="35"/>
  <c r="L49" i="35"/>
  <c r="L50" i="35"/>
  <c r="L51" i="35"/>
  <c r="L52" i="35"/>
  <c r="L53" i="35"/>
  <c r="L54" i="35"/>
  <c r="L55" i="35"/>
  <c r="L56" i="35"/>
  <c r="L57" i="35"/>
  <c r="L58" i="35"/>
  <c r="L59" i="35"/>
  <c r="L61" i="35"/>
  <c r="N61" i="35" s="1"/>
  <c r="L62" i="35"/>
  <c r="L63" i="35"/>
  <c r="L64" i="35"/>
  <c r="L65" i="35"/>
  <c r="L66" i="35"/>
  <c r="L67" i="35"/>
  <c r="L68" i="35"/>
  <c r="C116" i="35" s="1"/>
  <c r="L69" i="35"/>
  <c r="L70" i="35"/>
  <c r="L71" i="35"/>
  <c r="L72" i="35"/>
  <c r="L73" i="35"/>
  <c r="L74" i="35"/>
  <c r="L75" i="35"/>
  <c r="L76" i="35"/>
  <c r="L77" i="35"/>
  <c r="L78" i="35"/>
  <c r="L79" i="35"/>
  <c r="L80" i="35"/>
  <c r="C120" i="35"/>
  <c r="K47" i="35"/>
  <c r="K48" i="35"/>
  <c r="K49" i="35"/>
  <c r="K50" i="35"/>
  <c r="K51" i="35"/>
  <c r="K52" i="35"/>
  <c r="K53" i="35"/>
  <c r="N53" i="35" s="1"/>
  <c r="K54" i="35"/>
  <c r="K55" i="35"/>
  <c r="K56" i="35"/>
  <c r="K57" i="35"/>
  <c r="K58" i="35"/>
  <c r="N58" i="35"/>
  <c r="K59" i="35"/>
  <c r="K61" i="35"/>
  <c r="K62" i="35"/>
  <c r="N62" i="35"/>
  <c r="K63" i="35"/>
  <c r="K64" i="35"/>
  <c r="K65" i="35"/>
  <c r="K66" i="35"/>
  <c r="K67" i="35"/>
  <c r="K68" i="35"/>
  <c r="B116" i="35" s="1"/>
  <c r="K69" i="35"/>
  <c r="K70" i="35"/>
  <c r="K71" i="35"/>
  <c r="K72" i="35"/>
  <c r="K73" i="35"/>
  <c r="K74" i="35"/>
  <c r="K75" i="35"/>
  <c r="K76" i="35"/>
  <c r="K77" i="35"/>
  <c r="K78" i="35"/>
  <c r="K79" i="35"/>
  <c r="N79" i="35" s="1"/>
  <c r="K80" i="35"/>
  <c r="R63" i="35"/>
  <c r="R64" i="35"/>
  <c r="R65" i="35"/>
  <c r="R66" i="35"/>
  <c r="R67" i="35"/>
  <c r="R68" i="35"/>
  <c r="H116" i="35" s="1"/>
  <c r="R69" i="35"/>
  <c r="R70" i="35"/>
  <c r="R71" i="35"/>
  <c r="R72" i="35"/>
  <c r="R73" i="35"/>
  <c r="R74" i="35"/>
  <c r="R75" i="35"/>
  <c r="H118" i="35" s="1"/>
  <c r="R76" i="35"/>
  <c r="R77" i="35"/>
  <c r="R78" i="35"/>
  <c r="R79" i="35"/>
  <c r="H120" i="35" s="1"/>
  <c r="R80" i="35"/>
  <c r="R47" i="35"/>
  <c r="R48" i="35"/>
  <c r="R53" i="35"/>
  <c r="R54" i="35"/>
  <c r="R55" i="35"/>
  <c r="R56" i="35"/>
  <c r="R57" i="35"/>
  <c r="R58" i="35"/>
  <c r="H114" i="35"/>
  <c r="R59" i="35"/>
  <c r="R61" i="35"/>
  <c r="R62" i="35"/>
  <c r="R12" i="35"/>
  <c r="R13" i="35"/>
  <c r="R14" i="35"/>
  <c r="H102" i="35"/>
  <c r="J102" i="35"/>
  <c r="R15" i="35"/>
  <c r="H103" i="35"/>
  <c r="R16" i="35"/>
  <c r="R17" i="35"/>
  <c r="L104" i="35" s="1"/>
  <c r="R18" i="35"/>
  <c r="R19" i="35"/>
  <c r="R21" i="35"/>
  <c r="J105" i="35" s="1"/>
  <c r="R22" i="35"/>
  <c r="R23" i="35"/>
  <c r="R24" i="35"/>
  <c r="R25" i="35"/>
  <c r="R26" i="35"/>
  <c r="J107" i="35" s="1"/>
  <c r="R27" i="35"/>
  <c r="R28" i="35"/>
  <c r="R29" i="35"/>
  <c r="R31" i="35"/>
  <c r="R32" i="35"/>
  <c r="R33" i="35"/>
  <c r="R34" i="35"/>
  <c r="R35" i="35"/>
  <c r="R36" i="35"/>
  <c r="R37" i="35"/>
  <c r="R38" i="35"/>
  <c r="R39" i="35"/>
  <c r="R40" i="35"/>
  <c r="R41" i="35"/>
  <c r="R43" i="35"/>
  <c r="R44" i="35"/>
  <c r="R45" i="35"/>
  <c r="R46" i="35"/>
  <c r="R10" i="35"/>
  <c r="N78" i="28"/>
  <c r="N77" i="28"/>
  <c r="U92" i="28"/>
  <c r="T92" i="28"/>
  <c r="S92" i="28"/>
  <c r="U88" i="28"/>
  <c r="T88" i="28"/>
  <c r="S88" i="28"/>
  <c r="U84" i="28"/>
  <c r="T84" i="28"/>
  <c r="S84" i="28"/>
  <c r="U80" i="28"/>
  <c r="T80" i="28"/>
  <c r="S80" i="28"/>
  <c r="U76" i="28"/>
  <c r="T76" i="28"/>
  <c r="S76" i="28"/>
  <c r="W76" i="28" s="1"/>
  <c r="T75" i="28"/>
  <c r="U75" i="28"/>
  <c r="T77" i="28"/>
  <c r="U77" i="28"/>
  <c r="T78" i="28"/>
  <c r="U78" i="28"/>
  <c r="T79" i="28"/>
  <c r="U79" i="28"/>
  <c r="T81" i="28"/>
  <c r="U81" i="28"/>
  <c r="T82" i="28"/>
  <c r="U82" i="28"/>
  <c r="T83" i="28"/>
  <c r="U83" i="28"/>
  <c r="T85" i="28"/>
  <c r="U85" i="28"/>
  <c r="T87" i="28"/>
  <c r="U87" i="28"/>
  <c r="T90" i="28"/>
  <c r="U90" i="28"/>
  <c r="T91" i="28"/>
  <c r="U91" i="28"/>
  <c r="T94" i="28"/>
  <c r="U94" i="28"/>
  <c r="T95" i="28"/>
  <c r="U95" i="28"/>
  <c r="T96" i="28"/>
  <c r="U96" i="28"/>
  <c r="S96" i="28"/>
  <c r="S95" i="28"/>
  <c r="S94" i="28"/>
  <c r="S91" i="28"/>
  <c r="W91" i="28" s="1"/>
  <c r="S90" i="28"/>
  <c r="S87" i="28"/>
  <c r="W87" i="28"/>
  <c r="S85" i="28"/>
  <c r="W85" i="28" s="1"/>
  <c r="S83" i="28"/>
  <c r="W83" i="28" s="1"/>
  <c r="S82" i="28"/>
  <c r="S81" i="28"/>
  <c r="S79" i="28"/>
  <c r="W79" i="28"/>
  <c r="S78" i="28"/>
  <c r="W78" i="28" s="1"/>
  <c r="S77" i="28"/>
  <c r="S75" i="28"/>
  <c r="W75" i="28" s="1"/>
  <c r="W74" i="28"/>
  <c r="R7" i="28"/>
  <c r="M7" i="28"/>
  <c r="L7" i="28"/>
  <c r="K7" i="28"/>
  <c r="N7" i="28" s="1"/>
  <c r="R22" i="28"/>
  <c r="J81" i="28" s="1"/>
  <c r="M22" i="28"/>
  <c r="L22" i="28"/>
  <c r="K22" i="28"/>
  <c r="M49" i="35"/>
  <c r="N49" i="35" s="1"/>
  <c r="M48" i="35"/>
  <c r="M46" i="35"/>
  <c r="N46" i="35"/>
  <c r="L46" i="35"/>
  <c r="K46" i="35"/>
  <c r="M40" i="35"/>
  <c r="M41" i="35"/>
  <c r="M43" i="35"/>
  <c r="M44" i="35"/>
  <c r="M45" i="35"/>
  <c r="M47" i="35"/>
  <c r="L40" i="35"/>
  <c r="L41" i="35"/>
  <c r="L43" i="35"/>
  <c r="L44" i="35"/>
  <c r="L45" i="35"/>
  <c r="L47" i="35"/>
  <c r="N47" i="35" s="1"/>
  <c r="K38" i="35"/>
  <c r="K39" i="35"/>
  <c r="K40" i="35"/>
  <c r="K41" i="35"/>
  <c r="N41" i="35" s="1"/>
  <c r="K43" i="35"/>
  <c r="N43" i="35" s="1"/>
  <c r="K44" i="35"/>
  <c r="K45" i="35"/>
  <c r="B112" i="35" s="1"/>
  <c r="K34" i="35"/>
  <c r="L34" i="35"/>
  <c r="M34" i="35"/>
  <c r="K33" i="35"/>
  <c r="L33" i="35"/>
  <c r="M33" i="35"/>
  <c r="K24" i="35"/>
  <c r="N24" i="35" s="1"/>
  <c r="L24" i="35"/>
  <c r="M24" i="35"/>
  <c r="M25" i="35"/>
  <c r="M26" i="35"/>
  <c r="M27" i="35"/>
  <c r="N27" i="35" s="1"/>
  <c r="M28" i="35"/>
  <c r="M29" i="35"/>
  <c r="M31" i="35"/>
  <c r="M32" i="35"/>
  <c r="D109" i="35" s="1"/>
  <c r="M35" i="35"/>
  <c r="M36" i="35"/>
  <c r="D110" i="35" s="1"/>
  <c r="M37" i="35"/>
  <c r="M38" i="35"/>
  <c r="M39" i="35"/>
  <c r="L22" i="35"/>
  <c r="L23" i="35"/>
  <c r="L25" i="35"/>
  <c r="L26" i="35"/>
  <c r="L27" i="35"/>
  <c r="L28" i="35"/>
  <c r="L29" i="35"/>
  <c r="L31" i="35"/>
  <c r="L32" i="35"/>
  <c r="L35" i="35"/>
  <c r="L36" i="35"/>
  <c r="C110" i="35" s="1"/>
  <c r="L37" i="35"/>
  <c r="L38" i="35"/>
  <c r="L39" i="35"/>
  <c r="K22" i="35"/>
  <c r="K23" i="35"/>
  <c r="K25" i="35"/>
  <c r="K26" i="35"/>
  <c r="K27" i="35"/>
  <c r="K28" i="35"/>
  <c r="K29" i="35"/>
  <c r="K31" i="35"/>
  <c r="N31" i="35" s="1"/>
  <c r="K32" i="35"/>
  <c r="K19" i="35"/>
  <c r="L19" i="35"/>
  <c r="M19" i="35"/>
  <c r="T89" i="36"/>
  <c r="U89" i="36"/>
  <c r="T93" i="36"/>
  <c r="U93" i="36"/>
  <c r="T97" i="36"/>
  <c r="U97" i="36"/>
  <c r="T98" i="36"/>
  <c r="U98" i="36"/>
  <c r="T99" i="36"/>
  <c r="U99" i="36"/>
  <c r="S99" i="36"/>
  <c r="S98" i="36"/>
  <c r="S97" i="36"/>
  <c r="S93" i="36"/>
  <c r="W93" i="36"/>
  <c r="S89" i="36"/>
  <c r="E64" i="36"/>
  <c r="U108" i="36" s="1"/>
  <c r="T108" i="36"/>
  <c r="E59" i="36"/>
  <c r="E55" i="36"/>
  <c r="T106" i="36" s="1"/>
  <c r="E52" i="36"/>
  <c r="S105" i="36"/>
  <c r="E49" i="36"/>
  <c r="E43" i="36"/>
  <c r="S102" i="36"/>
  <c r="E39" i="36"/>
  <c r="T101" i="36"/>
  <c r="E37" i="36"/>
  <c r="T100" i="36" s="1"/>
  <c r="E29" i="36"/>
  <c r="T96" i="36" s="1"/>
  <c r="S96" i="36"/>
  <c r="E27" i="36"/>
  <c r="C95" i="36" s="1"/>
  <c r="E25" i="36"/>
  <c r="U94" i="36" s="1"/>
  <c r="E20" i="36"/>
  <c r="S92" i="36"/>
  <c r="U92" i="36"/>
  <c r="E17" i="36"/>
  <c r="T91" i="36" s="1"/>
  <c r="E15" i="36"/>
  <c r="U90" i="36"/>
  <c r="E11" i="36"/>
  <c r="T88" i="36" s="1"/>
  <c r="E9" i="36"/>
  <c r="K64" i="36"/>
  <c r="R24" i="36"/>
  <c r="R25" i="36"/>
  <c r="R20" i="36"/>
  <c r="R21" i="36"/>
  <c r="R22" i="36"/>
  <c r="M14" i="37"/>
  <c r="M15" i="37"/>
  <c r="L14" i="37"/>
  <c r="L15" i="37"/>
  <c r="M18" i="37"/>
  <c r="L18" i="37"/>
  <c r="K18" i="37"/>
  <c r="K15" i="37"/>
  <c r="N15" i="37" s="1"/>
  <c r="K14" i="37"/>
  <c r="T77" i="37"/>
  <c r="U77" i="37"/>
  <c r="T78" i="37"/>
  <c r="U78" i="37"/>
  <c r="T79" i="37"/>
  <c r="U79" i="37"/>
  <c r="T81" i="37"/>
  <c r="U81" i="37"/>
  <c r="W81" i="37"/>
  <c r="T82" i="37"/>
  <c r="U82" i="37"/>
  <c r="T83" i="37"/>
  <c r="U83" i="37"/>
  <c r="T85" i="37"/>
  <c r="U85" i="37"/>
  <c r="T86" i="37"/>
  <c r="U86" i="37"/>
  <c r="T87" i="37"/>
  <c r="U87" i="37"/>
  <c r="T89" i="37"/>
  <c r="U89" i="37"/>
  <c r="T90" i="37"/>
  <c r="U90" i="37"/>
  <c r="S90" i="37"/>
  <c r="W90" i="37" s="1"/>
  <c r="S89" i="37"/>
  <c r="S87" i="37"/>
  <c r="W87" i="37" s="1"/>
  <c r="S86" i="37"/>
  <c r="W86" i="37"/>
  <c r="S85" i="37"/>
  <c r="W85" i="37"/>
  <c r="S83" i="37"/>
  <c r="W83" i="37" s="1"/>
  <c r="S82" i="37"/>
  <c r="W82" i="37"/>
  <c r="S81" i="37"/>
  <c r="S79" i="37"/>
  <c r="S78" i="37"/>
  <c r="W78" i="37" s="1"/>
  <c r="S77" i="37"/>
  <c r="W77" i="37"/>
  <c r="E58" i="37"/>
  <c r="T94" i="37" s="1"/>
  <c r="E56" i="37"/>
  <c r="T93" i="37" s="1"/>
  <c r="E54" i="37"/>
  <c r="T92" i="37" s="1"/>
  <c r="E52" i="37"/>
  <c r="U91" i="37"/>
  <c r="E36" i="37"/>
  <c r="T84" i="37"/>
  <c r="E18" i="37"/>
  <c r="T76" i="37"/>
  <c r="S76" i="37"/>
  <c r="E15" i="37"/>
  <c r="U75" i="37"/>
  <c r="R17" i="37"/>
  <c r="R18" i="37"/>
  <c r="R19" i="37"/>
  <c r="R15" i="37"/>
  <c r="R14" i="37"/>
  <c r="M21" i="38"/>
  <c r="M22" i="38"/>
  <c r="L21" i="38"/>
  <c r="L22" i="38"/>
  <c r="K21" i="38"/>
  <c r="K22" i="38"/>
  <c r="E22" i="38"/>
  <c r="E41" i="38"/>
  <c r="U87" i="38"/>
  <c r="T87" i="38"/>
  <c r="T74" i="38"/>
  <c r="U74" i="38"/>
  <c r="T77" i="38"/>
  <c r="U77" i="38"/>
  <c r="T78" i="38"/>
  <c r="U78" i="38"/>
  <c r="T80" i="38"/>
  <c r="W80" i="38" s="1"/>
  <c r="U80" i="38"/>
  <c r="T82" i="38"/>
  <c r="U82" i="38"/>
  <c r="T86" i="38"/>
  <c r="U86" i="38"/>
  <c r="T88" i="38"/>
  <c r="U88" i="38"/>
  <c r="W88" i="38" s="1"/>
  <c r="T89" i="38"/>
  <c r="U89" i="38"/>
  <c r="S89" i="38"/>
  <c r="S88" i="38"/>
  <c r="S87" i="38"/>
  <c r="S86" i="38"/>
  <c r="W86" i="38" s="1"/>
  <c r="S82" i="38"/>
  <c r="W82" i="38" s="1"/>
  <c r="S80" i="38"/>
  <c r="S78" i="38"/>
  <c r="S77" i="38"/>
  <c r="W77" i="38" s="1"/>
  <c r="S74" i="38"/>
  <c r="W74" i="38" s="1"/>
  <c r="E51" i="38"/>
  <c r="U91" i="38" s="1"/>
  <c r="E49" i="38"/>
  <c r="U90" i="38"/>
  <c r="E37" i="38"/>
  <c r="U85" i="38" s="1"/>
  <c r="T85" i="38"/>
  <c r="E32" i="38"/>
  <c r="T83" i="38" s="1"/>
  <c r="E34" i="38"/>
  <c r="S84" i="38" s="1"/>
  <c r="E15" i="38"/>
  <c r="S76" i="38" s="1"/>
  <c r="T76" i="38"/>
  <c r="U76" i="38"/>
  <c r="E13" i="38"/>
  <c r="S75" i="38"/>
  <c r="E9" i="38"/>
  <c r="T73" i="38"/>
  <c r="R8" i="38"/>
  <c r="H73" i="38" s="1"/>
  <c r="R9" i="38"/>
  <c r="R10" i="38"/>
  <c r="R11" i="38"/>
  <c r="R12" i="38"/>
  <c r="R13" i="38"/>
  <c r="R14" i="38"/>
  <c r="R15" i="38"/>
  <c r="L76" i="38" s="1"/>
  <c r="R16" i="38"/>
  <c r="R17" i="38"/>
  <c r="R18" i="38"/>
  <c r="R19" i="38"/>
  <c r="R20" i="38"/>
  <c r="R21" i="38"/>
  <c r="R22" i="38"/>
  <c r="R23" i="38"/>
  <c r="H80" i="38" s="1"/>
  <c r="R24" i="38"/>
  <c r="R26" i="38"/>
  <c r="R27" i="38"/>
  <c r="J81" i="38" s="1"/>
  <c r="R28" i="38"/>
  <c r="R29" i="38"/>
  <c r="J82" i="38" s="1"/>
  <c r="R30" i="38"/>
  <c r="R31" i="38"/>
  <c r="R32" i="38"/>
  <c r="R33" i="38"/>
  <c r="R34" i="38"/>
  <c r="R35" i="38"/>
  <c r="R36" i="38"/>
  <c r="R37" i="38"/>
  <c r="R38" i="38"/>
  <c r="R39" i="38"/>
  <c r="R40" i="38"/>
  <c r="L87" i="38" s="1"/>
  <c r="R41" i="38"/>
  <c r="R42" i="38"/>
  <c r="R43" i="38"/>
  <c r="H88" i="38" s="1"/>
  <c r="R44" i="38"/>
  <c r="R45" i="38"/>
  <c r="R46" i="38"/>
  <c r="R47" i="38"/>
  <c r="R48" i="38"/>
  <c r="R49" i="38"/>
  <c r="R50" i="38"/>
  <c r="R51" i="38"/>
  <c r="J91" i="38" s="1"/>
  <c r="R7" i="38"/>
  <c r="J72" i="38"/>
  <c r="K32" i="38"/>
  <c r="L32" i="38"/>
  <c r="M32" i="38"/>
  <c r="T196" i="9"/>
  <c r="U196" i="9"/>
  <c r="S196" i="9"/>
  <c r="T186" i="22"/>
  <c r="U186" i="22"/>
  <c r="S186" i="22"/>
  <c r="W186" i="22" s="1"/>
  <c r="T177" i="22"/>
  <c r="U177" i="22"/>
  <c r="S177" i="22"/>
  <c r="W177" i="22" s="1"/>
  <c r="T154" i="22"/>
  <c r="U154" i="22"/>
  <c r="S154" i="22"/>
  <c r="T148" i="22"/>
  <c r="U148" i="22"/>
  <c r="S148" i="22"/>
  <c r="W148" i="22" s="1"/>
  <c r="W146" i="22"/>
  <c r="T146" i="22"/>
  <c r="U146" i="22"/>
  <c r="S146" i="22"/>
  <c r="R111" i="22"/>
  <c r="L186" i="22" s="1"/>
  <c r="M111" i="22"/>
  <c r="L111" i="22"/>
  <c r="K111" i="22"/>
  <c r="N111" i="22" s="1"/>
  <c r="R30" i="22"/>
  <c r="M30" i="22"/>
  <c r="L30" i="22"/>
  <c r="N30" i="22" s="1"/>
  <c r="K30" i="22"/>
  <c r="R24" i="22"/>
  <c r="M24" i="22"/>
  <c r="L24" i="22"/>
  <c r="K24" i="22"/>
  <c r="N24" i="22" s="1"/>
  <c r="R8" i="22"/>
  <c r="H140" i="22" s="1"/>
  <c r="R10" i="22"/>
  <c r="R11" i="22"/>
  <c r="R12" i="22"/>
  <c r="R13" i="22"/>
  <c r="R14" i="22"/>
  <c r="R15" i="22"/>
  <c r="R16" i="22"/>
  <c r="L143" i="22" s="1"/>
  <c r="R17" i="22"/>
  <c r="R18" i="22"/>
  <c r="R19" i="22"/>
  <c r="R20" i="22"/>
  <c r="R21" i="22"/>
  <c r="R22" i="22"/>
  <c r="R23" i="22"/>
  <c r="J146" i="22" s="1"/>
  <c r="R25" i="22"/>
  <c r="R26" i="22"/>
  <c r="H147" i="22" s="1"/>
  <c r="R27" i="22"/>
  <c r="R28" i="22"/>
  <c r="R29" i="22"/>
  <c r="R31" i="22"/>
  <c r="R32" i="22"/>
  <c r="R33" i="22"/>
  <c r="R34" i="22"/>
  <c r="R35" i="22"/>
  <c r="R36" i="22"/>
  <c r="R37" i="22"/>
  <c r="R38" i="22"/>
  <c r="R39" i="22"/>
  <c r="R40" i="22"/>
  <c r="R41" i="22"/>
  <c r="R42" i="22"/>
  <c r="R43" i="22"/>
  <c r="J154" i="22" s="1"/>
  <c r="R44" i="22"/>
  <c r="R45" i="22"/>
  <c r="R46" i="22"/>
  <c r="R47" i="22"/>
  <c r="R48" i="22"/>
  <c r="R49" i="22"/>
  <c r="H156" i="22"/>
  <c r="R50" i="22"/>
  <c r="R51" i="22"/>
  <c r="R52" i="22"/>
  <c r="R53" i="22"/>
  <c r="R54" i="22"/>
  <c r="R55" i="22"/>
  <c r="R56" i="22"/>
  <c r="J159" i="22"/>
  <c r="R57" i="22"/>
  <c r="R58" i="22"/>
  <c r="R59" i="22"/>
  <c r="R60" i="22"/>
  <c r="R61" i="22"/>
  <c r="R62" i="22"/>
  <c r="R63" i="22"/>
  <c r="R64" i="22"/>
  <c r="R65" i="22"/>
  <c r="R66" i="22"/>
  <c r="R67" i="22"/>
  <c r="R68" i="22"/>
  <c r="R69" i="22"/>
  <c r="R70" i="22"/>
  <c r="R71" i="22"/>
  <c r="R72" i="22"/>
  <c r="R73" i="22"/>
  <c r="R74" i="22"/>
  <c r="R75" i="22"/>
  <c r="R76" i="22"/>
  <c r="R77" i="22"/>
  <c r="R78" i="22"/>
  <c r="R79" i="22"/>
  <c r="R80" i="22"/>
  <c r="R81" i="22"/>
  <c r="R82" i="22"/>
  <c r="R83" i="22"/>
  <c r="L172" i="22"/>
  <c r="R84" i="22"/>
  <c r="R85" i="22"/>
  <c r="H173" i="22" s="1"/>
  <c r="R86" i="22"/>
  <c r="R87" i="22"/>
  <c r="R88" i="22"/>
  <c r="R89" i="22"/>
  <c r="R90" i="22"/>
  <c r="R91" i="22"/>
  <c r="L176" i="22"/>
  <c r="R92" i="22"/>
  <c r="L177" i="22"/>
  <c r="R93" i="22"/>
  <c r="R94" i="22"/>
  <c r="R95" i="22"/>
  <c r="R96" i="22"/>
  <c r="R97" i="22"/>
  <c r="R98" i="22"/>
  <c r="L180" i="22" s="1"/>
  <c r="R99" i="22"/>
  <c r="R100" i="22"/>
  <c r="R101" i="22"/>
  <c r="L181" i="22" s="1"/>
  <c r="R102" i="22"/>
  <c r="R103" i="22"/>
  <c r="R104" i="22"/>
  <c r="R105" i="22"/>
  <c r="R106" i="22"/>
  <c r="R107" i="22"/>
  <c r="R108" i="22"/>
  <c r="R109" i="22"/>
  <c r="R110" i="22"/>
  <c r="R112" i="22"/>
  <c r="R113" i="22"/>
  <c r="J187" i="22"/>
  <c r="R114" i="22"/>
  <c r="H187" i="22"/>
  <c r="R115" i="22"/>
  <c r="R116" i="22"/>
  <c r="R117" i="22"/>
  <c r="R118" i="22"/>
  <c r="R119" i="22"/>
  <c r="R120" i="22"/>
  <c r="R121" i="22"/>
  <c r="R122" i="22"/>
  <c r="R123" i="22"/>
  <c r="R124" i="22"/>
  <c r="R9" i="22"/>
  <c r="M44" i="22"/>
  <c r="L44" i="22"/>
  <c r="K44" i="22"/>
  <c r="N44" i="22"/>
  <c r="K101" i="5"/>
  <c r="L101" i="5"/>
  <c r="M101" i="5"/>
  <c r="K102" i="5"/>
  <c r="L102" i="5"/>
  <c r="M102" i="5"/>
  <c r="N102" i="5" s="1"/>
  <c r="T184" i="9"/>
  <c r="U184" i="9"/>
  <c r="S184" i="9"/>
  <c r="W184" i="9" s="1"/>
  <c r="M95" i="9"/>
  <c r="L95" i="9"/>
  <c r="K95" i="9"/>
  <c r="N95" i="9" s="1"/>
  <c r="E122" i="10"/>
  <c r="S198" i="10"/>
  <c r="R58" i="10"/>
  <c r="R78" i="11"/>
  <c r="R97" i="19"/>
  <c r="K97" i="19"/>
  <c r="N97" i="19" s="1"/>
  <c r="L97" i="19"/>
  <c r="M97" i="19"/>
  <c r="E97" i="19"/>
  <c r="T150" i="10"/>
  <c r="U150" i="10"/>
  <c r="T154" i="10"/>
  <c r="U154" i="10"/>
  <c r="T156" i="10"/>
  <c r="U156" i="10"/>
  <c r="T160" i="10"/>
  <c r="U160" i="10"/>
  <c r="T162" i="10"/>
  <c r="U162" i="10"/>
  <c r="T164" i="10"/>
  <c r="U164" i="10"/>
  <c r="T166" i="10"/>
  <c r="U166" i="10"/>
  <c r="T173" i="10"/>
  <c r="U173" i="10"/>
  <c r="T174" i="10"/>
  <c r="U174" i="10"/>
  <c r="S174" i="10"/>
  <c r="W174" i="10" s="1"/>
  <c r="S173" i="10"/>
  <c r="S166" i="10"/>
  <c r="S164" i="10"/>
  <c r="S162" i="10"/>
  <c r="S160" i="10"/>
  <c r="S156" i="10"/>
  <c r="W156" i="10" s="1"/>
  <c r="S154" i="10"/>
  <c r="W154" i="10" s="1"/>
  <c r="S150" i="10"/>
  <c r="W150" i="10"/>
  <c r="R29" i="13"/>
  <c r="H151" i="13" s="1"/>
  <c r="M29" i="13"/>
  <c r="L29" i="13"/>
  <c r="K29" i="13"/>
  <c r="J144" i="13"/>
  <c r="T144" i="13"/>
  <c r="U144" i="13"/>
  <c r="T145" i="13"/>
  <c r="U145" i="13"/>
  <c r="T146" i="13"/>
  <c r="U146" i="13"/>
  <c r="T147" i="13"/>
  <c r="U147" i="13"/>
  <c r="T148" i="13"/>
  <c r="U148" i="13"/>
  <c r="T149" i="13"/>
  <c r="U149" i="13"/>
  <c r="T150" i="13"/>
  <c r="U150" i="13"/>
  <c r="S150" i="13"/>
  <c r="W150" i="13"/>
  <c r="S149" i="13"/>
  <c r="W149" i="13" s="1"/>
  <c r="S148" i="13"/>
  <c r="S147" i="13"/>
  <c r="W147" i="13" s="1"/>
  <c r="S146" i="13"/>
  <c r="W146" i="13"/>
  <c r="S145" i="13"/>
  <c r="W145" i="13" s="1"/>
  <c r="C146" i="13"/>
  <c r="C148" i="13"/>
  <c r="R28" i="13"/>
  <c r="K28" i="13"/>
  <c r="B151" i="13" s="1"/>
  <c r="L28" i="13"/>
  <c r="M28" i="13"/>
  <c r="R11" i="13"/>
  <c r="R12" i="13"/>
  <c r="R13" i="13"/>
  <c r="J146" i="13" s="1"/>
  <c r="R14" i="13"/>
  <c r="R15" i="13"/>
  <c r="H147" i="13" s="1"/>
  <c r="L147" i="13"/>
  <c r="R16" i="13"/>
  <c r="R17" i="13"/>
  <c r="R18" i="13"/>
  <c r="R19" i="13"/>
  <c r="R20" i="13"/>
  <c r="R21" i="13"/>
  <c r="L148" i="13"/>
  <c r="R22" i="13"/>
  <c r="R23" i="13"/>
  <c r="H149" i="13" s="1"/>
  <c r="R24" i="13"/>
  <c r="R25" i="13"/>
  <c r="R26" i="13"/>
  <c r="L150" i="13" s="1"/>
  <c r="R27" i="13"/>
  <c r="R9" i="13"/>
  <c r="L144" i="13" s="1"/>
  <c r="R10" i="13"/>
  <c r="J145" i="13" s="1"/>
  <c r="L145" i="13"/>
  <c r="R8" i="13"/>
  <c r="H144" i="13" s="1"/>
  <c r="K11" i="13"/>
  <c r="L11" i="13"/>
  <c r="M11" i="13"/>
  <c r="K12" i="13"/>
  <c r="L12" i="13"/>
  <c r="N12" i="13" s="1"/>
  <c r="M12" i="13"/>
  <c r="K13" i="13"/>
  <c r="L13" i="13"/>
  <c r="M13" i="13"/>
  <c r="D146" i="13"/>
  <c r="N13" i="13"/>
  <c r="K14" i="13"/>
  <c r="N14" i="13"/>
  <c r="L14" i="13"/>
  <c r="M14" i="13"/>
  <c r="K15" i="13"/>
  <c r="L15" i="13"/>
  <c r="M15" i="13"/>
  <c r="K16" i="13"/>
  <c r="L16" i="13"/>
  <c r="M16" i="13"/>
  <c r="K17" i="13"/>
  <c r="L17" i="13"/>
  <c r="M17" i="13"/>
  <c r="K18" i="13"/>
  <c r="N18" i="13" s="1"/>
  <c r="L18" i="13"/>
  <c r="M18" i="13"/>
  <c r="K19" i="13"/>
  <c r="L19" i="13"/>
  <c r="N19" i="13" s="1"/>
  <c r="M19" i="13"/>
  <c r="K20" i="13"/>
  <c r="L20" i="13"/>
  <c r="M20" i="13"/>
  <c r="D148" i="13" s="1"/>
  <c r="K21" i="13"/>
  <c r="L21" i="13"/>
  <c r="N21" i="13" s="1"/>
  <c r="M21" i="13"/>
  <c r="K22" i="13"/>
  <c r="N22" i="13" s="1"/>
  <c r="L22" i="13"/>
  <c r="C149" i="13"/>
  <c r="M22" i="13"/>
  <c r="K23" i="13"/>
  <c r="L23" i="13"/>
  <c r="N23" i="13"/>
  <c r="M23" i="13"/>
  <c r="D149" i="13" s="1"/>
  <c r="K24" i="13"/>
  <c r="N24" i="13" s="1"/>
  <c r="L24" i="13"/>
  <c r="M24" i="13"/>
  <c r="K25" i="13"/>
  <c r="N25" i="13" s="1"/>
  <c r="L25" i="13"/>
  <c r="M25" i="13"/>
  <c r="K26" i="13"/>
  <c r="B150" i="13" s="1"/>
  <c r="N26" i="13"/>
  <c r="L26" i="13"/>
  <c r="M26" i="13"/>
  <c r="K27" i="13"/>
  <c r="N27" i="13" s="1"/>
  <c r="L27" i="13"/>
  <c r="M27" i="13"/>
  <c r="D150" i="13" s="1"/>
  <c r="K10" i="13"/>
  <c r="L10" i="13"/>
  <c r="M10" i="13"/>
  <c r="D145" i="13" s="1"/>
  <c r="M9" i="13"/>
  <c r="D144" i="13" s="1"/>
  <c r="L9" i="13"/>
  <c r="K9" i="13"/>
  <c r="N9" i="13" s="1"/>
  <c r="M8" i="13"/>
  <c r="L8" i="13"/>
  <c r="C144" i="13" s="1"/>
  <c r="K8" i="13"/>
  <c r="N16" i="13"/>
  <c r="S159" i="13"/>
  <c r="R44" i="13"/>
  <c r="R114" i="10"/>
  <c r="R112" i="10"/>
  <c r="K114" i="10"/>
  <c r="L114" i="10"/>
  <c r="M114" i="10"/>
  <c r="N114" i="10"/>
  <c r="K112" i="10"/>
  <c r="L112" i="10"/>
  <c r="N112" i="10" s="1"/>
  <c r="M112" i="10"/>
  <c r="E115" i="10"/>
  <c r="T195" i="10"/>
  <c r="U195" i="10"/>
  <c r="E99" i="18"/>
  <c r="E83" i="18"/>
  <c r="S168" i="18"/>
  <c r="K44" i="13"/>
  <c r="N44" i="13" s="1"/>
  <c r="L44" i="13"/>
  <c r="M44" i="13"/>
  <c r="D158" i="13" s="1"/>
  <c r="K45" i="13"/>
  <c r="L45" i="13"/>
  <c r="M45" i="13"/>
  <c r="K46" i="13"/>
  <c r="N46" i="13" s="1"/>
  <c r="L46" i="13"/>
  <c r="M46" i="13"/>
  <c r="K47" i="13"/>
  <c r="B159" i="13"/>
  <c r="L47" i="13"/>
  <c r="C159" i="13" s="1"/>
  <c r="M47" i="13"/>
  <c r="K48" i="13"/>
  <c r="N48" i="13" s="1"/>
  <c r="L48" i="13"/>
  <c r="M48" i="13"/>
  <c r="K49" i="13"/>
  <c r="L49" i="13"/>
  <c r="C160" i="13" s="1"/>
  <c r="M49" i="13"/>
  <c r="K50" i="13"/>
  <c r="L50" i="13"/>
  <c r="M50" i="13"/>
  <c r="K51" i="13"/>
  <c r="L51" i="13"/>
  <c r="M51" i="13"/>
  <c r="K52" i="13"/>
  <c r="L52" i="13"/>
  <c r="M52" i="13"/>
  <c r="N52" i="13"/>
  <c r="K53" i="13"/>
  <c r="L53" i="13"/>
  <c r="M53" i="13"/>
  <c r="D162" i="13"/>
  <c r="K54" i="13"/>
  <c r="L54" i="13"/>
  <c r="M54" i="13"/>
  <c r="N54" i="13" s="1"/>
  <c r="K55" i="13"/>
  <c r="L55" i="13"/>
  <c r="C163" i="13" s="1"/>
  <c r="M55" i="13"/>
  <c r="D163" i="13" s="1"/>
  <c r="K56" i="13"/>
  <c r="L56" i="13"/>
  <c r="M56" i="13"/>
  <c r="D164" i="13" s="1"/>
  <c r="K57" i="13"/>
  <c r="N57" i="13" s="1"/>
  <c r="L57" i="13"/>
  <c r="C164" i="13" s="1"/>
  <c r="M57" i="13"/>
  <c r="K58" i="13"/>
  <c r="L58" i="13"/>
  <c r="C165" i="13" s="1"/>
  <c r="M58" i="13"/>
  <c r="D165" i="13" s="1"/>
  <c r="K59" i="13"/>
  <c r="L59" i="13"/>
  <c r="M59" i="13"/>
  <c r="K60" i="13"/>
  <c r="L60" i="13"/>
  <c r="M60" i="13"/>
  <c r="D166" i="13" s="1"/>
  <c r="K61" i="13"/>
  <c r="L61" i="13"/>
  <c r="M61" i="13"/>
  <c r="K62" i="13"/>
  <c r="L62" i="13"/>
  <c r="M62" i="13"/>
  <c r="W196" i="13"/>
  <c r="M124" i="13"/>
  <c r="M125" i="13"/>
  <c r="K124" i="13"/>
  <c r="L124" i="13"/>
  <c r="K125" i="13"/>
  <c r="L125" i="13"/>
  <c r="T159" i="13"/>
  <c r="U159" i="13"/>
  <c r="T160" i="13"/>
  <c r="U160" i="13"/>
  <c r="T161" i="13"/>
  <c r="U161" i="13"/>
  <c r="T162" i="13"/>
  <c r="U162" i="13"/>
  <c r="T163" i="13"/>
  <c r="W163" i="13" s="1"/>
  <c r="U163" i="13"/>
  <c r="T164" i="13"/>
  <c r="U164" i="13"/>
  <c r="T165" i="13"/>
  <c r="U165" i="13"/>
  <c r="T166" i="13"/>
  <c r="U166" i="13"/>
  <c r="T167" i="13"/>
  <c r="U167" i="13"/>
  <c r="T168" i="13"/>
  <c r="U168" i="13"/>
  <c r="T169" i="13"/>
  <c r="U169" i="13"/>
  <c r="T170" i="13"/>
  <c r="U170" i="13"/>
  <c r="T171" i="13"/>
  <c r="U171" i="13"/>
  <c r="T172" i="13"/>
  <c r="U172" i="13"/>
  <c r="T173" i="13"/>
  <c r="U173" i="13"/>
  <c r="T174" i="13"/>
  <c r="U174" i="13"/>
  <c r="T176" i="13"/>
  <c r="U176" i="13"/>
  <c r="T180" i="13"/>
  <c r="U180" i="13"/>
  <c r="T184" i="13"/>
  <c r="U184" i="13"/>
  <c r="T188" i="13"/>
  <c r="U188" i="13"/>
  <c r="T189" i="13"/>
  <c r="U189" i="13"/>
  <c r="T190" i="13"/>
  <c r="U190" i="13"/>
  <c r="T192" i="13"/>
  <c r="U192" i="13"/>
  <c r="T193" i="13"/>
  <c r="U193" i="13"/>
  <c r="T195" i="13"/>
  <c r="U195" i="13"/>
  <c r="T196" i="13"/>
  <c r="U196" i="13"/>
  <c r="S195" i="13"/>
  <c r="W195" i="13" s="1"/>
  <c r="S193" i="13"/>
  <c r="S192" i="13"/>
  <c r="S190" i="13"/>
  <c r="W190" i="13" s="1"/>
  <c r="S189" i="13"/>
  <c r="W189" i="13" s="1"/>
  <c r="S188" i="13"/>
  <c r="W188" i="13" s="1"/>
  <c r="S184" i="13"/>
  <c r="S180" i="13"/>
  <c r="W180" i="13" s="1"/>
  <c r="S176" i="13"/>
  <c r="W176" i="13" s="1"/>
  <c r="S174" i="13"/>
  <c r="W174" i="13" s="1"/>
  <c r="S173" i="13"/>
  <c r="S172" i="13"/>
  <c r="S171" i="13"/>
  <c r="W171" i="13"/>
  <c r="S170" i="13"/>
  <c r="W170" i="13" s="1"/>
  <c r="S169" i="13"/>
  <c r="S168" i="13"/>
  <c r="W168" i="13" s="1"/>
  <c r="S167" i="13"/>
  <c r="W167" i="13" s="1"/>
  <c r="S166" i="13"/>
  <c r="W166" i="13" s="1"/>
  <c r="S165" i="13"/>
  <c r="S164" i="13"/>
  <c r="W164" i="13" s="1"/>
  <c r="S163" i="13"/>
  <c r="S162" i="13"/>
  <c r="S161" i="13"/>
  <c r="W161" i="13" s="1"/>
  <c r="S160" i="13"/>
  <c r="B164" i="13"/>
  <c r="T132" i="14"/>
  <c r="U132" i="14"/>
  <c r="T133" i="14"/>
  <c r="U133" i="14"/>
  <c r="T134" i="14"/>
  <c r="U134" i="14"/>
  <c r="T135" i="14"/>
  <c r="U135" i="14"/>
  <c r="T136" i="14"/>
  <c r="U136" i="14"/>
  <c r="T137" i="14"/>
  <c r="U137" i="14"/>
  <c r="T138" i="14"/>
  <c r="U138" i="14"/>
  <c r="T139" i="14"/>
  <c r="U139" i="14"/>
  <c r="T140" i="14"/>
  <c r="U140" i="14"/>
  <c r="T141" i="14"/>
  <c r="U141" i="14"/>
  <c r="T142" i="14"/>
  <c r="U142" i="14"/>
  <c r="T143" i="14"/>
  <c r="U143" i="14"/>
  <c r="T144" i="14"/>
  <c r="U144" i="14"/>
  <c r="T145" i="14"/>
  <c r="U145" i="14"/>
  <c r="T146" i="14"/>
  <c r="U146" i="14"/>
  <c r="T147" i="14"/>
  <c r="U147" i="14"/>
  <c r="T148" i="14"/>
  <c r="U148" i="14"/>
  <c r="T149" i="14"/>
  <c r="U149" i="14"/>
  <c r="T150" i="14"/>
  <c r="U150" i="14"/>
  <c r="T151" i="14"/>
  <c r="U151" i="14"/>
  <c r="T152" i="14"/>
  <c r="U152" i="14"/>
  <c r="T153" i="14"/>
  <c r="U153" i="14"/>
  <c r="T154" i="14"/>
  <c r="U154" i="14"/>
  <c r="T155" i="14"/>
  <c r="U155" i="14"/>
  <c r="W155" i="14"/>
  <c r="T156" i="14"/>
  <c r="U156" i="14"/>
  <c r="T157" i="14"/>
  <c r="U157" i="14"/>
  <c r="T158" i="14"/>
  <c r="U158" i="14"/>
  <c r="T159" i="14"/>
  <c r="U159" i="14"/>
  <c r="T160" i="14"/>
  <c r="U160" i="14"/>
  <c r="T164" i="14"/>
  <c r="U164" i="14"/>
  <c r="T168" i="14"/>
  <c r="U168" i="14"/>
  <c r="T172" i="14"/>
  <c r="U172" i="14"/>
  <c r="T176" i="14"/>
  <c r="U176" i="14"/>
  <c r="T177" i="14"/>
  <c r="U177" i="14"/>
  <c r="T178" i="14"/>
  <c r="U178" i="14"/>
  <c r="T179" i="14"/>
  <c r="U179" i="14"/>
  <c r="T180" i="14"/>
  <c r="U180" i="14"/>
  <c r="T181" i="14"/>
  <c r="U181" i="14"/>
  <c r="T182" i="14"/>
  <c r="W182" i="14" s="1"/>
  <c r="U182" i="14"/>
  <c r="T183" i="14"/>
  <c r="U183" i="14"/>
  <c r="T184" i="14"/>
  <c r="U184" i="14"/>
  <c r="S184" i="14"/>
  <c r="W184" i="14"/>
  <c r="S183" i="14"/>
  <c r="S182" i="14"/>
  <c r="S181" i="14"/>
  <c r="W181" i="14" s="1"/>
  <c r="S180" i="14"/>
  <c r="S179" i="14"/>
  <c r="S178" i="14"/>
  <c r="S177" i="14"/>
  <c r="W177" i="14" s="1"/>
  <c r="S176" i="14"/>
  <c r="W176" i="14"/>
  <c r="S172" i="14"/>
  <c r="S168" i="14"/>
  <c r="S164" i="14"/>
  <c r="W164" i="14" s="1"/>
  <c r="S160" i="14"/>
  <c r="S159" i="14"/>
  <c r="W159" i="14" s="1"/>
  <c r="S158" i="14"/>
  <c r="W158" i="14"/>
  <c r="S157" i="14"/>
  <c r="S156" i="14"/>
  <c r="S155" i="14"/>
  <c r="S154" i="14"/>
  <c r="S153" i="14"/>
  <c r="S152" i="14"/>
  <c r="S151" i="14"/>
  <c r="S150" i="14"/>
  <c r="W150" i="14" s="1"/>
  <c r="S149" i="14"/>
  <c r="S148" i="14"/>
  <c r="S147" i="14"/>
  <c r="W147" i="14" s="1"/>
  <c r="S146" i="14"/>
  <c r="S145" i="14"/>
  <c r="S144" i="14"/>
  <c r="S143" i="14"/>
  <c r="W143" i="14" s="1"/>
  <c r="S142" i="14"/>
  <c r="W142" i="14"/>
  <c r="S141" i="14"/>
  <c r="S140" i="14"/>
  <c r="S139" i="14"/>
  <c r="W139" i="14" s="1"/>
  <c r="S138" i="14"/>
  <c r="S137" i="14"/>
  <c r="S136" i="14"/>
  <c r="S135" i="14"/>
  <c r="S134" i="14"/>
  <c r="W134" i="14"/>
  <c r="S133" i="14"/>
  <c r="T140" i="15"/>
  <c r="U140" i="15"/>
  <c r="T141" i="15"/>
  <c r="U141" i="15"/>
  <c r="T142" i="15"/>
  <c r="U142" i="15"/>
  <c r="T143" i="15"/>
  <c r="W143" i="15" s="1"/>
  <c r="U143" i="15"/>
  <c r="T144" i="15"/>
  <c r="U144" i="15"/>
  <c r="T145" i="15"/>
  <c r="U145" i="15"/>
  <c r="T146" i="15"/>
  <c r="U146" i="15"/>
  <c r="T147" i="15"/>
  <c r="U147" i="15"/>
  <c r="T148" i="15"/>
  <c r="U148" i="15"/>
  <c r="T149" i="15"/>
  <c r="U149" i="15"/>
  <c r="T150" i="15"/>
  <c r="U150" i="15"/>
  <c r="T151" i="15"/>
  <c r="W151" i="15" s="1"/>
  <c r="U151" i="15"/>
  <c r="T152" i="15"/>
  <c r="U152" i="15"/>
  <c r="T153" i="15"/>
  <c r="U153" i="15"/>
  <c r="T154" i="15"/>
  <c r="U154" i="15"/>
  <c r="T155" i="15"/>
  <c r="U155" i="15"/>
  <c r="T156" i="15"/>
  <c r="U156" i="15"/>
  <c r="T157" i="15"/>
  <c r="U157" i="15"/>
  <c r="T158" i="15"/>
  <c r="U158" i="15"/>
  <c r="T159" i="15"/>
  <c r="U159" i="15"/>
  <c r="T160" i="15"/>
  <c r="U160" i="15"/>
  <c r="T161" i="15"/>
  <c r="U161" i="15"/>
  <c r="T162" i="15"/>
  <c r="U162" i="15"/>
  <c r="W162" i="15" s="1"/>
  <c r="T163" i="15"/>
  <c r="U163" i="15"/>
  <c r="T164" i="15"/>
  <c r="U164" i="15"/>
  <c r="T165" i="15"/>
  <c r="U165" i="15"/>
  <c r="T166" i="15"/>
  <c r="U166" i="15"/>
  <c r="T167" i="15"/>
  <c r="U167" i="15"/>
  <c r="T168" i="15"/>
  <c r="U168" i="15"/>
  <c r="T172" i="15"/>
  <c r="U172" i="15"/>
  <c r="T175" i="15"/>
  <c r="U175" i="15"/>
  <c r="T176" i="15"/>
  <c r="U176" i="15"/>
  <c r="T180" i="15"/>
  <c r="U180" i="15"/>
  <c r="T182" i="15"/>
  <c r="U182" i="15"/>
  <c r="T184" i="15"/>
  <c r="U184" i="15"/>
  <c r="T186" i="15"/>
  <c r="U186" i="15"/>
  <c r="T187" i="15"/>
  <c r="U187" i="15"/>
  <c r="T188" i="15"/>
  <c r="U188" i="15"/>
  <c r="T189" i="15"/>
  <c r="U189" i="15"/>
  <c r="T191" i="15"/>
  <c r="U191" i="15"/>
  <c r="T192" i="15"/>
  <c r="U192" i="15"/>
  <c r="S192" i="15"/>
  <c r="W192" i="15" s="1"/>
  <c r="S191" i="15"/>
  <c r="S189" i="15"/>
  <c r="S188" i="15"/>
  <c r="S187" i="15"/>
  <c r="S186" i="15"/>
  <c r="W186" i="15" s="1"/>
  <c r="S184" i="15"/>
  <c r="S182" i="15"/>
  <c r="S180" i="15"/>
  <c r="S176" i="15"/>
  <c r="S175" i="15"/>
  <c r="W175" i="15" s="1"/>
  <c r="S172" i="15"/>
  <c r="S168" i="15"/>
  <c r="S167" i="15"/>
  <c r="S166" i="15"/>
  <c r="S165" i="15"/>
  <c r="S164" i="15"/>
  <c r="S163" i="15"/>
  <c r="S162" i="15"/>
  <c r="S161" i="15"/>
  <c r="S160" i="15"/>
  <c r="S159" i="15"/>
  <c r="S158" i="15"/>
  <c r="W158" i="15" s="1"/>
  <c r="S157" i="15"/>
  <c r="S156" i="15"/>
  <c r="S155" i="15"/>
  <c r="S154" i="15"/>
  <c r="S153" i="15"/>
  <c r="S152" i="15"/>
  <c r="S151" i="15"/>
  <c r="S150" i="15"/>
  <c r="S149" i="15"/>
  <c r="S148" i="15"/>
  <c r="S147" i="15"/>
  <c r="S146" i="15"/>
  <c r="S145" i="15"/>
  <c r="W145" i="15" s="1"/>
  <c r="S144" i="15"/>
  <c r="S143" i="15"/>
  <c r="S142" i="15"/>
  <c r="S141" i="15"/>
  <c r="R111" i="15"/>
  <c r="M111" i="15"/>
  <c r="L111" i="15"/>
  <c r="K111" i="15"/>
  <c r="R85" i="15"/>
  <c r="M85" i="15"/>
  <c r="L85" i="15"/>
  <c r="K85" i="15"/>
  <c r="R123" i="15"/>
  <c r="M123" i="15"/>
  <c r="L123" i="15"/>
  <c r="R100" i="15"/>
  <c r="M100" i="15"/>
  <c r="L100" i="15"/>
  <c r="K100" i="15"/>
  <c r="N100" i="15" s="1"/>
  <c r="N74" i="15"/>
  <c r="M104" i="24"/>
  <c r="R82" i="18"/>
  <c r="K82" i="18"/>
  <c r="L82" i="18"/>
  <c r="M82" i="18"/>
  <c r="L138" i="8"/>
  <c r="W147" i="8"/>
  <c r="W155" i="8"/>
  <c r="W156" i="8"/>
  <c r="W187" i="8"/>
  <c r="T138" i="8"/>
  <c r="W138" i="8" s="1"/>
  <c r="U138" i="8"/>
  <c r="T139" i="8"/>
  <c r="U139" i="8"/>
  <c r="W139" i="8" s="1"/>
  <c r="T140" i="8"/>
  <c r="U140" i="8"/>
  <c r="T141" i="8"/>
  <c r="U141" i="8"/>
  <c r="T142" i="8"/>
  <c r="U142" i="8"/>
  <c r="T143" i="8"/>
  <c r="U143" i="8"/>
  <c r="T144" i="8"/>
  <c r="U144" i="8"/>
  <c r="T145" i="8"/>
  <c r="U145" i="8"/>
  <c r="T146" i="8"/>
  <c r="U146" i="8"/>
  <c r="T147" i="8"/>
  <c r="U147" i="8"/>
  <c r="T148" i="8"/>
  <c r="U148" i="8"/>
  <c r="T149" i="8"/>
  <c r="U149" i="8"/>
  <c r="T150" i="8"/>
  <c r="U150" i="8"/>
  <c r="T151" i="8"/>
  <c r="U151" i="8"/>
  <c r="T152" i="8"/>
  <c r="U152" i="8"/>
  <c r="T153" i="8"/>
  <c r="U153" i="8"/>
  <c r="T154" i="8"/>
  <c r="U154" i="8"/>
  <c r="T155" i="8"/>
  <c r="U155" i="8"/>
  <c r="T156" i="8"/>
  <c r="U156" i="8"/>
  <c r="T157" i="8"/>
  <c r="U157" i="8"/>
  <c r="T158" i="8"/>
  <c r="U158" i="8"/>
  <c r="T159" i="8"/>
  <c r="U159" i="8"/>
  <c r="T160" i="8"/>
  <c r="U160" i="8"/>
  <c r="T161" i="8"/>
  <c r="U161" i="8"/>
  <c r="T162" i="8"/>
  <c r="U162" i="8"/>
  <c r="T163" i="8"/>
  <c r="U163" i="8"/>
  <c r="W163" i="8" s="1"/>
  <c r="T164" i="8"/>
  <c r="U164" i="8"/>
  <c r="T165" i="8"/>
  <c r="U165" i="8"/>
  <c r="T166" i="8"/>
  <c r="U166" i="8"/>
  <c r="T170" i="8"/>
  <c r="U170" i="8"/>
  <c r="T174" i="8"/>
  <c r="U174" i="8"/>
  <c r="T178" i="8"/>
  <c r="U178" i="8"/>
  <c r="T180" i="8"/>
  <c r="U180" i="8"/>
  <c r="T181" i="8"/>
  <c r="U181" i="8"/>
  <c r="T182" i="8"/>
  <c r="U182" i="8"/>
  <c r="T184" i="8"/>
  <c r="U184" i="8"/>
  <c r="T186" i="8"/>
  <c r="U186" i="8"/>
  <c r="T187" i="8"/>
  <c r="U187" i="8"/>
  <c r="T189" i="8"/>
  <c r="U189" i="8"/>
  <c r="T190" i="8"/>
  <c r="U190" i="8"/>
  <c r="S190" i="8"/>
  <c r="W190" i="8" s="1"/>
  <c r="S189" i="8"/>
  <c r="W189" i="8" s="1"/>
  <c r="S187" i="8"/>
  <c r="S186" i="8"/>
  <c r="W186" i="8" s="1"/>
  <c r="S184" i="8"/>
  <c r="S182" i="8"/>
  <c r="W182" i="8" s="1"/>
  <c r="S181" i="8"/>
  <c r="W181" i="8" s="1"/>
  <c r="S180" i="8"/>
  <c r="S178" i="8"/>
  <c r="W178" i="8" s="1"/>
  <c r="S174" i="8"/>
  <c r="W174" i="8" s="1"/>
  <c r="S170" i="8"/>
  <c r="W170" i="8" s="1"/>
  <c r="S166" i="8"/>
  <c r="W166" i="8" s="1"/>
  <c r="S165" i="8"/>
  <c r="W165" i="8" s="1"/>
  <c r="S164" i="8"/>
  <c r="W164" i="8" s="1"/>
  <c r="S163" i="8"/>
  <c r="S162" i="8"/>
  <c r="W162" i="8" s="1"/>
  <c r="S161" i="8"/>
  <c r="W161" i="8" s="1"/>
  <c r="S160" i="8"/>
  <c r="S159" i="8"/>
  <c r="W159" i="8" s="1"/>
  <c r="S158" i="8"/>
  <c r="W158" i="8" s="1"/>
  <c r="S157" i="8"/>
  <c r="W157" i="8" s="1"/>
  <c r="S156" i="8"/>
  <c r="S155" i="8"/>
  <c r="S154" i="8"/>
  <c r="W154" i="8" s="1"/>
  <c r="S153" i="8"/>
  <c r="W153" i="8" s="1"/>
  <c r="S152" i="8"/>
  <c r="S151" i="8"/>
  <c r="W151" i="8" s="1"/>
  <c r="S150" i="8"/>
  <c r="W150" i="8" s="1"/>
  <c r="S149" i="8"/>
  <c r="W149" i="8" s="1"/>
  <c r="S148" i="8"/>
  <c r="W148" i="8" s="1"/>
  <c r="S147" i="8"/>
  <c r="S146" i="8"/>
  <c r="W146" i="8" s="1"/>
  <c r="S145" i="8"/>
  <c r="W145" i="8" s="1"/>
  <c r="S144" i="8"/>
  <c r="S143" i="8"/>
  <c r="W143" i="8" s="1"/>
  <c r="S142" i="8"/>
  <c r="W142" i="8" s="1"/>
  <c r="S141" i="8"/>
  <c r="W141" i="8" s="1"/>
  <c r="S140" i="8"/>
  <c r="W140" i="8" s="1"/>
  <c r="S139" i="8"/>
  <c r="R102" i="8"/>
  <c r="M102" i="8"/>
  <c r="L102" i="8"/>
  <c r="K102" i="8"/>
  <c r="N102" i="8" s="1"/>
  <c r="R99" i="8"/>
  <c r="M99" i="8"/>
  <c r="N99" i="8" s="1"/>
  <c r="L99" i="8"/>
  <c r="K99" i="8"/>
  <c r="N74" i="8"/>
  <c r="U192" i="22"/>
  <c r="T192" i="22"/>
  <c r="S192" i="22"/>
  <c r="U191" i="22"/>
  <c r="T191" i="22"/>
  <c r="S191" i="22"/>
  <c r="W191" i="22" s="1"/>
  <c r="U190" i="22"/>
  <c r="T190" i="22"/>
  <c r="S190" i="22"/>
  <c r="U188" i="22"/>
  <c r="T188" i="22"/>
  <c r="W188" i="22" s="1"/>
  <c r="S188" i="22"/>
  <c r="U187" i="22"/>
  <c r="T187" i="22"/>
  <c r="W187" i="22"/>
  <c r="S187" i="22"/>
  <c r="U184" i="22"/>
  <c r="T184" i="22"/>
  <c r="W184" i="22" s="1"/>
  <c r="S184" i="22"/>
  <c r="U180" i="22"/>
  <c r="T180" i="22"/>
  <c r="W180" i="22"/>
  <c r="S180" i="22"/>
  <c r="U176" i="22"/>
  <c r="T176" i="22"/>
  <c r="S176" i="22"/>
  <c r="U172" i="22"/>
  <c r="T172" i="22"/>
  <c r="S172" i="22"/>
  <c r="U168" i="22"/>
  <c r="T168" i="22"/>
  <c r="S168" i="22"/>
  <c r="U166" i="22"/>
  <c r="T166" i="22"/>
  <c r="S166" i="22"/>
  <c r="W166" i="22"/>
  <c r="L166" i="22"/>
  <c r="U164" i="22"/>
  <c r="T164" i="22"/>
  <c r="S164" i="22"/>
  <c r="U163" i="22"/>
  <c r="T163" i="22"/>
  <c r="S163" i="22"/>
  <c r="U162" i="22"/>
  <c r="T162" i="22"/>
  <c r="S162" i="22"/>
  <c r="H162" i="22"/>
  <c r="U160" i="22"/>
  <c r="T160" i="22"/>
  <c r="S160" i="22"/>
  <c r="U158" i="22"/>
  <c r="T158" i="22"/>
  <c r="S158" i="22"/>
  <c r="L158" i="22"/>
  <c r="J158" i="22"/>
  <c r="H158" i="22"/>
  <c r="U156" i="22"/>
  <c r="T156" i="22"/>
  <c r="S156" i="22"/>
  <c r="U152" i="22"/>
  <c r="T152" i="22"/>
  <c r="W152" i="22" s="1"/>
  <c r="S152" i="22"/>
  <c r="U151" i="22"/>
  <c r="T151" i="22"/>
  <c r="W151" i="22" s="1"/>
  <c r="S151" i="22"/>
  <c r="U150" i="22"/>
  <c r="T150" i="22"/>
  <c r="S150" i="22"/>
  <c r="U147" i="22"/>
  <c r="T147" i="22"/>
  <c r="S147" i="22"/>
  <c r="U144" i="22"/>
  <c r="T144" i="22"/>
  <c r="S144" i="22"/>
  <c r="U142" i="22"/>
  <c r="T142" i="22"/>
  <c r="S142" i="22"/>
  <c r="W142" i="22"/>
  <c r="J142" i="22"/>
  <c r="H142" i="22"/>
  <c r="U140" i="22"/>
  <c r="T140" i="22"/>
  <c r="S140" i="22"/>
  <c r="M124" i="22"/>
  <c r="L124" i="22"/>
  <c r="K124" i="22"/>
  <c r="M123" i="22"/>
  <c r="L123" i="22"/>
  <c r="C192" i="22" s="1"/>
  <c r="K123" i="22"/>
  <c r="M122" i="22"/>
  <c r="L122" i="22"/>
  <c r="K122" i="22"/>
  <c r="M121" i="22"/>
  <c r="D191" i="22" s="1"/>
  <c r="L121" i="22"/>
  <c r="C191" i="22"/>
  <c r="K121" i="22"/>
  <c r="M120" i="22"/>
  <c r="L120" i="22"/>
  <c r="K120" i="22"/>
  <c r="N120" i="22"/>
  <c r="M119" i="22"/>
  <c r="D190" i="22"/>
  <c r="L119" i="22"/>
  <c r="C190" i="22" s="1"/>
  <c r="K119" i="22"/>
  <c r="B190" i="22" s="1"/>
  <c r="M118" i="22"/>
  <c r="L118" i="22"/>
  <c r="K118" i="22"/>
  <c r="B189" i="22"/>
  <c r="N118" i="22"/>
  <c r="E118" i="22"/>
  <c r="M117" i="22"/>
  <c r="D189" i="22" s="1"/>
  <c r="L117" i="22"/>
  <c r="K117" i="22"/>
  <c r="M116" i="22"/>
  <c r="L116" i="22"/>
  <c r="C188" i="22"/>
  <c r="K116" i="22"/>
  <c r="M115" i="22"/>
  <c r="D188" i="22" s="1"/>
  <c r="L115" i="22"/>
  <c r="K115" i="22"/>
  <c r="B188" i="22" s="1"/>
  <c r="M114" i="22"/>
  <c r="D187" i="22" s="1"/>
  <c r="L114" i="22"/>
  <c r="K114" i="22"/>
  <c r="M113" i="22"/>
  <c r="L113" i="22"/>
  <c r="C187" i="22" s="1"/>
  <c r="K113" i="22"/>
  <c r="B187" i="22" s="1"/>
  <c r="N113" i="22"/>
  <c r="M112" i="22"/>
  <c r="L112" i="22"/>
  <c r="K112" i="22"/>
  <c r="N112" i="22"/>
  <c r="M110" i="22"/>
  <c r="L110" i="22"/>
  <c r="C186" i="22" s="1"/>
  <c r="K110" i="22"/>
  <c r="B186" i="22"/>
  <c r="M109" i="22"/>
  <c r="L109" i="22"/>
  <c r="K109" i="22"/>
  <c r="E109" i="22"/>
  <c r="T185" i="22"/>
  <c r="M108" i="22"/>
  <c r="D185" i="22" s="1"/>
  <c r="L108" i="22"/>
  <c r="C185" i="22" s="1"/>
  <c r="K108" i="22"/>
  <c r="B185" i="22"/>
  <c r="M107" i="22"/>
  <c r="L107" i="22"/>
  <c r="C184" i="22" s="1"/>
  <c r="K107" i="22"/>
  <c r="N107" i="22" s="1"/>
  <c r="M106" i="22"/>
  <c r="D184" i="22" s="1"/>
  <c r="L106" i="22"/>
  <c r="K106" i="22"/>
  <c r="N106" i="22"/>
  <c r="M105" i="22"/>
  <c r="L105" i="22"/>
  <c r="K105" i="22"/>
  <c r="E105" i="22"/>
  <c r="U183" i="22"/>
  <c r="M104" i="22"/>
  <c r="L104" i="22"/>
  <c r="C183" i="22" s="1"/>
  <c r="K104" i="22"/>
  <c r="M103" i="22"/>
  <c r="L103" i="22"/>
  <c r="K103" i="22"/>
  <c r="E103" i="22"/>
  <c r="U182" i="22" s="1"/>
  <c r="M102" i="22"/>
  <c r="L102" i="22"/>
  <c r="K102" i="22"/>
  <c r="M101" i="22"/>
  <c r="L101" i="22"/>
  <c r="K101" i="22"/>
  <c r="N101" i="22" s="1"/>
  <c r="E101" i="22"/>
  <c r="M100" i="22"/>
  <c r="D181" i="22" s="1"/>
  <c r="L100" i="22"/>
  <c r="K100" i="22"/>
  <c r="M99" i="22"/>
  <c r="L99" i="22"/>
  <c r="K99" i="22"/>
  <c r="M98" i="22"/>
  <c r="D180" i="22" s="1"/>
  <c r="L98" i="22"/>
  <c r="K98" i="22"/>
  <c r="M97" i="22"/>
  <c r="L97" i="22"/>
  <c r="K97" i="22"/>
  <c r="E97" i="22"/>
  <c r="H179" i="22"/>
  <c r="M96" i="22"/>
  <c r="D179" i="22" s="1"/>
  <c r="L96" i="22"/>
  <c r="C179" i="22" s="1"/>
  <c r="K96" i="22"/>
  <c r="M95" i="22"/>
  <c r="L95" i="22"/>
  <c r="K95" i="22"/>
  <c r="T178" i="22"/>
  <c r="M94" i="22"/>
  <c r="D178" i="22" s="1"/>
  <c r="L94" i="22"/>
  <c r="K94" i="22"/>
  <c r="B178" i="22" s="1"/>
  <c r="N94" i="22"/>
  <c r="M93" i="22"/>
  <c r="L93" i="22"/>
  <c r="K93" i="22"/>
  <c r="M92" i="22"/>
  <c r="D177" i="22" s="1"/>
  <c r="L92" i="22"/>
  <c r="C177" i="22"/>
  <c r="K92" i="22"/>
  <c r="B177" i="22" s="1"/>
  <c r="E177" i="22" s="1"/>
  <c r="M91" i="22"/>
  <c r="L91" i="22"/>
  <c r="K91" i="22"/>
  <c r="M90" i="22"/>
  <c r="D176" i="22" s="1"/>
  <c r="L90" i="22"/>
  <c r="C176" i="22" s="1"/>
  <c r="K90" i="22"/>
  <c r="B176" i="22" s="1"/>
  <c r="E176" i="22" s="1"/>
  <c r="M89" i="22"/>
  <c r="L89" i="22"/>
  <c r="K89" i="22"/>
  <c r="E89" i="22"/>
  <c r="M88" i="22"/>
  <c r="L88" i="22"/>
  <c r="C175" i="22" s="1"/>
  <c r="K88" i="22"/>
  <c r="M87" i="22"/>
  <c r="L87" i="22"/>
  <c r="K87" i="22"/>
  <c r="E87" i="22"/>
  <c r="T174" i="22"/>
  <c r="M86" i="22"/>
  <c r="L86" i="22"/>
  <c r="K86" i="22"/>
  <c r="B174" i="22" s="1"/>
  <c r="M85" i="22"/>
  <c r="L85" i="22"/>
  <c r="K85" i="22"/>
  <c r="N85" i="22"/>
  <c r="E85" i="22"/>
  <c r="M84" i="22"/>
  <c r="D173" i="22" s="1"/>
  <c r="L84" i="22"/>
  <c r="C173" i="22" s="1"/>
  <c r="K84" i="22"/>
  <c r="M83" i="22"/>
  <c r="L83" i="22"/>
  <c r="K83" i="22"/>
  <c r="N83" i="22" s="1"/>
  <c r="M82" i="22"/>
  <c r="D172" i="22"/>
  <c r="L82" i="22"/>
  <c r="C172" i="22"/>
  <c r="K82" i="22"/>
  <c r="M81" i="22"/>
  <c r="L81" i="22"/>
  <c r="K81" i="22"/>
  <c r="N81" i="22"/>
  <c r="E81" i="22"/>
  <c r="M80" i="22"/>
  <c r="L80" i="22"/>
  <c r="K80" i="22"/>
  <c r="M79" i="22"/>
  <c r="D170" i="22"/>
  <c r="L79" i="22"/>
  <c r="K79" i="22"/>
  <c r="N79" i="22"/>
  <c r="E79" i="22"/>
  <c r="M78" i="22"/>
  <c r="L78" i="22"/>
  <c r="K78" i="22"/>
  <c r="N78" i="22"/>
  <c r="M77" i="22"/>
  <c r="L77" i="22"/>
  <c r="K77" i="22"/>
  <c r="E77" i="22"/>
  <c r="H169" i="22" s="1"/>
  <c r="U169" i="22"/>
  <c r="M76" i="22"/>
  <c r="D169" i="22" s="1"/>
  <c r="L76" i="22"/>
  <c r="C169" i="22" s="1"/>
  <c r="K76" i="22"/>
  <c r="M75" i="22"/>
  <c r="D168" i="22" s="1"/>
  <c r="L75" i="22"/>
  <c r="K75" i="22"/>
  <c r="M74" i="22"/>
  <c r="L74" i="22"/>
  <c r="C168" i="22"/>
  <c r="K74" i="22"/>
  <c r="M73" i="22"/>
  <c r="L73" i="22"/>
  <c r="K73" i="22"/>
  <c r="N73" i="22" s="1"/>
  <c r="E73" i="22"/>
  <c r="B167" i="22" s="1"/>
  <c r="M72" i="22"/>
  <c r="D167" i="22"/>
  <c r="L72" i="22"/>
  <c r="K72" i="22"/>
  <c r="M71" i="22"/>
  <c r="L71" i="22"/>
  <c r="K71" i="22"/>
  <c r="M70" i="22"/>
  <c r="L70" i="22"/>
  <c r="C166" i="22" s="1"/>
  <c r="K70" i="22"/>
  <c r="M69" i="22"/>
  <c r="L69" i="22"/>
  <c r="N69" i="22"/>
  <c r="K69" i="22"/>
  <c r="E69" i="22"/>
  <c r="B165" i="22" s="1"/>
  <c r="S165" i="22"/>
  <c r="M68" i="22"/>
  <c r="D165" i="22" s="1"/>
  <c r="L68" i="22"/>
  <c r="K68" i="22"/>
  <c r="N68" i="22" s="1"/>
  <c r="M67" i="22"/>
  <c r="L67" i="22"/>
  <c r="K67" i="22"/>
  <c r="M66" i="22"/>
  <c r="L66" i="22"/>
  <c r="K66" i="22"/>
  <c r="N66" i="22" s="1"/>
  <c r="M65" i="22"/>
  <c r="L65" i="22"/>
  <c r="K65" i="22"/>
  <c r="B163" i="22" s="1"/>
  <c r="M64" i="22"/>
  <c r="D163" i="22"/>
  <c r="L64" i="22"/>
  <c r="K64" i="22"/>
  <c r="N64" i="22"/>
  <c r="M63" i="22"/>
  <c r="L63" i="22"/>
  <c r="K63" i="22"/>
  <c r="M62" i="22"/>
  <c r="D162" i="22" s="1"/>
  <c r="L62" i="22"/>
  <c r="C162" i="22"/>
  <c r="K62" i="22"/>
  <c r="M61" i="22"/>
  <c r="L61" i="22"/>
  <c r="K61" i="22"/>
  <c r="N61" i="22"/>
  <c r="E61" i="22"/>
  <c r="T161" i="22" s="1"/>
  <c r="M60" i="22"/>
  <c r="L60" i="22"/>
  <c r="K60" i="22"/>
  <c r="N60" i="22" s="1"/>
  <c r="M59" i="22"/>
  <c r="D160" i="22" s="1"/>
  <c r="L59" i="22"/>
  <c r="K59" i="22"/>
  <c r="N59" i="22" s="1"/>
  <c r="M58" i="22"/>
  <c r="L58" i="22"/>
  <c r="K58" i="22"/>
  <c r="M57" i="22"/>
  <c r="L57" i="22"/>
  <c r="K57" i="22"/>
  <c r="N57" i="22" s="1"/>
  <c r="E57" i="22"/>
  <c r="M56" i="22"/>
  <c r="D159" i="22" s="1"/>
  <c r="L56" i="22"/>
  <c r="K56" i="22"/>
  <c r="M55" i="22"/>
  <c r="L55" i="22"/>
  <c r="K55" i="22"/>
  <c r="N55" i="22"/>
  <c r="M54" i="22"/>
  <c r="L54" i="22"/>
  <c r="C158" i="22" s="1"/>
  <c r="K54" i="22"/>
  <c r="M53" i="22"/>
  <c r="D158" i="22"/>
  <c r="L53" i="22"/>
  <c r="K53" i="22"/>
  <c r="M52" i="22"/>
  <c r="L52" i="22"/>
  <c r="K52" i="22"/>
  <c r="N52" i="22" s="1"/>
  <c r="E52" i="22"/>
  <c r="T157" i="22" s="1"/>
  <c r="M51" i="22"/>
  <c r="D157" i="22"/>
  <c r="L51" i="22"/>
  <c r="C157" i="22"/>
  <c r="K51" i="22"/>
  <c r="N51" i="22"/>
  <c r="M50" i="22"/>
  <c r="L50" i="22"/>
  <c r="K50" i="22"/>
  <c r="M49" i="22"/>
  <c r="D156" i="22" s="1"/>
  <c r="L49" i="22"/>
  <c r="C156" i="22" s="1"/>
  <c r="K49" i="22"/>
  <c r="B156" i="22" s="1"/>
  <c r="M48" i="22"/>
  <c r="L48" i="22"/>
  <c r="K48" i="22"/>
  <c r="E48" i="22"/>
  <c r="D155" i="22" s="1"/>
  <c r="M47" i="22"/>
  <c r="L47" i="22"/>
  <c r="K47" i="22"/>
  <c r="N47" i="22"/>
  <c r="M46" i="22"/>
  <c r="L46" i="22"/>
  <c r="K46" i="22"/>
  <c r="M45" i="22"/>
  <c r="L45" i="22"/>
  <c r="K45" i="22"/>
  <c r="N45" i="22"/>
  <c r="M43" i="22"/>
  <c r="D154" i="22"/>
  <c r="L43" i="22"/>
  <c r="C154" i="22" s="1"/>
  <c r="K43" i="22"/>
  <c r="M42" i="22"/>
  <c r="L42" i="22"/>
  <c r="K42" i="22"/>
  <c r="N42" i="22"/>
  <c r="E42" i="22"/>
  <c r="S153" i="22"/>
  <c r="U153" i="22"/>
  <c r="M41" i="22"/>
  <c r="L41" i="22"/>
  <c r="K41" i="22"/>
  <c r="N41" i="22" s="1"/>
  <c r="M40" i="22"/>
  <c r="L40" i="22"/>
  <c r="K40" i="22"/>
  <c r="N40" i="22"/>
  <c r="M39" i="22"/>
  <c r="L39" i="22"/>
  <c r="K39" i="22"/>
  <c r="M38" i="22"/>
  <c r="D152" i="22"/>
  <c r="L38" i="22"/>
  <c r="C152" i="22"/>
  <c r="K38" i="22"/>
  <c r="M37" i="22"/>
  <c r="L37" i="22"/>
  <c r="K37" i="22"/>
  <c r="N37" i="22" s="1"/>
  <c r="M36" i="22"/>
  <c r="D151" i="22" s="1"/>
  <c r="L36" i="22"/>
  <c r="C151" i="22" s="1"/>
  <c r="K36" i="22"/>
  <c r="M35" i="22"/>
  <c r="L35" i="22"/>
  <c r="K35" i="22"/>
  <c r="N35" i="22" s="1"/>
  <c r="M34" i="22"/>
  <c r="D150" i="22" s="1"/>
  <c r="L34" i="22"/>
  <c r="C150" i="22" s="1"/>
  <c r="K34" i="22"/>
  <c r="M33" i="22"/>
  <c r="L33" i="22"/>
  <c r="K33" i="22"/>
  <c r="N33" i="22" s="1"/>
  <c r="E33" i="22"/>
  <c r="L149" i="22" s="1"/>
  <c r="M32" i="22"/>
  <c r="L32" i="22"/>
  <c r="K32" i="22"/>
  <c r="N32" i="22" s="1"/>
  <c r="M31" i="22"/>
  <c r="L31" i="22"/>
  <c r="K31" i="22"/>
  <c r="M29" i="22"/>
  <c r="L29" i="22"/>
  <c r="K29" i="22"/>
  <c r="M28" i="22"/>
  <c r="L28" i="22"/>
  <c r="C148" i="22"/>
  <c r="K28" i="22"/>
  <c r="B148" i="22" s="1"/>
  <c r="M27" i="22"/>
  <c r="L27" i="22"/>
  <c r="K27" i="22"/>
  <c r="M26" i="22"/>
  <c r="L26" i="22"/>
  <c r="C147" i="22"/>
  <c r="K26" i="22"/>
  <c r="B147" i="22" s="1"/>
  <c r="M25" i="22"/>
  <c r="L25" i="22"/>
  <c r="K25" i="22"/>
  <c r="N25" i="22"/>
  <c r="M23" i="22"/>
  <c r="D146" i="22" s="1"/>
  <c r="L23" i="22"/>
  <c r="C146" i="22" s="1"/>
  <c r="K23" i="22"/>
  <c r="M22" i="22"/>
  <c r="L22" i="22"/>
  <c r="K22" i="22"/>
  <c r="B145" i="22" s="1"/>
  <c r="E22" i="22"/>
  <c r="J145" i="22" s="1"/>
  <c r="M21" i="22"/>
  <c r="L21" i="22"/>
  <c r="K21" i="22"/>
  <c r="M20" i="22"/>
  <c r="L20" i="22"/>
  <c r="K20" i="22"/>
  <c r="N20" i="22" s="1"/>
  <c r="M19" i="22"/>
  <c r="L19" i="22"/>
  <c r="K19" i="22"/>
  <c r="M18" i="22"/>
  <c r="L18" i="22"/>
  <c r="K18" i="22"/>
  <c r="N18" i="22"/>
  <c r="M17" i="22"/>
  <c r="D144" i="22" s="1"/>
  <c r="L17" i="22"/>
  <c r="C144" i="22" s="1"/>
  <c r="K17" i="22"/>
  <c r="M16" i="22"/>
  <c r="L16" i="22"/>
  <c r="K16" i="22"/>
  <c r="N16" i="22" s="1"/>
  <c r="E16" i="22"/>
  <c r="U143" i="22"/>
  <c r="S143" i="22"/>
  <c r="M15" i="22"/>
  <c r="D143" i="22"/>
  <c r="L15" i="22"/>
  <c r="K15" i="22"/>
  <c r="N15" i="22" s="1"/>
  <c r="M14" i="22"/>
  <c r="L14" i="22"/>
  <c r="K14" i="22"/>
  <c r="M13" i="22"/>
  <c r="N13" i="22"/>
  <c r="D142" i="22"/>
  <c r="L13" i="22"/>
  <c r="K13" i="22"/>
  <c r="M12" i="22"/>
  <c r="L12" i="22"/>
  <c r="C142" i="22"/>
  <c r="K12" i="22"/>
  <c r="M11" i="22"/>
  <c r="D141" i="22" s="1"/>
  <c r="L11" i="22"/>
  <c r="K11" i="22"/>
  <c r="E11" i="22"/>
  <c r="T141" i="22" s="1"/>
  <c r="M10" i="22"/>
  <c r="L10" i="22"/>
  <c r="C141" i="22" s="1"/>
  <c r="K10" i="22"/>
  <c r="M9" i="22"/>
  <c r="L9" i="22"/>
  <c r="K9" i="22"/>
  <c r="M8" i="22"/>
  <c r="D140" i="22"/>
  <c r="L8" i="22"/>
  <c r="C140" i="22" s="1"/>
  <c r="K8" i="22"/>
  <c r="B140" i="22" s="1"/>
  <c r="U181" i="23"/>
  <c r="T181" i="23"/>
  <c r="S181" i="23"/>
  <c r="W181" i="23"/>
  <c r="U180" i="23"/>
  <c r="T180" i="23"/>
  <c r="S180" i="23"/>
  <c r="U178" i="23"/>
  <c r="T178" i="23"/>
  <c r="S178" i="23"/>
  <c r="W178" i="23"/>
  <c r="U177" i="23"/>
  <c r="T177" i="23"/>
  <c r="S177" i="23"/>
  <c r="W177" i="23" s="1"/>
  <c r="H177" i="23"/>
  <c r="U175" i="23"/>
  <c r="T175" i="23"/>
  <c r="S175" i="23"/>
  <c r="W175" i="23" s="1"/>
  <c r="U157" i="23"/>
  <c r="T157" i="23"/>
  <c r="S157" i="23"/>
  <c r="W157" i="23"/>
  <c r="U155" i="23"/>
  <c r="T155" i="23"/>
  <c r="S155" i="23"/>
  <c r="W155" i="23" s="1"/>
  <c r="U154" i="23"/>
  <c r="T154" i="23"/>
  <c r="S154" i="23"/>
  <c r="W154" i="23" s="1"/>
  <c r="U153" i="23"/>
  <c r="T153" i="23"/>
  <c r="S153" i="23"/>
  <c r="W153" i="23"/>
  <c r="U151" i="23"/>
  <c r="T151" i="23"/>
  <c r="S151" i="23"/>
  <c r="W151" i="23"/>
  <c r="U150" i="23"/>
  <c r="T150" i="23"/>
  <c r="S150" i="23"/>
  <c r="U149" i="23"/>
  <c r="T149" i="23"/>
  <c r="S149" i="23"/>
  <c r="W149" i="23"/>
  <c r="U147" i="23"/>
  <c r="T147" i="23"/>
  <c r="S147" i="23"/>
  <c r="U146" i="23"/>
  <c r="T146" i="23"/>
  <c r="S146" i="23"/>
  <c r="W146" i="23"/>
  <c r="U144" i="23"/>
  <c r="T144" i="23"/>
  <c r="S144" i="23"/>
  <c r="U142" i="23"/>
  <c r="T142" i="23"/>
  <c r="S142" i="23"/>
  <c r="U141" i="23"/>
  <c r="T141" i="23"/>
  <c r="S141" i="23"/>
  <c r="W141" i="23" s="1"/>
  <c r="U140" i="23"/>
  <c r="T140" i="23"/>
  <c r="S140" i="23"/>
  <c r="U138" i="23"/>
  <c r="T138" i="23"/>
  <c r="S138" i="23"/>
  <c r="W138" i="23" s="1"/>
  <c r="U137" i="23"/>
  <c r="T137" i="23"/>
  <c r="S137" i="23"/>
  <c r="W137" i="23" s="1"/>
  <c r="U136" i="23"/>
  <c r="T136" i="23"/>
  <c r="S136" i="23"/>
  <c r="W136" i="23"/>
  <c r="U134" i="23"/>
  <c r="T134" i="23"/>
  <c r="S134" i="23"/>
  <c r="L134" i="23"/>
  <c r="J134" i="23"/>
  <c r="U131" i="23"/>
  <c r="T131" i="23"/>
  <c r="S131" i="23"/>
  <c r="W131" i="23"/>
  <c r="U130" i="23"/>
  <c r="T130" i="23"/>
  <c r="S130" i="23"/>
  <c r="U129" i="23"/>
  <c r="T129" i="23"/>
  <c r="R114" i="23"/>
  <c r="M114" i="23"/>
  <c r="L114" i="23"/>
  <c r="K114" i="23"/>
  <c r="N114" i="23" s="1"/>
  <c r="R113" i="23"/>
  <c r="H181" i="23" s="1"/>
  <c r="L181" i="23"/>
  <c r="M113" i="23"/>
  <c r="D181" i="23" s="1"/>
  <c r="L113" i="23"/>
  <c r="C181" i="23" s="1"/>
  <c r="K113" i="23"/>
  <c r="R112" i="23"/>
  <c r="M112" i="23"/>
  <c r="L112" i="23"/>
  <c r="C180" i="23"/>
  <c r="K112" i="23"/>
  <c r="R111" i="23"/>
  <c r="M111" i="23"/>
  <c r="D180" i="23"/>
  <c r="L111" i="23"/>
  <c r="K111" i="23"/>
  <c r="R110" i="23"/>
  <c r="M110" i="23"/>
  <c r="N110" i="23" s="1"/>
  <c r="L110" i="23"/>
  <c r="K110" i="23"/>
  <c r="E110" i="23"/>
  <c r="R109" i="23"/>
  <c r="J179" i="23" s="1"/>
  <c r="M109" i="23"/>
  <c r="L109" i="23"/>
  <c r="K109" i="23"/>
  <c r="R108" i="23"/>
  <c r="M108" i="23"/>
  <c r="L108" i="23"/>
  <c r="K108" i="23"/>
  <c r="B178" i="23"/>
  <c r="R107" i="23"/>
  <c r="H178" i="23" s="1"/>
  <c r="M107" i="23"/>
  <c r="L107" i="23"/>
  <c r="C178" i="23" s="1"/>
  <c r="K107" i="23"/>
  <c r="R106" i="23"/>
  <c r="J177" i="23" s="1"/>
  <c r="M106" i="23"/>
  <c r="D177" i="23" s="1"/>
  <c r="L106" i="23"/>
  <c r="K106" i="23"/>
  <c r="R105" i="23"/>
  <c r="L177" i="23" s="1"/>
  <c r="M105" i="23"/>
  <c r="L105" i="23"/>
  <c r="C177" i="23"/>
  <c r="K105" i="23"/>
  <c r="R104" i="23"/>
  <c r="M104" i="23"/>
  <c r="L104" i="23"/>
  <c r="K104" i="23"/>
  <c r="E104" i="23"/>
  <c r="R103" i="23"/>
  <c r="N103" i="23"/>
  <c r="M103" i="23"/>
  <c r="D176" i="23" s="1"/>
  <c r="L103" i="23"/>
  <c r="K103" i="23"/>
  <c r="R102" i="23"/>
  <c r="M102" i="23"/>
  <c r="L102" i="23"/>
  <c r="K102" i="23"/>
  <c r="N102" i="23"/>
  <c r="R101" i="23"/>
  <c r="M101" i="23"/>
  <c r="D175" i="23" s="1"/>
  <c r="L101" i="23"/>
  <c r="K101" i="23"/>
  <c r="N101" i="23" s="1"/>
  <c r="R100" i="23"/>
  <c r="M100" i="23"/>
  <c r="N100" i="23" s="1"/>
  <c r="L100" i="23"/>
  <c r="K100" i="23"/>
  <c r="E100" i="23"/>
  <c r="U174" i="23"/>
  <c r="R99" i="23"/>
  <c r="H174" i="23"/>
  <c r="M99" i="23"/>
  <c r="L99" i="23"/>
  <c r="K99" i="23"/>
  <c r="R98" i="23"/>
  <c r="L173" i="23"/>
  <c r="M98" i="23"/>
  <c r="L98" i="23"/>
  <c r="K98" i="23"/>
  <c r="E98" i="23"/>
  <c r="S173" i="23" s="1"/>
  <c r="U173" i="23"/>
  <c r="R97" i="23"/>
  <c r="M97" i="23"/>
  <c r="L97" i="23"/>
  <c r="K97" i="23"/>
  <c r="R96" i="23"/>
  <c r="M96" i="23"/>
  <c r="L96" i="23"/>
  <c r="K96" i="23"/>
  <c r="E96" i="23"/>
  <c r="R95" i="23"/>
  <c r="M95" i="23"/>
  <c r="L95" i="23"/>
  <c r="C172" i="23" s="1"/>
  <c r="K95" i="23"/>
  <c r="N95" i="23" s="1"/>
  <c r="R94" i="23"/>
  <c r="M94" i="23"/>
  <c r="L94" i="23"/>
  <c r="K94" i="23"/>
  <c r="E94" i="23"/>
  <c r="L171" i="23" s="1"/>
  <c r="S171" i="23"/>
  <c r="R93" i="23"/>
  <c r="M93" i="23"/>
  <c r="L93" i="23"/>
  <c r="K93" i="23"/>
  <c r="N93" i="23" s="1"/>
  <c r="R92" i="23"/>
  <c r="N92" i="23"/>
  <c r="M92" i="23"/>
  <c r="L92" i="23"/>
  <c r="K92" i="23"/>
  <c r="E92" i="23"/>
  <c r="U170" i="23" s="1"/>
  <c r="R91" i="23"/>
  <c r="M91" i="23"/>
  <c r="D170" i="23" s="1"/>
  <c r="L91" i="23"/>
  <c r="K91" i="23"/>
  <c r="R90" i="23"/>
  <c r="M90" i="23"/>
  <c r="L90" i="23"/>
  <c r="K90" i="23"/>
  <c r="B169" i="23" s="1"/>
  <c r="E90" i="23"/>
  <c r="R89" i="23"/>
  <c r="M89" i="23"/>
  <c r="L89" i="23"/>
  <c r="C169" i="23" s="1"/>
  <c r="K89" i="23"/>
  <c r="R88" i="23"/>
  <c r="M88" i="23"/>
  <c r="L88" i="23"/>
  <c r="K88" i="23"/>
  <c r="E88" i="23"/>
  <c r="D168" i="23"/>
  <c r="R87" i="23"/>
  <c r="M87" i="23"/>
  <c r="N87" i="23"/>
  <c r="L87" i="23"/>
  <c r="K87" i="23"/>
  <c r="R86" i="23"/>
  <c r="M86" i="23"/>
  <c r="L86" i="23"/>
  <c r="K86" i="23"/>
  <c r="E86" i="23"/>
  <c r="R85" i="23"/>
  <c r="M85" i="23"/>
  <c r="L85" i="23"/>
  <c r="K85" i="23"/>
  <c r="N85" i="23"/>
  <c r="R84" i="23"/>
  <c r="M84" i="23"/>
  <c r="L84" i="23"/>
  <c r="K84" i="23"/>
  <c r="N84" i="23" s="1"/>
  <c r="E84" i="23"/>
  <c r="U166" i="23"/>
  <c r="T166" i="23"/>
  <c r="R83" i="23"/>
  <c r="M83" i="23"/>
  <c r="L83" i="23"/>
  <c r="K83" i="23"/>
  <c r="N83" i="23" s="1"/>
  <c r="R82" i="23"/>
  <c r="M82" i="23"/>
  <c r="L82" i="23"/>
  <c r="K82" i="23"/>
  <c r="E82" i="23"/>
  <c r="S165" i="23" s="1"/>
  <c r="U165" i="23"/>
  <c r="R81" i="23"/>
  <c r="L165" i="23" s="1"/>
  <c r="M81" i="23"/>
  <c r="D165" i="23" s="1"/>
  <c r="L81" i="23"/>
  <c r="K81" i="23"/>
  <c r="N81" i="23" s="1"/>
  <c r="R80" i="23"/>
  <c r="M80" i="23"/>
  <c r="L80" i="23"/>
  <c r="K80" i="23"/>
  <c r="N80" i="23" s="1"/>
  <c r="E80" i="23"/>
  <c r="R79" i="23"/>
  <c r="M79" i="23"/>
  <c r="L79" i="23"/>
  <c r="K79" i="23"/>
  <c r="R78" i="23"/>
  <c r="N78" i="23"/>
  <c r="M78" i="23"/>
  <c r="L78" i="23"/>
  <c r="K78" i="23"/>
  <c r="E78" i="23"/>
  <c r="R77" i="23"/>
  <c r="M77" i="23"/>
  <c r="D163" i="23"/>
  <c r="L77" i="23"/>
  <c r="K77" i="23"/>
  <c r="R76" i="23"/>
  <c r="M76" i="23"/>
  <c r="L76" i="23"/>
  <c r="K76" i="23"/>
  <c r="E76" i="23"/>
  <c r="R75" i="23"/>
  <c r="H162" i="23"/>
  <c r="M75" i="23"/>
  <c r="L75" i="23"/>
  <c r="N75" i="23" s="1"/>
  <c r="K75" i="23"/>
  <c r="R74" i="23"/>
  <c r="J161" i="23" s="1"/>
  <c r="M74" i="23"/>
  <c r="L74" i="23"/>
  <c r="K74" i="23"/>
  <c r="E74" i="23"/>
  <c r="S161" i="23" s="1"/>
  <c r="R73" i="23"/>
  <c r="L161" i="23" s="1"/>
  <c r="M73" i="23"/>
  <c r="L73" i="23"/>
  <c r="K73" i="23"/>
  <c r="R72" i="23"/>
  <c r="M72" i="23"/>
  <c r="L72" i="23"/>
  <c r="K72" i="23"/>
  <c r="N72" i="23"/>
  <c r="E72" i="23"/>
  <c r="R71" i="23"/>
  <c r="N71" i="23"/>
  <c r="M71" i="23"/>
  <c r="L71" i="23"/>
  <c r="C160" i="23" s="1"/>
  <c r="K71" i="23"/>
  <c r="B160" i="23"/>
  <c r="R70" i="23"/>
  <c r="M70" i="23"/>
  <c r="L70" i="23"/>
  <c r="K70" i="23"/>
  <c r="E70" i="23"/>
  <c r="S159" i="23"/>
  <c r="R69" i="23"/>
  <c r="J159" i="23" s="1"/>
  <c r="L159" i="23"/>
  <c r="M69" i="23"/>
  <c r="L69" i="23"/>
  <c r="N69" i="23" s="1"/>
  <c r="K69" i="23"/>
  <c r="R68" i="23"/>
  <c r="M68" i="23"/>
  <c r="D158" i="23" s="1"/>
  <c r="L68" i="23"/>
  <c r="N68" i="23" s="1"/>
  <c r="K68" i="23"/>
  <c r="E68" i="23"/>
  <c r="T158" i="23" s="1"/>
  <c r="R67" i="23"/>
  <c r="M67" i="23"/>
  <c r="L67" i="23"/>
  <c r="K67" i="23"/>
  <c r="B158" i="23" s="1"/>
  <c r="R66" i="23"/>
  <c r="M66" i="23"/>
  <c r="L66" i="23"/>
  <c r="K66" i="23"/>
  <c r="R65" i="23"/>
  <c r="N65" i="23"/>
  <c r="M65" i="23"/>
  <c r="D157" i="23"/>
  <c r="L65" i="23"/>
  <c r="K65" i="23"/>
  <c r="R64" i="23"/>
  <c r="M64" i="23"/>
  <c r="L64" i="23"/>
  <c r="K64" i="23"/>
  <c r="E64" i="23"/>
  <c r="U156" i="23" s="1"/>
  <c r="R63" i="23"/>
  <c r="M63" i="23"/>
  <c r="L63" i="23"/>
  <c r="K63" i="23"/>
  <c r="R62" i="23"/>
  <c r="L155" i="23"/>
  <c r="M62" i="23"/>
  <c r="L62" i="23"/>
  <c r="K62" i="23"/>
  <c r="N62" i="23" s="1"/>
  <c r="R61" i="23"/>
  <c r="M61" i="23"/>
  <c r="D155" i="23"/>
  <c r="L61" i="23"/>
  <c r="C155" i="23" s="1"/>
  <c r="K61" i="23"/>
  <c r="R60" i="23"/>
  <c r="M60" i="23"/>
  <c r="L60" i="23"/>
  <c r="C154" i="23" s="1"/>
  <c r="K60" i="23"/>
  <c r="N60" i="23"/>
  <c r="R59" i="23"/>
  <c r="H154" i="23" s="1"/>
  <c r="M59" i="23"/>
  <c r="L59" i="23"/>
  <c r="K59" i="23"/>
  <c r="N59" i="23" s="1"/>
  <c r="R58" i="23"/>
  <c r="M58" i="23"/>
  <c r="L58" i="23"/>
  <c r="N58" i="23" s="1"/>
  <c r="K58" i="23"/>
  <c r="R57" i="23"/>
  <c r="N57" i="23"/>
  <c r="M57" i="23"/>
  <c r="L57" i="23"/>
  <c r="K57" i="23"/>
  <c r="B153" i="23" s="1"/>
  <c r="R56" i="23"/>
  <c r="H152" i="23"/>
  <c r="M56" i="23"/>
  <c r="D152" i="23"/>
  <c r="L56" i="23"/>
  <c r="C152" i="23" s="1"/>
  <c r="K56" i="23"/>
  <c r="E56" i="23"/>
  <c r="U152" i="23" s="1"/>
  <c r="R55" i="23"/>
  <c r="M55" i="23"/>
  <c r="L55" i="23"/>
  <c r="K55" i="23"/>
  <c r="B152" i="23" s="1"/>
  <c r="R54" i="23"/>
  <c r="M54" i="23"/>
  <c r="L54" i="23"/>
  <c r="N54" i="23" s="1"/>
  <c r="K54" i="23"/>
  <c r="R53" i="23"/>
  <c r="M53" i="23"/>
  <c r="D151" i="23"/>
  <c r="L53" i="23"/>
  <c r="K53" i="23"/>
  <c r="B151" i="23" s="1"/>
  <c r="R52" i="23"/>
  <c r="M52" i="23"/>
  <c r="D150" i="23" s="1"/>
  <c r="L52" i="23"/>
  <c r="K52" i="23"/>
  <c r="R51" i="23"/>
  <c r="M51" i="23"/>
  <c r="L51" i="23"/>
  <c r="K51" i="23"/>
  <c r="R50" i="23"/>
  <c r="M50" i="23"/>
  <c r="L50" i="23"/>
  <c r="K50" i="23"/>
  <c r="R49" i="23"/>
  <c r="L149" i="23"/>
  <c r="M49" i="23"/>
  <c r="L49" i="23"/>
  <c r="K49" i="23"/>
  <c r="N49" i="23" s="1"/>
  <c r="R48" i="23"/>
  <c r="M48" i="23"/>
  <c r="L48" i="23"/>
  <c r="C148" i="23" s="1"/>
  <c r="K48" i="23"/>
  <c r="E48" i="23"/>
  <c r="R47" i="23"/>
  <c r="M47" i="23"/>
  <c r="L47" i="23"/>
  <c r="K47" i="23"/>
  <c r="R46" i="23"/>
  <c r="M46" i="23"/>
  <c r="L46" i="23"/>
  <c r="K46" i="23"/>
  <c r="N46" i="23" s="1"/>
  <c r="R45" i="23"/>
  <c r="M45" i="23"/>
  <c r="L45" i="23"/>
  <c r="C147" i="23" s="1"/>
  <c r="K45" i="23"/>
  <c r="B147" i="23"/>
  <c r="R44" i="23"/>
  <c r="M44" i="23"/>
  <c r="L44" i="23"/>
  <c r="K44" i="23"/>
  <c r="R43" i="23"/>
  <c r="M43" i="23"/>
  <c r="L43" i="23"/>
  <c r="C146" i="23"/>
  <c r="K43" i="23"/>
  <c r="B146" i="23" s="1"/>
  <c r="R42" i="23"/>
  <c r="M42" i="23"/>
  <c r="L42" i="23"/>
  <c r="K42" i="23"/>
  <c r="N42" i="23" s="1"/>
  <c r="E42" i="23"/>
  <c r="S145" i="23" s="1"/>
  <c r="R41" i="23"/>
  <c r="L145" i="23" s="1"/>
  <c r="M41" i="23"/>
  <c r="L41" i="23"/>
  <c r="N41" i="23" s="1"/>
  <c r="K41" i="23"/>
  <c r="R40" i="23"/>
  <c r="M40" i="23"/>
  <c r="D144" i="23" s="1"/>
  <c r="L40" i="23"/>
  <c r="K40" i="23"/>
  <c r="R39" i="23"/>
  <c r="M39" i="23"/>
  <c r="L39" i="23"/>
  <c r="C144" i="23" s="1"/>
  <c r="K39" i="23"/>
  <c r="B144" i="23" s="1"/>
  <c r="R38" i="23"/>
  <c r="M38" i="23"/>
  <c r="L38" i="23"/>
  <c r="N38" i="23" s="1"/>
  <c r="K38" i="23"/>
  <c r="E38" i="23"/>
  <c r="S143" i="23" s="1"/>
  <c r="R37" i="23"/>
  <c r="M37" i="23"/>
  <c r="L37" i="23"/>
  <c r="K37" i="23"/>
  <c r="N37" i="23" s="1"/>
  <c r="R36" i="23"/>
  <c r="M36" i="23"/>
  <c r="D143" i="23"/>
  <c r="L36" i="23"/>
  <c r="C143" i="23" s="1"/>
  <c r="K36" i="23"/>
  <c r="R35" i="23"/>
  <c r="M35" i="23"/>
  <c r="L35" i="23"/>
  <c r="C142" i="23" s="1"/>
  <c r="K35" i="23"/>
  <c r="N35" i="23"/>
  <c r="R34" i="23"/>
  <c r="H142" i="23" s="1"/>
  <c r="M34" i="23"/>
  <c r="D142" i="23" s="1"/>
  <c r="L34" i="23"/>
  <c r="K34" i="23"/>
  <c r="N34" i="23" s="1"/>
  <c r="R33" i="23"/>
  <c r="M33" i="23"/>
  <c r="L33" i="23"/>
  <c r="K33" i="23"/>
  <c r="R32" i="23"/>
  <c r="M32" i="23"/>
  <c r="L32" i="23"/>
  <c r="K32" i="23"/>
  <c r="B141" i="23" s="1"/>
  <c r="R31" i="23"/>
  <c r="H140" i="23"/>
  <c r="M31" i="23"/>
  <c r="D140" i="23"/>
  <c r="L31" i="23"/>
  <c r="K31" i="23"/>
  <c r="R30" i="23"/>
  <c r="M30" i="23"/>
  <c r="L30" i="23"/>
  <c r="N30" i="23" s="1"/>
  <c r="C140" i="23"/>
  <c r="K30" i="23"/>
  <c r="R29" i="23"/>
  <c r="M29" i="23"/>
  <c r="D139" i="23" s="1"/>
  <c r="L29" i="23"/>
  <c r="K29" i="23"/>
  <c r="N29" i="23" s="1"/>
  <c r="E29" i="23"/>
  <c r="R28" i="23"/>
  <c r="M28" i="23"/>
  <c r="L28" i="23"/>
  <c r="K28" i="23"/>
  <c r="B139" i="23" s="1"/>
  <c r="R27" i="23"/>
  <c r="M27" i="23"/>
  <c r="D138" i="23" s="1"/>
  <c r="L27" i="23"/>
  <c r="K27" i="23"/>
  <c r="R26" i="23"/>
  <c r="M26" i="23"/>
  <c r="L26" i="23"/>
  <c r="K26" i="23"/>
  <c r="R25" i="23"/>
  <c r="M25" i="23"/>
  <c r="L25" i="23"/>
  <c r="K25" i="23"/>
  <c r="N25" i="23" s="1"/>
  <c r="R24" i="23"/>
  <c r="M24" i="23"/>
  <c r="L24" i="23"/>
  <c r="K24" i="23"/>
  <c r="R23" i="23"/>
  <c r="M23" i="23"/>
  <c r="D136" i="23" s="1"/>
  <c r="L23" i="23"/>
  <c r="K23" i="23"/>
  <c r="R22" i="23"/>
  <c r="H136" i="23" s="1"/>
  <c r="M22" i="23"/>
  <c r="L22" i="23"/>
  <c r="C136" i="23" s="1"/>
  <c r="K22" i="23"/>
  <c r="R21" i="23"/>
  <c r="M21" i="23"/>
  <c r="L21" i="23"/>
  <c r="N21" i="23" s="1"/>
  <c r="K21" i="23"/>
  <c r="E21" i="23"/>
  <c r="B135" i="23" s="1"/>
  <c r="R20" i="23"/>
  <c r="N20" i="23"/>
  <c r="M20" i="23"/>
  <c r="L20" i="23"/>
  <c r="K20" i="23"/>
  <c r="R19" i="23"/>
  <c r="M19" i="23"/>
  <c r="D134" i="23"/>
  <c r="L19" i="23"/>
  <c r="C134" i="23" s="1"/>
  <c r="K19" i="23"/>
  <c r="R18" i="23"/>
  <c r="H134" i="23" s="1"/>
  <c r="M18" i="23"/>
  <c r="L18" i="23"/>
  <c r="K18" i="23"/>
  <c r="B134" i="23"/>
  <c r="R17" i="23"/>
  <c r="M17" i="23"/>
  <c r="L17" i="23"/>
  <c r="K17" i="23"/>
  <c r="N17" i="23" s="1"/>
  <c r="E17" i="23"/>
  <c r="S133" i="23" s="1"/>
  <c r="U133" i="23"/>
  <c r="R16" i="23"/>
  <c r="M16" i="23"/>
  <c r="D133" i="23"/>
  <c r="L16" i="23"/>
  <c r="C133" i="23"/>
  <c r="K16" i="23"/>
  <c r="R15" i="23"/>
  <c r="M15" i="23"/>
  <c r="L15" i="23"/>
  <c r="K15" i="23"/>
  <c r="E15" i="23"/>
  <c r="S132" i="23" s="1"/>
  <c r="R14" i="23"/>
  <c r="H132" i="23"/>
  <c r="M14" i="23"/>
  <c r="D132" i="23"/>
  <c r="L14" i="23"/>
  <c r="K14" i="23"/>
  <c r="R13" i="23"/>
  <c r="M13" i="23"/>
  <c r="L13" i="23"/>
  <c r="K13" i="23"/>
  <c r="N13" i="23"/>
  <c r="R12" i="23"/>
  <c r="J131" i="23" s="1"/>
  <c r="M12" i="23"/>
  <c r="D131" i="23" s="1"/>
  <c r="L12" i="23"/>
  <c r="K12" i="23"/>
  <c r="N12" i="23" s="1"/>
  <c r="R11" i="23"/>
  <c r="L130" i="23" s="1"/>
  <c r="M11" i="23"/>
  <c r="L11" i="23"/>
  <c r="K11" i="23"/>
  <c r="N11" i="23" s="1"/>
  <c r="R10" i="23"/>
  <c r="M10" i="23"/>
  <c r="L10" i="23"/>
  <c r="N10" i="23" s="1"/>
  <c r="C130" i="23"/>
  <c r="K10" i="23"/>
  <c r="R9" i="23"/>
  <c r="M9" i="23"/>
  <c r="L9" i="23"/>
  <c r="K9" i="23"/>
  <c r="N9" i="23" s="1"/>
  <c r="R8" i="23"/>
  <c r="L129" i="23" s="1"/>
  <c r="M8" i="23"/>
  <c r="D129" i="23" s="1"/>
  <c r="L8" i="23"/>
  <c r="C129" i="23" s="1"/>
  <c r="K8" i="23"/>
  <c r="U180" i="24"/>
  <c r="T180" i="24"/>
  <c r="W180" i="24" s="1"/>
  <c r="S180" i="24"/>
  <c r="B179" i="24"/>
  <c r="U178" i="24"/>
  <c r="W178" i="24" s="1"/>
  <c r="T178" i="24"/>
  <c r="S178" i="24"/>
  <c r="U177" i="24"/>
  <c r="T177" i="24"/>
  <c r="S177" i="24"/>
  <c r="W177" i="24" s="1"/>
  <c r="U176" i="24"/>
  <c r="W176" i="24" s="1"/>
  <c r="T176" i="24"/>
  <c r="S176" i="24"/>
  <c r="L174" i="24"/>
  <c r="J174" i="24"/>
  <c r="U172" i="24"/>
  <c r="W172" i="24" s="1"/>
  <c r="T172" i="24"/>
  <c r="S172" i="24"/>
  <c r="S169" i="24"/>
  <c r="U168" i="24"/>
  <c r="W168" i="24" s="1"/>
  <c r="T168" i="24"/>
  <c r="S168" i="24"/>
  <c r="U167" i="24"/>
  <c r="U165" i="24"/>
  <c r="T165" i="24"/>
  <c r="U164" i="24"/>
  <c r="T164" i="24"/>
  <c r="W164" i="24"/>
  <c r="S164" i="24"/>
  <c r="C163" i="24"/>
  <c r="L162" i="24"/>
  <c r="S161" i="24"/>
  <c r="D161" i="24"/>
  <c r="U160" i="24"/>
  <c r="T160" i="24"/>
  <c r="S160" i="24"/>
  <c r="W160" i="24" s="1"/>
  <c r="U159" i="24"/>
  <c r="U156" i="24"/>
  <c r="T156" i="24"/>
  <c r="W156" i="24"/>
  <c r="S156" i="24"/>
  <c r="U154" i="24"/>
  <c r="T154" i="24"/>
  <c r="S154" i="24"/>
  <c r="U153" i="24"/>
  <c r="T153" i="24"/>
  <c r="S153" i="24"/>
  <c r="W153" i="24"/>
  <c r="U152" i="24"/>
  <c r="T152" i="24"/>
  <c r="S152" i="24"/>
  <c r="W152" i="24" s="1"/>
  <c r="U150" i="24"/>
  <c r="T150" i="24"/>
  <c r="S150" i="24"/>
  <c r="U149" i="24"/>
  <c r="T149" i="24"/>
  <c r="S149" i="24"/>
  <c r="W149" i="24"/>
  <c r="D149" i="24"/>
  <c r="U148" i="24"/>
  <c r="T148" i="24"/>
  <c r="S148" i="24"/>
  <c r="W148" i="24" s="1"/>
  <c r="U146" i="24"/>
  <c r="W146" i="24" s="1"/>
  <c r="T146" i="24"/>
  <c r="S146" i="24"/>
  <c r="W145" i="24"/>
  <c r="U145" i="24"/>
  <c r="T145" i="24"/>
  <c r="S145" i="24"/>
  <c r="U144" i="24"/>
  <c r="T144" i="24"/>
  <c r="S144" i="24"/>
  <c r="W144" i="24" s="1"/>
  <c r="U142" i="24"/>
  <c r="T142" i="24"/>
  <c r="S142" i="24"/>
  <c r="W142" i="24"/>
  <c r="U141" i="24"/>
  <c r="T141" i="24"/>
  <c r="S141" i="24"/>
  <c r="U140" i="24"/>
  <c r="T140" i="24"/>
  <c r="S140" i="24"/>
  <c r="W140" i="24"/>
  <c r="U139" i="24"/>
  <c r="U138" i="24"/>
  <c r="T138" i="24"/>
  <c r="S138" i="24"/>
  <c r="W138" i="24"/>
  <c r="U137" i="24"/>
  <c r="T137" i="24"/>
  <c r="S137" i="24"/>
  <c r="U136" i="24"/>
  <c r="T136" i="24"/>
  <c r="S136" i="24"/>
  <c r="W136" i="24" s="1"/>
  <c r="U134" i="24"/>
  <c r="T134" i="24"/>
  <c r="S134" i="24"/>
  <c r="W134" i="24"/>
  <c r="U133" i="24"/>
  <c r="T133" i="24"/>
  <c r="S133" i="24"/>
  <c r="U132" i="24"/>
  <c r="T132" i="24"/>
  <c r="S132" i="24"/>
  <c r="W132" i="24"/>
  <c r="U130" i="24"/>
  <c r="T130" i="24"/>
  <c r="S130" i="24"/>
  <c r="W130" i="24" s="1"/>
  <c r="U129" i="24"/>
  <c r="T129" i="24"/>
  <c r="S129" i="24"/>
  <c r="W129" i="24" s="1"/>
  <c r="U128" i="24"/>
  <c r="T128" i="24"/>
  <c r="S128" i="24"/>
  <c r="W128" i="24" s="1"/>
  <c r="R113" i="24"/>
  <c r="M113" i="24"/>
  <c r="L113" i="24"/>
  <c r="K113" i="24"/>
  <c r="N113" i="24" s="1"/>
  <c r="R112" i="24"/>
  <c r="L180" i="24" s="1"/>
  <c r="M112" i="24"/>
  <c r="D180" i="24" s="1"/>
  <c r="L112" i="24"/>
  <c r="C180" i="24" s="1"/>
  <c r="K112" i="24"/>
  <c r="R111" i="24"/>
  <c r="M111" i="24"/>
  <c r="L111" i="24"/>
  <c r="N111" i="24" s="1"/>
  <c r="K111" i="24"/>
  <c r="E111" i="24"/>
  <c r="U179" i="24" s="1"/>
  <c r="R110" i="24"/>
  <c r="M110" i="24"/>
  <c r="L110" i="24"/>
  <c r="K110" i="24"/>
  <c r="R109" i="24"/>
  <c r="M109" i="24"/>
  <c r="D178" i="24" s="1"/>
  <c r="L109" i="24"/>
  <c r="K109" i="24"/>
  <c r="R108" i="24"/>
  <c r="M108" i="24"/>
  <c r="L108" i="24"/>
  <c r="N108" i="24" s="1"/>
  <c r="K108" i="24"/>
  <c r="B178" i="24"/>
  <c r="R107" i="24"/>
  <c r="M107" i="24"/>
  <c r="D177" i="24"/>
  <c r="L107" i="24"/>
  <c r="C177" i="24"/>
  <c r="K107" i="24"/>
  <c r="R106" i="24"/>
  <c r="L177" i="24"/>
  <c r="M106" i="24"/>
  <c r="L106" i="24"/>
  <c r="K106" i="24"/>
  <c r="N106" i="24" s="1"/>
  <c r="R105" i="24"/>
  <c r="L176" i="24" s="1"/>
  <c r="M105" i="24"/>
  <c r="N105" i="24"/>
  <c r="L105" i="24"/>
  <c r="K105" i="24"/>
  <c r="R104" i="24"/>
  <c r="L104" i="24"/>
  <c r="C176" i="24"/>
  <c r="K104" i="24"/>
  <c r="R103" i="24"/>
  <c r="M103" i="24"/>
  <c r="L103" i="24"/>
  <c r="K103" i="24"/>
  <c r="N103" i="24"/>
  <c r="E103" i="24"/>
  <c r="U175" i="24" s="1"/>
  <c r="S175" i="24"/>
  <c r="R102" i="24"/>
  <c r="M102" i="24"/>
  <c r="D175" i="24" s="1"/>
  <c r="L102" i="24"/>
  <c r="K102" i="24"/>
  <c r="B175" i="24" s="1"/>
  <c r="R101" i="24"/>
  <c r="M101" i="24"/>
  <c r="L101" i="24"/>
  <c r="N101" i="24" s="1"/>
  <c r="K101" i="24"/>
  <c r="E101" i="24"/>
  <c r="R100" i="24"/>
  <c r="H174" i="24" s="1"/>
  <c r="M100" i="24"/>
  <c r="D174" i="24" s="1"/>
  <c r="L100" i="24"/>
  <c r="K100" i="24"/>
  <c r="R99" i="24"/>
  <c r="M99" i="24"/>
  <c r="L99" i="24"/>
  <c r="N99" i="24" s="1"/>
  <c r="K99" i="24"/>
  <c r="E99" i="24"/>
  <c r="R98" i="24"/>
  <c r="M98" i="24"/>
  <c r="L98" i="24"/>
  <c r="K98" i="24"/>
  <c r="N98" i="24" s="1"/>
  <c r="R97" i="24"/>
  <c r="M97" i="24"/>
  <c r="L97" i="24"/>
  <c r="K97" i="24"/>
  <c r="N97" i="24" s="1"/>
  <c r="R96" i="24"/>
  <c r="M96" i="24"/>
  <c r="D172" i="24"/>
  <c r="L96" i="24"/>
  <c r="K96" i="24"/>
  <c r="R95" i="24"/>
  <c r="M95" i="24"/>
  <c r="L95" i="24"/>
  <c r="C171" i="24"/>
  <c r="K95" i="24"/>
  <c r="N95" i="24" s="1"/>
  <c r="E95" i="24"/>
  <c r="U171" i="24" s="1"/>
  <c r="R94" i="24"/>
  <c r="M94" i="24"/>
  <c r="D171" i="24" s="1"/>
  <c r="L94" i="24"/>
  <c r="K94" i="24"/>
  <c r="N94" i="24" s="1"/>
  <c r="R93" i="24"/>
  <c r="M93" i="24"/>
  <c r="L93" i="24"/>
  <c r="K93" i="24"/>
  <c r="N93" i="24" s="1"/>
  <c r="E93" i="24"/>
  <c r="L170" i="24" s="1"/>
  <c r="R92" i="24"/>
  <c r="J170" i="24" s="1"/>
  <c r="M92" i="24"/>
  <c r="L92" i="24"/>
  <c r="K92" i="24"/>
  <c r="R91" i="24"/>
  <c r="M91" i="24"/>
  <c r="L91" i="24"/>
  <c r="K91" i="24"/>
  <c r="E91" i="24"/>
  <c r="R90" i="24"/>
  <c r="M90" i="24"/>
  <c r="L90" i="24"/>
  <c r="K90" i="24"/>
  <c r="R89" i="24"/>
  <c r="M89" i="24"/>
  <c r="L89" i="24"/>
  <c r="K89" i="24"/>
  <c r="N89" i="24" s="1"/>
  <c r="R88" i="24"/>
  <c r="M88" i="24"/>
  <c r="L88" i="24"/>
  <c r="K88" i="24"/>
  <c r="R87" i="24"/>
  <c r="M87" i="24"/>
  <c r="L87" i="24"/>
  <c r="K87" i="24"/>
  <c r="N87" i="24" s="1"/>
  <c r="E87" i="24"/>
  <c r="S167" i="24" s="1"/>
  <c r="R86" i="24"/>
  <c r="L167" i="24"/>
  <c r="M86" i="24"/>
  <c r="D167" i="24" s="1"/>
  <c r="L86" i="24"/>
  <c r="C167" i="24" s="1"/>
  <c r="K86" i="24"/>
  <c r="R85" i="24"/>
  <c r="M85" i="24"/>
  <c r="L85" i="24"/>
  <c r="K85" i="24"/>
  <c r="N85" i="24" s="1"/>
  <c r="E85" i="24"/>
  <c r="C166" i="24" s="1"/>
  <c r="R84" i="24"/>
  <c r="L166" i="24" s="1"/>
  <c r="N84" i="24"/>
  <c r="M84" i="24"/>
  <c r="L84" i="24"/>
  <c r="K84" i="24"/>
  <c r="B166" i="24"/>
  <c r="R83" i="24"/>
  <c r="M83" i="24"/>
  <c r="N83" i="24" s="1"/>
  <c r="L83" i="24"/>
  <c r="K83" i="24"/>
  <c r="E83" i="24"/>
  <c r="S165" i="24" s="1"/>
  <c r="R82" i="24"/>
  <c r="L165" i="24" s="1"/>
  <c r="M82" i="24"/>
  <c r="D165" i="24" s="1"/>
  <c r="L82" i="24"/>
  <c r="K82" i="24"/>
  <c r="R81" i="24"/>
  <c r="M81" i="24"/>
  <c r="L81" i="24"/>
  <c r="C164" i="24" s="1"/>
  <c r="K81" i="24"/>
  <c r="R80" i="24"/>
  <c r="L164" i="24" s="1"/>
  <c r="M80" i="24"/>
  <c r="D164" i="24"/>
  <c r="L80" i="24"/>
  <c r="K80" i="24"/>
  <c r="B164" i="24"/>
  <c r="R79" i="24"/>
  <c r="M79" i="24"/>
  <c r="L79" i="24"/>
  <c r="K79" i="24"/>
  <c r="E79" i="24"/>
  <c r="U163" i="24"/>
  <c r="T163" i="24"/>
  <c r="R78" i="24"/>
  <c r="N78" i="24"/>
  <c r="M78" i="24"/>
  <c r="L78" i="24"/>
  <c r="K78" i="24"/>
  <c r="R77" i="24"/>
  <c r="M77" i="24"/>
  <c r="L77" i="24"/>
  <c r="K77" i="24"/>
  <c r="N77" i="24" s="1"/>
  <c r="E77" i="24"/>
  <c r="U162" i="24"/>
  <c r="R76" i="24"/>
  <c r="J162" i="24" s="1"/>
  <c r="M76" i="24"/>
  <c r="D162" i="24"/>
  <c r="L76" i="24"/>
  <c r="C162" i="24"/>
  <c r="K76" i="24"/>
  <c r="R75" i="24"/>
  <c r="M75" i="24"/>
  <c r="L75" i="24"/>
  <c r="K75" i="24"/>
  <c r="N75" i="24" s="1"/>
  <c r="E75" i="24"/>
  <c r="U161" i="24" s="1"/>
  <c r="R74" i="24"/>
  <c r="N74" i="24"/>
  <c r="M74" i="24"/>
  <c r="L74" i="24"/>
  <c r="C161" i="24"/>
  <c r="K74" i="24"/>
  <c r="B161" i="24" s="1"/>
  <c r="E161" i="24" s="1"/>
  <c r="R73" i="24"/>
  <c r="M73" i="24"/>
  <c r="L73" i="24"/>
  <c r="N73" i="24" s="1"/>
  <c r="K73" i="24"/>
  <c r="R72" i="24"/>
  <c r="J160" i="24" s="1"/>
  <c r="M72" i="24"/>
  <c r="D160" i="24" s="1"/>
  <c r="L72" i="24"/>
  <c r="N72" i="24" s="1"/>
  <c r="C160" i="24"/>
  <c r="K72" i="24"/>
  <c r="R71" i="24"/>
  <c r="M71" i="24"/>
  <c r="L71" i="24"/>
  <c r="K71" i="24"/>
  <c r="N71" i="24" s="1"/>
  <c r="E71" i="24"/>
  <c r="T159" i="24" s="1"/>
  <c r="R70" i="24"/>
  <c r="M70" i="24"/>
  <c r="D159" i="24" s="1"/>
  <c r="L70" i="24"/>
  <c r="K70" i="24"/>
  <c r="R69" i="24"/>
  <c r="M69" i="24"/>
  <c r="D158" i="24" s="1"/>
  <c r="L69" i="24"/>
  <c r="K69" i="24"/>
  <c r="E69" i="24"/>
  <c r="U158" i="24" s="1"/>
  <c r="R68" i="24"/>
  <c r="L158" i="24" s="1"/>
  <c r="M68" i="24"/>
  <c r="L68" i="24"/>
  <c r="K68" i="24"/>
  <c r="B158" i="24"/>
  <c r="R67" i="24"/>
  <c r="M67" i="24"/>
  <c r="L67" i="24"/>
  <c r="K67" i="24"/>
  <c r="N67" i="24" s="1"/>
  <c r="E67" i="24"/>
  <c r="U157" i="24" s="1"/>
  <c r="S157" i="24"/>
  <c r="R66" i="24"/>
  <c r="M66" i="24"/>
  <c r="D157" i="24" s="1"/>
  <c r="L66" i="24"/>
  <c r="C157" i="24" s="1"/>
  <c r="K66" i="24"/>
  <c r="R65" i="24"/>
  <c r="M65" i="24"/>
  <c r="L65" i="24"/>
  <c r="K65" i="24"/>
  <c r="N65" i="24" s="1"/>
  <c r="R64" i="24"/>
  <c r="L156" i="24" s="1"/>
  <c r="M64" i="24"/>
  <c r="L64" i="24"/>
  <c r="K64" i="24"/>
  <c r="R63" i="24"/>
  <c r="M63" i="24"/>
  <c r="L63" i="24"/>
  <c r="C155" i="24" s="1"/>
  <c r="K63" i="24"/>
  <c r="N63" i="24" s="1"/>
  <c r="E63" i="24"/>
  <c r="U155" i="24" s="1"/>
  <c r="R62" i="24"/>
  <c r="M62" i="24"/>
  <c r="D155" i="24" s="1"/>
  <c r="L62" i="24"/>
  <c r="K62" i="24"/>
  <c r="B155" i="24" s="1"/>
  <c r="R61" i="24"/>
  <c r="M61" i="24"/>
  <c r="L61" i="24"/>
  <c r="K61" i="24"/>
  <c r="N61" i="24" s="1"/>
  <c r="R60" i="24"/>
  <c r="N60" i="24"/>
  <c r="M60" i="24"/>
  <c r="D154" i="24" s="1"/>
  <c r="L60" i="24"/>
  <c r="C154" i="24"/>
  <c r="K60" i="24"/>
  <c r="B154" i="24"/>
  <c r="R59" i="24"/>
  <c r="M59" i="24"/>
  <c r="N59" i="24" s="1"/>
  <c r="L59" i="24"/>
  <c r="K59" i="24"/>
  <c r="R58" i="24"/>
  <c r="M58" i="24"/>
  <c r="D153" i="24" s="1"/>
  <c r="L58" i="24"/>
  <c r="K58" i="24"/>
  <c r="R57" i="24"/>
  <c r="M57" i="24"/>
  <c r="L57" i="24"/>
  <c r="K57" i="24"/>
  <c r="N57" i="24" s="1"/>
  <c r="R56" i="24"/>
  <c r="M56" i="24"/>
  <c r="D152" i="24"/>
  <c r="L56" i="24"/>
  <c r="C152" i="24" s="1"/>
  <c r="K56" i="24"/>
  <c r="R55" i="24"/>
  <c r="M55" i="24"/>
  <c r="L55" i="24"/>
  <c r="K55" i="24"/>
  <c r="E55" i="24"/>
  <c r="T151" i="24" s="1"/>
  <c r="R54" i="24"/>
  <c r="M54" i="24"/>
  <c r="L54" i="24"/>
  <c r="K54" i="24"/>
  <c r="R53" i="24"/>
  <c r="M53" i="24"/>
  <c r="L53" i="24"/>
  <c r="K53" i="24"/>
  <c r="N53" i="24" s="1"/>
  <c r="R52" i="24"/>
  <c r="J150" i="24" s="1"/>
  <c r="M52" i="24"/>
  <c r="N52" i="24" s="1"/>
  <c r="L52" i="24"/>
  <c r="K52" i="24"/>
  <c r="R51" i="24"/>
  <c r="M51" i="24"/>
  <c r="L51" i="24"/>
  <c r="N51" i="24"/>
  <c r="K51" i="24"/>
  <c r="R50" i="24"/>
  <c r="L149" i="24"/>
  <c r="M50" i="24"/>
  <c r="L50" i="24"/>
  <c r="K50" i="24"/>
  <c r="B149" i="24" s="1"/>
  <c r="R49" i="24"/>
  <c r="L148" i="24"/>
  <c r="N49" i="24"/>
  <c r="M49" i="24"/>
  <c r="L49" i="24"/>
  <c r="K49" i="24"/>
  <c r="R48" i="24"/>
  <c r="H148" i="24" s="1"/>
  <c r="M48" i="24"/>
  <c r="D148" i="24" s="1"/>
  <c r="L48" i="24"/>
  <c r="C148" i="24"/>
  <c r="K48" i="24"/>
  <c r="B148" i="24"/>
  <c r="R47" i="24"/>
  <c r="M47" i="24"/>
  <c r="L47" i="24"/>
  <c r="K47" i="24"/>
  <c r="N47" i="24"/>
  <c r="E47" i="24"/>
  <c r="T147" i="24" s="1"/>
  <c r="R46" i="24"/>
  <c r="M46" i="24"/>
  <c r="L46" i="24"/>
  <c r="K46" i="24"/>
  <c r="N46" i="24" s="1"/>
  <c r="R45" i="24"/>
  <c r="M45" i="24"/>
  <c r="L45" i="24"/>
  <c r="K45" i="24"/>
  <c r="R44" i="24"/>
  <c r="M44" i="24"/>
  <c r="L44" i="24"/>
  <c r="C146" i="24" s="1"/>
  <c r="K44" i="24"/>
  <c r="R43" i="24"/>
  <c r="M43" i="24"/>
  <c r="L43" i="24"/>
  <c r="K43" i="24"/>
  <c r="N43" i="24" s="1"/>
  <c r="R42" i="24"/>
  <c r="L145" i="24" s="1"/>
  <c r="M42" i="24"/>
  <c r="D145" i="24"/>
  <c r="L42" i="24"/>
  <c r="C145" i="24" s="1"/>
  <c r="K42" i="24"/>
  <c r="B145" i="24" s="1"/>
  <c r="R41" i="24"/>
  <c r="M41" i="24"/>
  <c r="L41" i="24"/>
  <c r="C144" i="24" s="1"/>
  <c r="K41" i="24"/>
  <c r="R40" i="24"/>
  <c r="M40" i="24"/>
  <c r="D144" i="24"/>
  <c r="L40" i="24"/>
  <c r="K40" i="24"/>
  <c r="R39" i="24"/>
  <c r="M39" i="24"/>
  <c r="L39" i="24"/>
  <c r="K39" i="24"/>
  <c r="N39" i="24"/>
  <c r="E39" i="24"/>
  <c r="R38" i="24"/>
  <c r="M38" i="24"/>
  <c r="D143" i="24" s="1"/>
  <c r="L38" i="24"/>
  <c r="K38" i="24"/>
  <c r="N38" i="24" s="1"/>
  <c r="R37" i="24"/>
  <c r="M37" i="24"/>
  <c r="L37" i="24"/>
  <c r="K37" i="24"/>
  <c r="N37" i="24" s="1"/>
  <c r="R36" i="24"/>
  <c r="M36" i="24"/>
  <c r="D142" i="24" s="1"/>
  <c r="L36" i="24"/>
  <c r="C142" i="24"/>
  <c r="K36" i="24"/>
  <c r="R35" i="24"/>
  <c r="M35" i="24"/>
  <c r="L35" i="24"/>
  <c r="K35" i="24"/>
  <c r="N35" i="24" s="1"/>
  <c r="R34" i="24"/>
  <c r="M34" i="24"/>
  <c r="D141" i="24" s="1"/>
  <c r="L34" i="24"/>
  <c r="C141" i="24"/>
  <c r="K34" i="24"/>
  <c r="R33" i="24"/>
  <c r="M33" i="24"/>
  <c r="L33" i="24"/>
  <c r="K33" i="24"/>
  <c r="R32" i="24"/>
  <c r="M32" i="24"/>
  <c r="L32" i="24"/>
  <c r="C140" i="24"/>
  <c r="K32" i="24"/>
  <c r="R31" i="24"/>
  <c r="M31" i="24"/>
  <c r="L31" i="24"/>
  <c r="K31" i="24"/>
  <c r="E31" i="24"/>
  <c r="S139" i="24" s="1"/>
  <c r="R30" i="24"/>
  <c r="M30" i="24"/>
  <c r="D139" i="24" s="1"/>
  <c r="L30" i="24"/>
  <c r="K30" i="24"/>
  <c r="R29" i="24"/>
  <c r="M29" i="24"/>
  <c r="L29" i="24"/>
  <c r="K29" i="24"/>
  <c r="N29" i="24" s="1"/>
  <c r="R28" i="24"/>
  <c r="L138" i="24" s="1"/>
  <c r="M28" i="24"/>
  <c r="D138" i="24" s="1"/>
  <c r="L28" i="24"/>
  <c r="K28" i="24"/>
  <c r="B138" i="24" s="1"/>
  <c r="R27" i="24"/>
  <c r="M27" i="24"/>
  <c r="D137" i="24" s="1"/>
  <c r="L27" i="24"/>
  <c r="K27" i="24"/>
  <c r="R26" i="24"/>
  <c r="M26" i="24"/>
  <c r="L26" i="24"/>
  <c r="K26" i="24"/>
  <c r="B137" i="24" s="1"/>
  <c r="R25" i="24"/>
  <c r="M25" i="24"/>
  <c r="L25" i="24"/>
  <c r="K25" i="24"/>
  <c r="N25" i="24" s="1"/>
  <c r="R24" i="24"/>
  <c r="L136" i="24" s="1"/>
  <c r="J136" i="24"/>
  <c r="M24" i="24"/>
  <c r="D136" i="24" s="1"/>
  <c r="L24" i="24"/>
  <c r="K24" i="24"/>
  <c r="R23" i="24"/>
  <c r="M23" i="24"/>
  <c r="L23" i="24"/>
  <c r="K23" i="24"/>
  <c r="N23" i="24" s="1"/>
  <c r="E23" i="24"/>
  <c r="U135" i="24"/>
  <c r="R22" i="24"/>
  <c r="M22" i="24"/>
  <c r="L22" i="24"/>
  <c r="C135" i="24" s="1"/>
  <c r="K22" i="24"/>
  <c r="R21" i="24"/>
  <c r="M21" i="24"/>
  <c r="L21" i="24"/>
  <c r="K21" i="24"/>
  <c r="N21" i="24"/>
  <c r="R20" i="24"/>
  <c r="M20" i="24"/>
  <c r="D134" i="24" s="1"/>
  <c r="L20" i="24"/>
  <c r="C134" i="24" s="1"/>
  <c r="K20" i="24"/>
  <c r="N20" i="24" s="1"/>
  <c r="R19" i="24"/>
  <c r="M19" i="24"/>
  <c r="L19" i="24"/>
  <c r="K19" i="24"/>
  <c r="R18" i="24"/>
  <c r="M18" i="24"/>
  <c r="D133" i="24" s="1"/>
  <c r="L18" i="24"/>
  <c r="C133" i="24" s="1"/>
  <c r="K18" i="24"/>
  <c r="R17" i="24"/>
  <c r="M17" i="24"/>
  <c r="L17" i="24"/>
  <c r="K17" i="24"/>
  <c r="R16" i="24"/>
  <c r="H132" i="24" s="1"/>
  <c r="M16" i="24"/>
  <c r="L16" i="24"/>
  <c r="K16" i="24"/>
  <c r="B132" i="24" s="1"/>
  <c r="R15" i="24"/>
  <c r="M15" i="24"/>
  <c r="L15" i="24"/>
  <c r="K15" i="24"/>
  <c r="N15" i="24" s="1"/>
  <c r="E15" i="24"/>
  <c r="R14" i="24"/>
  <c r="M14" i="24"/>
  <c r="L14" i="24"/>
  <c r="K14" i="24"/>
  <c r="R13" i="24"/>
  <c r="M13" i="24"/>
  <c r="L13" i="24"/>
  <c r="K13" i="24"/>
  <c r="N13" i="24" s="1"/>
  <c r="R12" i="24"/>
  <c r="M12" i="24"/>
  <c r="D130" i="24"/>
  <c r="L12" i="24"/>
  <c r="K12" i="24"/>
  <c r="B130" i="24" s="1"/>
  <c r="R11" i="24"/>
  <c r="M11" i="24"/>
  <c r="L11" i="24"/>
  <c r="C129" i="24"/>
  <c r="K11" i="24"/>
  <c r="N11" i="24" s="1"/>
  <c r="R10" i="24"/>
  <c r="M10" i="24"/>
  <c r="D129" i="24" s="1"/>
  <c r="L10" i="24"/>
  <c r="K10" i="24"/>
  <c r="R9" i="24"/>
  <c r="L128" i="24" s="1"/>
  <c r="M9" i="24"/>
  <c r="L9" i="24"/>
  <c r="K9" i="24"/>
  <c r="N9" i="24" s="1"/>
  <c r="R8" i="24"/>
  <c r="M8" i="24"/>
  <c r="L8" i="24"/>
  <c r="C128" i="24"/>
  <c r="K8" i="24"/>
  <c r="U180" i="25"/>
  <c r="T180" i="25"/>
  <c r="S180" i="25"/>
  <c r="W180" i="25" s="1"/>
  <c r="H180" i="25"/>
  <c r="U179" i="25"/>
  <c r="T179" i="25"/>
  <c r="S179" i="25"/>
  <c r="W179" i="25" s="1"/>
  <c r="U177" i="25"/>
  <c r="T177" i="25"/>
  <c r="S177" i="25"/>
  <c r="W177" i="25"/>
  <c r="U176" i="25"/>
  <c r="T176" i="25"/>
  <c r="S176" i="25"/>
  <c r="W176" i="25" s="1"/>
  <c r="U175" i="25"/>
  <c r="T175" i="25"/>
  <c r="S175" i="25"/>
  <c r="W175" i="25" s="1"/>
  <c r="U172" i="25"/>
  <c r="T172" i="25"/>
  <c r="S172" i="25"/>
  <c r="W172" i="25" s="1"/>
  <c r="U171" i="25"/>
  <c r="U168" i="25"/>
  <c r="T168" i="25"/>
  <c r="W168" i="25" s="1"/>
  <c r="S168" i="25"/>
  <c r="U160" i="25"/>
  <c r="T160" i="25"/>
  <c r="S160" i="25"/>
  <c r="W160" i="25" s="1"/>
  <c r="U155" i="25"/>
  <c r="T155" i="25"/>
  <c r="S155" i="25"/>
  <c r="W155" i="25"/>
  <c r="U152" i="25"/>
  <c r="T152" i="25"/>
  <c r="S152" i="25"/>
  <c r="U151" i="25"/>
  <c r="W151" i="25"/>
  <c r="T151" i="25"/>
  <c r="S151" i="25"/>
  <c r="U148" i="25"/>
  <c r="T148" i="25"/>
  <c r="U145" i="25"/>
  <c r="T145" i="25"/>
  <c r="S145" i="25"/>
  <c r="W145" i="25" s="1"/>
  <c r="U143" i="25"/>
  <c r="T143" i="25"/>
  <c r="S143" i="25"/>
  <c r="W143" i="25" s="1"/>
  <c r="B143" i="25"/>
  <c r="U142" i="25"/>
  <c r="T142" i="25"/>
  <c r="S142" i="25"/>
  <c r="W142" i="25" s="1"/>
  <c r="C141" i="25"/>
  <c r="B141" i="25"/>
  <c r="U140" i="25"/>
  <c r="T140" i="25"/>
  <c r="S140" i="25"/>
  <c r="W140" i="25" s="1"/>
  <c r="U139" i="25"/>
  <c r="T139" i="25"/>
  <c r="W139" i="25" s="1"/>
  <c r="S139" i="25"/>
  <c r="U135" i="25"/>
  <c r="T135" i="25"/>
  <c r="S135" i="25"/>
  <c r="U134" i="25"/>
  <c r="T134" i="25"/>
  <c r="S134" i="25"/>
  <c r="W134" i="25" s="1"/>
  <c r="U133" i="25"/>
  <c r="W133" i="25"/>
  <c r="T133" i="25"/>
  <c r="S133" i="25"/>
  <c r="U131" i="25"/>
  <c r="T131" i="25"/>
  <c r="S131" i="25"/>
  <c r="U130" i="25"/>
  <c r="T130" i="25"/>
  <c r="S130" i="25"/>
  <c r="W130" i="25" s="1"/>
  <c r="U129" i="25"/>
  <c r="W129" i="25" s="1"/>
  <c r="T129" i="25"/>
  <c r="S129" i="25"/>
  <c r="R113" i="25"/>
  <c r="M113" i="25"/>
  <c r="L113" i="25"/>
  <c r="N113" i="25"/>
  <c r="K113" i="25"/>
  <c r="R112" i="25"/>
  <c r="L180" i="25" s="1"/>
  <c r="M112" i="25"/>
  <c r="L112" i="25"/>
  <c r="K112" i="25"/>
  <c r="R111" i="25"/>
  <c r="M111" i="25"/>
  <c r="L111" i="25"/>
  <c r="K111" i="25"/>
  <c r="R110" i="25"/>
  <c r="M110" i="25"/>
  <c r="L110" i="25"/>
  <c r="K110" i="25"/>
  <c r="N110" i="25" s="1"/>
  <c r="R109" i="25"/>
  <c r="M109" i="25"/>
  <c r="L109" i="25"/>
  <c r="K109" i="25"/>
  <c r="N109" i="25" s="1"/>
  <c r="E109" i="25"/>
  <c r="R108" i="25"/>
  <c r="N108" i="25"/>
  <c r="M108" i="25"/>
  <c r="D178" i="25" s="1"/>
  <c r="L108" i="25"/>
  <c r="K108" i="25"/>
  <c r="R107" i="25"/>
  <c r="M107" i="25"/>
  <c r="L107" i="25"/>
  <c r="C177" i="25"/>
  <c r="K107" i="25"/>
  <c r="R106" i="25"/>
  <c r="L177" i="25"/>
  <c r="M106" i="25"/>
  <c r="D177" i="25" s="1"/>
  <c r="L106" i="25"/>
  <c r="K106" i="25"/>
  <c r="N106" i="25" s="1"/>
  <c r="R105" i="25"/>
  <c r="M105" i="25"/>
  <c r="L105" i="25"/>
  <c r="K105" i="25"/>
  <c r="N105" i="25" s="1"/>
  <c r="R104" i="25"/>
  <c r="L176" i="25" s="1"/>
  <c r="J176" i="25"/>
  <c r="M104" i="25"/>
  <c r="L104" i="25"/>
  <c r="C176" i="25" s="1"/>
  <c r="K104" i="25"/>
  <c r="R103" i="25"/>
  <c r="M103" i="25"/>
  <c r="L103" i="25"/>
  <c r="K103" i="25"/>
  <c r="R102" i="25"/>
  <c r="M102" i="25"/>
  <c r="D175" i="25" s="1"/>
  <c r="L102" i="25"/>
  <c r="K102" i="25"/>
  <c r="R101" i="25"/>
  <c r="M101" i="25"/>
  <c r="D174" i="25" s="1"/>
  <c r="L101" i="25"/>
  <c r="K101" i="25"/>
  <c r="N101" i="25" s="1"/>
  <c r="E101" i="25"/>
  <c r="R100" i="25"/>
  <c r="H174" i="25" s="1"/>
  <c r="M100" i="25"/>
  <c r="L100" i="25"/>
  <c r="C174" i="25"/>
  <c r="K100" i="25"/>
  <c r="R99" i="25"/>
  <c r="M99" i="25"/>
  <c r="L99" i="25"/>
  <c r="K99" i="25"/>
  <c r="N99" i="25" s="1"/>
  <c r="E99" i="25"/>
  <c r="U173" i="25"/>
  <c r="R98" i="25"/>
  <c r="M98" i="25"/>
  <c r="D173" i="25" s="1"/>
  <c r="L98" i="25"/>
  <c r="K98" i="25"/>
  <c r="R97" i="25"/>
  <c r="M97" i="25"/>
  <c r="L97" i="25"/>
  <c r="K97" i="25"/>
  <c r="R96" i="25"/>
  <c r="M96" i="25"/>
  <c r="D172" i="25"/>
  <c r="L96" i="25"/>
  <c r="K96" i="25"/>
  <c r="R95" i="25"/>
  <c r="M95" i="25"/>
  <c r="L95" i="25"/>
  <c r="K95" i="25"/>
  <c r="E95" i="25"/>
  <c r="S171" i="25" s="1"/>
  <c r="R94" i="25"/>
  <c r="M94" i="25"/>
  <c r="L94" i="25"/>
  <c r="C171" i="25" s="1"/>
  <c r="K94" i="25"/>
  <c r="R93" i="25"/>
  <c r="H170" i="25"/>
  <c r="N93" i="25"/>
  <c r="M93" i="25"/>
  <c r="L93" i="25"/>
  <c r="K93" i="25"/>
  <c r="E93" i="25"/>
  <c r="R92" i="25"/>
  <c r="M92" i="25"/>
  <c r="L92" i="25"/>
  <c r="C170" i="25" s="1"/>
  <c r="K92" i="25"/>
  <c r="R91" i="25"/>
  <c r="M91" i="25"/>
  <c r="L91" i="25"/>
  <c r="K91" i="25"/>
  <c r="N91" i="25" s="1"/>
  <c r="E91" i="25"/>
  <c r="T169" i="25"/>
  <c r="R90" i="25"/>
  <c r="M90" i="25"/>
  <c r="L90" i="25"/>
  <c r="C169" i="25" s="1"/>
  <c r="K90" i="25"/>
  <c r="N90" i="25" s="1"/>
  <c r="R89" i="25"/>
  <c r="L168" i="25" s="1"/>
  <c r="M89" i="25"/>
  <c r="L89" i="25"/>
  <c r="K89" i="25"/>
  <c r="N89" i="25" s="1"/>
  <c r="R88" i="25"/>
  <c r="M88" i="25"/>
  <c r="D168" i="25"/>
  <c r="L88" i="25"/>
  <c r="K88" i="25"/>
  <c r="R87" i="25"/>
  <c r="M87" i="25"/>
  <c r="L87" i="25"/>
  <c r="C167" i="25"/>
  <c r="K87" i="25"/>
  <c r="N87" i="25" s="1"/>
  <c r="E87" i="25"/>
  <c r="U167" i="25"/>
  <c r="R86" i="25"/>
  <c r="M86" i="25"/>
  <c r="D167" i="25" s="1"/>
  <c r="L86" i="25"/>
  <c r="K86" i="25"/>
  <c r="N86" i="25" s="1"/>
  <c r="R85" i="25"/>
  <c r="M85" i="25"/>
  <c r="L85" i="25"/>
  <c r="K85" i="25"/>
  <c r="N85" i="25" s="1"/>
  <c r="E85" i="25"/>
  <c r="R84" i="25"/>
  <c r="M84" i="25"/>
  <c r="D166" i="25" s="1"/>
  <c r="L84" i="25"/>
  <c r="C166" i="25"/>
  <c r="K84" i="25"/>
  <c r="B166" i="25" s="1"/>
  <c r="R83" i="25"/>
  <c r="M83" i="25"/>
  <c r="L83" i="25"/>
  <c r="K83" i="25"/>
  <c r="E83" i="25"/>
  <c r="T165" i="25" s="1"/>
  <c r="R82" i="25"/>
  <c r="M82" i="25"/>
  <c r="D165" i="25"/>
  <c r="L82" i="25"/>
  <c r="K82" i="25"/>
  <c r="R81" i="25"/>
  <c r="M81" i="25"/>
  <c r="L81" i="25"/>
  <c r="K81" i="25"/>
  <c r="N81" i="25" s="1"/>
  <c r="E81" i="25"/>
  <c r="H164" i="25" s="1"/>
  <c r="R80" i="25"/>
  <c r="L164" i="25" s="1"/>
  <c r="M80" i="25"/>
  <c r="L80" i="25"/>
  <c r="K80" i="25"/>
  <c r="R79" i="25"/>
  <c r="M79" i="25"/>
  <c r="L79" i="25"/>
  <c r="K79" i="25"/>
  <c r="E79" i="25"/>
  <c r="U163" i="25"/>
  <c r="R78" i="25"/>
  <c r="M78" i="25"/>
  <c r="L78" i="25"/>
  <c r="K78" i="25"/>
  <c r="B163" i="25" s="1"/>
  <c r="R77" i="25"/>
  <c r="M77" i="25"/>
  <c r="L77" i="25"/>
  <c r="K77" i="25"/>
  <c r="N77" i="25" s="1"/>
  <c r="E77" i="25"/>
  <c r="R76" i="25"/>
  <c r="L162" i="25" s="1"/>
  <c r="M76" i="25"/>
  <c r="L76" i="25"/>
  <c r="K76" i="25"/>
  <c r="N76" i="25" s="1"/>
  <c r="R75" i="25"/>
  <c r="M75" i="25"/>
  <c r="L75" i="25"/>
  <c r="N75" i="25" s="1"/>
  <c r="K75" i="25"/>
  <c r="E75" i="25"/>
  <c r="U161" i="25" s="1"/>
  <c r="R74" i="25"/>
  <c r="M74" i="25"/>
  <c r="D161" i="25" s="1"/>
  <c r="L74" i="25"/>
  <c r="C161" i="25"/>
  <c r="K74" i="25"/>
  <c r="R73" i="25"/>
  <c r="M73" i="25"/>
  <c r="L73" i="25"/>
  <c r="K73" i="25"/>
  <c r="N73" i="25" s="1"/>
  <c r="R72" i="25"/>
  <c r="N72" i="25"/>
  <c r="M72" i="25"/>
  <c r="D160" i="25" s="1"/>
  <c r="L72" i="25"/>
  <c r="C160" i="25"/>
  <c r="K72" i="25"/>
  <c r="R71" i="25"/>
  <c r="M71" i="25"/>
  <c r="L71" i="25"/>
  <c r="K71" i="25"/>
  <c r="N71" i="25" s="1"/>
  <c r="E71" i="25"/>
  <c r="U159" i="25"/>
  <c r="R70" i="25"/>
  <c r="M70" i="25"/>
  <c r="L70" i="25"/>
  <c r="K70" i="25"/>
  <c r="N70" i="25" s="1"/>
  <c r="R69" i="25"/>
  <c r="M69" i="25"/>
  <c r="D158" i="25" s="1"/>
  <c r="L69" i="25"/>
  <c r="K69" i="25"/>
  <c r="E69" i="25"/>
  <c r="R68" i="25"/>
  <c r="L158" i="25" s="1"/>
  <c r="N68" i="25"/>
  <c r="R67" i="25"/>
  <c r="M67" i="25"/>
  <c r="L67" i="25"/>
  <c r="K67" i="25"/>
  <c r="N67" i="25" s="1"/>
  <c r="E67" i="25"/>
  <c r="U157" i="25" s="1"/>
  <c r="R66" i="25"/>
  <c r="M66" i="25"/>
  <c r="L66" i="25"/>
  <c r="K66" i="25"/>
  <c r="N66" i="25"/>
  <c r="R65" i="25"/>
  <c r="M65" i="25"/>
  <c r="L65" i="25"/>
  <c r="K65" i="25"/>
  <c r="N65" i="25" s="1"/>
  <c r="E65" i="25"/>
  <c r="R64" i="25"/>
  <c r="M64" i="25"/>
  <c r="N64" i="25" s="1"/>
  <c r="L64" i="25"/>
  <c r="K64" i="25"/>
  <c r="R63" i="25"/>
  <c r="M63" i="25"/>
  <c r="L63" i="25"/>
  <c r="K63" i="25"/>
  <c r="R62" i="25"/>
  <c r="M62" i="25"/>
  <c r="D155" i="25" s="1"/>
  <c r="L62" i="25"/>
  <c r="N62" i="25" s="1"/>
  <c r="K62" i="25"/>
  <c r="R61" i="25"/>
  <c r="L154" i="25"/>
  <c r="M61" i="25"/>
  <c r="D154" i="25" s="1"/>
  <c r="L61" i="25"/>
  <c r="K61" i="25"/>
  <c r="E61" i="25"/>
  <c r="R60" i="25"/>
  <c r="M60" i="25"/>
  <c r="L60" i="25"/>
  <c r="C154" i="25" s="1"/>
  <c r="K60" i="25"/>
  <c r="R59" i="25"/>
  <c r="M59" i="25"/>
  <c r="L59" i="25"/>
  <c r="K59" i="25"/>
  <c r="N59" i="25"/>
  <c r="E59" i="25"/>
  <c r="R58" i="25"/>
  <c r="M58" i="25"/>
  <c r="L58" i="25"/>
  <c r="K58" i="25"/>
  <c r="N58" i="25" s="1"/>
  <c r="R57" i="25"/>
  <c r="L152" i="25" s="1"/>
  <c r="M57" i="25"/>
  <c r="L57" i="25"/>
  <c r="K57" i="25"/>
  <c r="R56" i="25"/>
  <c r="M56" i="25"/>
  <c r="L56" i="25"/>
  <c r="K56" i="25"/>
  <c r="R55" i="25"/>
  <c r="M55" i="25"/>
  <c r="L55" i="25"/>
  <c r="K55" i="25"/>
  <c r="N55" i="25" s="1"/>
  <c r="R54" i="25"/>
  <c r="M54" i="25"/>
  <c r="L54" i="25"/>
  <c r="C151" i="25" s="1"/>
  <c r="K54" i="25"/>
  <c r="B151" i="25" s="1"/>
  <c r="R53" i="25"/>
  <c r="M53" i="25"/>
  <c r="L53" i="25"/>
  <c r="K53" i="25"/>
  <c r="E53" i="25"/>
  <c r="R52" i="25"/>
  <c r="L150" i="25" s="1"/>
  <c r="M52" i="25"/>
  <c r="L52" i="25"/>
  <c r="K52" i="25"/>
  <c r="R51" i="25"/>
  <c r="M51" i="25"/>
  <c r="L51" i="25"/>
  <c r="K51" i="25"/>
  <c r="N51" i="25" s="1"/>
  <c r="E51" i="25"/>
  <c r="O50" i="25"/>
  <c r="R50" i="25" s="1"/>
  <c r="M50" i="25"/>
  <c r="L50" i="25"/>
  <c r="K50" i="25"/>
  <c r="O49" i="25"/>
  <c r="R49" i="25" s="1"/>
  <c r="M49" i="25"/>
  <c r="L49" i="25"/>
  <c r="K49" i="25"/>
  <c r="N49" i="25" s="1"/>
  <c r="O48" i="25"/>
  <c r="M48" i="25"/>
  <c r="D148" i="25" s="1"/>
  <c r="L48" i="25"/>
  <c r="C148" i="25" s="1"/>
  <c r="K48" i="25"/>
  <c r="R47" i="25"/>
  <c r="O47" i="25"/>
  <c r="M47" i="25"/>
  <c r="L47" i="25"/>
  <c r="K47" i="25"/>
  <c r="E47" i="25"/>
  <c r="R46" i="25"/>
  <c r="M46" i="25"/>
  <c r="L46" i="25"/>
  <c r="K46" i="25"/>
  <c r="R45" i="25"/>
  <c r="M45" i="25"/>
  <c r="L45" i="25"/>
  <c r="K45" i="25"/>
  <c r="N45" i="25" s="1"/>
  <c r="E45" i="25"/>
  <c r="O44" i="25"/>
  <c r="M44" i="25"/>
  <c r="D146" i="25"/>
  <c r="L44" i="25"/>
  <c r="C146" i="25" s="1"/>
  <c r="K44" i="25"/>
  <c r="B146" i="25" s="1"/>
  <c r="O43" i="25"/>
  <c r="R43" i="25" s="1"/>
  <c r="M43" i="25"/>
  <c r="L43" i="25"/>
  <c r="K43" i="25"/>
  <c r="O42" i="25"/>
  <c r="R42" i="25" s="1"/>
  <c r="M42" i="25"/>
  <c r="L42" i="25"/>
  <c r="K42" i="25"/>
  <c r="O41" i="25"/>
  <c r="S144" i="25" s="1"/>
  <c r="M41" i="25"/>
  <c r="L41" i="25"/>
  <c r="K41" i="25"/>
  <c r="N41" i="25" s="1"/>
  <c r="E41" i="25"/>
  <c r="R40" i="25"/>
  <c r="M40" i="25"/>
  <c r="D144" i="25" s="1"/>
  <c r="L40" i="25"/>
  <c r="K40" i="25"/>
  <c r="R39" i="25"/>
  <c r="M39" i="25"/>
  <c r="L39" i="25"/>
  <c r="K39" i="25"/>
  <c r="R38" i="25"/>
  <c r="M38" i="25"/>
  <c r="D143" i="25" s="1"/>
  <c r="L38" i="25"/>
  <c r="C143" i="25" s="1"/>
  <c r="K38" i="25"/>
  <c r="N38" i="25" s="1"/>
  <c r="R37" i="25"/>
  <c r="M37" i="25"/>
  <c r="L37" i="25"/>
  <c r="N37" i="25" s="1"/>
  <c r="K37" i="25"/>
  <c r="R36" i="25"/>
  <c r="J142" i="25" s="1"/>
  <c r="M36" i="25"/>
  <c r="L36" i="25"/>
  <c r="K36" i="25"/>
  <c r="R35" i="25"/>
  <c r="N35" i="25"/>
  <c r="M35" i="25"/>
  <c r="L35" i="25"/>
  <c r="K35" i="25"/>
  <c r="E35" i="25"/>
  <c r="U141" i="25"/>
  <c r="R34" i="25"/>
  <c r="M34" i="25"/>
  <c r="D141" i="25" s="1"/>
  <c r="L34" i="25"/>
  <c r="K34" i="25"/>
  <c r="R33" i="25"/>
  <c r="M33" i="25"/>
  <c r="L33" i="25"/>
  <c r="K33" i="25"/>
  <c r="N33" i="25"/>
  <c r="R32" i="25"/>
  <c r="H140" i="25" s="1"/>
  <c r="M32" i="25"/>
  <c r="D140" i="25" s="1"/>
  <c r="L32" i="25"/>
  <c r="K32" i="25"/>
  <c r="N32" i="25" s="1"/>
  <c r="R31" i="25"/>
  <c r="M31" i="25"/>
  <c r="L31" i="25"/>
  <c r="K31" i="25"/>
  <c r="R30" i="25"/>
  <c r="M30" i="25"/>
  <c r="L30" i="25"/>
  <c r="K30" i="25"/>
  <c r="N30" i="25"/>
  <c r="R29" i="25"/>
  <c r="M29" i="25"/>
  <c r="L29" i="25"/>
  <c r="K29" i="25"/>
  <c r="N29" i="25" s="1"/>
  <c r="E29" i="25"/>
  <c r="C138" i="25"/>
  <c r="R28" i="25"/>
  <c r="L138" i="25" s="1"/>
  <c r="M28" i="25"/>
  <c r="D138" i="25" s="1"/>
  <c r="L28" i="25"/>
  <c r="K28" i="25"/>
  <c r="R27" i="25"/>
  <c r="M27" i="25"/>
  <c r="L27" i="25"/>
  <c r="K27" i="25"/>
  <c r="E27" i="25"/>
  <c r="R26" i="25"/>
  <c r="M26" i="25"/>
  <c r="D137" i="25" s="1"/>
  <c r="L26" i="25"/>
  <c r="K26" i="25"/>
  <c r="N26" i="25" s="1"/>
  <c r="R25" i="25"/>
  <c r="M25" i="25"/>
  <c r="L25" i="25"/>
  <c r="K25" i="25"/>
  <c r="N25" i="25" s="1"/>
  <c r="E25" i="25"/>
  <c r="R24" i="25"/>
  <c r="J136" i="25" s="1"/>
  <c r="L136" i="25"/>
  <c r="M24" i="25"/>
  <c r="L24" i="25"/>
  <c r="K24" i="25"/>
  <c r="R23" i="25"/>
  <c r="M23" i="25"/>
  <c r="L23" i="25"/>
  <c r="K23" i="25"/>
  <c r="N23" i="25" s="1"/>
  <c r="R22" i="25"/>
  <c r="M22" i="25"/>
  <c r="D135" i="25" s="1"/>
  <c r="L22" i="25"/>
  <c r="C135" i="25" s="1"/>
  <c r="K22" i="25"/>
  <c r="B135" i="25" s="1"/>
  <c r="R21" i="25"/>
  <c r="M21" i="25"/>
  <c r="D134" i="25" s="1"/>
  <c r="L21" i="25"/>
  <c r="K21" i="25"/>
  <c r="R20" i="25"/>
  <c r="M20" i="25"/>
  <c r="L20" i="25"/>
  <c r="C134" i="25"/>
  <c r="K20" i="25"/>
  <c r="R19" i="25"/>
  <c r="M19" i="25"/>
  <c r="L19" i="25"/>
  <c r="K19" i="25"/>
  <c r="R18" i="25"/>
  <c r="M18" i="25"/>
  <c r="D133" i="25"/>
  <c r="L18" i="25"/>
  <c r="K18" i="25"/>
  <c r="N18" i="25" s="1"/>
  <c r="R17" i="25"/>
  <c r="M17" i="25"/>
  <c r="L17" i="25"/>
  <c r="K17" i="25"/>
  <c r="N17" i="25" s="1"/>
  <c r="E17" i="25"/>
  <c r="H132" i="25" s="1"/>
  <c r="R16" i="25"/>
  <c r="L132" i="25" s="1"/>
  <c r="M16" i="25"/>
  <c r="D132" i="25" s="1"/>
  <c r="L16" i="25"/>
  <c r="C132" i="25"/>
  <c r="K16" i="25"/>
  <c r="R15" i="25"/>
  <c r="N15" i="25"/>
  <c r="M15" i="25"/>
  <c r="L15" i="25"/>
  <c r="K15" i="25"/>
  <c r="R14" i="25"/>
  <c r="M14" i="25"/>
  <c r="L14" i="25"/>
  <c r="C131" i="25" s="1"/>
  <c r="K14" i="25"/>
  <c r="B131" i="25"/>
  <c r="R13" i="25"/>
  <c r="M13" i="25"/>
  <c r="L13" i="25"/>
  <c r="K13" i="25"/>
  <c r="N13" i="25" s="1"/>
  <c r="R12" i="25"/>
  <c r="L130" i="25" s="1"/>
  <c r="M12" i="25"/>
  <c r="N12" i="25" s="1"/>
  <c r="L12" i="25"/>
  <c r="K12" i="25"/>
  <c r="R11" i="25"/>
  <c r="M11" i="25"/>
  <c r="N11" i="25" s="1"/>
  <c r="L11" i="25"/>
  <c r="K11" i="25"/>
  <c r="R10" i="25"/>
  <c r="M10" i="25"/>
  <c r="D129" i="25" s="1"/>
  <c r="N10" i="25"/>
  <c r="L10" i="25"/>
  <c r="C129" i="25" s="1"/>
  <c r="K10" i="25"/>
  <c r="R9" i="25"/>
  <c r="M9" i="25"/>
  <c r="L9" i="25"/>
  <c r="K9" i="25"/>
  <c r="N9" i="25" s="1"/>
  <c r="E9" i="25"/>
  <c r="R8" i="25"/>
  <c r="M8" i="25"/>
  <c r="L8" i="25"/>
  <c r="K8" i="25"/>
  <c r="U143" i="26"/>
  <c r="T143" i="26"/>
  <c r="S143" i="26"/>
  <c r="W143" i="26" s="1"/>
  <c r="U142" i="26"/>
  <c r="T142" i="26"/>
  <c r="S142" i="26"/>
  <c r="U138" i="26"/>
  <c r="T138" i="26"/>
  <c r="S138" i="26"/>
  <c r="U123" i="26"/>
  <c r="T123" i="26"/>
  <c r="S123" i="26"/>
  <c r="U119" i="26"/>
  <c r="T119" i="26"/>
  <c r="S119" i="26"/>
  <c r="U118" i="26"/>
  <c r="T118" i="26"/>
  <c r="S118" i="26"/>
  <c r="W118" i="26" s="1"/>
  <c r="U116" i="26"/>
  <c r="T116" i="26"/>
  <c r="S116" i="26"/>
  <c r="U115" i="26"/>
  <c r="T115" i="26"/>
  <c r="S115" i="26"/>
  <c r="U114" i="26"/>
  <c r="T114" i="26"/>
  <c r="S114" i="26"/>
  <c r="U112" i="26"/>
  <c r="T112" i="26"/>
  <c r="S112" i="26"/>
  <c r="U111" i="26"/>
  <c r="T111" i="26"/>
  <c r="S111" i="26"/>
  <c r="U109" i="26"/>
  <c r="T109" i="26"/>
  <c r="S109" i="26"/>
  <c r="W109" i="26" s="1"/>
  <c r="R77" i="26"/>
  <c r="M77" i="26"/>
  <c r="L77" i="26"/>
  <c r="K77" i="26"/>
  <c r="R76" i="26"/>
  <c r="M76" i="26"/>
  <c r="D143" i="26" s="1"/>
  <c r="L76" i="26"/>
  <c r="C143" i="26" s="1"/>
  <c r="K76" i="26"/>
  <c r="N76" i="26" s="1"/>
  <c r="R75" i="26"/>
  <c r="J142" i="26"/>
  <c r="M75" i="26"/>
  <c r="L75" i="26"/>
  <c r="K75" i="26"/>
  <c r="R74" i="26"/>
  <c r="M74" i="26"/>
  <c r="D142" i="26"/>
  <c r="L74" i="26"/>
  <c r="C142" i="26" s="1"/>
  <c r="K74" i="26"/>
  <c r="B142" i="26" s="1"/>
  <c r="R73" i="26"/>
  <c r="M73" i="26"/>
  <c r="L73" i="26"/>
  <c r="K73" i="26"/>
  <c r="N73" i="26"/>
  <c r="E73" i="26"/>
  <c r="U141" i="26" s="1"/>
  <c r="R72" i="26"/>
  <c r="M72" i="26"/>
  <c r="L72" i="26"/>
  <c r="C141" i="26"/>
  <c r="K72" i="26"/>
  <c r="N72" i="26" s="1"/>
  <c r="R71" i="26"/>
  <c r="M71" i="26"/>
  <c r="L71" i="26"/>
  <c r="K71" i="26"/>
  <c r="N71" i="26" s="1"/>
  <c r="E71" i="26"/>
  <c r="S140" i="26"/>
  <c r="R70" i="26"/>
  <c r="M70" i="26"/>
  <c r="L70" i="26"/>
  <c r="K70" i="26"/>
  <c r="R69" i="26"/>
  <c r="M69" i="26"/>
  <c r="L69" i="26"/>
  <c r="K69" i="26"/>
  <c r="E69" i="26"/>
  <c r="S139" i="26" s="1"/>
  <c r="R68" i="26"/>
  <c r="M68" i="26"/>
  <c r="L68" i="26"/>
  <c r="K68" i="26"/>
  <c r="R67" i="26"/>
  <c r="M67" i="26"/>
  <c r="L67" i="26"/>
  <c r="K67" i="26"/>
  <c r="N67" i="26" s="1"/>
  <c r="R66" i="26"/>
  <c r="M66" i="26"/>
  <c r="L66" i="26"/>
  <c r="K66" i="26"/>
  <c r="B138" i="26"/>
  <c r="R65" i="26"/>
  <c r="M65" i="26"/>
  <c r="L65" i="26"/>
  <c r="K65" i="26"/>
  <c r="E65" i="26"/>
  <c r="R64" i="26"/>
  <c r="M64" i="26"/>
  <c r="L64" i="26"/>
  <c r="C137" i="26" s="1"/>
  <c r="K64" i="26"/>
  <c r="B137" i="26" s="1"/>
  <c r="R63" i="26"/>
  <c r="M63" i="26"/>
  <c r="L63" i="26"/>
  <c r="K63" i="26"/>
  <c r="E63" i="26"/>
  <c r="C136" i="26" s="1"/>
  <c r="R62" i="26"/>
  <c r="M62" i="26"/>
  <c r="L62" i="26"/>
  <c r="K62" i="26"/>
  <c r="R61" i="26"/>
  <c r="M61" i="26"/>
  <c r="L61" i="26"/>
  <c r="K61" i="26"/>
  <c r="N61" i="26" s="1"/>
  <c r="E61" i="26"/>
  <c r="S135" i="26"/>
  <c r="U135" i="26"/>
  <c r="R60" i="26"/>
  <c r="H135" i="26"/>
  <c r="M60" i="26"/>
  <c r="D135" i="26" s="1"/>
  <c r="L60" i="26"/>
  <c r="K60" i="26"/>
  <c r="R59" i="26"/>
  <c r="M59" i="26"/>
  <c r="L59" i="26"/>
  <c r="K59" i="26"/>
  <c r="E59" i="26"/>
  <c r="T134" i="26" s="1"/>
  <c r="R58" i="26"/>
  <c r="M58" i="26"/>
  <c r="L58" i="26"/>
  <c r="K58" i="26"/>
  <c r="R57" i="26"/>
  <c r="M57" i="26"/>
  <c r="L57" i="26"/>
  <c r="K57" i="26"/>
  <c r="N57" i="26" s="1"/>
  <c r="E57" i="26"/>
  <c r="U133" i="26"/>
  <c r="R56" i="26"/>
  <c r="M56" i="26"/>
  <c r="L56" i="26"/>
  <c r="K56" i="26"/>
  <c r="R55" i="26"/>
  <c r="M55" i="26"/>
  <c r="L55" i="26"/>
  <c r="K55" i="26"/>
  <c r="E55" i="26"/>
  <c r="S132" i="26"/>
  <c r="R54" i="26"/>
  <c r="L132" i="26" s="1"/>
  <c r="M54" i="26"/>
  <c r="L54" i="26"/>
  <c r="K54" i="26"/>
  <c r="R53" i="26"/>
  <c r="M53" i="26"/>
  <c r="L53" i="26"/>
  <c r="K53" i="26"/>
  <c r="E53" i="26"/>
  <c r="R52" i="26"/>
  <c r="H131" i="26" s="1"/>
  <c r="M52" i="26"/>
  <c r="L52" i="26"/>
  <c r="K52" i="26"/>
  <c r="R51" i="26"/>
  <c r="M51" i="26"/>
  <c r="L51" i="26"/>
  <c r="K51" i="26"/>
  <c r="E51" i="26"/>
  <c r="T130" i="26"/>
  <c r="U130" i="26"/>
  <c r="R50" i="26"/>
  <c r="H130" i="26" s="1"/>
  <c r="M50" i="26"/>
  <c r="L50" i="26"/>
  <c r="K50" i="26"/>
  <c r="R49" i="26"/>
  <c r="M49" i="26"/>
  <c r="L49" i="26"/>
  <c r="K49" i="26"/>
  <c r="N49" i="26" s="1"/>
  <c r="E49" i="26"/>
  <c r="S129" i="26"/>
  <c r="R48" i="26"/>
  <c r="M48" i="26"/>
  <c r="L48" i="26"/>
  <c r="K48" i="26"/>
  <c r="R47" i="26"/>
  <c r="M47" i="26"/>
  <c r="L47" i="26"/>
  <c r="K47" i="26"/>
  <c r="E47" i="26"/>
  <c r="S128" i="26" s="1"/>
  <c r="R46" i="26"/>
  <c r="H128" i="26" s="1"/>
  <c r="M46" i="26"/>
  <c r="D128" i="26" s="1"/>
  <c r="L46" i="26"/>
  <c r="K46" i="26"/>
  <c r="B128" i="26"/>
  <c r="R45" i="26"/>
  <c r="M45" i="26"/>
  <c r="L45" i="26"/>
  <c r="K45" i="26"/>
  <c r="E45" i="26"/>
  <c r="R44" i="26"/>
  <c r="J127" i="26" s="1"/>
  <c r="M44" i="26"/>
  <c r="L44" i="26"/>
  <c r="C127" i="26" s="1"/>
  <c r="K44" i="26"/>
  <c r="N44" i="26"/>
  <c r="R43" i="26"/>
  <c r="M43" i="26"/>
  <c r="L43" i="26"/>
  <c r="K43" i="26"/>
  <c r="E43" i="26"/>
  <c r="T126" i="26" s="1"/>
  <c r="S126" i="26"/>
  <c r="U126" i="26"/>
  <c r="R42" i="26"/>
  <c r="M42" i="26"/>
  <c r="D126" i="26" s="1"/>
  <c r="L42" i="26"/>
  <c r="K42" i="26"/>
  <c r="R41" i="26"/>
  <c r="M41" i="26"/>
  <c r="L41" i="26"/>
  <c r="K41" i="26"/>
  <c r="E41" i="26"/>
  <c r="S125" i="26"/>
  <c r="U125" i="26"/>
  <c r="R40" i="26"/>
  <c r="J125" i="26" s="1"/>
  <c r="M40" i="26"/>
  <c r="D125" i="26"/>
  <c r="L40" i="26"/>
  <c r="K40" i="26"/>
  <c r="B125" i="26"/>
  <c r="R39" i="26"/>
  <c r="M39" i="26"/>
  <c r="L39" i="26"/>
  <c r="K39" i="26"/>
  <c r="N39" i="26"/>
  <c r="E39" i="26"/>
  <c r="R38" i="26"/>
  <c r="M38" i="26"/>
  <c r="L38" i="26"/>
  <c r="K38" i="26"/>
  <c r="R37" i="26"/>
  <c r="H123" i="26" s="1"/>
  <c r="M37" i="26"/>
  <c r="L37" i="26"/>
  <c r="C123" i="26"/>
  <c r="K37" i="26"/>
  <c r="N37" i="26" s="1"/>
  <c r="R36" i="26"/>
  <c r="M36" i="26"/>
  <c r="L36" i="26"/>
  <c r="K36" i="26"/>
  <c r="R35" i="26"/>
  <c r="M35" i="26"/>
  <c r="L35" i="26"/>
  <c r="K35" i="26"/>
  <c r="E35" i="26"/>
  <c r="S122" i="26" s="1"/>
  <c r="R34" i="26"/>
  <c r="M34" i="26"/>
  <c r="L34" i="26"/>
  <c r="K34" i="26"/>
  <c r="R33" i="26"/>
  <c r="M33" i="26"/>
  <c r="L33" i="26"/>
  <c r="K33" i="26"/>
  <c r="E33" i="26"/>
  <c r="T121" i="26" s="1"/>
  <c r="R32" i="26"/>
  <c r="H121" i="26" s="1"/>
  <c r="L121" i="26"/>
  <c r="M32" i="26"/>
  <c r="L32" i="26"/>
  <c r="K32" i="26"/>
  <c r="R31" i="26"/>
  <c r="M31" i="26"/>
  <c r="L31" i="26"/>
  <c r="K31" i="26"/>
  <c r="N31" i="26"/>
  <c r="E31" i="26"/>
  <c r="T120" i="26"/>
  <c r="U120" i="26"/>
  <c r="R30" i="26"/>
  <c r="M30" i="26"/>
  <c r="L30" i="26"/>
  <c r="K30" i="26"/>
  <c r="R29" i="26"/>
  <c r="M29" i="26"/>
  <c r="L29" i="26"/>
  <c r="K29" i="26"/>
  <c r="N29" i="26" s="1"/>
  <c r="R28" i="26"/>
  <c r="M28" i="26"/>
  <c r="D119" i="26" s="1"/>
  <c r="L28" i="26"/>
  <c r="K28" i="26"/>
  <c r="B119" i="26" s="1"/>
  <c r="R27" i="26"/>
  <c r="M27" i="26"/>
  <c r="L27" i="26"/>
  <c r="K27" i="26"/>
  <c r="R26" i="26"/>
  <c r="M26" i="26"/>
  <c r="D118" i="26" s="1"/>
  <c r="L26" i="26"/>
  <c r="C118" i="26" s="1"/>
  <c r="K26" i="26"/>
  <c r="N26" i="26" s="1"/>
  <c r="B118" i="26"/>
  <c r="E118" i="26" s="1"/>
  <c r="R25" i="26"/>
  <c r="M25" i="26"/>
  <c r="L25" i="26"/>
  <c r="K25" i="26"/>
  <c r="N25" i="26" s="1"/>
  <c r="E25" i="26"/>
  <c r="U117" i="26" s="1"/>
  <c r="R24" i="26"/>
  <c r="M24" i="26"/>
  <c r="D117" i="26" s="1"/>
  <c r="L24" i="26"/>
  <c r="K24" i="26"/>
  <c r="N24" i="26" s="1"/>
  <c r="R23" i="26"/>
  <c r="L116" i="26"/>
  <c r="M23" i="26"/>
  <c r="L23" i="26"/>
  <c r="K23" i="26"/>
  <c r="N23" i="26" s="1"/>
  <c r="R22" i="26"/>
  <c r="H116" i="26" s="1"/>
  <c r="M22" i="26"/>
  <c r="L22" i="26"/>
  <c r="C116" i="26" s="1"/>
  <c r="K22" i="26"/>
  <c r="R21" i="26"/>
  <c r="M21" i="26"/>
  <c r="L21" i="26"/>
  <c r="K21" i="26"/>
  <c r="N21" i="26"/>
  <c r="R20" i="26"/>
  <c r="L115" i="26" s="1"/>
  <c r="M20" i="26"/>
  <c r="D115" i="26"/>
  <c r="L20" i="26"/>
  <c r="C115" i="26"/>
  <c r="K20" i="26"/>
  <c r="R19" i="26"/>
  <c r="M19" i="26"/>
  <c r="L19" i="26"/>
  <c r="N19" i="26" s="1"/>
  <c r="K19" i="26"/>
  <c r="R18" i="26"/>
  <c r="J114" i="26" s="1"/>
  <c r="M18" i="26"/>
  <c r="D114" i="26" s="1"/>
  <c r="L18" i="26"/>
  <c r="K18" i="26"/>
  <c r="N18" i="26" s="1"/>
  <c r="R17" i="26"/>
  <c r="M17" i="26"/>
  <c r="L17" i="26"/>
  <c r="K17" i="26"/>
  <c r="E17" i="26"/>
  <c r="R16" i="26"/>
  <c r="M16" i="26"/>
  <c r="L16" i="26"/>
  <c r="C113" i="26"/>
  <c r="K16" i="26"/>
  <c r="R15" i="26"/>
  <c r="M15" i="26"/>
  <c r="L15" i="26"/>
  <c r="K15" i="26"/>
  <c r="N15" i="26" s="1"/>
  <c r="R14" i="26"/>
  <c r="H112" i="26"/>
  <c r="L112" i="26"/>
  <c r="M14" i="26"/>
  <c r="D112" i="26" s="1"/>
  <c r="L14" i="26"/>
  <c r="K14" i="26"/>
  <c r="B112" i="26" s="1"/>
  <c r="R13" i="26"/>
  <c r="L111" i="26" s="1"/>
  <c r="M13" i="26"/>
  <c r="L13" i="26"/>
  <c r="K13" i="26"/>
  <c r="R12" i="26"/>
  <c r="M12" i="26"/>
  <c r="L12" i="26"/>
  <c r="K12" i="26"/>
  <c r="B111" i="26" s="1"/>
  <c r="R11" i="26"/>
  <c r="M11" i="26"/>
  <c r="L11" i="26"/>
  <c r="K11" i="26"/>
  <c r="N11" i="26" s="1"/>
  <c r="E11" i="26"/>
  <c r="H110" i="26" s="1"/>
  <c r="R10" i="26"/>
  <c r="M10" i="26"/>
  <c r="L10" i="26"/>
  <c r="K10" i="26"/>
  <c r="R9" i="26"/>
  <c r="M9" i="26"/>
  <c r="L9" i="26"/>
  <c r="K9" i="26"/>
  <c r="R8" i="26"/>
  <c r="H109" i="26" s="1"/>
  <c r="M8" i="26"/>
  <c r="L8" i="26"/>
  <c r="K8" i="26"/>
  <c r="B109" i="26" s="1"/>
  <c r="R7" i="26"/>
  <c r="M7" i="26"/>
  <c r="L7" i="26"/>
  <c r="K7" i="26"/>
  <c r="E7" i="26"/>
  <c r="U150" i="16"/>
  <c r="T150" i="16"/>
  <c r="S150" i="16"/>
  <c r="W150" i="16" s="1"/>
  <c r="U149" i="16"/>
  <c r="T149" i="16"/>
  <c r="S149" i="16"/>
  <c r="W149" i="16"/>
  <c r="U148" i="16"/>
  <c r="T148" i="16"/>
  <c r="S148" i="16"/>
  <c r="U147" i="16"/>
  <c r="T147" i="16"/>
  <c r="S147" i="16"/>
  <c r="W147" i="16" s="1"/>
  <c r="U134" i="16"/>
  <c r="T134" i="16"/>
  <c r="S134" i="16"/>
  <c r="U130" i="16"/>
  <c r="T130" i="16"/>
  <c r="S130" i="16"/>
  <c r="W130" i="16" s="1"/>
  <c r="U126" i="16"/>
  <c r="W126" i="16" s="1"/>
  <c r="T126" i="16"/>
  <c r="S126" i="16"/>
  <c r="U124" i="16"/>
  <c r="T124" i="16"/>
  <c r="S124" i="16"/>
  <c r="W124" i="16" s="1"/>
  <c r="U122" i="16"/>
  <c r="T122" i="16"/>
  <c r="S122" i="16"/>
  <c r="U120" i="16"/>
  <c r="T120" i="16"/>
  <c r="S120" i="16"/>
  <c r="U115" i="16"/>
  <c r="T115" i="16"/>
  <c r="W115" i="16"/>
  <c r="S115" i="16"/>
  <c r="R82" i="16"/>
  <c r="M82" i="16"/>
  <c r="L82" i="16"/>
  <c r="K82" i="16"/>
  <c r="R81" i="16"/>
  <c r="M81" i="16"/>
  <c r="D150" i="16" s="1"/>
  <c r="L81" i="16"/>
  <c r="C150" i="16" s="1"/>
  <c r="K81" i="16"/>
  <c r="R80" i="16"/>
  <c r="M80" i="16"/>
  <c r="L80" i="16"/>
  <c r="K80" i="16"/>
  <c r="R79" i="16"/>
  <c r="M79" i="16"/>
  <c r="L79" i="16"/>
  <c r="C149" i="16"/>
  <c r="K79" i="16"/>
  <c r="R78" i="16"/>
  <c r="M78" i="16"/>
  <c r="L78" i="16"/>
  <c r="K78" i="16"/>
  <c r="N78" i="16"/>
  <c r="R77" i="16"/>
  <c r="J148" i="16"/>
  <c r="M77" i="16"/>
  <c r="L77" i="16"/>
  <c r="K77" i="16"/>
  <c r="R76" i="16"/>
  <c r="M76" i="16"/>
  <c r="L76" i="16"/>
  <c r="K76" i="16"/>
  <c r="B147" i="16"/>
  <c r="R75" i="16"/>
  <c r="H147" i="16" s="1"/>
  <c r="M75" i="16"/>
  <c r="D147" i="16"/>
  <c r="L75" i="16"/>
  <c r="K75" i="16"/>
  <c r="R74" i="16"/>
  <c r="M74" i="16"/>
  <c r="L74" i="16"/>
  <c r="K74" i="16"/>
  <c r="E74" i="16"/>
  <c r="R73" i="16"/>
  <c r="J146" i="16" s="1"/>
  <c r="M73" i="16"/>
  <c r="L73" i="16"/>
  <c r="K73" i="16"/>
  <c r="R72" i="16"/>
  <c r="M72" i="16"/>
  <c r="L72" i="16"/>
  <c r="K72" i="16"/>
  <c r="E72" i="16"/>
  <c r="U145" i="16"/>
  <c r="R71" i="16"/>
  <c r="M71" i="16"/>
  <c r="L71" i="16"/>
  <c r="K71" i="16"/>
  <c r="N71" i="16" s="1"/>
  <c r="R70" i="16"/>
  <c r="M70" i="16"/>
  <c r="L70" i="16"/>
  <c r="K70" i="16"/>
  <c r="B144" i="16" s="1"/>
  <c r="E70" i="16"/>
  <c r="T144" i="16" s="1"/>
  <c r="R69" i="16"/>
  <c r="H144" i="16" s="1"/>
  <c r="M69" i="16"/>
  <c r="D144" i="16" s="1"/>
  <c r="L69" i="16"/>
  <c r="K69" i="16"/>
  <c r="R68" i="16"/>
  <c r="M68" i="16"/>
  <c r="L68" i="16"/>
  <c r="K68" i="16"/>
  <c r="E68" i="16"/>
  <c r="R67" i="16"/>
  <c r="L143" i="16"/>
  <c r="M67" i="16"/>
  <c r="L67" i="16"/>
  <c r="K67" i="16"/>
  <c r="R66" i="16"/>
  <c r="M66" i="16"/>
  <c r="L66" i="16"/>
  <c r="K66" i="16"/>
  <c r="E66" i="16"/>
  <c r="S142" i="16"/>
  <c r="R65" i="16"/>
  <c r="J142" i="16" s="1"/>
  <c r="M65" i="16"/>
  <c r="L65" i="16"/>
  <c r="K65" i="16"/>
  <c r="R64" i="16"/>
  <c r="M64" i="16"/>
  <c r="L64" i="16"/>
  <c r="K64" i="16"/>
  <c r="E64" i="16"/>
  <c r="U141" i="16"/>
  <c r="S141" i="16"/>
  <c r="R63" i="16"/>
  <c r="M63" i="16"/>
  <c r="L63" i="16"/>
  <c r="C141" i="16" s="1"/>
  <c r="K63" i="16"/>
  <c r="R62" i="16"/>
  <c r="M62" i="16"/>
  <c r="L62" i="16"/>
  <c r="K62" i="16"/>
  <c r="N62" i="16" s="1"/>
  <c r="E62" i="16"/>
  <c r="H140" i="16" s="1"/>
  <c r="R61" i="16"/>
  <c r="M61" i="16"/>
  <c r="L61" i="16"/>
  <c r="N61" i="16" s="1"/>
  <c r="K61" i="16"/>
  <c r="R60" i="16"/>
  <c r="M60" i="16"/>
  <c r="L60" i="16"/>
  <c r="K60" i="16"/>
  <c r="E60" i="16"/>
  <c r="S139" i="16" s="1"/>
  <c r="R59" i="16"/>
  <c r="M59" i="16"/>
  <c r="D139" i="16" s="1"/>
  <c r="L59" i="16"/>
  <c r="K59" i="16"/>
  <c r="B139" i="16" s="1"/>
  <c r="R58" i="16"/>
  <c r="M58" i="16"/>
  <c r="L58" i="16"/>
  <c r="K58" i="16"/>
  <c r="E58" i="16"/>
  <c r="R57" i="16"/>
  <c r="M57" i="16"/>
  <c r="L57" i="16"/>
  <c r="K57" i="16"/>
  <c r="N57" i="16"/>
  <c r="R56" i="16"/>
  <c r="J137" i="16" s="1"/>
  <c r="M56" i="16"/>
  <c r="L56" i="16"/>
  <c r="K56" i="16"/>
  <c r="E56" i="16"/>
  <c r="B137" i="16"/>
  <c r="R55" i="16"/>
  <c r="M55" i="16"/>
  <c r="L55" i="16"/>
  <c r="K55" i="16"/>
  <c r="R54" i="16"/>
  <c r="M54" i="16"/>
  <c r="L54" i="16"/>
  <c r="K54" i="16"/>
  <c r="E54" i="16"/>
  <c r="R53" i="16"/>
  <c r="L136" i="16" s="1"/>
  <c r="M53" i="16"/>
  <c r="L53" i="16"/>
  <c r="K53" i="16"/>
  <c r="R52" i="16"/>
  <c r="M52" i="16"/>
  <c r="L52" i="16"/>
  <c r="K52" i="16"/>
  <c r="E52" i="16"/>
  <c r="R51" i="16"/>
  <c r="M51" i="16"/>
  <c r="L51" i="16"/>
  <c r="K51" i="16"/>
  <c r="R50" i="16"/>
  <c r="J134" i="16"/>
  <c r="M50" i="16"/>
  <c r="D134" i="16" s="1"/>
  <c r="L50" i="16"/>
  <c r="K50" i="16"/>
  <c r="R49" i="16"/>
  <c r="M49" i="16"/>
  <c r="L49" i="16"/>
  <c r="K49" i="16"/>
  <c r="R48" i="16"/>
  <c r="M48" i="16"/>
  <c r="L48" i="16"/>
  <c r="K48" i="16"/>
  <c r="E48" i="16"/>
  <c r="U133" i="16"/>
  <c r="T133" i="16"/>
  <c r="R47" i="16"/>
  <c r="H133" i="16" s="1"/>
  <c r="M47" i="16"/>
  <c r="L47" i="16"/>
  <c r="C133" i="16" s="1"/>
  <c r="K47" i="16"/>
  <c r="R46" i="16"/>
  <c r="M46" i="16"/>
  <c r="L46" i="16"/>
  <c r="K46" i="16"/>
  <c r="N46" i="16" s="1"/>
  <c r="E46" i="16"/>
  <c r="S132" i="16"/>
  <c r="R45" i="16"/>
  <c r="M45" i="16"/>
  <c r="L45" i="16"/>
  <c r="K45" i="16"/>
  <c r="R44" i="16"/>
  <c r="M44" i="16"/>
  <c r="L44" i="16"/>
  <c r="K44" i="16"/>
  <c r="E44" i="16"/>
  <c r="S131" i="16"/>
  <c r="R43" i="16"/>
  <c r="J131" i="16"/>
  <c r="M43" i="16"/>
  <c r="L43" i="16"/>
  <c r="C131" i="16" s="1"/>
  <c r="K43" i="16"/>
  <c r="R42" i="16"/>
  <c r="M42" i="16"/>
  <c r="L42" i="16"/>
  <c r="C130" i="16" s="1"/>
  <c r="K42" i="16"/>
  <c r="R41" i="16"/>
  <c r="J130" i="16" s="1"/>
  <c r="M41" i="16"/>
  <c r="D130" i="16" s="1"/>
  <c r="L41" i="16"/>
  <c r="K41" i="16"/>
  <c r="N41" i="16"/>
  <c r="R40" i="16"/>
  <c r="H129" i="16" s="1"/>
  <c r="M40" i="16"/>
  <c r="L40" i="16"/>
  <c r="K40" i="16"/>
  <c r="N40" i="16" s="1"/>
  <c r="E40" i="16"/>
  <c r="T129" i="16" s="1"/>
  <c r="R39" i="16"/>
  <c r="M39" i="16"/>
  <c r="L39" i="16"/>
  <c r="K39" i="16"/>
  <c r="R38" i="16"/>
  <c r="M38" i="16"/>
  <c r="L38" i="16"/>
  <c r="K38" i="16"/>
  <c r="E38" i="16"/>
  <c r="R37" i="16"/>
  <c r="M37" i="16"/>
  <c r="L37" i="16"/>
  <c r="C128" i="16" s="1"/>
  <c r="K37" i="16"/>
  <c r="R36" i="16"/>
  <c r="M36" i="16"/>
  <c r="L36" i="16"/>
  <c r="K36" i="16"/>
  <c r="E36" i="16"/>
  <c r="R35" i="16"/>
  <c r="M35" i="16"/>
  <c r="L35" i="16"/>
  <c r="K35" i="16"/>
  <c r="N35" i="16" s="1"/>
  <c r="R34" i="16"/>
  <c r="M34" i="16"/>
  <c r="L34" i="16"/>
  <c r="K34" i="16"/>
  <c r="N34" i="16" s="1"/>
  <c r="R33" i="16"/>
  <c r="H126" i="16" s="1"/>
  <c r="M33" i="16"/>
  <c r="L33" i="16"/>
  <c r="C126" i="16" s="1"/>
  <c r="K33" i="16"/>
  <c r="B126" i="16"/>
  <c r="R32" i="16"/>
  <c r="M32" i="16"/>
  <c r="L32" i="16"/>
  <c r="K32" i="16"/>
  <c r="E32" i="16"/>
  <c r="U125" i="16" s="1"/>
  <c r="R31" i="16"/>
  <c r="H125" i="16" s="1"/>
  <c r="M31" i="16"/>
  <c r="L31" i="16"/>
  <c r="K31" i="16"/>
  <c r="R30" i="16"/>
  <c r="M30" i="16"/>
  <c r="L30" i="16"/>
  <c r="K30" i="16"/>
  <c r="R29" i="16"/>
  <c r="H124" i="16" s="1"/>
  <c r="M29" i="16"/>
  <c r="D124" i="16" s="1"/>
  <c r="L29" i="16"/>
  <c r="K29" i="16"/>
  <c r="B124" i="16" s="1"/>
  <c r="R28" i="16"/>
  <c r="M28" i="16"/>
  <c r="L28" i="16"/>
  <c r="C123" i="16"/>
  <c r="K28" i="16"/>
  <c r="E28" i="16"/>
  <c r="S123" i="16"/>
  <c r="R27" i="16"/>
  <c r="H123" i="16" s="1"/>
  <c r="M27" i="16"/>
  <c r="L27" i="16"/>
  <c r="K27" i="16"/>
  <c r="R26" i="16"/>
  <c r="M26" i="16"/>
  <c r="L26" i="16"/>
  <c r="K26" i="16"/>
  <c r="R25" i="16"/>
  <c r="M25" i="16"/>
  <c r="D122" i="16" s="1"/>
  <c r="L25" i="16"/>
  <c r="K25" i="16"/>
  <c r="B122" i="16" s="1"/>
  <c r="R24" i="16"/>
  <c r="M24" i="16"/>
  <c r="L24" i="16"/>
  <c r="K24" i="16"/>
  <c r="N24" i="16" s="1"/>
  <c r="E24" i="16"/>
  <c r="R23" i="16"/>
  <c r="M23" i="16"/>
  <c r="N23" i="16"/>
  <c r="L23" i="16"/>
  <c r="K23" i="16"/>
  <c r="R22" i="16"/>
  <c r="M22" i="16"/>
  <c r="L22" i="16"/>
  <c r="K22" i="16"/>
  <c r="R21" i="16"/>
  <c r="M21" i="16"/>
  <c r="L21" i="16"/>
  <c r="K21" i="16"/>
  <c r="R20" i="16"/>
  <c r="M20" i="16"/>
  <c r="L20" i="16"/>
  <c r="K20" i="16"/>
  <c r="E20" i="16"/>
  <c r="S119" i="16" s="1"/>
  <c r="U119" i="16"/>
  <c r="R19" i="16"/>
  <c r="M19" i="16"/>
  <c r="L19" i="16"/>
  <c r="N19" i="16" s="1"/>
  <c r="K19" i="16"/>
  <c r="R18" i="16"/>
  <c r="H119" i="16" s="1"/>
  <c r="M18" i="16"/>
  <c r="L18" i="16"/>
  <c r="K18" i="16"/>
  <c r="R17" i="16"/>
  <c r="M17" i="16"/>
  <c r="L17" i="16"/>
  <c r="C118" i="16" s="1"/>
  <c r="K17" i="16"/>
  <c r="E17" i="16"/>
  <c r="R16" i="16"/>
  <c r="M16" i="16"/>
  <c r="L16" i="16"/>
  <c r="K16" i="16"/>
  <c r="R15" i="16"/>
  <c r="M15" i="16"/>
  <c r="L15" i="16"/>
  <c r="K15" i="16"/>
  <c r="E15" i="16"/>
  <c r="S117" i="16"/>
  <c r="R14" i="16"/>
  <c r="M14" i="16"/>
  <c r="L14" i="16"/>
  <c r="C117" i="16" s="1"/>
  <c r="K14" i="16"/>
  <c r="R13" i="16"/>
  <c r="M13" i="16"/>
  <c r="L13" i="16"/>
  <c r="K13" i="16"/>
  <c r="E13" i="16"/>
  <c r="U116" i="16" s="1"/>
  <c r="S116" i="16"/>
  <c r="R12" i="16"/>
  <c r="M12" i="16"/>
  <c r="L12" i="16"/>
  <c r="K12" i="16"/>
  <c r="N12" i="16" s="1"/>
  <c r="R11" i="16"/>
  <c r="H116" i="16"/>
  <c r="M11" i="16"/>
  <c r="L11" i="16"/>
  <c r="K11" i="16"/>
  <c r="N11" i="16" s="1"/>
  <c r="R10" i="16"/>
  <c r="L116" i="16"/>
  <c r="M10" i="16"/>
  <c r="D116" i="16" s="1"/>
  <c r="L10" i="16"/>
  <c r="K10" i="16"/>
  <c r="R9" i="16"/>
  <c r="M9" i="16"/>
  <c r="L9" i="16"/>
  <c r="K9" i="16"/>
  <c r="N9" i="16" s="1"/>
  <c r="R8" i="16"/>
  <c r="L115" i="16" s="1"/>
  <c r="M8" i="16"/>
  <c r="D115" i="16" s="1"/>
  <c r="L8" i="16"/>
  <c r="C115" i="16" s="1"/>
  <c r="K8" i="16"/>
  <c r="R7" i="16"/>
  <c r="L114" i="16"/>
  <c r="M7" i="16"/>
  <c r="L7" i="16"/>
  <c r="C114" i="16" s="1"/>
  <c r="K7" i="16"/>
  <c r="N7" i="16" s="1"/>
  <c r="E7" i="16"/>
  <c r="U182" i="17"/>
  <c r="T182" i="17"/>
  <c r="S182" i="17"/>
  <c r="U181" i="17"/>
  <c r="T181" i="17"/>
  <c r="S181" i="17"/>
  <c r="W181" i="17" s="1"/>
  <c r="D181" i="17"/>
  <c r="C181" i="17"/>
  <c r="U180" i="17"/>
  <c r="T180" i="17"/>
  <c r="S180" i="17"/>
  <c r="W180" i="17" s="1"/>
  <c r="U179" i="17"/>
  <c r="T179" i="17"/>
  <c r="S179" i="17"/>
  <c r="U178" i="17"/>
  <c r="T178" i="17"/>
  <c r="S178" i="17"/>
  <c r="W178" i="17" s="1"/>
  <c r="U177" i="17"/>
  <c r="T177" i="17"/>
  <c r="S177" i="17"/>
  <c r="W177" i="17" s="1"/>
  <c r="U176" i="17"/>
  <c r="T176" i="17"/>
  <c r="S176" i="17"/>
  <c r="W176" i="17" s="1"/>
  <c r="U175" i="17"/>
  <c r="T175" i="17"/>
  <c r="U174" i="17"/>
  <c r="T174" i="17"/>
  <c r="S174" i="17"/>
  <c r="W174" i="17" s="1"/>
  <c r="S169" i="17"/>
  <c r="U162" i="17"/>
  <c r="T162" i="17"/>
  <c r="S162" i="17"/>
  <c r="W162" i="17"/>
  <c r="U158" i="17"/>
  <c r="T158" i="17"/>
  <c r="S158" i="17"/>
  <c r="W158" i="17" s="1"/>
  <c r="U157" i="17"/>
  <c r="T157" i="17"/>
  <c r="S157" i="17"/>
  <c r="W157" i="17"/>
  <c r="U154" i="17"/>
  <c r="S154" i="17"/>
  <c r="U152" i="17"/>
  <c r="T152" i="17"/>
  <c r="S152" i="17"/>
  <c r="W152" i="17" s="1"/>
  <c r="U150" i="17"/>
  <c r="T150" i="17"/>
  <c r="S150" i="17"/>
  <c r="W150" i="17" s="1"/>
  <c r="U149" i="17"/>
  <c r="T149" i="17"/>
  <c r="S149" i="17"/>
  <c r="U148" i="17"/>
  <c r="T148" i="17"/>
  <c r="S148" i="17"/>
  <c r="W148" i="17" s="1"/>
  <c r="U145" i="17"/>
  <c r="T145" i="17"/>
  <c r="S145" i="17"/>
  <c r="U144" i="17"/>
  <c r="T144" i="17"/>
  <c r="S144" i="17"/>
  <c r="W144" i="17" s="1"/>
  <c r="U140" i="17"/>
  <c r="U138" i="17"/>
  <c r="U137" i="17"/>
  <c r="U136" i="17"/>
  <c r="U134" i="17"/>
  <c r="T134" i="17"/>
  <c r="W134" i="17"/>
  <c r="S134" i="17"/>
  <c r="U132" i="17"/>
  <c r="T132" i="17"/>
  <c r="S132" i="17"/>
  <c r="W132" i="17" s="1"/>
  <c r="U130" i="17"/>
  <c r="T130" i="17"/>
  <c r="W130" i="17"/>
  <c r="R115" i="17"/>
  <c r="M115" i="17"/>
  <c r="L115" i="17"/>
  <c r="K115" i="17"/>
  <c r="R114" i="17"/>
  <c r="L182" i="17"/>
  <c r="M114" i="17"/>
  <c r="L114" i="17"/>
  <c r="K114" i="17"/>
  <c r="B182" i="17" s="1"/>
  <c r="R113" i="17"/>
  <c r="N113" i="17"/>
  <c r="M113" i="17"/>
  <c r="L113" i="17"/>
  <c r="K113" i="17"/>
  <c r="R112" i="17"/>
  <c r="M112" i="17"/>
  <c r="L112" i="17"/>
  <c r="K112" i="17"/>
  <c r="R111" i="17"/>
  <c r="M111" i="17"/>
  <c r="L111" i="17"/>
  <c r="K111" i="17"/>
  <c r="R110" i="17"/>
  <c r="H180" i="17" s="1"/>
  <c r="L180" i="17"/>
  <c r="M110" i="17"/>
  <c r="D180" i="17" s="1"/>
  <c r="L110" i="17"/>
  <c r="C180" i="17"/>
  <c r="K110" i="17"/>
  <c r="R109" i="17"/>
  <c r="M109" i="17"/>
  <c r="L109" i="17"/>
  <c r="K109" i="17"/>
  <c r="B179" i="17" s="1"/>
  <c r="R108" i="17"/>
  <c r="J179" i="17"/>
  <c r="M108" i="17"/>
  <c r="D179" i="17" s="1"/>
  <c r="L108" i="17"/>
  <c r="K108" i="17"/>
  <c r="N108" i="17" s="1"/>
  <c r="R107" i="17"/>
  <c r="M107" i="17"/>
  <c r="L107" i="17"/>
  <c r="K107" i="17"/>
  <c r="N107" i="17" s="1"/>
  <c r="R106" i="17"/>
  <c r="J178" i="17"/>
  <c r="M106" i="17"/>
  <c r="D178" i="17"/>
  <c r="L106" i="17"/>
  <c r="C178" i="17" s="1"/>
  <c r="K106" i="17"/>
  <c r="R105" i="17"/>
  <c r="M105" i="17"/>
  <c r="L105" i="17"/>
  <c r="K105" i="17"/>
  <c r="R104" i="17"/>
  <c r="L177" i="17" s="1"/>
  <c r="M104" i="17"/>
  <c r="L104" i="17"/>
  <c r="N104" i="17" s="1"/>
  <c r="K104" i="17"/>
  <c r="R103" i="17"/>
  <c r="M103" i="17"/>
  <c r="L103" i="17"/>
  <c r="K103" i="17"/>
  <c r="N103" i="17"/>
  <c r="R102" i="17"/>
  <c r="M102" i="17"/>
  <c r="D176" i="17"/>
  <c r="L102" i="17"/>
  <c r="C176" i="17" s="1"/>
  <c r="K102" i="17"/>
  <c r="N102" i="17" s="1"/>
  <c r="R101" i="17"/>
  <c r="L175" i="17" s="1"/>
  <c r="M101" i="17"/>
  <c r="L101" i="17"/>
  <c r="N101" i="17" s="1"/>
  <c r="K101" i="17"/>
  <c r="R100" i="17"/>
  <c r="M100" i="17"/>
  <c r="D175" i="17" s="1"/>
  <c r="L100" i="17"/>
  <c r="K100" i="17"/>
  <c r="E100" i="17"/>
  <c r="C175" i="17" s="1"/>
  <c r="R99" i="17"/>
  <c r="M99" i="17"/>
  <c r="N99" i="17"/>
  <c r="L99" i="17"/>
  <c r="K99" i="17"/>
  <c r="R98" i="17"/>
  <c r="M98" i="17"/>
  <c r="D174" i="17"/>
  <c r="L98" i="17"/>
  <c r="C174" i="17" s="1"/>
  <c r="K98" i="17"/>
  <c r="R97" i="17"/>
  <c r="M97" i="17"/>
  <c r="L97" i="17"/>
  <c r="K97" i="17"/>
  <c r="N97" i="17"/>
  <c r="E97" i="17"/>
  <c r="S173" i="17" s="1"/>
  <c r="R96" i="17"/>
  <c r="M96" i="17"/>
  <c r="D173" i="17" s="1"/>
  <c r="L96" i="17"/>
  <c r="C173" i="17" s="1"/>
  <c r="K96" i="17"/>
  <c r="R95" i="17"/>
  <c r="M95" i="17"/>
  <c r="L95" i="17"/>
  <c r="K95" i="17"/>
  <c r="E95" i="17"/>
  <c r="R94" i="17"/>
  <c r="L172" i="17"/>
  <c r="M94" i="17"/>
  <c r="D172" i="17"/>
  <c r="L94" i="17"/>
  <c r="K94" i="17"/>
  <c r="N94" i="17" s="1"/>
  <c r="R93" i="17"/>
  <c r="M93" i="17"/>
  <c r="L93" i="17"/>
  <c r="K93" i="17"/>
  <c r="N93" i="17"/>
  <c r="E93" i="17"/>
  <c r="R92" i="17"/>
  <c r="L171" i="17" s="1"/>
  <c r="M92" i="17"/>
  <c r="D171" i="17" s="1"/>
  <c r="L92" i="17"/>
  <c r="C171" i="17" s="1"/>
  <c r="K92" i="17"/>
  <c r="B171" i="17"/>
  <c r="R91" i="17"/>
  <c r="M91" i="17"/>
  <c r="L91" i="17"/>
  <c r="K91" i="17"/>
  <c r="N91" i="17"/>
  <c r="E91" i="17"/>
  <c r="R90" i="17"/>
  <c r="M90" i="17"/>
  <c r="L90" i="17"/>
  <c r="K90" i="17"/>
  <c r="R89" i="17"/>
  <c r="M89" i="17"/>
  <c r="L89" i="17"/>
  <c r="K89" i="17"/>
  <c r="E89" i="17"/>
  <c r="R88" i="17"/>
  <c r="L169" i="17" s="1"/>
  <c r="M88" i="17"/>
  <c r="N88" i="17"/>
  <c r="L88" i="17"/>
  <c r="K88" i="17"/>
  <c r="B169" i="17" s="1"/>
  <c r="R87" i="17"/>
  <c r="M87" i="17"/>
  <c r="L87" i="17"/>
  <c r="K87" i="17"/>
  <c r="E87" i="17"/>
  <c r="R86" i="17"/>
  <c r="J168" i="17"/>
  <c r="M86" i="17"/>
  <c r="D168" i="17" s="1"/>
  <c r="L86" i="17"/>
  <c r="K86" i="17"/>
  <c r="R85" i="17"/>
  <c r="M85" i="17"/>
  <c r="L85" i="17"/>
  <c r="K85" i="17"/>
  <c r="N85" i="17" s="1"/>
  <c r="E85" i="17"/>
  <c r="U167" i="17"/>
  <c r="R84" i="17"/>
  <c r="M84" i="17"/>
  <c r="D167" i="17" s="1"/>
  <c r="L84" i="17"/>
  <c r="C167" i="17" s="1"/>
  <c r="K84" i="17"/>
  <c r="N84" i="17"/>
  <c r="R83" i="17"/>
  <c r="M83" i="17"/>
  <c r="L83" i="17"/>
  <c r="N83" i="17" s="1"/>
  <c r="K83" i="17"/>
  <c r="E83" i="17"/>
  <c r="R82" i="17"/>
  <c r="L166" i="17" s="1"/>
  <c r="M82" i="17"/>
  <c r="L82" i="17"/>
  <c r="K82" i="17"/>
  <c r="R81" i="17"/>
  <c r="J165" i="17"/>
  <c r="M81" i="17"/>
  <c r="L81" i="17"/>
  <c r="K81" i="17"/>
  <c r="E81" i="17"/>
  <c r="S165" i="17" s="1"/>
  <c r="U165" i="17"/>
  <c r="R80" i="17"/>
  <c r="M80" i="17"/>
  <c r="L80" i="17"/>
  <c r="N80" i="17" s="1"/>
  <c r="K80" i="17"/>
  <c r="R79" i="17"/>
  <c r="L164" i="17" s="1"/>
  <c r="M79" i="17"/>
  <c r="L79" i="17"/>
  <c r="K79" i="17"/>
  <c r="N79" i="17"/>
  <c r="E79" i="17"/>
  <c r="R78" i="17"/>
  <c r="M78" i="17"/>
  <c r="L78" i="17"/>
  <c r="K78" i="17"/>
  <c r="R77" i="17"/>
  <c r="M77" i="17"/>
  <c r="L77" i="17"/>
  <c r="K77" i="17"/>
  <c r="N77" i="17" s="1"/>
  <c r="E77" i="17"/>
  <c r="U163" i="17" s="1"/>
  <c r="R76" i="17"/>
  <c r="J163" i="17" s="1"/>
  <c r="M76" i="17"/>
  <c r="D163" i="17" s="1"/>
  <c r="L76" i="17"/>
  <c r="K76" i="17"/>
  <c r="N76" i="17" s="1"/>
  <c r="R75" i="17"/>
  <c r="M75" i="17"/>
  <c r="L75" i="17"/>
  <c r="K75" i="17"/>
  <c r="R74" i="17"/>
  <c r="J162" i="17"/>
  <c r="M74" i="17"/>
  <c r="L74" i="17"/>
  <c r="K74" i="17"/>
  <c r="N74" i="17" s="1"/>
  <c r="R73" i="17"/>
  <c r="M73" i="17"/>
  <c r="L73" i="17"/>
  <c r="K73" i="17"/>
  <c r="N73" i="17" s="1"/>
  <c r="E73" i="17"/>
  <c r="U161" i="17" s="1"/>
  <c r="R72" i="17"/>
  <c r="M72" i="17"/>
  <c r="D161" i="17" s="1"/>
  <c r="L72" i="17"/>
  <c r="K72" i="17"/>
  <c r="R71" i="17"/>
  <c r="M71" i="17"/>
  <c r="L71" i="17"/>
  <c r="K71" i="17"/>
  <c r="N71" i="17" s="1"/>
  <c r="E71" i="17"/>
  <c r="R70" i="17"/>
  <c r="M70" i="17"/>
  <c r="D160" i="17"/>
  <c r="L70" i="17"/>
  <c r="K70" i="17"/>
  <c r="R69" i="17"/>
  <c r="M69" i="17"/>
  <c r="L69" i="17"/>
  <c r="K69" i="17"/>
  <c r="N69" i="17" s="1"/>
  <c r="E69" i="17"/>
  <c r="U159" i="17"/>
  <c r="R68" i="17"/>
  <c r="M68" i="17"/>
  <c r="D159" i="17" s="1"/>
  <c r="L68" i="17"/>
  <c r="K68" i="17"/>
  <c r="R67" i="17"/>
  <c r="J158" i="17" s="1"/>
  <c r="M67" i="17"/>
  <c r="L67" i="17"/>
  <c r="K67" i="17"/>
  <c r="N67" i="17" s="1"/>
  <c r="R66" i="17"/>
  <c r="M66" i="17"/>
  <c r="D158" i="17"/>
  <c r="L66" i="17"/>
  <c r="C158" i="17"/>
  <c r="K66" i="17"/>
  <c r="R65" i="17"/>
  <c r="M65" i="17"/>
  <c r="L65" i="17"/>
  <c r="K65" i="17"/>
  <c r="N65" i="17"/>
  <c r="R64" i="17"/>
  <c r="M64" i="17"/>
  <c r="D157" i="17" s="1"/>
  <c r="L64" i="17"/>
  <c r="C157" i="17" s="1"/>
  <c r="K64" i="17"/>
  <c r="N64" i="17" s="1"/>
  <c r="R63" i="17"/>
  <c r="M63" i="17"/>
  <c r="L63" i="17"/>
  <c r="K63" i="17"/>
  <c r="E63" i="17"/>
  <c r="M62" i="17"/>
  <c r="L62" i="17"/>
  <c r="K62" i="17"/>
  <c r="R61" i="17"/>
  <c r="M61" i="17"/>
  <c r="L61" i="17"/>
  <c r="K61" i="17"/>
  <c r="N61" i="17" s="1"/>
  <c r="E61" i="17"/>
  <c r="N60" i="17"/>
  <c r="M60" i="17"/>
  <c r="L60" i="17"/>
  <c r="K60" i="17"/>
  <c r="R59" i="17"/>
  <c r="M59" i="17"/>
  <c r="N59" i="17" s="1"/>
  <c r="L59" i="17"/>
  <c r="K59" i="17"/>
  <c r="R58" i="17"/>
  <c r="L154" i="17" s="1"/>
  <c r="M58" i="17"/>
  <c r="L58" i="17"/>
  <c r="K58" i="17"/>
  <c r="R57" i="17"/>
  <c r="M57" i="17"/>
  <c r="L57" i="17"/>
  <c r="K57" i="17"/>
  <c r="N57" i="17" s="1"/>
  <c r="E57" i="17"/>
  <c r="U153" i="17"/>
  <c r="R56" i="17"/>
  <c r="M56" i="17"/>
  <c r="D153" i="17" s="1"/>
  <c r="L56" i="17"/>
  <c r="C153" i="17" s="1"/>
  <c r="K56" i="17"/>
  <c r="N56" i="17" s="1"/>
  <c r="R55" i="17"/>
  <c r="J152" i="17" s="1"/>
  <c r="M55" i="17"/>
  <c r="L55" i="17"/>
  <c r="K55" i="17"/>
  <c r="N55" i="17" s="1"/>
  <c r="R54" i="17"/>
  <c r="M54" i="17"/>
  <c r="L54" i="17"/>
  <c r="K54" i="17"/>
  <c r="R53" i="17"/>
  <c r="M53" i="17"/>
  <c r="L53" i="17"/>
  <c r="K53" i="17"/>
  <c r="N53" i="17" s="1"/>
  <c r="E53" i="17"/>
  <c r="T151" i="17" s="1"/>
  <c r="R52" i="17"/>
  <c r="M52" i="17"/>
  <c r="L52" i="17"/>
  <c r="K52" i="17"/>
  <c r="R51" i="17"/>
  <c r="M51" i="17"/>
  <c r="L51" i="17"/>
  <c r="K51" i="17"/>
  <c r="R50" i="17"/>
  <c r="M50" i="17"/>
  <c r="L50" i="17"/>
  <c r="K50" i="17"/>
  <c r="N50" i="17" s="1"/>
  <c r="R49" i="17"/>
  <c r="L150" i="17" s="1"/>
  <c r="M49" i="17"/>
  <c r="L49" i="17"/>
  <c r="C150" i="17" s="1"/>
  <c r="K49" i="17"/>
  <c r="R48" i="17"/>
  <c r="M48" i="17"/>
  <c r="L48" i="17"/>
  <c r="N48" i="17" s="1"/>
  <c r="K48" i="17"/>
  <c r="R47" i="17"/>
  <c r="M47" i="17"/>
  <c r="D149" i="17"/>
  <c r="L47" i="17"/>
  <c r="K47" i="17"/>
  <c r="B149" i="17"/>
  <c r="R46" i="17"/>
  <c r="M46" i="17"/>
  <c r="L46" i="17"/>
  <c r="K46" i="17"/>
  <c r="N46" i="17" s="1"/>
  <c r="R45" i="17"/>
  <c r="L148" i="17" s="1"/>
  <c r="M45" i="17"/>
  <c r="D148" i="17" s="1"/>
  <c r="L45" i="17"/>
  <c r="K45" i="17"/>
  <c r="N45" i="17" s="1"/>
  <c r="R44" i="17"/>
  <c r="M44" i="17"/>
  <c r="N44" i="17" s="1"/>
  <c r="L44" i="17"/>
  <c r="C147" i="17"/>
  <c r="K44" i="17"/>
  <c r="E44" i="17"/>
  <c r="U147" i="17" s="1"/>
  <c r="R43" i="17"/>
  <c r="M43" i="17"/>
  <c r="L43" i="17"/>
  <c r="K43" i="17"/>
  <c r="R42" i="17"/>
  <c r="L146" i="17" s="1"/>
  <c r="M42" i="17"/>
  <c r="L42" i="17"/>
  <c r="N42" i="17" s="1"/>
  <c r="K42" i="17"/>
  <c r="E42" i="17"/>
  <c r="R41" i="17"/>
  <c r="M41" i="17"/>
  <c r="D146" i="17" s="1"/>
  <c r="L41" i="17"/>
  <c r="K41" i="17"/>
  <c r="R40" i="17"/>
  <c r="M40" i="17"/>
  <c r="L40" i="17"/>
  <c r="K40" i="17"/>
  <c r="N40" i="17" s="1"/>
  <c r="R39" i="17"/>
  <c r="L145" i="17" s="1"/>
  <c r="N39" i="17"/>
  <c r="M39" i="17"/>
  <c r="D145" i="17"/>
  <c r="L39" i="17"/>
  <c r="C145" i="17"/>
  <c r="K39" i="17"/>
  <c r="B145" i="17" s="1"/>
  <c r="E145" i="17"/>
  <c r="R38" i="17"/>
  <c r="M38" i="17"/>
  <c r="L38" i="17"/>
  <c r="K38" i="17"/>
  <c r="R37" i="17"/>
  <c r="M37" i="17"/>
  <c r="L37" i="17"/>
  <c r="K37" i="17"/>
  <c r="R36" i="17"/>
  <c r="M36" i="17"/>
  <c r="L36" i="17"/>
  <c r="C143" i="17" s="1"/>
  <c r="K36" i="17"/>
  <c r="N36" i="17" s="1"/>
  <c r="E36" i="17"/>
  <c r="M35" i="17"/>
  <c r="D143" i="17" s="1"/>
  <c r="L35" i="17"/>
  <c r="K35" i="17"/>
  <c r="B143" i="17"/>
  <c r="M34" i="17"/>
  <c r="L34" i="17"/>
  <c r="K34" i="17"/>
  <c r="N34" i="17" s="1"/>
  <c r="E34" i="17"/>
  <c r="R33" i="17"/>
  <c r="M33" i="17"/>
  <c r="L33" i="17"/>
  <c r="K33" i="17"/>
  <c r="R32" i="17"/>
  <c r="M32" i="17"/>
  <c r="L32" i="17"/>
  <c r="K32" i="17"/>
  <c r="N32" i="17" s="1"/>
  <c r="E32" i="17"/>
  <c r="U141" i="17" s="1"/>
  <c r="M31" i="17"/>
  <c r="L31" i="17"/>
  <c r="C141" i="17" s="1"/>
  <c r="K31" i="17"/>
  <c r="R30" i="17"/>
  <c r="M30" i="17"/>
  <c r="L30" i="17"/>
  <c r="N30" i="17" s="1"/>
  <c r="K30" i="17"/>
  <c r="T140" i="17"/>
  <c r="M29" i="17"/>
  <c r="D140" i="17" s="1"/>
  <c r="L29" i="17"/>
  <c r="K29" i="17"/>
  <c r="R28" i="17"/>
  <c r="M28" i="17"/>
  <c r="L28" i="17"/>
  <c r="K28" i="17"/>
  <c r="N28" i="17" s="1"/>
  <c r="E28" i="17"/>
  <c r="T139" i="17" s="1"/>
  <c r="M27" i="17"/>
  <c r="L27" i="17"/>
  <c r="K27" i="17"/>
  <c r="R26" i="17"/>
  <c r="M26" i="17"/>
  <c r="L26" i="17"/>
  <c r="K26" i="17"/>
  <c r="N26" i="17" s="1"/>
  <c r="T138" i="17"/>
  <c r="M25" i="17"/>
  <c r="D138" i="17" s="1"/>
  <c r="L25" i="17"/>
  <c r="K25" i="17"/>
  <c r="R24" i="17"/>
  <c r="M24" i="17"/>
  <c r="L24" i="17"/>
  <c r="N24" i="17"/>
  <c r="K24" i="17"/>
  <c r="M23" i="17"/>
  <c r="D137" i="17" s="1"/>
  <c r="L23" i="17"/>
  <c r="K23" i="17"/>
  <c r="B137" i="17"/>
  <c r="R22" i="17"/>
  <c r="M22" i="17"/>
  <c r="L22" i="17"/>
  <c r="K22" i="17"/>
  <c r="N22" i="17" s="1"/>
  <c r="M21" i="17"/>
  <c r="D136" i="17" s="1"/>
  <c r="L21" i="17"/>
  <c r="C136" i="17" s="1"/>
  <c r="K21" i="17"/>
  <c r="S135" i="17"/>
  <c r="M20" i="17"/>
  <c r="L20" i="17"/>
  <c r="K20" i="17"/>
  <c r="N20" i="17"/>
  <c r="E20" i="17"/>
  <c r="U135" i="17" s="1"/>
  <c r="R19" i="17"/>
  <c r="M19" i="17"/>
  <c r="L19" i="17"/>
  <c r="K19" i="17"/>
  <c r="B135" i="17" s="1"/>
  <c r="R18" i="17"/>
  <c r="H134" i="17" s="1"/>
  <c r="M18" i="17"/>
  <c r="L18" i="17"/>
  <c r="K18" i="17"/>
  <c r="R17" i="17"/>
  <c r="M17" i="17"/>
  <c r="D134" i="17"/>
  <c r="L17" i="17"/>
  <c r="K17" i="17"/>
  <c r="R16" i="17"/>
  <c r="M16" i="17"/>
  <c r="L16" i="17"/>
  <c r="K16" i="17"/>
  <c r="N16" i="17"/>
  <c r="E16" i="17"/>
  <c r="U133" i="17" s="1"/>
  <c r="S133" i="17"/>
  <c r="M15" i="17"/>
  <c r="L15" i="17"/>
  <c r="K15" i="17"/>
  <c r="R14" i="17"/>
  <c r="M14" i="17"/>
  <c r="D133" i="17" s="1"/>
  <c r="L14" i="17"/>
  <c r="K14" i="17"/>
  <c r="N14" i="17" s="1"/>
  <c r="R13" i="17"/>
  <c r="M13" i="17"/>
  <c r="L13" i="17"/>
  <c r="K13" i="17"/>
  <c r="N13" i="17" s="1"/>
  <c r="R12" i="17"/>
  <c r="L132" i="17"/>
  <c r="M12" i="17"/>
  <c r="L12" i="17"/>
  <c r="K12" i="17"/>
  <c r="R11" i="17"/>
  <c r="L131" i="17"/>
  <c r="M11" i="17"/>
  <c r="L11" i="17"/>
  <c r="N11" i="17"/>
  <c r="K11" i="17"/>
  <c r="E11" i="17"/>
  <c r="R10" i="17"/>
  <c r="M10" i="17"/>
  <c r="L10" i="17"/>
  <c r="K10" i="17"/>
  <c r="R9" i="17"/>
  <c r="M9" i="17"/>
  <c r="L9" i="17"/>
  <c r="K9" i="17"/>
  <c r="R8" i="17"/>
  <c r="J130" i="17"/>
  <c r="M8" i="17"/>
  <c r="D130" i="17" s="1"/>
  <c r="L8" i="17"/>
  <c r="C130" i="17" s="1"/>
  <c r="K8" i="17"/>
  <c r="B130" i="17"/>
  <c r="U184" i="18"/>
  <c r="T184" i="18"/>
  <c r="S184" i="18"/>
  <c r="W184" i="18" s="1"/>
  <c r="U183" i="18"/>
  <c r="T183" i="18"/>
  <c r="U182" i="18"/>
  <c r="T182" i="18"/>
  <c r="S182" i="18"/>
  <c r="W182" i="18"/>
  <c r="U181" i="18"/>
  <c r="T181" i="18"/>
  <c r="S181" i="18"/>
  <c r="W181" i="18"/>
  <c r="U179" i="18"/>
  <c r="T179" i="18"/>
  <c r="S179" i="18"/>
  <c r="U178" i="18"/>
  <c r="T178" i="18"/>
  <c r="S178" i="18"/>
  <c r="S177" i="18"/>
  <c r="U176" i="18"/>
  <c r="T176" i="18"/>
  <c r="S176" i="18"/>
  <c r="W176" i="18" s="1"/>
  <c r="U172" i="18"/>
  <c r="T172" i="18"/>
  <c r="S172" i="18"/>
  <c r="U164" i="18"/>
  <c r="T164" i="18"/>
  <c r="S164" i="18"/>
  <c r="U160" i="18"/>
  <c r="T160" i="18"/>
  <c r="S160" i="18"/>
  <c r="W160" i="18"/>
  <c r="U158" i="18"/>
  <c r="T158" i="18"/>
  <c r="S158" i="18"/>
  <c r="W158" i="18" s="1"/>
  <c r="U157" i="18"/>
  <c r="T157" i="18"/>
  <c r="S157" i="18"/>
  <c r="W157" i="18"/>
  <c r="U155" i="18"/>
  <c r="T155" i="18"/>
  <c r="S155" i="18"/>
  <c r="W155" i="18"/>
  <c r="U154" i="18"/>
  <c r="T154" i="18"/>
  <c r="S154" i="18"/>
  <c r="W154" i="18"/>
  <c r="U152" i="18"/>
  <c r="T152" i="18"/>
  <c r="S152" i="18"/>
  <c r="W152" i="18" s="1"/>
  <c r="U151" i="18"/>
  <c r="T151" i="18"/>
  <c r="S151" i="18"/>
  <c r="W151" i="18" s="1"/>
  <c r="U149" i="18"/>
  <c r="T149" i="18"/>
  <c r="S149" i="18"/>
  <c r="U148" i="18"/>
  <c r="T148" i="18"/>
  <c r="S148" i="18"/>
  <c r="W148" i="18"/>
  <c r="U145" i="18"/>
  <c r="T145" i="18"/>
  <c r="S145" i="18"/>
  <c r="U143" i="18"/>
  <c r="T143" i="18"/>
  <c r="S143" i="18"/>
  <c r="W143" i="18" s="1"/>
  <c r="U142" i="18"/>
  <c r="T142" i="18"/>
  <c r="S142" i="18"/>
  <c r="U140" i="18"/>
  <c r="T140" i="18"/>
  <c r="S140" i="18"/>
  <c r="W140" i="18" s="1"/>
  <c r="U139" i="18"/>
  <c r="T139" i="18"/>
  <c r="S139" i="18"/>
  <c r="U137" i="18"/>
  <c r="T137" i="18"/>
  <c r="S137" i="18"/>
  <c r="W137" i="18" s="1"/>
  <c r="U136" i="18"/>
  <c r="T136" i="18"/>
  <c r="S136" i="18"/>
  <c r="W136" i="18" s="1"/>
  <c r="U134" i="18"/>
  <c r="T134" i="18"/>
  <c r="S134" i="18"/>
  <c r="W134" i="18"/>
  <c r="U133" i="18"/>
  <c r="T133" i="18"/>
  <c r="S133" i="18"/>
  <c r="R116" i="18"/>
  <c r="L184" i="18"/>
  <c r="M116" i="18"/>
  <c r="L116" i="18"/>
  <c r="N116" i="18" s="1"/>
  <c r="K116" i="18"/>
  <c r="R115" i="18"/>
  <c r="H184" i="18" s="1"/>
  <c r="M115" i="18"/>
  <c r="D184" i="18"/>
  <c r="L115" i="18"/>
  <c r="K115" i="18"/>
  <c r="N115" i="18" s="1"/>
  <c r="R114" i="18"/>
  <c r="M114" i="18"/>
  <c r="L114" i="18"/>
  <c r="K114" i="18"/>
  <c r="N114" i="18" s="1"/>
  <c r="R113" i="18"/>
  <c r="L183" i="18"/>
  <c r="M113" i="18"/>
  <c r="D183" i="18" s="1"/>
  <c r="L113" i="18"/>
  <c r="K113" i="18"/>
  <c r="B183" i="18"/>
  <c r="R112" i="18"/>
  <c r="M112" i="18"/>
  <c r="L112" i="18"/>
  <c r="K112" i="18"/>
  <c r="R111" i="18"/>
  <c r="J182" i="18"/>
  <c r="M111" i="18"/>
  <c r="L111" i="18"/>
  <c r="K111" i="18"/>
  <c r="R110" i="18"/>
  <c r="L181" i="18"/>
  <c r="M110" i="18"/>
  <c r="L110" i="18"/>
  <c r="K110" i="18"/>
  <c r="R109" i="18"/>
  <c r="M109" i="18"/>
  <c r="D181" i="18" s="1"/>
  <c r="L109" i="18"/>
  <c r="C181" i="18" s="1"/>
  <c r="K109" i="18"/>
  <c r="M108" i="18"/>
  <c r="L108" i="18"/>
  <c r="K108" i="18"/>
  <c r="N108" i="18" s="1"/>
  <c r="E108" i="18"/>
  <c r="S180" i="18" s="1"/>
  <c r="U180" i="18"/>
  <c r="R107" i="18"/>
  <c r="M107" i="18"/>
  <c r="D180" i="18"/>
  <c r="L107" i="18"/>
  <c r="C180" i="18"/>
  <c r="K107" i="18"/>
  <c r="B180" i="18" s="1"/>
  <c r="E180" i="18" s="1"/>
  <c r="R106" i="18"/>
  <c r="M106" i="18"/>
  <c r="L106" i="18"/>
  <c r="K106" i="18"/>
  <c r="N106" i="18" s="1"/>
  <c r="R105" i="18"/>
  <c r="J179" i="18" s="1"/>
  <c r="M105" i="18"/>
  <c r="D179" i="18"/>
  <c r="L105" i="18"/>
  <c r="C179" i="18"/>
  <c r="K105" i="18"/>
  <c r="B179" i="18" s="1"/>
  <c r="E179" i="18" s="1"/>
  <c r="R104" i="18"/>
  <c r="M104" i="18"/>
  <c r="D178" i="18"/>
  <c r="L104" i="18"/>
  <c r="K104" i="18"/>
  <c r="R103" i="18"/>
  <c r="L178" i="18" s="1"/>
  <c r="M103" i="18"/>
  <c r="L103" i="18"/>
  <c r="C178" i="18" s="1"/>
  <c r="K103" i="18"/>
  <c r="R102" i="18"/>
  <c r="M102" i="18"/>
  <c r="L102" i="18"/>
  <c r="K102" i="18"/>
  <c r="N102" i="18" s="1"/>
  <c r="E102" i="18"/>
  <c r="B177" i="18" s="1"/>
  <c r="U177" i="18"/>
  <c r="R101" i="18"/>
  <c r="M101" i="18"/>
  <c r="L101" i="18"/>
  <c r="N101" i="18" s="1"/>
  <c r="K101" i="18"/>
  <c r="R100" i="18"/>
  <c r="H177" i="18" s="1"/>
  <c r="M100" i="18"/>
  <c r="L100" i="18"/>
  <c r="K100" i="18"/>
  <c r="R99" i="18"/>
  <c r="M99" i="18"/>
  <c r="L99" i="18"/>
  <c r="N99" i="18" s="1"/>
  <c r="K99" i="18"/>
  <c r="R98" i="18"/>
  <c r="M98" i="18"/>
  <c r="D176" i="18"/>
  <c r="L98" i="18"/>
  <c r="K98" i="18"/>
  <c r="N98" i="18" s="1"/>
  <c r="B176" i="18"/>
  <c r="R97" i="18"/>
  <c r="M97" i="18"/>
  <c r="L97" i="18"/>
  <c r="K97" i="18"/>
  <c r="N97" i="18" s="1"/>
  <c r="E97" i="18"/>
  <c r="R96" i="18"/>
  <c r="M96" i="18"/>
  <c r="L96" i="18"/>
  <c r="C175" i="18"/>
  <c r="K96" i="18"/>
  <c r="B175" i="18"/>
  <c r="R95" i="18"/>
  <c r="M95" i="18"/>
  <c r="L95" i="18"/>
  <c r="N95" i="18"/>
  <c r="K95" i="18"/>
  <c r="E95" i="18"/>
  <c r="R94" i="18"/>
  <c r="L174" i="18"/>
  <c r="M94" i="18"/>
  <c r="L94" i="18"/>
  <c r="N94" i="18" s="1"/>
  <c r="K94" i="18"/>
  <c r="B174" i="18"/>
  <c r="R93" i="18"/>
  <c r="M93" i="18"/>
  <c r="D173" i="18" s="1"/>
  <c r="L93" i="18"/>
  <c r="C173" i="18"/>
  <c r="K93" i="18"/>
  <c r="N93" i="18" s="1"/>
  <c r="E93" i="18"/>
  <c r="T173" i="18" s="1"/>
  <c r="R92" i="18"/>
  <c r="H173" i="18" s="1"/>
  <c r="M92" i="18"/>
  <c r="L92" i="18"/>
  <c r="K92" i="18"/>
  <c r="N92" i="18" s="1"/>
  <c r="R91" i="18"/>
  <c r="M91" i="18"/>
  <c r="L91" i="18"/>
  <c r="K91" i="18"/>
  <c r="R90" i="18"/>
  <c r="L172" i="18" s="1"/>
  <c r="J172" i="18"/>
  <c r="M90" i="18"/>
  <c r="D172" i="18" s="1"/>
  <c r="L90" i="18"/>
  <c r="C172" i="18" s="1"/>
  <c r="K90" i="18"/>
  <c r="B172" i="18" s="1"/>
  <c r="R89" i="18"/>
  <c r="M89" i="18"/>
  <c r="L89" i="18"/>
  <c r="K89" i="18"/>
  <c r="E89" i="18"/>
  <c r="T171" i="18"/>
  <c r="U171" i="18"/>
  <c r="R88" i="18"/>
  <c r="M88" i="18"/>
  <c r="D171" i="18"/>
  <c r="L88" i="18"/>
  <c r="K88" i="18"/>
  <c r="R87" i="18"/>
  <c r="M87" i="18"/>
  <c r="L87" i="18"/>
  <c r="K87" i="18"/>
  <c r="E87" i="18"/>
  <c r="C170" i="18" s="1"/>
  <c r="T170" i="18"/>
  <c r="R86" i="18"/>
  <c r="M86" i="18"/>
  <c r="L86" i="18"/>
  <c r="K86" i="18"/>
  <c r="R85" i="18"/>
  <c r="M85" i="18"/>
  <c r="L85" i="18"/>
  <c r="N85" i="18" s="1"/>
  <c r="K85" i="18"/>
  <c r="E85" i="18"/>
  <c r="H169" i="18"/>
  <c r="R84" i="18"/>
  <c r="M84" i="18"/>
  <c r="L84" i="18"/>
  <c r="K84" i="18"/>
  <c r="R83" i="18"/>
  <c r="M83" i="18"/>
  <c r="N83" i="18"/>
  <c r="L83" i="18"/>
  <c r="K83" i="18"/>
  <c r="R81" i="18"/>
  <c r="H168" i="18" s="1"/>
  <c r="M81" i="18"/>
  <c r="D168" i="18" s="1"/>
  <c r="L81" i="18"/>
  <c r="K81" i="18"/>
  <c r="B168" i="18" s="1"/>
  <c r="R80" i="18"/>
  <c r="M80" i="18"/>
  <c r="D167" i="18"/>
  <c r="L80" i="18"/>
  <c r="K80" i="18"/>
  <c r="E80" i="18"/>
  <c r="T167" i="18" s="1"/>
  <c r="U167" i="18"/>
  <c r="R79" i="18"/>
  <c r="H167" i="18" s="1"/>
  <c r="M79" i="18"/>
  <c r="L79" i="18"/>
  <c r="K79" i="18"/>
  <c r="R78" i="18"/>
  <c r="M78" i="18"/>
  <c r="L78" i="18"/>
  <c r="K78" i="18"/>
  <c r="E78" i="18"/>
  <c r="R77" i="18"/>
  <c r="L166" i="18" s="1"/>
  <c r="M77" i="18"/>
  <c r="L77" i="18"/>
  <c r="C166" i="18"/>
  <c r="K77" i="18"/>
  <c r="R76" i="18"/>
  <c r="M76" i="18"/>
  <c r="L76" i="18"/>
  <c r="N76" i="18" s="1"/>
  <c r="K76" i="18"/>
  <c r="E76" i="18"/>
  <c r="S165" i="18"/>
  <c r="R75" i="18"/>
  <c r="M75" i="18"/>
  <c r="L75" i="18"/>
  <c r="K75" i="18"/>
  <c r="N75" i="18" s="1"/>
  <c r="R74" i="18"/>
  <c r="M74" i="18"/>
  <c r="D164" i="18"/>
  <c r="L74" i="18"/>
  <c r="K74" i="18"/>
  <c r="N74" i="18" s="1"/>
  <c r="R73" i="18"/>
  <c r="M73" i="18"/>
  <c r="L73" i="18"/>
  <c r="C164" i="18" s="1"/>
  <c r="K73" i="18"/>
  <c r="B164" i="18" s="1"/>
  <c r="E164" i="18" s="1"/>
  <c r="N73" i="18"/>
  <c r="R72" i="18"/>
  <c r="M72" i="18"/>
  <c r="L72" i="18"/>
  <c r="K72" i="18"/>
  <c r="E72" i="18"/>
  <c r="C163" i="18" s="1"/>
  <c r="R71" i="18"/>
  <c r="M71" i="18"/>
  <c r="N71" i="18" s="1"/>
  <c r="L71" i="18"/>
  <c r="K71" i="18"/>
  <c r="R70" i="18"/>
  <c r="M70" i="18"/>
  <c r="L70" i="18"/>
  <c r="N70" i="18" s="1"/>
  <c r="K70" i="18"/>
  <c r="E70" i="18"/>
  <c r="S162" i="18"/>
  <c r="R69" i="18"/>
  <c r="M69" i="18"/>
  <c r="L69" i="18"/>
  <c r="K69" i="18"/>
  <c r="B162" i="18" s="1"/>
  <c r="R68" i="18"/>
  <c r="M68" i="18"/>
  <c r="L68" i="18"/>
  <c r="K68" i="18"/>
  <c r="E68" i="18"/>
  <c r="U161" i="18"/>
  <c r="R67" i="18"/>
  <c r="L161" i="18" s="1"/>
  <c r="M67" i="18"/>
  <c r="D161" i="18" s="1"/>
  <c r="L67" i="18"/>
  <c r="C161" i="18" s="1"/>
  <c r="K67" i="18"/>
  <c r="R66" i="18"/>
  <c r="M66" i="18"/>
  <c r="L66" i="18"/>
  <c r="K66" i="18"/>
  <c r="R65" i="18"/>
  <c r="M65" i="18"/>
  <c r="L65" i="18"/>
  <c r="C160" i="18"/>
  <c r="K65" i="18"/>
  <c r="B160" i="18" s="1"/>
  <c r="R64" i="18"/>
  <c r="M64" i="18"/>
  <c r="L64" i="18"/>
  <c r="K64" i="18"/>
  <c r="E64" i="18"/>
  <c r="D159" i="18" s="1"/>
  <c r="R63" i="18"/>
  <c r="M63" i="18"/>
  <c r="L63" i="18"/>
  <c r="C159" i="18" s="1"/>
  <c r="K63" i="18"/>
  <c r="B159" i="18" s="1"/>
  <c r="R62" i="18"/>
  <c r="L158" i="18"/>
  <c r="M62" i="18"/>
  <c r="L62" i="18"/>
  <c r="K62" i="18"/>
  <c r="R61" i="18"/>
  <c r="M61" i="18"/>
  <c r="D158" i="18" s="1"/>
  <c r="L61" i="18"/>
  <c r="N61" i="18" s="1"/>
  <c r="K61" i="18"/>
  <c r="B158" i="18" s="1"/>
  <c r="R60" i="18"/>
  <c r="M60" i="18"/>
  <c r="L60" i="18"/>
  <c r="C157" i="18" s="1"/>
  <c r="K60" i="18"/>
  <c r="R59" i="18"/>
  <c r="M59" i="18"/>
  <c r="N59" i="18" s="1"/>
  <c r="L59" i="18"/>
  <c r="K59" i="18"/>
  <c r="R58" i="18"/>
  <c r="J156" i="18" s="1"/>
  <c r="M58" i="18"/>
  <c r="L58" i="18"/>
  <c r="K58" i="18"/>
  <c r="E58" i="18"/>
  <c r="R57" i="18"/>
  <c r="H156" i="18"/>
  <c r="M57" i="18"/>
  <c r="D156" i="18" s="1"/>
  <c r="L57" i="18"/>
  <c r="K57" i="18"/>
  <c r="R56" i="18"/>
  <c r="M56" i="18"/>
  <c r="L56" i="18"/>
  <c r="K56" i="18"/>
  <c r="N56" i="18"/>
  <c r="R55" i="18"/>
  <c r="M55" i="18"/>
  <c r="L55" i="18"/>
  <c r="C155" i="18" s="1"/>
  <c r="K55" i="18"/>
  <c r="R54" i="18"/>
  <c r="L154" i="18" s="1"/>
  <c r="M54" i="18"/>
  <c r="L54" i="18"/>
  <c r="N54" i="18" s="1"/>
  <c r="K54" i="18"/>
  <c r="R53" i="18"/>
  <c r="M53" i="18"/>
  <c r="D154" i="18" s="1"/>
  <c r="L53" i="18"/>
  <c r="C154" i="18"/>
  <c r="K53" i="18"/>
  <c r="N53" i="18" s="1"/>
  <c r="R52" i="18"/>
  <c r="M52" i="18"/>
  <c r="D153" i="18" s="1"/>
  <c r="L52" i="18"/>
  <c r="K52" i="18"/>
  <c r="E52" i="18"/>
  <c r="R51" i="18"/>
  <c r="M51" i="18"/>
  <c r="L51" i="18"/>
  <c r="K51" i="18"/>
  <c r="R50" i="18"/>
  <c r="M50" i="18"/>
  <c r="L50" i="18"/>
  <c r="K50" i="18"/>
  <c r="N50" i="18" s="1"/>
  <c r="R49" i="18"/>
  <c r="J152" i="18"/>
  <c r="M49" i="18"/>
  <c r="D152" i="18" s="1"/>
  <c r="L49" i="18"/>
  <c r="K49" i="18"/>
  <c r="N49" i="18" s="1"/>
  <c r="R48" i="18"/>
  <c r="H151" i="18"/>
  <c r="M48" i="18"/>
  <c r="L48" i="18"/>
  <c r="K48" i="18"/>
  <c r="R47" i="18"/>
  <c r="M47" i="18"/>
  <c r="D151" i="18" s="1"/>
  <c r="L47" i="18"/>
  <c r="N47" i="18" s="1"/>
  <c r="C151" i="18"/>
  <c r="K47" i="18"/>
  <c r="B151" i="18"/>
  <c r="R46" i="18"/>
  <c r="M46" i="18"/>
  <c r="L46" i="18"/>
  <c r="K46" i="18"/>
  <c r="E46" i="18"/>
  <c r="S150" i="18"/>
  <c r="R45" i="18"/>
  <c r="H150" i="18"/>
  <c r="M45" i="18"/>
  <c r="D150" i="18" s="1"/>
  <c r="L45" i="18"/>
  <c r="C150" i="18"/>
  <c r="K45" i="18"/>
  <c r="R44" i="18"/>
  <c r="M44" i="18"/>
  <c r="L44" i="18"/>
  <c r="K44" i="18"/>
  <c r="N44" i="18"/>
  <c r="B149" i="18"/>
  <c r="R43" i="18"/>
  <c r="J149" i="18"/>
  <c r="M43" i="18"/>
  <c r="L43" i="18"/>
  <c r="C149" i="18" s="1"/>
  <c r="K43" i="18"/>
  <c r="N43" i="18" s="1"/>
  <c r="R42" i="18"/>
  <c r="M42" i="18"/>
  <c r="N42" i="18" s="1"/>
  <c r="L42" i="18"/>
  <c r="C148" i="18"/>
  <c r="K42" i="18"/>
  <c r="R41" i="18"/>
  <c r="H148" i="18"/>
  <c r="M41" i="18"/>
  <c r="L41" i="18"/>
  <c r="K41" i="18"/>
  <c r="R40" i="18"/>
  <c r="M40" i="18"/>
  <c r="L40" i="18"/>
  <c r="K40" i="18"/>
  <c r="N40" i="18"/>
  <c r="E40" i="18"/>
  <c r="U147" i="18" s="1"/>
  <c r="R39" i="18"/>
  <c r="L147" i="18" s="1"/>
  <c r="M39" i="18"/>
  <c r="L39" i="18"/>
  <c r="K39" i="18"/>
  <c r="N39" i="18" s="1"/>
  <c r="R38" i="18"/>
  <c r="M38" i="18"/>
  <c r="L38" i="18"/>
  <c r="K38" i="18"/>
  <c r="E38" i="18"/>
  <c r="S146" i="18" s="1"/>
  <c r="R37" i="18"/>
  <c r="H146" i="18"/>
  <c r="M37" i="18"/>
  <c r="L37" i="18"/>
  <c r="K37" i="18"/>
  <c r="R36" i="18"/>
  <c r="M36" i="18"/>
  <c r="L36" i="18"/>
  <c r="C145" i="18" s="1"/>
  <c r="K36" i="18"/>
  <c r="R35" i="18"/>
  <c r="H145" i="18" s="1"/>
  <c r="M35" i="18"/>
  <c r="L35" i="18"/>
  <c r="K35" i="18"/>
  <c r="B145" i="18" s="1"/>
  <c r="R34" i="18"/>
  <c r="M34" i="18"/>
  <c r="N34" i="18"/>
  <c r="L34" i="18"/>
  <c r="K34" i="18"/>
  <c r="E34" i="18"/>
  <c r="R33" i="18"/>
  <c r="M33" i="18"/>
  <c r="L33" i="18"/>
  <c r="K33" i="18"/>
  <c r="N33" i="18" s="1"/>
  <c r="R32" i="18"/>
  <c r="L144" i="18" s="1"/>
  <c r="M32" i="18"/>
  <c r="L32" i="18"/>
  <c r="K32" i="18"/>
  <c r="R31" i="18"/>
  <c r="M31" i="18"/>
  <c r="L31" i="18"/>
  <c r="K31" i="18"/>
  <c r="N31" i="18"/>
  <c r="R30" i="18"/>
  <c r="L143" i="18" s="1"/>
  <c r="M30" i="18"/>
  <c r="D143" i="18" s="1"/>
  <c r="L30" i="18"/>
  <c r="K30" i="18"/>
  <c r="R29" i="18"/>
  <c r="H142" i="18"/>
  <c r="M29" i="18"/>
  <c r="L29" i="18"/>
  <c r="K29" i="18"/>
  <c r="B142" i="18" s="1"/>
  <c r="R28" i="18"/>
  <c r="M28" i="18"/>
  <c r="D142" i="18" s="1"/>
  <c r="L28" i="18"/>
  <c r="N28" i="18"/>
  <c r="K28" i="18"/>
  <c r="R27" i="18"/>
  <c r="M27" i="18"/>
  <c r="L27" i="18"/>
  <c r="K27" i="18"/>
  <c r="N27" i="18"/>
  <c r="E27" i="18"/>
  <c r="R26" i="18"/>
  <c r="M26" i="18"/>
  <c r="N26" i="18"/>
  <c r="L26" i="18"/>
  <c r="C141" i="18" s="1"/>
  <c r="K26" i="18"/>
  <c r="R25" i="18"/>
  <c r="M25" i="18"/>
  <c r="L25" i="18"/>
  <c r="C140" i="18"/>
  <c r="K25" i="18"/>
  <c r="R24" i="18"/>
  <c r="J140" i="18" s="1"/>
  <c r="M24" i="18"/>
  <c r="D140" i="18"/>
  <c r="L24" i="18"/>
  <c r="K24" i="18"/>
  <c r="B140" i="18" s="1"/>
  <c r="R23" i="18"/>
  <c r="M23" i="18"/>
  <c r="L23" i="18"/>
  <c r="K23" i="18"/>
  <c r="B139" i="18" s="1"/>
  <c r="R22" i="18"/>
  <c r="M22" i="18"/>
  <c r="D139" i="18" s="1"/>
  <c r="L22" i="18"/>
  <c r="K22" i="18"/>
  <c r="N22" i="18" s="1"/>
  <c r="R21" i="18"/>
  <c r="M21" i="18"/>
  <c r="L21" i="18"/>
  <c r="K21" i="18"/>
  <c r="N21" i="18" s="1"/>
  <c r="E21" i="18"/>
  <c r="R20" i="18"/>
  <c r="M20" i="18"/>
  <c r="L20" i="18"/>
  <c r="C138" i="18" s="1"/>
  <c r="K20" i="18"/>
  <c r="R19" i="18"/>
  <c r="M19" i="18"/>
  <c r="D137" i="18" s="1"/>
  <c r="L19" i="18"/>
  <c r="K19" i="18"/>
  <c r="R18" i="18"/>
  <c r="L137" i="18"/>
  <c r="M18" i="18"/>
  <c r="L18" i="18"/>
  <c r="C137" i="18"/>
  <c r="K18" i="18"/>
  <c r="R17" i="18"/>
  <c r="H136" i="18"/>
  <c r="M17" i="18"/>
  <c r="L17" i="18"/>
  <c r="K17" i="18"/>
  <c r="R16" i="18"/>
  <c r="L136" i="18" s="1"/>
  <c r="M16" i="18"/>
  <c r="D136" i="18" s="1"/>
  <c r="L16" i="18"/>
  <c r="K16" i="18"/>
  <c r="R15" i="18"/>
  <c r="M15" i="18"/>
  <c r="L15" i="18"/>
  <c r="K15" i="18"/>
  <c r="E15" i="18"/>
  <c r="R14" i="18"/>
  <c r="M14" i="18"/>
  <c r="L14" i="18"/>
  <c r="K14" i="18"/>
  <c r="R13" i="18"/>
  <c r="L134" i="18" s="1"/>
  <c r="M13" i="18"/>
  <c r="L13" i="18"/>
  <c r="C134" i="18" s="1"/>
  <c r="K13" i="18"/>
  <c r="R12" i="18"/>
  <c r="M12" i="18"/>
  <c r="L12" i="18"/>
  <c r="K12" i="18"/>
  <c r="N12" i="18" s="1"/>
  <c r="R11" i="18"/>
  <c r="J133" i="18" s="1"/>
  <c r="M11" i="18"/>
  <c r="L11" i="18"/>
  <c r="K11" i="18"/>
  <c r="N11" i="18" s="1"/>
  <c r="R10" i="18"/>
  <c r="H133" i="18" s="1"/>
  <c r="M10" i="18"/>
  <c r="D133" i="18" s="1"/>
  <c r="L10" i="18"/>
  <c r="C133" i="18" s="1"/>
  <c r="K10" i="18"/>
  <c r="N10" i="18" s="1"/>
  <c r="B133" i="18"/>
  <c r="R9" i="18"/>
  <c r="J132" i="18" s="1"/>
  <c r="M9" i="18"/>
  <c r="L9" i="18"/>
  <c r="K9" i="18"/>
  <c r="N9" i="18"/>
  <c r="E9" i="18"/>
  <c r="S132" i="18" s="1"/>
  <c r="R8" i="18"/>
  <c r="M8" i="18"/>
  <c r="L8" i="18"/>
  <c r="C132" i="18" s="1"/>
  <c r="K8" i="18"/>
  <c r="U185" i="19"/>
  <c r="T185" i="19"/>
  <c r="W185" i="19"/>
  <c r="W184" i="19"/>
  <c r="U184" i="19"/>
  <c r="T184" i="19"/>
  <c r="S184" i="19"/>
  <c r="U182" i="19"/>
  <c r="T182" i="19"/>
  <c r="S182" i="19"/>
  <c r="U181" i="19"/>
  <c r="T181" i="19"/>
  <c r="S181" i="19"/>
  <c r="W181" i="19" s="1"/>
  <c r="U178" i="19"/>
  <c r="U177" i="19"/>
  <c r="T177" i="19"/>
  <c r="S177" i="19"/>
  <c r="S174" i="19"/>
  <c r="U173" i="19"/>
  <c r="T173" i="19"/>
  <c r="S173" i="19"/>
  <c r="W173" i="19" s="1"/>
  <c r="L173" i="19"/>
  <c r="T170" i="19"/>
  <c r="U169" i="19"/>
  <c r="T169" i="19"/>
  <c r="W169" i="19"/>
  <c r="S169" i="19"/>
  <c r="T168" i="19"/>
  <c r="S168" i="19"/>
  <c r="C166" i="19"/>
  <c r="U165" i="19"/>
  <c r="T165" i="19"/>
  <c r="S165" i="19"/>
  <c r="W165" i="19" s="1"/>
  <c r="B164" i="19"/>
  <c r="D162" i="19"/>
  <c r="U161" i="19"/>
  <c r="T161" i="19"/>
  <c r="S161" i="19"/>
  <c r="W161" i="19" s="1"/>
  <c r="U160" i="19"/>
  <c r="T160" i="19"/>
  <c r="S160" i="19"/>
  <c r="W160" i="19"/>
  <c r="U158" i="19"/>
  <c r="U157" i="19"/>
  <c r="U156" i="19"/>
  <c r="T156" i="19"/>
  <c r="U153" i="19"/>
  <c r="T153" i="19"/>
  <c r="U152" i="19"/>
  <c r="T152" i="19"/>
  <c r="S152" i="19"/>
  <c r="W152" i="19" s="1"/>
  <c r="U151" i="19"/>
  <c r="T151" i="19"/>
  <c r="W151" i="19" s="1"/>
  <c r="U143" i="19"/>
  <c r="U142" i="19"/>
  <c r="S142" i="19"/>
  <c r="W142" i="19" s="1"/>
  <c r="U141" i="19"/>
  <c r="U137" i="19"/>
  <c r="S136" i="19"/>
  <c r="U135" i="19"/>
  <c r="U134" i="19"/>
  <c r="U133" i="19"/>
  <c r="R118" i="19"/>
  <c r="M118" i="19"/>
  <c r="L118" i="19"/>
  <c r="K118" i="19"/>
  <c r="R117" i="19"/>
  <c r="M117" i="19"/>
  <c r="L117" i="19"/>
  <c r="K117" i="19"/>
  <c r="R116" i="19"/>
  <c r="H184" i="19" s="1"/>
  <c r="M116" i="19"/>
  <c r="D184" i="19" s="1"/>
  <c r="L116" i="19"/>
  <c r="K116" i="19"/>
  <c r="N116" i="19" s="1"/>
  <c r="R115" i="19"/>
  <c r="M115" i="19"/>
  <c r="L115" i="19"/>
  <c r="C184" i="19" s="1"/>
  <c r="K115" i="19"/>
  <c r="R114" i="19"/>
  <c r="M114" i="19"/>
  <c r="L114" i="19"/>
  <c r="K114" i="19"/>
  <c r="N114" i="19" s="1"/>
  <c r="R113" i="19"/>
  <c r="L183" i="19"/>
  <c r="M113" i="19"/>
  <c r="L113" i="19"/>
  <c r="K113" i="19"/>
  <c r="N113" i="19" s="1"/>
  <c r="E113" i="19"/>
  <c r="U183" i="19"/>
  <c r="R112" i="19"/>
  <c r="H183" i="19" s="1"/>
  <c r="M112" i="19"/>
  <c r="L112" i="19"/>
  <c r="C183" i="19"/>
  <c r="K112" i="19"/>
  <c r="R111" i="19"/>
  <c r="M111" i="19"/>
  <c r="L111" i="19"/>
  <c r="K111" i="19"/>
  <c r="R110" i="19"/>
  <c r="M110" i="19"/>
  <c r="D182" i="19"/>
  <c r="L110" i="19"/>
  <c r="C182" i="19" s="1"/>
  <c r="K110" i="19"/>
  <c r="R109" i="19"/>
  <c r="M109" i="19"/>
  <c r="L109" i="19"/>
  <c r="K109" i="19"/>
  <c r="R108" i="19"/>
  <c r="L181" i="19" s="1"/>
  <c r="J181" i="19"/>
  <c r="M108" i="19"/>
  <c r="L108" i="19"/>
  <c r="C181" i="19"/>
  <c r="K108" i="19"/>
  <c r="N108" i="19" s="1"/>
  <c r="B181" i="19"/>
  <c r="R107" i="19"/>
  <c r="L180" i="19" s="1"/>
  <c r="M107" i="19"/>
  <c r="N107" i="19" s="1"/>
  <c r="L107" i="19"/>
  <c r="K107" i="19"/>
  <c r="E107" i="19"/>
  <c r="T180" i="19" s="1"/>
  <c r="R106" i="19"/>
  <c r="M106" i="19"/>
  <c r="D180" i="19" s="1"/>
  <c r="L106" i="19"/>
  <c r="K106" i="19"/>
  <c r="B180" i="19"/>
  <c r="R105" i="19"/>
  <c r="M105" i="19"/>
  <c r="L105" i="19"/>
  <c r="N105" i="19" s="1"/>
  <c r="K105" i="19"/>
  <c r="E105" i="19"/>
  <c r="R104" i="19"/>
  <c r="H179" i="19" s="1"/>
  <c r="J179" i="19"/>
  <c r="M104" i="19"/>
  <c r="L104" i="19"/>
  <c r="K104" i="19"/>
  <c r="R103" i="19"/>
  <c r="M103" i="19"/>
  <c r="L103" i="19"/>
  <c r="K103" i="19"/>
  <c r="E103" i="19"/>
  <c r="L178" i="19" s="1"/>
  <c r="T178" i="19"/>
  <c r="R102" i="19"/>
  <c r="M102" i="19"/>
  <c r="L102" i="19"/>
  <c r="C178" i="19" s="1"/>
  <c r="K102" i="19"/>
  <c r="R101" i="19"/>
  <c r="N101" i="19"/>
  <c r="M101" i="19"/>
  <c r="L101" i="19"/>
  <c r="K101" i="19"/>
  <c r="R100" i="19"/>
  <c r="M100" i="19"/>
  <c r="L100" i="19"/>
  <c r="C177" i="19"/>
  <c r="K100" i="19"/>
  <c r="R99" i="19"/>
  <c r="M99" i="19"/>
  <c r="L99" i="19"/>
  <c r="K99" i="19"/>
  <c r="N99" i="19" s="1"/>
  <c r="E99" i="19"/>
  <c r="R98" i="19"/>
  <c r="M98" i="19"/>
  <c r="L98" i="19"/>
  <c r="C176" i="19" s="1"/>
  <c r="K98" i="19"/>
  <c r="B176" i="19"/>
  <c r="R96" i="19"/>
  <c r="M96" i="19"/>
  <c r="L96" i="19"/>
  <c r="K96" i="19"/>
  <c r="N96" i="19" s="1"/>
  <c r="R95" i="19"/>
  <c r="L175" i="19"/>
  <c r="M95" i="19"/>
  <c r="L95" i="19"/>
  <c r="K95" i="19"/>
  <c r="R94" i="19"/>
  <c r="J175" i="19" s="1"/>
  <c r="M94" i="19"/>
  <c r="L94" i="19"/>
  <c r="K94" i="19"/>
  <c r="N94" i="19" s="1"/>
  <c r="R93" i="19"/>
  <c r="M93" i="19"/>
  <c r="L93" i="19"/>
  <c r="K93" i="19"/>
  <c r="R92" i="19"/>
  <c r="M92" i="19"/>
  <c r="N92" i="19" s="1"/>
  <c r="L92" i="19"/>
  <c r="K92" i="19"/>
  <c r="E92" i="19"/>
  <c r="B174" i="19"/>
  <c r="R91" i="19"/>
  <c r="N91" i="19"/>
  <c r="M91" i="19"/>
  <c r="L91" i="19"/>
  <c r="C174" i="19" s="1"/>
  <c r="K91" i="19"/>
  <c r="R90" i="19"/>
  <c r="M90" i="19"/>
  <c r="L90" i="19"/>
  <c r="K90" i="19"/>
  <c r="R89" i="19"/>
  <c r="H173" i="19" s="1"/>
  <c r="M89" i="19"/>
  <c r="L89" i="19"/>
  <c r="N89" i="19" s="1"/>
  <c r="K89" i="19"/>
  <c r="B173" i="19"/>
  <c r="R88" i="19"/>
  <c r="M88" i="19"/>
  <c r="L88" i="19"/>
  <c r="K88" i="19"/>
  <c r="N88" i="19" s="1"/>
  <c r="E88" i="19"/>
  <c r="T172" i="19" s="1"/>
  <c r="R87" i="19"/>
  <c r="M87" i="19"/>
  <c r="D172" i="19"/>
  <c r="L87" i="19"/>
  <c r="C172" i="19"/>
  <c r="K87" i="19"/>
  <c r="B172" i="19" s="1"/>
  <c r="R86" i="19"/>
  <c r="M86" i="19"/>
  <c r="L86" i="19"/>
  <c r="K86" i="19"/>
  <c r="E86" i="19"/>
  <c r="R85" i="19"/>
  <c r="J171" i="19" s="1"/>
  <c r="M85" i="19"/>
  <c r="L85" i="19"/>
  <c r="K85" i="19"/>
  <c r="R84" i="19"/>
  <c r="H170" i="19"/>
  <c r="M84" i="19"/>
  <c r="L84" i="19"/>
  <c r="K84" i="19"/>
  <c r="E84" i="19"/>
  <c r="R83" i="19"/>
  <c r="L170" i="19" s="1"/>
  <c r="M83" i="19"/>
  <c r="D170" i="19" s="1"/>
  <c r="L83" i="19"/>
  <c r="C170" i="19" s="1"/>
  <c r="K83" i="19"/>
  <c r="N83" i="19" s="1"/>
  <c r="R82" i="19"/>
  <c r="J169" i="19"/>
  <c r="N82" i="19"/>
  <c r="M82" i="19"/>
  <c r="L82" i="19"/>
  <c r="K82" i="19"/>
  <c r="R81" i="19"/>
  <c r="M81" i="19"/>
  <c r="L81" i="19"/>
  <c r="C169" i="19"/>
  <c r="K81" i="19"/>
  <c r="R80" i="19"/>
  <c r="M80" i="19"/>
  <c r="L80" i="19"/>
  <c r="N80" i="19" s="1"/>
  <c r="K80" i="19"/>
  <c r="E80" i="19"/>
  <c r="U168" i="19" s="1"/>
  <c r="R79" i="19"/>
  <c r="J168" i="19"/>
  <c r="M79" i="19"/>
  <c r="D168" i="19"/>
  <c r="L79" i="19"/>
  <c r="C168" i="19" s="1"/>
  <c r="K79" i="19"/>
  <c r="B168" i="19" s="1"/>
  <c r="R78" i="19"/>
  <c r="M78" i="19"/>
  <c r="L78" i="19"/>
  <c r="K78" i="19"/>
  <c r="E78" i="19"/>
  <c r="R77" i="19"/>
  <c r="H167" i="19" s="1"/>
  <c r="M77" i="19"/>
  <c r="L77" i="19"/>
  <c r="K77" i="19"/>
  <c r="R76" i="19"/>
  <c r="M76" i="19"/>
  <c r="L76" i="19"/>
  <c r="K76" i="19"/>
  <c r="N76" i="19" s="1"/>
  <c r="E76" i="19"/>
  <c r="R75" i="19"/>
  <c r="M75" i="19"/>
  <c r="L75" i="19"/>
  <c r="K75" i="19"/>
  <c r="N75" i="19" s="1"/>
  <c r="R74" i="19"/>
  <c r="J165" i="19"/>
  <c r="M74" i="19"/>
  <c r="L74" i="19"/>
  <c r="K74" i="19"/>
  <c r="N74" i="19"/>
  <c r="R73" i="19"/>
  <c r="H165" i="19" s="1"/>
  <c r="M73" i="19"/>
  <c r="D165" i="19" s="1"/>
  <c r="L73" i="19"/>
  <c r="C165" i="19"/>
  <c r="K73" i="19"/>
  <c r="B165" i="19"/>
  <c r="R72" i="19"/>
  <c r="M72" i="19"/>
  <c r="L72" i="19"/>
  <c r="C164" i="19" s="1"/>
  <c r="K72" i="19"/>
  <c r="E72" i="19"/>
  <c r="T164" i="19" s="1"/>
  <c r="R71" i="19"/>
  <c r="H164" i="19" s="1"/>
  <c r="M71" i="19"/>
  <c r="D164" i="19"/>
  <c r="L71" i="19"/>
  <c r="K71" i="19"/>
  <c r="R70" i="19"/>
  <c r="M70" i="19"/>
  <c r="L70" i="19"/>
  <c r="K70" i="19"/>
  <c r="E70" i="19"/>
  <c r="R69" i="19"/>
  <c r="H163" i="19" s="1"/>
  <c r="L163" i="19"/>
  <c r="M69" i="19"/>
  <c r="D163" i="19"/>
  <c r="L69" i="19"/>
  <c r="N69" i="19" s="1"/>
  <c r="K69" i="19"/>
  <c r="R68" i="19"/>
  <c r="M68" i="19"/>
  <c r="L68" i="19"/>
  <c r="K68" i="19"/>
  <c r="N68" i="19"/>
  <c r="E68" i="19"/>
  <c r="S162" i="19"/>
  <c r="R67" i="19"/>
  <c r="H162" i="19" s="1"/>
  <c r="M67" i="19"/>
  <c r="L67" i="19"/>
  <c r="K67" i="19"/>
  <c r="R66" i="19"/>
  <c r="M66" i="19"/>
  <c r="L66" i="19"/>
  <c r="K66" i="19"/>
  <c r="R65" i="19"/>
  <c r="L161" i="19" s="1"/>
  <c r="M65" i="19"/>
  <c r="L65" i="19"/>
  <c r="C161" i="19" s="1"/>
  <c r="K65" i="19"/>
  <c r="R64" i="19"/>
  <c r="M64" i="19"/>
  <c r="L64" i="19"/>
  <c r="K64" i="19"/>
  <c r="R63" i="19"/>
  <c r="L160" i="19" s="1"/>
  <c r="M63" i="19"/>
  <c r="D160" i="19" s="1"/>
  <c r="L63" i="19"/>
  <c r="K63" i="19"/>
  <c r="B160" i="19"/>
  <c r="R62" i="19"/>
  <c r="M62" i="19"/>
  <c r="L62" i="19"/>
  <c r="N62" i="19" s="1"/>
  <c r="K62" i="19"/>
  <c r="E62" i="19"/>
  <c r="U159" i="19"/>
  <c r="R61" i="19"/>
  <c r="M61" i="19"/>
  <c r="L61" i="19"/>
  <c r="K61" i="19"/>
  <c r="B159" i="19" s="1"/>
  <c r="T158" i="19"/>
  <c r="R60" i="19"/>
  <c r="M60" i="19"/>
  <c r="L60" i="19"/>
  <c r="K60" i="19"/>
  <c r="N60" i="19"/>
  <c r="M59" i="19"/>
  <c r="N59" i="19"/>
  <c r="L59" i="19"/>
  <c r="C158" i="19"/>
  <c r="K59" i="19"/>
  <c r="R58" i="19"/>
  <c r="M58" i="19"/>
  <c r="N58" i="19" s="1"/>
  <c r="L58" i="19"/>
  <c r="K58" i="19"/>
  <c r="R57" i="19"/>
  <c r="M57" i="19"/>
  <c r="D157" i="19" s="1"/>
  <c r="L57" i="19"/>
  <c r="K57" i="19"/>
  <c r="B157" i="19" s="1"/>
  <c r="S156" i="19"/>
  <c r="R56" i="19"/>
  <c r="M56" i="19"/>
  <c r="L56" i="19"/>
  <c r="K56" i="19"/>
  <c r="N56" i="19" s="1"/>
  <c r="R55" i="19"/>
  <c r="M55" i="19"/>
  <c r="D156" i="19" s="1"/>
  <c r="L55" i="19"/>
  <c r="C156" i="19" s="1"/>
  <c r="K55" i="19"/>
  <c r="R54" i="19"/>
  <c r="M54" i="19"/>
  <c r="L54" i="19"/>
  <c r="K54" i="19"/>
  <c r="N54" i="19" s="1"/>
  <c r="E54" i="19"/>
  <c r="U155" i="19" s="1"/>
  <c r="R53" i="19"/>
  <c r="M53" i="19"/>
  <c r="L53" i="19"/>
  <c r="K53" i="19"/>
  <c r="N53" i="19" s="1"/>
  <c r="R52" i="19"/>
  <c r="M52" i="19"/>
  <c r="L52" i="19"/>
  <c r="K52" i="19"/>
  <c r="M51" i="19"/>
  <c r="L51" i="19"/>
  <c r="K51" i="19"/>
  <c r="N51" i="19" s="1"/>
  <c r="E51" i="19"/>
  <c r="U154" i="19" s="1"/>
  <c r="S154" i="19"/>
  <c r="M50" i="19"/>
  <c r="L50" i="19"/>
  <c r="K50" i="19"/>
  <c r="R49" i="19"/>
  <c r="M49" i="19"/>
  <c r="D153" i="19"/>
  <c r="L49" i="19"/>
  <c r="K49" i="19"/>
  <c r="R48" i="19"/>
  <c r="J153" i="19" s="1"/>
  <c r="S153" i="19"/>
  <c r="M48" i="19"/>
  <c r="L48" i="19"/>
  <c r="K48" i="19"/>
  <c r="R47" i="19"/>
  <c r="M47" i="19"/>
  <c r="L47" i="19"/>
  <c r="K47" i="19"/>
  <c r="N47" i="19" s="1"/>
  <c r="M46" i="19"/>
  <c r="D152" i="19" s="1"/>
  <c r="L46" i="19"/>
  <c r="C152" i="19"/>
  <c r="K46" i="19"/>
  <c r="B152" i="19" s="1"/>
  <c r="E152" i="19" s="1"/>
  <c r="R45" i="19"/>
  <c r="M45" i="19"/>
  <c r="L45" i="19"/>
  <c r="K45" i="19"/>
  <c r="R44" i="19"/>
  <c r="S151" i="19"/>
  <c r="M44" i="19"/>
  <c r="D151" i="19"/>
  <c r="L44" i="19"/>
  <c r="C151" i="19" s="1"/>
  <c r="K44" i="19"/>
  <c r="N44" i="19"/>
  <c r="R43" i="19"/>
  <c r="M43" i="19"/>
  <c r="L43" i="19"/>
  <c r="K43" i="19"/>
  <c r="N43" i="19" s="1"/>
  <c r="E43" i="19"/>
  <c r="S150" i="19"/>
  <c r="M42" i="19"/>
  <c r="D150" i="19" s="1"/>
  <c r="N42" i="19"/>
  <c r="L42" i="19"/>
  <c r="C150" i="19"/>
  <c r="K42" i="19"/>
  <c r="M41" i="19"/>
  <c r="N41" i="19"/>
  <c r="L41" i="19"/>
  <c r="K41" i="19"/>
  <c r="M40" i="19"/>
  <c r="D149" i="19" s="1"/>
  <c r="L40" i="19"/>
  <c r="C149" i="19" s="1"/>
  <c r="K40" i="19"/>
  <c r="B149" i="19"/>
  <c r="R39" i="19"/>
  <c r="M39" i="19"/>
  <c r="L39" i="19"/>
  <c r="K39" i="19"/>
  <c r="N39" i="19" s="1"/>
  <c r="M38" i="19"/>
  <c r="L38" i="19"/>
  <c r="C148" i="19" s="1"/>
  <c r="K38" i="19"/>
  <c r="M37" i="19"/>
  <c r="L37" i="19"/>
  <c r="K37" i="19"/>
  <c r="N37" i="19" s="1"/>
  <c r="M36" i="19"/>
  <c r="D147" i="19" s="1"/>
  <c r="L36" i="19"/>
  <c r="C147" i="19" s="1"/>
  <c r="K36" i="19"/>
  <c r="R35" i="19"/>
  <c r="L146" i="19"/>
  <c r="M35" i="19"/>
  <c r="N35" i="19" s="1"/>
  <c r="L35" i="19"/>
  <c r="K35" i="19"/>
  <c r="E35" i="19"/>
  <c r="U146" i="19" s="1"/>
  <c r="R34" i="19"/>
  <c r="M34" i="19"/>
  <c r="L34" i="19"/>
  <c r="C146" i="19" s="1"/>
  <c r="K34" i="19"/>
  <c r="B146" i="19" s="1"/>
  <c r="R33" i="19"/>
  <c r="M33" i="19"/>
  <c r="L33" i="19"/>
  <c r="N33" i="19" s="1"/>
  <c r="K33" i="19"/>
  <c r="E33" i="19"/>
  <c r="U145" i="19" s="1"/>
  <c r="S145" i="19"/>
  <c r="M32" i="19"/>
  <c r="L32" i="19"/>
  <c r="C145" i="19"/>
  <c r="K32" i="19"/>
  <c r="R31" i="19"/>
  <c r="M31" i="19"/>
  <c r="L31" i="19"/>
  <c r="K31" i="19"/>
  <c r="N31" i="19" s="1"/>
  <c r="U144" i="19"/>
  <c r="R30" i="19"/>
  <c r="M30" i="19"/>
  <c r="L30" i="19"/>
  <c r="K30" i="19"/>
  <c r="R29" i="19"/>
  <c r="M29" i="19"/>
  <c r="L29" i="19"/>
  <c r="K29" i="19"/>
  <c r="N29" i="19"/>
  <c r="R28" i="19"/>
  <c r="S143" i="19"/>
  <c r="M28" i="19"/>
  <c r="L28" i="19"/>
  <c r="C143" i="19"/>
  <c r="K28" i="19"/>
  <c r="R27" i="19"/>
  <c r="J142" i="19"/>
  <c r="M27" i="19"/>
  <c r="D142" i="19" s="1"/>
  <c r="L27" i="19"/>
  <c r="K27" i="19"/>
  <c r="R26" i="19"/>
  <c r="T142" i="19"/>
  <c r="M26" i="19"/>
  <c r="L26" i="19"/>
  <c r="C142" i="19" s="1"/>
  <c r="K26" i="19"/>
  <c r="B142" i="19" s="1"/>
  <c r="E142" i="19" s="1"/>
  <c r="R25" i="19"/>
  <c r="M25" i="19"/>
  <c r="L25" i="19"/>
  <c r="K25" i="19"/>
  <c r="N25" i="19" s="1"/>
  <c r="T141" i="19"/>
  <c r="M24" i="19"/>
  <c r="D141" i="19" s="1"/>
  <c r="L24" i="19"/>
  <c r="K24" i="19"/>
  <c r="B141" i="19" s="1"/>
  <c r="M23" i="19"/>
  <c r="L23" i="19"/>
  <c r="K23" i="19"/>
  <c r="E23" i="19"/>
  <c r="U140" i="19"/>
  <c r="T140" i="19"/>
  <c r="M22" i="19"/>
  <c r="D140" i="19" s="1"/>
  <c r="L22" i="19"/>
  <c r="K22" i="19"/>
  <c r="B140" i="19" s="1"/>
  <c r="R21" i="19"/>
  <c r="M21" i="19"/>
  <c r="L21" i="19"/>
  <c r="K21" i="19"/>
  <c r="E21" i="19"/>
  <c r="T139" i="19" s="1"/>
  <c r="R20" i="19"/>
  <c r="M20" i="19"/>
  <c r="L20" i="19"/>
  <c r="K20" i="19"/>
  <c r="R19" i="19"/>
  <c r="M19" i="19"/>
  <c r="D138" i="19" s="1"/>
  <c r="L19" i="19"/>
  <c r="K19" i="19"/>
  <c r="E19" i="19"/>
  <c r="U138" i="19" s="1"/>
  <c r="R18" i="19"/>
  <c r="H138" i="19"/>
  <c r="M18" i="19"/>
  <c r="L18" i="19"/>
  <c r="C138" i="19" s="1"/>
  <c r="K18" i="19"/>
  <c r="B138" i="19" s="1"/>
  <c r="R17" i="19"/>
  <c r="M17" i="19"/>
  <c r="L17" i="19"/>
  <c r="C137" i="19" s="1"/>
  <c r="K17" i="19"/>
  <c r="N17" i="19" s="1"/>
  <c r="M16" i="19"/>
  <c r="D137" i="19"/>
  <c r="L16" i="19"/>
  <c r="K16" i="19"/>
  <c r="M15" i="19"/>
  <c r="L15" i="19"/>
  <c r="K15" i="19"/>
  <c r="E15" i="19"/>
  <c r="C136" i="19" s="1"/>
  <c r="R14" i="19"/>
  <c r="M14" i="19"/>
  <c r="D136" i="19" s="1"/>
  <c r="L14" i="19"/>
  <c r="K14" i="19"/>
  <c r="B136" i="19" s="1"/>
  <c r="R13" i="19"/>
  <c r="M13" i="19"/>
  <c r="L13" i="19"/>
  <c r="K13" i="19"/>
  <c r="R12" i="19"/>
  <c r="S135" i="19"/>
  <c r="M12" i="19"/>
  <c r="L12" i="19"/>
  <c r="K12" i="19"/>
  <c r="R11" i="19"/>
  <c r="M11" i="19"/>
  <c r="L11" i="19"/>
  <c r="K11" i="19"/>
  <c r="N11" i="19" s="1"/>
  <c r="R10" i="19"/>
  <c r="M10" i="19"/>
  <c r="N10" i="19"/>
  <c r="L10" i="19"/>
  <c r="C134" i="19" s="1"/>
  <c r="K10" i="19"/>
  <c r="B134" i="19" s="1"/>
  <c r="R9" i="19"/>
  <c r="M9" i="19"/>
  <c r="L9" i="19"/>
  <c r="K9" i="19"/>
  <c r="N9" i="19" s="1"/>
  <c r="M8" i="19"/>
  <c r="D133" i="19"/>
  <c r="L8" i="19"/>
  <c r="K8" i="19"/>
  <c r="B133" i="19" s="1"/>
  <c r="U180" i="21"/>
  <c r="T180" i="21"/>
  <c r="S180" i="21"/>
  <c r="W180" i="21"/>
  <c r="U179" i="21"/>
  <c r="T179" i="21"/>
  <c r="S179" i="21"/>
  <c r="W179" i="21"/>
  <c r="U178" i="21"/>
  <c r="T178" i="21"/>
  <c r="S178" i="21"/>
  <c r="U176" i="21"/>
  <c r="T176" i="21"/>
  <c r="S176" i="21"/>
  <c r="W176" i="21" s="1"/>
  <c r="U175" i="21"/>
  <c r="T175" i="21"/>
  <c r="S175" i="21"/>
  <c r="W175" i="21" s="1"/>
  <c r="U168" i="21"/>
  <c r="T168" i="21"/>
  <c r="S168" i="21"/>
  <c r="U164" i="21"/>
  <c r="T164" i="21"/>
  <c r="S164" i="21"/>
  <c r="W164" i="21" s="1"/>
  <c r="U160" i="21"/>
  <c r="T160" i="21"/>
  <c r="S160" i="21"/>
  <c r="W160" i="21" s="1"/>
  <c r="J160" i="21"/>
  <c r="H160" i="21"/>
  <c r="U156" i="21"/>
  <c r="T156" i="21"/>
  <c r="S156" i="21"/>
  <c r="U155" i="21"/>
  <c r="T155" i="21"/>
  <c r="S155" i="21"/>
  <c r="U154" i="21"/>
  <c r="T154" i="21"/>
  <c r="S154" i="21"/>
  <c r="W154" i="21"/>
  <c r="U153" i="21"/>
  <c r="T153" i="21"/>
  <c r="S153" i="21"/>
  <c r="W153" i="21"/>
  <c r="U151" i="21"/>
  <c r="T151" i="21"/>
  <c r="S151" i="21"/>
  <c r="W151" i="21" s="1"/>
  <c r="U150" i="21"/>
  <c r="T150" i="21"/>
  <c r="S150" i="21"/>
  <c r="W150" i="21" s="1"/>
  <c r="U149" i="21"/>
  <c r="T149" i="21"/>
  <c r="S149" i="21"/>
  <c r="W149" i="21" s="1"/>
  <c r="U148" i="21"/>
  <c r="T148" i="21"/>
  <c r="W148" i="21" s="1"/>
  <c r="S148" i="21"/>
  <c r="U146" i="21"/>
  <c r="T146" i="21"/>
  <c r="S146" i="21"/>
  <c r="U145" i="21"/>
  <c r="T145" i="21"/>
  <c r="S145" i="21"/>
  <c r="U144" i="21"/>
  <c r="T144" i="21"/>
  <c r="S144" i="21"/>
  <c r="W144" i="21"/>
  <c r="U143" i="21"/>
  <c r="T143" i="21"/>
  <c r="S143" i="21"/>
  <c r="W143" i="21" s="1"/>
  <c r="U141" i="21"/>
  <c r="T141" i="21"/>
  <c r="S141" i="21"/>
  <c r="U140" i="21"/>
  <c r="T140" i="21"/>
  <c r="S140" i="21"/>
  <c r="W140" i="21" s="1"/>
  <c r="U139" i="21"/>
  <c r="T139" i="21"/>
  <c r="S139" i="21"/>
  <c r="W139" i="21"/>
  <c r="U138" i="21"/>
  <c r="T138" i="21"/>
  <c r="S138" i="21"/>
  <c r="W138" i="21" s="1"/>
  <c r="U136" i="21"/>
  <c r="T136" i="21"/>
  <c r="S136" i="21"/>
  <c r="W136" i="21" s="1"/>
  <c r="U134" i="21"/>
  <c r="T134" i="21"/>
  <c r="S134" i="21"/>
  <c r="W134" i="21" s="1"/>
  <c r="U133" i="21"/>
  <c r="T133" i="21"/>
  <c r="S133" i="21"/>
  <c r="W133" i="21"/>
  <c r="U131" i="21"/>
  <c r="T131" i="21"/>
  <c r="S131" i="21"/>
  <c r="W131" i="21"/>
  <c r="U130" i="21"/>
  <c r="T130" i="21"/>
  <c r="S130" i="21"/>
  <c r="W130" i="21"/>
  <c r="U129" i="21"/>
  <c r="T129" i="21"/>
  <c r="S129" i="21"/>
  <c r="U128" i="21"/>
  <c r="T128" i="21"/>
  <c r="S128" i="21"/>
  <c r="W128" i="21" s="1"/>
  <c r="R113" i="21"/>
  <c r="J180" i="21" s="1"/>
  <c r="M113" i="21"/>
  <c r="L113" i="21"/>
  <c r="K113" i="21"/>
  <c r="N113" i="21" s="1"/>
  <c r="R112" i="21"/>
  <c r="M112" i="21"/>
  <c r="L112" i="21"/>
  <c r="K112" i="21"/>
  <c r="B180" i="21" s="1"/>
  <c r="R111" i="21"/>
  <c r="H179" i="21" s="1"/>
  <c r="M111" i="21"/>
  <c r="L111" i="21"/>
  <c r="K111" i="21"/>
  <c r="N111" i="21" s="1"/>
  <c r="R110" i="21"/>
  <c r="M110" i="21"/>
  <c r="D179" i="21"/>
  <c r="L110" i="21"/>
  <c r="C179" i="21"/>
  <c r="K110" i="21"/>
  <c r="N110" i="21" s="1"/>
  <c r="R109" i="21"/>
  <c r="M109" i="21"/>
  <c r="L109" i="21"/>
  <c r="K109" i="21"/>
  <c r="N109" i="21"/>
  <c r="R108" i="21"/>
  <c r="M108" i="21"/>
  <c r="D178" i="21"/>
  <c r="L108" i="21"/>
  <c r="C178" i="21"/>
  <c r="K108" i="21"/>
  <c r="B178" i="21" s="1"/>
  <c r="E178" i="21" s="1"/>
  <c r="R107" i="21"/>
  <c r="M107" i="21"/>
  <c r="L107" i="21"/>
  <c r="C177" i="21" s="1"/>
  <c r="K107" i="21"/>
  <c r="E107" i="21"/>
  <c r="U177" i="21" s="1"/>
  <c r="R106" i="21"/>
  <c r="M106" i="21"/>
  <c r="L106" i="21"/>
  <c r="K106" i="21"/>
  <c r="B177" i="21" s="1"/>
  <c r="R105" i="21"/>
  <c r="M105" i="21"/>
  <c r="L105" i="21"/>
  <c r="K105" i="21"/>
  <c r="N105" i="21"/>
  <c r="R104" i="21"/>
  <c r="M104" i="21"/>
  <c r="D176" i="21"/>
  <c r="L104" i="21"/>
  <c r="C176" i="21" s="1"/>
  <c r="K104" i="21"/>
  <c r="R103" i="21"/>
  <c r="M103" i="21"/>
  <c r="L103" i="21"/>
  <c r="K103" i="21"/>
  <c r="R102" i="21"/>
  <c r="M102" i="21"/>
  <c r="L102" i="21"/>
  <c r="K102" i="21"/>
  <c r="R101" i="21"/>
  <c r="M101" i="21"/>
  <c r="L101" i="21"/>
  <c r="K101" i="21"/>
  <c r="E101" i="21"/>
  <c r="R100" i="21"/>
  <c r="M100" i="21"/>
  <c r="L100" i="21"/>
  <c r="K100" i="21"/>
  <c r="R99" i="21"/>
  <c r="M99" i="21"/>
  <c r="L99" i="21"/>
  <c r="C173" i="21"/>
  <c r="K99" i="21"/>
  <c r="E99" i="21"/>
  <c r="T173" i="21" s="1"/>
  <c r="U173" i="21"/>
  <c r="R98" i="21"/>
  <c r="H173" i="21"/>
  <c r="M98" i="21"/>
  <c r="D173" i="21" s="1"/>
  <c r="L98" i="21"/>
  <c r="K98" i="21"/>
  <c r="N98" i="21" s="1"/>
  <c r="B173" i="21"/>
  <c r="R97" i="21"/>
  <c r="M97" i="21"/>
  <c r="L97" i="21"/>
  <c r="K97" i="21"/>
  <c r="N97" i="21" s="1"/>
  <c r="E97" i="21"/>
  <c r="B172" i="21"/>
  <c r="R96" i="21"/>
  <c r="M96" i="21"/>
  <c r="L96" i="21"/>
  <c r="K96" i="21"/>
  <c r="R95" i="21"/>
  <c r="M95" i="21"/>
  <c r="L95" i="21"/>
  <c r="K95" i="21"/>
  <c r="N95" i="21" s="1"/>
  <c r="E95" i="21"/>
  <c r="R94" i="21"/>
  <c r="M94" i="21"/>
  <c r="L94" i="21"/>
  <c r="K94" i="21"/>
  <c r="R93" i="21"/>
  <c r="M93" i="21"/>
  <c r="L93" i="21"/>
  <c r="K93" i="21"/>
  <c r="N93" i="21" s="1"/>
  <c r="E93" i="21"/>
  <c r="S170" i="21" s="1"/>
  <c r="U170" i="21"/>
  <c r="R92" i="21"/>
  <c r="M92" i="21"/>
  <c r="D170" i="21"/>
  <c r="L92" i="21"/>
  <c r="K92" i="21"/>
  <c r="B170" i="21" s="1"/>
  <c r="R91" i="21"/>
  <c r="M91" i="21"/>
  <c r="D169" i="21" s="1"/>
  <c r="L91" i="21"/>
  <c r="K91" i="21"/>
  <c r="E91" i="21"/>
  <c r="S169" i="21" s="1"/>
  <c r="U169" i="21"/>
  <c r="R90" i="21"/>
  <c r="M90" i="21"/>
  <c r="L90" i="21"/>
  <c r="K90" i="21"/>
  <c r="B169" i="21"/>
  <c r="R89" i="21"/>
  <c r="M89" i="21"/>
  <c r="L89" i="21"/>
  <c r="K89" i="21"/>
  <c r="B168" i="21" s="1"/>
  <c r="R88" i="21"/>
  <c r="M88" i="21"/>
  <c r="D168" i="21" s="1"/>
  <c r="N88" i="21"/>
  <c r="L88" i="21"/>
  <c r="K88" i="21"/>
  <c r="R87" i="21"/>
  <c r="H167" i="21" s="1"/>
  <c r="M87" i="21"/>
  <c r="L87" i="21"/>
  <c r="K87" i="21"/>
  <c r="N87" i="21"/>
  <c r="E87" i="21"/>
  <c r="T167" i="21" s="1"/>
  <c r="U167" i="21"/>
  <c r="R86" i="21"/>
  <c r="M86" i="21"/>
  <c r="L86" i="21"/>
  <c r="C167" i="21" s="1"/>
  <c r="K86" i="21"/>
  <c r="N86" i="21"/>
  <c r="R85" i="21"/>
  <c r="M85" i="21"/>
  <c r="L85" i="21"/>
  <c r="K85" i="21"/>
  <c r="E85" i="21"/>
  <c r="S166" i="21" s="1"/>
  <c r="U166" i="21"/>
  <c r="R84" i="21"/>
  <c r="H166" i="21" s="1"/>
  <c r="M84" i="21"/>
  <c r="D166" i="21" s="1"/>
  <c r="L84" i="21"/>
  <c r="K84" i="21"/>
  <c r="B166" i="21"/>
  <c r="R83" i="21"/>
  <c r="M83" i="21"/>
  <c r="L83" i="21"/>
  <c r="K83" i="21"/>
  <c r="N83" i="21"/>
  <c r="E83" i="21"/>
  <c r="U165" i="21" s="1"/>
  <c r="R82" i="21"/>
  <c r="H165" i="21" s="1"/>
  <c r="M82" i="21"/>
  <c r="D165" i="21" s="1"/>
  <c r="L82" i="21"/>
  <c r="K82" i="21"/>
  <c r="R81" i="21"/>
  <c r="M81" i="21"/>
  <c r="L81" i="21"/>
  <c r="K81" i="21"/>
  <c r="R80" i="21"/>
  <c r="H164" i="21"/>
  <c r="M80" i="21"/>
  <c r="L80" i="21"/>
  <c r="C164" i="21"/>
  <c r="K80" i="21"/>
  <c r="B164" i="21"/>
  <c r="R79" i="21"/>
  <c r="M79" i="21"/>
  <c r="L79" i="21"/>
  <c r="K79" i="21"/>
  <c r="N79" i="21"/>
  <c r="E79" i="21"/>
  <c r="R78" i="21"/>
  <c r="M78" i="21"/>
  <c r="L78" i="21"/>
  <c r="K78" i="21"/>
  <c r="R77" i="21"/>
  <c r="M77" i="21"/>
  <c r="L77" i="21"/>
  <c r="K77" i="21"/>
  <c r="N77" i="21" s="1"/>
  <c r="E77" i="21"/>
  <c r="R76" i="21"/>
  <c r="M76" i="21"/>
  <c r="D162" i="21" s="1"/>
  <c r="L76" i="21"/>
  <c r="K76" i="21"/>
  <c r="B162" i="21" s="1"/>
  <c r="R75" i="21"/>
  <c r="M75" i="21"/>
  <c r="L75" i="21"/>
  <c r="K75" i="21"/>
  <c r="N75" i="21"/>
  <c r="E75" i="21"/>
  <c r="S161" i="21"/>
  <c r="U161" i="21"/>
  <c r="R74" i="21"/>
  <c r="J161" i="21" s="1"/>
  <c r="M74" i="21"/>
  <c r="L74" i="21"/>
  <c r="K74" i="21"/>
  <c r="R73" i="21"/>
  <c r="M73" i="21"/>
  <c r="L73" i="21"/>
  <c r="K73" i="21"/>
  <c r="B160" i="21" s="1"/>
  <c r="E160" i="21" s="1"/>
  <c r="R72" i="21"/>
  <c r="L160" i="21" s="1"/>
  <c r="M72" i="21"/>
  <c r="D160" i="21"/>
  <c r="L72" i="21"/>
  <c r="C160" i="21" s="1"/>
  <c r="K72" i="21"/>
  <c r="R71" i="21"/>
  <c r="M71" i="21"/>
  <c r="L71" i="21"/>
  <c r="K71" i="21"/>
  <c r="E71" i="21"/>
  <c r="S159" i="21" s="1"/>
  <c r="W159" i="21" s="1"/>
  <c r="T159" i="21"/>
  <c r="U159" i="21"/>
  <c r="R70" i="21"/>
  <c r="M70" i="21"/>
  <c r="D159" i="21"/>
  <c r="L70" i="21"/>
  <c r="K70" i="21"/>
  <c r="R69" i="21"/>
  <c r="M69" i="21"/>
  <c r="L69" i="21"/>
  <c r="K69" i="21"/>
  <c r="N69" i="21" s="1"/>
  <c r="E69" i="21"/>
  <c r="R68" i="21"/>
  <c r="M68" i="21"/>
  <c r="L68" i="21"/>
  <c r="K68" i="21"/>
  <c r="N68" i="21" s="1"/>
  <c r="R67" i="21"/>
  <c r="M67" i="21"/>
  <c r="D157" i="21" s="1"/>
  <c r="L67" i="21"/>
  <c r="K67" i="21"/>
  <c r="E67" i="21"/>
  <c r="U157" i="21"/>
  <c r="R66" i="21"/>
  <c r="H157" i="21" s="1"/>
  <c r="M66" i="21"/>
  <c r="L66" i="21"/>
  <c r="C157" i="21" s="1"/>
  <c r="K66" i="21"/>
  <c r="R65" i="21"/>
  <c r="M65" i="21"/>
  <c r="L65" i="21"/>
  <c r="K65" i="21"/>
  <c r="R64" i="21"/>
  <c r="M64" i="21"/>
  <c r="D156" i="21"/>
  <c r="L64" i="21"/>
  <c r="C156" i="21"/>
  <c r="K64" i="21"/>
  <c r="R63" i="21"/>
  <c r="H155" i="21"/>
  <c r="M63" i="21"/>
  <c r="L63" i="21"/>
  <c r="K63" i="21"/>
  <c r="B155" i="21"/>
  <c r="R62" i="21"/>
  <c r="M62" i="21"/>
  <c r="L62" i="21"/>
  <c r="C155" i="21" s="1"/>
  <c r="K62" i="21"/>
  <c r="R61" i="21"/>
  <c r="M61" i="21"/>
  <c r="L61" i="21"/>
  <c r="C154" i="21" s="1"/>
  <c r="K61" i="21"/>
  <c r="R60" i="21"/>
  <c r="M60" i="21"/>
  <c r="L60" i="21"/>
  <c r="K60" i="21"/>
  <c r="R59" i="21"/>
  <c r="M59" i="21"/>
  <c r="N59" i="21"/>
  <c r="L59" i="21"/>
  <c r="K59" i="21"/>
  <c r="R58" i="21"/>
  <c r="M58" i="21"/>
  <c r="L58" i="21"/>
  <c r="C153" i="21" s="1"/>
  <c r="K58" i="21"/>
  <c r="N58" i="21" s="1"/>
  <c r="R57" i="21"/>
  <c r="M57" i="21"/>
  <c r="L57" i="21"/>
  <c r="N57" i="21"/>
  <c r="K57" i="21"/>
  <c r="E57" i="21"/>
  <c r="S152" i="21" s="1"/>
  <c r="R56" i="21"/>
  <c r="L152" i="21" s="1"/>
  <c r="M56" i="21"/>
  <c r="L56" i="21"/>
  <c r="C152" i="21" s="1"/>
  <c r="K56" i="21"/>
  <c r="B152" i="21" s="1"/>
  <c r="R55" i="21"/>
  <c r="M55" i="21"/>
  <c r="L55" i="21"/>
  <c r="K55" i="21"/>
  <c r="R54" i="21"/>
  <c r="M54" i="21"/>
  <c r="D151" i="21" s="1"/>
  <c r="L54" i="21"/>
  <c r="K54" i="21"/>
  <c r="B151" i="21" s="1"/>
  <c r="R53" i="21"/>
  <c r="M53" i="21"/>
  <c r="L53" i="21"/>
  <c r="K53" i="21"/>
  <c r="N53" i="21"/>
  <c r="R52" i="21"/>
  <c r="M52" i="21"/>
  <c r="L52" i="21"/>
  <c r="C150" i="21" s="1"/>
  <c r="K52" i="21"/>
  <c r="N52" i="21" s="1"/>
  <c r="R51" i="21"/>
  <c r="J149" i="21"/>
  <c r="H149" i="21"/>
  <c r="M51" i="21"/>
  <c r="L51" i="21"/>
  <c r="K51" i="21"/>
  <c r="R50" i="21"/>
  <c r="M50" i="21"/>
  <c r="D149" i="21" s="1"/>
  <c r="L50" i="21"/>
  <c r="N50" i="21" s="1"/>
  <c r="K50" i="21"/>
  <c r="R49" i="21"/>
  <c r="M49" i="21"/>
  <c r="L49" i="21"/>
  <c r="K49" i="21"/>
  <c r="N49" i="21"/>
  <c r="R48" i="21"/>
  <c r="M48" i="21"/>
  <c r="L48" i="21"/>
  <c r="C148" i="21" s="1"/>
  <c r="K48" i="21"/>
  <c r="R47" i="21"/>
  <c r="M47" i="21"/>
  <c r="N47" i="21" s="1"/>
  <c r="L47" i="21"/>
  <c r="K47" i="21"/>
  <c r="E47" i="21"/>
  <c r="T147" i="21" s="1"/>
  <c r="R46" i="21"/>
  <c r="M46" i="21"/>
  <c r="L46" i="21"/>
  <c r="K46" i="21"/>
  <c r="R45" i="21"/>
  <c r="M45" i="21"/>
  <c r="L45" i="21"/>
  <c r="K45" i="21"/>
  <c r="R44" i="21"/>
  <c r="M44" i="21"/>
  <c r="D146" i="21" s="1"/>
  <c r="L44" i="21"/>
  <c r="C146" i="21" s="1"/>
  <c r="K44" i="21"/>
  <c r="N44" i="21"/>
  <c r="R43" i="21"/>
  <c r="M43" i="21"/>
  <c r="L43" i="21"/>
  <c r="K43" i="21"/>
  <c r="N43" i="21" s="1"/>
  <c r="R42" i="21"/>
  <c r="J145" i="21" s="1"/>
  <c r="M42" i="21"/>
  <c r="L42" i="21"/>
  <c r="C145" i="21" s="1"/>
  <c r="K42" i="21"/>
  <c r="B145" i="21" s="1"/>
  <c r="R41" i="21"/>
  <c r="M41" i="21"/>
  <c r="L41" i="21"/>
  <c r="K41" i="21"/>
  <c r="N41" i="21"/>
  <c r="R40" i="21"/>
  <c r="M40" i="21"/>
  <c r="D144" i="21" s="1"/>
  <c r="L40" i="21"/>
  <c r="C144" i="21" s="1"/>
  <c r="K40" i="21"/>
  <c r="R39" i="21"/>
  <c r="M39" i="21"/>
  <c r="L39" i="21"/>
  <c r="K39" i="21"/>
  <c r="N39" i="21" s="1"/>
  <c r="R38" i="21"/>
  <c r="M38" i="21"/>
  <c r="D143" i="21" s="1"/>
  <c r="L38" i="21"/>
  <c r="K38" i="21"/>
  <c r="R37" i="21"/>
  <c r="M37" i="21"/>
  <c r="L37" i="21"/>
  <c r="K37" i="21"/>
  <c r="E37" i="21"/>
  <c r="S142" i="21"/>
  <c r="R36" i="21"/>
  <c r="H142" i="21" s="1"/>
  <c r="M36" i="21"/>
  <c r="D142" i="21"/>
  <c r="L36" i="21"/>
  <c r="K36" i="21"/>
  <c r="B142" i="21" s="1"/>
  <c r="R35" i="21"/>
  <c r="N35" i="21"/>
  <c r="M35" i="21"/>
  <c r="L35" i="21"/>
  <c r="K35" i="21"/>
  <c r="R34" i="21"/>
  <c r="M34" i="21"/>
  <c r="L34" i="21"/>
  <c r="C141" i="21"/>
  <c r="K34" i="21"/>
  <c r="R33" i="21"/>
  <c r="M33" i="21"/>
  <c r="L33" i="21"/>
  <c r="N33" i="21" s="1"/>
  <c r="K33" i="21"/>
  <c r="R32" i="21"/>
  <c r="H140" i="21" s="1"/>
  <c r="M32" i="21"/>
  <c r="D140" i="21"/>
  <c r="L32" i="21"/>
  <c r="K32" i="21"/>
  <c r="R31" i="21"/>
  <c r="M31" i="21"/>
  <c r="L31" i="21"/>
  <c r="K31" i="21"/>
  <c r="R30" i="21"/>
  <c r="M30" i="21"/>
  <c r="D139" i="21" s="1"/>
  <c r="L30" i="21"/>
  <c r="K30" i="21"/>
  <c r="R29" i="21"/>
  <c r="J138" i="21" s="1"/>
  <c r="M29" i="21"/>
  <c r="L29" i="21"/>
  <c r="K29" i="21"/>
  <c r="R28" i="21"/>
  <c r="M28" i="21"/>
  <c r="L28" i="21"/>
  <c r="C138" i="21"/>
  <c r="K28" i="21"/>
  <c r="B138" i="21"/>
  <c r="R27" i="21"/>
  <c r="M27" i="21"/>
  <c r="L27" i="21"/>
  <c r="K27" i="21"/>
  <c r="N27" i="21"/>
  <c r="E27" i="21"/>
  <c r="U137" i="21"/>
  <c r="R26" i="21"/>
  <c r="M26" i="21"/>
  <c r="L26" i="21"/>
  <c r="K26" i="21"/>
  <c r="B137" i="21" s="1"/>
  <c r="R25" i="21"/>
  <c r="M25" i="21"/>
  <c r="L25" i="21"/>
  <c r="K25" i="21"/>
  <c r="N25" i="21" s="1"/>
  <c r="R24" i="21"/>
  <c r="J136" i="21" s="1"/>
  <c r="M24" i="21"/>
  <c r="D136" i="21" s="1"/>
  <c r="L24" i="21"/>
  <c r="K24" i="21"/>
  <c r="B136" i="21" s="1"/>
  <c r="R23" i="21"/>
  <c r="H135" i="21" s="1"/>
  <c r="M23" i="21"/>
  <c r="L23" i="21"/>
  <c r="K23" i="21"/>
  <c r="E23" i="21"/>
  <c r="R22" i="21"/>
  <c r="M22" i="21"/>
  <c r="D135" i="21" s="1"/>
  <c r="L22" i="21"/>
  <c r="K22" i="21"/>
  <c r="R21" i="21"/>
  <c r="M21" i="21"/>
  <c r="L21" i="21"/>
  <c r="K21" i="21"/>
  <c r="N21" i="21" s="1"/>
  <c r="R20" i="21"/>
  <c r="J134" i="21" s="1"/>
  <c r="M20" i="21"/>
  <c r="L20" i="21"/>
  <c r="C134" i="21"/>
  <c r="K20" i="21"/>
  <c r="R19" i="21"/>
  <c r="M19" i="21"/>
  <c r="L19" i="21"/>
  <c r="K19" i="21"/>
  <c r="N19" i="21"/>
  <c r="R18" i="21"/>
  <c r="M18" i="21"/>
  <c r="L18" i="21"/>
  <c r="C133" i="21"/>
  <c r="K18" i="21"/>
  <c r="R17" i="21"/>
  <c r="M17" i="21"/>
  <c r="D132" i="21"/>
  <c r="L17" i="21"/>
  <c r="K17" i="21"/>
  <c r="E17" i="21"/>
  <c r="R16" i="21"/>
  <c r="M16" i="21"/>
  <c r="L16" i="21"/>
  <c r="C132" i="21" s="1"/>
  <c r="K16" i="21"/>
  <c r="R15" i="21"/>
  <c r="M15" i="21"/>
  <c r="L15" i="21"/>
  <c r="C131" i="21" s="1"/>
  <c r="K15" i="21"/>
  <c r="R14" i="21"/>
  <c r="J131" i="21" s="1"/>
  <c r="H131" i="21"/>
  <c r="M14" i="21"/>
  <c r="D131" i="21"/>
  <c r="L14" i="21"/>
  <c r="K14" i="21"/>
  <c r="R13" i="21"/>
  <c r="M13" i="21"/>
  <c r="D130" i="21" s="1"/>
  <c r="L13" i="21"/>
  <c r="K13" i="21"/>
  <c r="R12" i="21"/>
  <c r="M12" i="21"/>
  <c r="L12" i="21"/>
  <c r="K12" i="21"/>
  <c r="R11" i="21"/>
  <c r="M11" i="21"/>
  <c r="L11" i="21"/>
  <c r="C129" i="21"/>
  <c r="K11" i="21"/>
  <c r="N11" i="21" s="1"/>
  <c r="R10" i="21"/>
  <c r="M10" i="21"/>
  <c r="L10" i="21"/>
  <c r="K10" i="21"/>
  <c r="N10" i="21" s="1"/>
  <c r="R9" i="21"/>
  <c r="M9" i="21"/>
  <c r="L9" i="21"/>
  <c r="K9" i="21"/>
  <c r="R8" i="21"/>
  <c r="J128" i="21" s="1"/>
  <c r="M8" i="21"/>
  <c r="D128" i="21" s="1"/>
  <c r="L8" i="21"/>
  <c r="K8" i="21"/>
  <c r="N8" i="21" s="1"/>
  <c r="W196" i="9"/>
  <c r="W193" i="9"/>
  <c r="U185" i="9"/>
  <c r="U172" i="9"/>
  <c r="T172" i="9"/>
  <c r="W172" i="9" s="1"/>
  <c r="S172" i="9"/>
  <c r="U169" i="9"/>
  <c r="T169" i="9"/>
  <c r="U165" i="9"/>
  <c r="T165" i="9"/>
  <c r="S165" i="9"/>
  <c r="S164" i="9"/>
  <c r="U161" i="9"/>
  <c r="T161" i="9"/>
  <c r="S161" i="9"/>
  <c r="W161" i="9" s="1"/>
  <c r="U159" i="9"/>
  <c r="T159" i="9"/>
  <c r="S159" i="9"/>
  <c r="W159" i="9" s="1"/>
  <c r="U157" i="9"/>
  <c r="T157" i="9"/>
  <c r="S157" i="9"/>
  <c r="W157" i="9"/>
  <c r="U155" i="9"/>
  <c r="T155" i="9"/>
  <c r="W155" i="9" s="1"/>
  <c r="S155" i="9"/>
  <c r="U153" i="9"/>
  <c r="T153" i="9"/>
  <c r="W153" i="9" s="1"/>
  <c r="S153" i="9"/>
  <c r="U152" i="9"/>
  <c r="T152" i="9"/>
  <c r="S152" i="9"/>
  <c r="W152" i="9" s="1"/>
  <c r="U150" i="9"/>
  <c r="T150" i="9"/>
  <c r="S150" i="9"/>
  <c r="U149" i="9"/>
  <c r="T149" i="9"/>
  <c r="S149" i="9"/>
  <c r="W149" i="9" s="1"/>
  <c r="U146" i="9"/>
  <c r="T146" i="9"/>
  <c r="S146" i="9"/>
  <c r="U145" i="9"/>
  <c r="T145" i="9"/>
  <c r="S145" i="9"/>
  <c r="R129" i="9"/>
  <c r="M129" i="9"/>
  <c r="L129" i="9"/>
  <c r="K129" i="9"/>
  <c r="R128" i="9"/>
  <c r="M128" i="9"/>
  <c r="L128" i="9"/>
  <c r="K128" i="9"/>
  <c r="R127" i="9"/>
  <c r="M127" i="9"/>
  <c r="L127" i="9"/>
  <c r="K127" i="9"/>
  <c r="R126" i="9"/>
  <c r="M126" i="9"/>
  <c r="L126" i="9"/>
  <c r="K126" i="9"/>
  <c r="R125" i="9"/>
  <c r="M125" i="9"/>
  <c r="L125" i="9"/>
  <c r="K125" i="9"/>
  <c r="R124" i="9"/>
  <c r="M124" i="9"/>
  <c r="L124" i="9"/>
  <c r="K124" i="9"/>
  <c r="B196" i="9" s="1"/>
  <c r="R123" i="9"/>
  <c r="M123" i="9"/>
  <c r="L123" i="9"/>
  <c r="K123" i="9"/>
  <c r="R122" i="9"/>
  <c r="M122" i="9"/>
  <c r="L122" i="9"/>
  <c r="K122" i="9"/>
  <c r="E122" i="9"/>
  <c r="R121" i="9"/>
  <c r="M121" i="9"/>
  <c r="L121" i="9"/>
  <c r="C195" i="9" s="1"/>
  <c r="K121" i="9"/>
  <c r="N121" i="9"/>
  <c r="R120" i="9"/>
  <c r="M120" i="9"/>
  <c r="D194" i="9" s="1"/>
  <c r="L120" i="9"/>
  <c r="K120" i="9"/>
  <c r="E120" i="9"/>
  <c r="R119" i="9"/>
  <c r="M119" i="9"/>
  <c r="L119" i="9"/>
  <c r="K119" i="9"/>
  <c r="R118" i="9"/>
  <c r="M118" i="9"/>
  <c r="L118" i="9"/>
  <c r="K118" i="9"/>
  <c r="R117" i="9"/>
  <c r="L194" i="9" s="1"/>
  <c r="M117" i="9"/>
  <c r="L117" i="9"/>
  <c r="K117" i="9"/>
  <c r="R116" i="9"/>
  <c r="M116" i="9"/>
  <c r="D193" i="9"/>
  <c r="L116" i="9"/>
  <c r="K116" i="9"/>
  <c r="R115" i="9"/>
  <c r="M115" i="9"/>
  <c r="L115" i="9"/>
  <c r="K115" i="9"/>
  <c r="R114" i="9"/>
  <c r="M114" i="9"/>
  <c r="D192" i="9" s="1"/>
  <c r="L114" i="9"/>
  <c r="K114" i="9"/>
  <c r="E114" i="9"/>
  <c r="R113" i="9"/>
  <c r="M113" i="9"/>
  <c r="L113" i="9"/>
  <c r="K113" i="9"/>
  <c r="R112" i="9"/>
  <c r="H192" i="9" s="1"/>
  <c r="M112" i="9"/>
  <c r="L112" i="9"/>
  <c r="K112" i="9"/>
  <c r="R111" i="9"/>
  <c r="M111" i="9"/>
  <c r="L111" i="9"/>
  <c r="C191" i="9" s="1"/>
  <c r="K111" i="9"/>
  <c r="E111" i="9"/>
  <c r="R110" i="9"/>
  <c r="M110" i="9"/>
  <c r="D191" i="9" s="1"/>
  <c r="L110" i="9"/>
  <c r="K110" i="9"/>
  <c r="R109" i="9"/>
  <c r="M109" i="9"/>
  <c r="L109" i="9"/>
  <c r="K109" i="9"/>
  <c r="R108" i="9"/>
  <c r="M108" i="9"/>
  <c r="D190" i="9"/>
  <c r="L108" i="9"/>
  <c r="K108" i="9"/>
  <c r="E108" i="9"/>
  <c r="S190" i="9"/>
  <c r="R107" i="9"/>
  <c r="M107" i="9"/>
  <c r="L107" i="9"/>
  <c r="N107" i="9"/>
  <c r="K107" i="9"/>
  <c r="R106" i="9"/>
  <c r="M106" i="9"/>
  <c r="L106" i="9"/>
  <c r="K106" i="9"/>
  <c r="N106" i="9" s="1"/>
  <c r="E106" i="9"/>
  <c r="R105" i="9"/>
  <c r="M105" i="9"/>
  <c r="L105" i="9"/>
  <c r="K105" i="9"/>
  <c r="N105" i="9" s="1"/>
  <c r="R104" i="9"/>
  <c r="M104" i="9"/>
  <c r="L104" i="9"/>
  <c r="N104" i="9" s="1"/>
  <c r="K104" i="9"/>
  <c r="E104" i="9"/>
  <c r="R103" i="9"/>
  <c r="M103" i="9"/>
  <c r="L103" i="9"/>
  <c r="N103" i="9"/>
  <c r="K103" i="9"/>
  <c r="O102" i="9"/>
  <c r="R102" i="9"/>
  <c r="M102" i="9"/>
  <c r="L102" i="9"/>
  <c r="K102" i="9"/>
  <c r="E102" i="9"/>
  <c r="T187" i="9"/>
  <c r="R101" i="9"/>
  <c r="M101" i="9"/>
  <c r="L101" i="9"/>
  <c r="N101" i="9"/>
  <c r="K101" i="9"/>
  <c r="R100" i="9"/>
  <c r="M100" i="9"/>
  <c r="L100" i="9"/>
  <c r="K100" i="9"/>
  <c r="N100" i="9" s="1"/>
  <c r="E100" i="9"/>
  <c r="S186" i="9" s="1"/>
  <c r="R99" i="9"/>
  <c r="M99" i="9"/>
  <c r="L99" i="9"/>
  <c r="K99" i="9"/>
  <c r="R98" i="9"/>
  <c r="M98" i="9"/>
  <c r="L98" i="9"/>
  <c r="C185" i="9"/>
  <c r="K98" i="9"/>
  <c r="N98" i="9" s="1"/>
  <c r="E98" i="9"/>
  <c r="R97" i="9"/>
  <c r="L185" i="9" s="1"/>
  <c r="M97" i="9"/>
  <c r="D185" i="9"/>
  <c r="L97" i="9"/>
  <c r="K97" i="9"/>
  <c r="N97" i="9" s="1"/>
  <c r="B185" i="9"/>
  <c r="E185" i="9" s="1"/>
  <c r="R96" i="9"/>
  <c r="M96" i="9"/>
  <c r="D184" i="9" s="1"/>
  <c r="L96" i="9"/>
  <c r="K96" i="9"/>
  <c r="B184" i="9" s="1"/>
  <c r="M94" i="9"/>
  <c r="L94" i="9"/>
  <c r="N94" i="9" s="1"/>
  <c r="K94" i="9"/>
  <c r="M93" i="9"/>
  <c r="L93" i="9"/>
  <c r="K93" i="9"/>
  <c r="N93" i="9"/>
  <c r="E93" i="9"/>
  <c r="U183" i="9"/>
  <c r="M92" i="9"/>
  <c r="D183" i="9" s="1"/>
  <c r="L92" i="9"/>
  <c r="K92" i="9"/>
  <c r="R91" i="9"/>
  <c r="M91" i="9"/>
  <c r="L91" i="9"/>
  <c r="K91" i="9"/>
  <c r="N91" i="9"/>
  <c r="R90" i="9"/>
  <c r="M90" i="9"/>
  <c r="L90" i="9"/>
  <c r="K90" i="9"/>
  <c r="E90" i="9"/>
  <c r="S182" i="9"/>
  <c r="R89" i="9"/>
  <c r="L182" i="9" s="1"/>
  <c r="M89" i="9"/>
  <c r="N89" i="9"/>
  <c r="L89" i="9"/>
  <c r="K89" i="9"/>
  <c r="R88" i="9"/>
  <c r="M88" i="9"/>
  <c r="L88" i="9"/>
  <c r="C181" i="9" s="1"/>
  <c r="K88" i="9"/>
  <c r="N88" i="9" s="1"/>
  <c r="E88" i="9"/>
  <c r="R87" i="9"/>
  <c r="L181" i="9"/>
  <c r="M87" i="9"/>
  <c r="D181" i="9"/>
  <c r="L87" i="9"/>
  <c r="N87" i="9" s="1"/>
  <c r="K87" i="9"/>
  <c r="R86" i="9"/>
  <c r="M86" i="9"/>
  <c r="L86" i="9"/>
  <c r="K86" i="9"/>
  <c r="N86" i="9" s="1"/>
  <c r="E86" i="9"/>
  <c r="R85" i="9"/>
  <c r="M85" i="9"/>
  <c r="L85" i="9"/>
  <c r="K85" i="9"/>
  <c r="N85" i="9" s="1"/>
  <c r="R84" i="9"/>
  <c r="M84" i="9"/>
  <c r="L84" i="9"/>
  <c r="K84" i="9"/>
  <c r="R83" i="9"/>
  <c r="M83" i="9"/>
  <c r="L83" i="9"/>
  <c r="K83" i="9"/>
  <c r="N83" i="9" s="1"/>
  <c r="E83" i="9"/>
  <c r="R82" i="9"/>
  <c r="M82" i="9"/>
  <c r="D179" i="9" s="1"/>
  <c r="L82" i="9"/>
  <c r="K82" i="9"/>
  <c r="R81" i="9"/>
  <c r="M81" i="9"/>
  <c r="L81" i="9"/>
  <c r="K81" i="9"/>
  <c r="E81" i="9"/>
  <c r="S178" i="9" s="1"/>
  <c r="R80" i="9"/>
  <c r="M80" i="9"/>
  <c r="L80" i="9"/>
  <c r="K80" i="9"/>
  <c r="B178" i="9" s="1"/>
  <c r="Q79" i="9"/>
  <c r="R79" i="9" s="1"/>
  <c r="U178" i="9"/>
  <c r="M79" i="9"/>
  <c r="L79" i="9"/>
  <c r="C178" i="9" s="1"/>
  <c r="E178" i="9" s="1"/>
  <c r="K79" i="9"/>
  <c r="Q78" i="9"/>
  <c r="M78" i="9"/>
  <c r="L78" i="9"/>
  <c r="K78" i="9"/>
  <c r="N78" i="9" s="1"/>
  <c r="E78" i="9"/>
  <c r="T177" i="9"/>
  <c r="R77" i="9"/>
  <c r="M77" i="9"/>
  <c r="L77" i="9"/>
  <c r="N77" i="9"/>
  <c r="K77" i="9"/>
  <c r="R76" i="9"/>
  <c r="M76" i="9"/>
  <c r="L76" i="9"/>
  <c r="K76" i="9"/>
  <c r="E76" i="9"/>
  <c r="R75" i="9"/>
  <c r="M75" i="9"/>
  <c r="L75" i="9"/>
  <c r="K75" i="9"/>
  <c r="R74" i="9"/>
  <c r="M74" i="9"/>
  <c r="L74" i="9"/>
  <c r="K74" i="9"/>
  <c r="N74" i="9"/>
  <c r="E74" i="9"/>
  <c r="S175" i="9"/>
  <c r="U175" i="9"/>
  <c r="R73" i="9"/>
  <c r="L175" i="9" s="1"/>
  <c r="H175" i="9"/>
  <c r="M73" i="9"/>
  <c r="D175" i="9"/>
  <c r="L73" i="9"/>
  <c r="C175" i="9" s="1"/>
  <c r="K73" i="9"/>
  <c r="B175" i="9" s="1"/>
  <c r="R72" i="9"/>
  <c r="J174" i="9"/>
  <c r="M72" i="9"/>
  <c r="L72" i="9"/>
  <c r="K72" i="9"/>
  <c r="E72" i="9"/>
  <c r="R71" i="9"/>
  <c r="L174" i="9" s="1"/>
  <c r="H174" i="9"/>
  <c r="M71" i="9"/>
  <c r="L71" i="9"/>
  <c r="K71" i="9"/>
  <c r="R70" i="9"/>
  <c r="M70" i="9"/>
  <c r="L70" i="9"/>
  <c r="K70" i="9"/>
  <c r="N70" i="9"/>
  <c r="E70" i="9"/>
  <c r="R69" i="9"/>
  <c r="M69" i="9"/>
  <c r="L69" i="9"/>
  <c r="N69" i="9" s="1"/>
  <c r="K69" i="9"/>
  <c r="R68" i="9"/>
  <c r="M68" i="9"/>
  <c r="L68" i="9"/>
  <c r="K68" i="9"/>
  <c r="R67" i="9"/>
  <c r="J172" i="9" s="1"/>
  <c r="M67" i="9"/>
  <c r="L67" i="9"/>
  <c r="K67" i="9"/>
  <c r="R66" i="9"/>
  <c r="M66" i="9"/>
  <c r="N66" i="9" s="1"/>
  <c r="L66" i="9"/>
  <c r="C172" i="9"/>
  <c r="K66" i="9"/>
  <c r="R65" i="9"/>
  <c r="M65" i="9"/>
  <c r="L65" i="9"/>
  <c r="K65" i="9"/>
  <c r="N65" i="9" s="1"/>
  <c r="E65" i="9"/>
  <c r="R64" i="9"/>
  <c r="M64" i="9"/>
  <c r="L64" i="9"/>
  <c r="K64" i="9"/>
  <c r="R63" i="9"/>
  <c r="M63" i="9"/>
  <c r="N63" i="9" s="1"/>
  <c r="L63" i="9"/>
  <c r="K63" i="9"/>
  <c r="E63" i="9"/>
  <c r="O62" i="9"/>
  <c r="M62" i="9"/>
  <c r="L62" i="9"/>
  <c r="K62" i="9"/>
  <c r="N62" i="9" s="1"/>
  <c r="O61" i="9"/>
  <c r="R61" i="9" s="1"/>
  <c r="M61" i="9"/>
  <c r="D169" i="9" s="1"/>
  <c r="L61" i="9"/>
  <c r="K61" i="9"/>
  <c r="O60" i="9"/>
  <c r="M60" i="9"/>
  <c r="L60" i="9"/>
  <c r="K60" i="9"/>
  <c r="O59" i="9"/>
  <c r="R59" i="9"/>
  <c r="M59" i="9"/>
  <c r="L59" i="9"/>
  <c r="K59" i="9"/>
  <c r="E59" i="9"/>
  <c r="C168" i="9"/>
  <c r="O58" i="9"/>
  <c r="R58" i="9"/>
  <c r="H168" i="9" s="1"/>
  <c r="S168" i="9"/>
  <c r="M58" i="9"/>
  <c r="L58" i="9"/>
  <c r="K58" i="9"/>
  <c r="O57" i="9"/>
  <c r="R57" i="9" s="1"/>
  <c r="J167" i="9" s="1"/>
  <c r="M57" i="9"/>
  <c r="N57" i="9" s="1"/>
  <c r="L57" i="9"/>
  <c r="K57" i="9"/>
  <c r="E57" i="9"/>
  <c r="U167" i="9" s="1"/>
  <c r="R56" i="9"/>
  <c r="M56" i="9"/>
  <c r="L56" i="9"/>
  <c r="C167" i="9" s="1"/>
  <c r="K56" i="9"/>
  <c r="R55" i="9"/>
  <c r="H166" i="9" s="1"/>
  <c r="M55" i="9"/>
  <c r="L55" i="9"/>
  <c r="K55" i="9"/>
  <c r="E55" i="9"/>
  <c r="R54" i="9"/>
  <c r="M54" i="9"/>
  <c r="L54" i="9"/>
  <c r="K54" i="9"/>
  <c r="N54" i="9" s="1"/>
  <c r="R53" i="9"/>
  <c r="M53" i="9"/>
  <c r="L53" i="9"/>
  <c r="N53" i="9" s="1"/>
  <c r="K53" i="9"/>
  <c r="R52" i="9"/>
  <c r="M52" i="9"/>
  <c r="D165" i="9"/>
  <c r="L52" i="9"/>
  <c r="K52" i="9"/>
  <c r="N52" i="9" s="1"/>
  <c r="R51" i="9"/>
  <c r="M51" i="9"/>
  <c r="L51" i="9"/>
  <c r="C164" i="9" s="1"/>
  <c r="K51" i="9"/>
  <c r="E51" i="9"/>
  <c r="R50" i="9"/>
  <c r="M50" i="9"/>
  <c r="D164" i="9" s="1"/>
  <c r="L50" i="9"/>
  <c r="K50" i="9"/>
  <c r="R49" i="9"/>
  <c r="M49" i="9"/>
  <c r="L49" i="9"/>
  <c r="K49" i="9"/>
  <c r="N49" i="9" s="1"/>
  <c r="E49" i="9"/>
  <c r="T163" i="9" s="1"/>
  <c r="R48" i="9"/>
  <c r="M48" i="9"/>
  <c r="L48" i="9"/>
  <c r="C163" i="9"/>
  <c r="K48" i="9"/>
  <c r="R47" i="9"/>
  <c r="M47" i="9"/>
  <c r="L47" i="9"/>
  <c r="K47" i="9"/>
  <c r="E47" i="9"/>
  <c r="S162" i="9"/>
  <c r="R46" i="9"/>
  <c r="L162" i="9"/>
  <c r="M46" i="9"/>
  <c r="D162" i="9"/>
  <c r="L46" i="9"/>
  <c r="K46" i="9"/>
  <c r="N46" i="9"/>
  <c r="R45" i="9"/>
  <c r="M45" i="9"/>
  <c r="N45" i="9"/>
  <c r="L45" i="9"/>
  <c r="K45" i="9"/>
  <c r="R44" i="9"/>
  <c r="M44" i="9"/>
  <c r="D161" i="9"/>
  <c r="L44" i="9"/>
  <c r="C161" i="9" s="1"/>
  <c r="K44" i="9"/>
  <c r="B161" i="9" s="1"/>
  <c r="R43" i="9"/>
  <c r="M43" i="9"/>
  <c r="L43" i="9"/>
  <c r="K43" i="9"/>
  <c r="E43" i="9"/>
  <c r="S160" i="9" s="1"/>
  <c r="R42" i="9"/>
  <c r="M42" i="9"/>
  <c r="D160" i="9" s="1"/>
  <c r="L42" i="9"/>
  <c r="N42" i="9" s="1"/>
  <c r="K42" i="9"/>
  <c r="R41" i="9"/>
  <c r="M41" i="9"/>
  <c r="D159" i="9" s="1"/>
  <c r="L41" i="9"/>
  <c r="K41" i="9"/>
  <c r="N41" i="9" s="1"/>
  <c r="R40" i="9"/>
  <c r="H159" i="9" s="1"/>
  <c r="M40" i="9"/>
  <c r="L40" i="9"/>
  <c r="C159" i="9"/>
  <c r="K40" i="9"/>
  <c r="R39" i="9"/>
  <c r="M39" i="9"/>
  <c r="L39" i="9"/>
  <c r="C158" i="9" s="1"/>
  <c r="K39" i="9"/>
  <c r="N39" i="9" s="1"/>
  <c r="E39" i="9"/>
  <c r="S158" i="9"/>
  <c r="R38" i="9"/>
  <c r="J158" i="9" s="1"/>
  <c r="L158" i="9"/>
  <c r="M38" i="9"/>
  <c r="L38" i="9"/>
  <c r="K38" i="9"/>
  <c r="N38" i="9" s="1"/>
  <c r="R37" i="9"/>
  <c r="M37" i="9"/>
  <c r="L37" i="9"/>
  <c r="K37" i="9"/>
  <c r="N37" i="9" s="1"/>
  <c r="R36" i="9"/>
  <c r="M36" i="9"/>
  <c r="L36" i="9"/>
  <c r="N36" i="9" s="1"/>
  <c r="K36" i="9"/>
  <c r="B157" i="9"/>
  <c r="R35" i="9"/>
  <c r="M35" i="9"/>
  <c r="L35" i="9"/>
  <c r="K35" i="9"/>
  <c r="N35" i="9" s="1"/>
  <c r="E35" i="9"/>
  <c r="R34" i="9"/>
  <c r="M34" i="9"/>
  <c r="L34" i="9"/>
  <c r="K34" i="9"/>
  <c r="N34" i="9"/>
  <c r="R33" i="9"/>
  <c r="M33" i="9"/>
  <c r="D156" i="9"/>
  <c r="L33" i="9"/>
  <c r="K33" i="9"/>
  <c r="R32" i="9"/>
  <c r="M32" i="9"/>
  <c r="D155" i="9"/>
  <c r="L32" i="9"/>
  <c r="K32" i="9"/>
  <c r="N32" i="9"/>
  <c r="R31" i="9"/>
  <c r="M31" i="9"/>
  <c r="L31" i="9"/>
  <c r="C155" i="9" s="1"/>
  <c r="K31" i="9"/>
  <c r="R30" i="9"/>
  <c r="M30" i="9"/>
  <c r="D154" i="9"/>
  <c r="L30" i="9"/>
  <c r="K30" i="9"/>
  <c r="E30" i="9"/>
  <c r="R29" i="9"/>
  <c r="M29" i="9"/>
  <c r="L29" i="9"/>
  <c r="K29" i="9"/>
  <c r="N29" i="9"/>
  <c r="R28" i="9"/>
  <c r="M28" i="9"/>
  <c r="L28" i="9"/>
  <c r="K28" i="9"/>
  <c r="N28" i="9"/>
  <c r="R27" i="9"/>
  <c r="M27" i="9"/>
  <c r="D153" i="9"/>
  <c r="L27" i="9"/>
  <c r="C153" i="9" s="1"/>
  <c r="K27" i="9"/>
  <c r="R26" i="9"/>
  <c r="M26" i="9"/>
  <c r="D152" i="9"/>
  <c r="L26" i="9"/>
  <c r="K26" i="9"/>
  <c r="B152" i="9" s="1"/>
  <c r="R25" i="9"/>
  <c r="L152" i="9"/>
  <c r="M25" i="9"/>
  <c r="L25" i="9"/>
  <c r="N25" i="9"/>
  <c r="K25" i="9"/>
  <c r="R24" i="9"/>
  <c r="H151" i="9" s="1"/>
  <c r="M24" i="9"/>
  <c r="L24" i="9"/>
  <c r="K24" i="9"/>
  <c r="N24" i="9" s="1"/>
  <c r="E24" i="9"/>
  <c r="C151" i="9" s="1"/>
  <c r="R23" i="9"/>
  <c r="M23" i="9"/>
  <c r="D151" i="9"/>
  <c r="L23" i="9"/>
  <c r="K23" i="9"/>
  <c r="R22" i="9"/>
  <c r="H150" i="9" s="1"/>
  <c r="M22" i="9"/>
  <c r="L22" i="9"/>
  <c r="C150" i="9" s="1"/>
  <c r="K22" i="9"/>
  <c r="R21" i="9"/>
  <c r="M21" i="9"/>
  <c r="D150" i="9" s="1"/>
  <c r="L21" i="9"/>
  <c r="K21" i="9"/>
  <c r="N21" i="9"/>
  <c r="R20" i="9"/>
  <c r="M20" i="9"/>
  <c r="L20" i="9"/>
  <c r="N20" i="9" s="1"/>
  <c r="K20" i="9"/>
  <c r="R19" i="9"/>
  <c r="M19" i="9"/>
  <c r="D149" i="9"/>
  <c r="L19" i="9"/>
  <c r="K19" i="9"/>
  <c r="R18" i="9"/>
  <c r="J148" i="9" s="1"/>
  <c r="M18" i="9"/>
  <c r="L18" i="9"/>
  <c r="C148" i="9" s="1"/>
  <c r="K18" i="9"/>
  <c r="N18" i="9"/>
  <c r="E18" i="9"/>
  <c r="R17" i="9"/>
  <c r="M17" i="9"/>
  <c r="L17" i="9"/>
  <c r="K17" i="9"/>
  <c r="R16" i="9"/>
  <c r="M16" i="9"/>
  <c r="L16" i="9"/>
  <c r="K16" i="9"/>
  <c r="E16" i="9"/>
  <c r="R15" i="9"/>
  <c r="J147" i="9" s="1"/>
  <c r="M15" i="9"/>
  <c r="L15" i="9"/>
  <c r="K15" i="9"/>
  <c r="R14" i="9"/>
  <c r="J146" i="9"/>
  <c r="M14" i="9"/>
  <c r="L14" i="9"/>
  <c r="K14" i="9"/>
  <c r="N14" i="9"/>
  <c r="R13" i="9"/>
  <c r="M13" i="9"/>
  <c r="D146" i="9" s="1"/>
  <c r="L13" i="9"/>
  <c r="K13" i="9"/>
  <c r="R12" i="9"/>
  <c r="L145" i="9"/>
  <c r="M12" i="9"/>
  <c r="L12" i="9"/>
  <c r="K12" i="9"/>
  <c r="R11" i="9"/>
  <c r="M11" i="9"/>
  <c r="D145" i="9" s="1"/>
  <c r="L11" i="9"/>
  <c r="C145" i="9"/>
  <c r="K11" i="9"/>
  <c r="R10" i="9"/>
  <c r="M10" i="9"/>
  <c r="L10" i="9"/>
  <c r="K10" i="9"/>
  <c r="E10" i="9"/>
  <c r="R9" i="9"/>
  <c r="L144" i="9"/>
  <c r="M9" i="9"/>
  <c r="L9" i="9"/>
  <c r="K9" i="9"/>
  <c r="N9" i="9"/>
  <c r="R8" i="9"/>
  <c r="M8" i="9"/>
  <c r="L8" i="9"/>
  <c r="C144" i="9" s="1"/>
  <c r="K8" i="9"/>
  <c r="N8" i="9" s="1"/>
  <c r="E119" i="10"/>
  <c r="U197" i="10"/>
  <c r="E109" i="10"/>
  <c r="H193" i="10" s="1"/>
  <c r="E101" i="10"/>
  <c r="T189" i="10"/>
  <c r="E93" i="10"/>
  <c r="E85" i="10"/>
  <c r="U181" i="10"/>
  <c r="R130" i="10"/>
  <c r="M130" i="10"/>
  <c r="L130" i="10"/>
  <c r="K130" i="10"/>
  <c r="R129" i="10"/>
  <c r="M129" i="10"/>
  <c r="L129" i="10"/>
  <c r="N129" i="10" s="1"/>
  <c r="K129" i="10"/>
  <c r="R128" i="10"/>
  <c r="M128" i="10"/>
  <c r="L128" i="10"/>
  <c r="K128" i="10"/>
  <c r="S200" i="10" s="1"/>
  <c r="R127" i="10"/>
  <c r="J200" i="10" s="1"/>
  <c r="M127" i="10"/>
  <c r="L127" i="10"/>
  <c r="K127" i="10"/>
  <c r="N127" i="10" s="1"/>
  <c r="R126" i="10"/>
  <c r="M126" i="10"/>
  <c r="L126" i="10"/>
  <c r="K126" i="10"/>
  <c r="B200" i="10"/>
  <c r="R125" i="10"/>
  <c r="M125" i="10"/>
  <c r="L125" i="10"/>
  <c r="K125" i="10"/>
  <c r="N125" i="10"/>
  <c r="E125" i="10"/>
  <c r="S199" i="10" s="1"/>
  <c r="R124" i="10"/>
  <c r="M124" i="10"/>
  <c r="L124" i="10"/>
  <c r="K124" i="10"/>
  <c r="R123" i="10"/>
  <c r="M123" i="10"/>
  <c r="L123" i="10"/>
  <c r="C199" i="10"/>
  <c r="K123" i="10"/>
  <c r="R122" i="10"/>
  <c r="M122" i="10"/>
  <c r="L122" i="10"/>
  <c r="K122" i="10"/>
  <c r="R121" i="10"/>
  <c r="M121" i="10"/>
  <c r="L121" i="10"/>
  <c r="K121" i="10"/>
  <c r="R120" i="10"/>
  <c r="M120" i="10"/>
  <c r="L120" i="10"/>
  <c r="K120" i="10"/>
  <c r="B198" i="10" s="1"/>
  <c r="O119" i="10"/>
  <c r="S197" i="10" s="1"/>
  <c r="M119" i="10"/>
  <c r="L119" i="10"/>
  <c r="G119" i="10"/>
  <c r="K119" i="10"/>
  <c r="R118" i="10"/>
  <c r="M118" i="10"/>
  <c r="L118" i="10"/>
  <c r="C197" i="10" s="1"/>
  <c r="K118" i="10"/>
  <c r="R117" i="10"/>
  <c r="M117" i="10"/>
  <c r="L117" i="10"/>
  <c r="K117" i="10"/>
  <c r="R116" i="10"/>
  <c r="L196" i="10"/>
  <c r="M116" i="10"/>
  <c r="D196" i="10" s="1"/>
  <c r="L116" i="10"/>
  <c r="K116" i="10"/>
  <c r="B196" i="10" s="1"/>
  <c r="R115" i="10"/>
  <c r="L195" i="10"/>
  <c r="M115" i="10"/>
  <c r="L115" i="10"/>
  <c r="K115" i="10"/>
  <c r="R113" i="10"/>
  <c r="M113" i="10"/>
  <c r="L113" i="10"/>
  <c r="K113" i="10"/>
  <c r="N113" i="10"/>
  <c r="R111" i="10"/>
  <c r="M111" i="10"/>
  <c r="L111" i="10"/>
  <c r="K111" i="10"/>
  <c r="E111" i="10"/>
  <c r="S194" i="10"/>
  <c r="R110" i="10"/>
  <c r="H194" i="10" s="1"/>
  <c r="J194" i="10"/>
  <c r="M110" i="10"/>
  <c r="L110" i="10"/>
  <c r="K110" i="10"/>
  <c r="R109" i="10"/>
  <c r="M109" i="10"/>
  <c r="L109" i="10"/>
  <c r="K109" i="10"/>
  <c r="N109" i="10"/>
  <c r="R108" i="10"/>
  <c r="M108" i="10"/>
  <c r="L108" i="10"/>
  <c r="C193" i="10" s="1"/>
  <c r="K108" i="10"/>
  <c r="R107" i="10"/>
  <c r="M107" i="10"/>
  <c r="N107" i="10" s="1"/>
  <c r="L107" i="10"/>
  <c r="C192" i="10" s="1"/>
  <c r="K107" i="10"/>
  <c r="E107" i="10"/>
  <c r="R106" i="10"/>
  <c r="M106" i="10"/>
  <c r="L106" i="10"/>
  <c r="K106" i="10"/>
  <c r="R105" i="10"/>
  <c r="J191" i="10"/>
  <c r="M105" i="10"/>
  <c r="L105" i="10"/>
  <c r="K105" i="10"/>
  <c r="N105" i="10"/>
  <c r="E105" i="10"/>
  <c r="U191" i="10"/>
  <c r="R104" i="10"/>
  <c r="M104" i="10"/>
  <c r="L104" i="10"/>
  <c r="C191" i="10" s="1"/>
  <c r="K104" i="10"/>
  <c r="N104" i="10" s="1"/>
  <c r="R103" i="10"/>
  <c r="M103" i="10"/>
  <c r="L103" i="10"/>
  <c r="K103" i="10"/>
  <c r="E103" i="10"/>
  <c r="R102" i="10"/>
  <c r="L190" i="10"/>
  <c r="M102" i="10"/>
  <c r="L102" i="10"/>
  <c r="K102" i="10"/>
  <c r="R101" i="10"/>
  <c r="H189" i="10"/>
  <c r="M101" i="10"/>
  <c r="L101" i="10"/>
  <c r="K101" i="10"/>
  <c r="R100" i="10"/>
  <c r="M100" i="10"/>
  <c r="D189" i="10" s="1"/>
  <c r="L100" i="10"/>
  <c r="K100" i="10"/>
  <c r="R99" i="10"/>
  <c r="M99" i="10"/>
  <c r="L99" i="10"/>
  <c r="K99" i="10"/>
  <c r="N99" i="10" s="1"/>
  <c r="E99" i="10"/>
  <c r="R98" i="10"/>
  <c r="M98" i="10"/>
  <c r="D188" i="10"/>
  <c r="L98" i="10"/>
  <c r="K98" i="10"/>
  <c r="R97" i="10"/>
  <c r="M97" i="10"/>
  <c r="L97" i="10"/>
  <c r="K97" i="10"/>
  <c r="N97" i="10"/>
  <c r="E97" i="10"/>
  <c r="T187" i="10" s="1"/>
  <c r="R96" i="10"/>
  <c r="M96" i="10"/>
  <c r="N96" i="10" s="1"/>
  <c r="L96" i="10"/>
  <c r="K96" i="10"/>
  <c r="R95" i="10"/>
  <c r="M95" i="10"/>
  <c r="L95" i="10"/>
  <c r="C186" i="10"/>
  <c r="K95" i="10"/>
  <c r="E95" i="10"/>
  <c r="R94" i="10"/>
  <c r="L186" i="10"/>
  <c r="M94" i="10"/>
  <c r="D186" i="10" s="1"/>
  <c r="L94" i="10"/>
  <c r="K94" i="10"/>
  <c r="R93" i="10"/>
  <c r="M93" i="10"/>
  <c r="L93" i="10"/>
  <c r="K93" i="10"/>
  <c r="N93" i="10" s="1"/>
  <c r="R92" i="10"/>
  <c r="M92" i="10"/>
  <c r="L92" i="10"/>
  <c r="K92" i="10"/>
  <c r="R91" i="10"/>
  <c r="M91" i="10"/>
  <c r="L91" i="10"/>
  <c r="K91" i="10"/>
  <c r="E91" i="10"/>
  <c r="U184" i="10"/>
  <c r="R90" i="10"/>
  <c r="M90" i="10"/>
  <c r="D184" i="10" s="1"/>
  <c r="L90" i="10"/>
  <c r="K90" i="10"/>
  <c r="R89" i="10"/>
  <c r="M89" i="10"/>
  <c r="L89" i="10"/>
  <c r="K89" i="10"/>
  <c r="E89" i="10"/>
  <c r="U183" i="10" s="1"/>
  <c r="R88" i="10"/>
  <c r="M88" i="10"/>
  <c r="L88" i="10"/>
  <c r="K88" i="10"/>
  <c r="R87" i="10"/>
  <c r="M87" i="10"/>
  <c r="L87" i="10"/>
  <c r="K87" i="10"/>
  <c r="N87" i="10" s="1"/>
  <c r="E87" i="10"/>
  <c r="S182" i="10" s="1"/>
  <c r="R86" i="10"/>
  <c r="M86" i="10"/>
  <c r="L86" i="10"/>
  <c r="K86" i="10"/>
  <c r="N86" i="10" s="1"/>
  <c r="R85" i="10"/>
  <c r="M85" i="10"/>
  <c r="L85" i="10"/>
  <c r="K85" i="10"/>
  <c r="N85" i="10" s="1"/>
  <c r="R84" i="10"/>
  <c r="M84" i="10"/>
  <c r="L84" i="10"/>
  <c r="K84" i="10"/>
  <c r="N84" i="10" s="1"/>
  <c r="R83" i="10"/>
  <c r="J181" i="10"/>
  <c r="M83" i="10"/>
  <c r="L83" i="10"/>
  <c r="K83" i="10"/>
  <c r="R82" i="10"/>
  <c r="M82" i="10"/>
  <c r="L82" i="10"/>
  <c r="K82" i="10"/>
  <c r="E82" i="10"/>
  <c r="H180" i="10"/>
  <c r="R81" i="10"/>
  <c r="M81" i="10"/>
  <c r="L81" i="10"/>
  <c r="K81" i="10"/>
  <c r="R80" i="10"/>
  <c r="M80" i="10"/>
  <c r="L80" i="10"/>
  <c r="K80" i="10"/>
  <c r="E80" i="10"/>
  <c r="T179" i="10"/>
  <c r="R79" i="10"/>
  <c r="L179" i="10" s="1"/>
  <c r="M79" i="10"/>
  <c r="L79" i="10"/>
  <c r="C179" i="10"/>
  <c r="K79" i="10"/>
  <c r="B179" i="10"/>
  <c r="R78" i="10"/>
  <c r="M78" i="10"/>
  <c r="L78" i="10"/>
  <c r="K78" i="10"/>
  <c r="E78" i="10"/>
  <c r="S178" i="10"/>
  <c r="R77" i="10"/>
  <c r="M77" i="10"/>
  <c r="D178" i="10" s="1"/>
  <c r="L77" i="10"/>
  <c r="K77" i="10"/>
  <c r="R76" i="10"/>
  <c r="M76" i="10"/>
  <c r="L76" i="10"/>
  <c r="K76" i="10"/>
  <c r="E76" i="10"/>
  <c r="S177" i="10"/>
  <c r="R75" i="10"/>
  <c r="M75" i="10"/>
  <c r="L75" i="10"/>
  <c r="C177" i="10" s="1"/>
  <c r="K75" i="10"/>
  <c r="R74" i="10"/>
  <c r="M74" i="10"/>
  <c r="L74" i="10"/>
  <c r="K74" i="10"/>
  <c r="E74" i="10"/>
  <c r="R73" i="10"/>
  <c r="M73" i="10"/>
  <c r="L73" i="10"/>
  <c r="K73" i="10"/>
  <c r="R72" i="10"/>
  <c r="M72" i="10"/>
  <c r="L72" i="10"/>
  <c r="K72" i="10"/>
  <c r="B176" i="10" s="1"/>
  <c r="R71" i="10"/>
  <c r="M71" i="10"/>
  <c r="L71" i="10"/>
  <c r="K71" i="10"/>
  <c r="N71" i="10"/>
  <c r="E71" i="10"/>
  <c r="R70" i="10"/>
  <c r="M70" i="10"/>
  <c r="L70" i="10"/>
  <c r="K70" i="10"/>
  <c r="R69" i="10"/>
  <c r="M69" i="10"/>
  <c r="L69" i="10"/>
  <c r="C174" i="10" s="1"/>
  <c r="K69" i="10"/>
  <c r="N69" i="10"/>
  <c r="R68" i="10"/>
  <c r="M68" i="10"/>
  <c r="L68" i="10"/>
  <c r="K68" i="10"/>
  <c r="N68" i="10" s="1"/>
  <c r="R67" i="10"/>
  <c r="M67" i="10"/>
  <c r="N67" i="10" s="1"/>
  <c r="D173" i="10"/>
  <c r="L67" i="10"/>
  <c r="K67" i="10"/>
  <c r="R66" i="10"/>
  <c r="M66" i="10"/>
  <c r="L66" i="10"/>
  <c r="K66" i="10"/>
  <c r="N66" i="10" s="1"/>
  <c r="R65" i="10"/>
  <c r="M65" i="10"/>
  <c r="L65" i="10"/>
  <c r="N65" i="10" s="1"/>
  <c r="K65" i="10"/>
  <c r="E65" i="10"/>
  <c r="B172" i="10" s="1"/>
  <c r="R64" i="10"/>
  <c r="M64" i="10"/>
  <c r="L64" i="10"/>
  <c r="K64" i="10"/>
  <c r="R63" i="10"/>
  <c r="M63" i="10"/>
  <c r="L63" i="10"/>
  <c r="K63" i="10"/>
  <c r="E63" i="10"/>
  <c r="S171" i="10" s="1"/>
  <c r="R62" i="10"/>
  <c r="M62" i="10"/>
  <c r="D171" i="10"/>
  <c r="L62" i="10"/>
  <c r="K62" i="10"/>
  <c r="R61" i="10"/>
  <c r="J171" i="10" s="1"/>
  <c r="M61" i="10"/>
  <c r="L61" i="10"/>
  <c r="K61" i="10"/>
  <c r="N61" i="10" s="1"/>
  <c r="R60" i="10"/>
  <c r="M60" i="10"/>
  <c r="L60" i="10"/>
  <c r="K60" i="10"/>
  <c r="E60" i="10"/>
  <c r="U170" i="10" s="1"/>
  <c r="R59" i="10"/>
  <c r="J170" i="10"/>
  <c r="M59" i="10"/>
  <c r="L59" i="10"/>
  <c r="K59" i="10"/>
  <c r="M58" i="10"/>
  <c r="L58" i="10"/>
  <c r="K58" i="10"/>
  <c r="N58" i="10" s="1"/>
  <c r="E58" i="10"/>
  <c r="R57" i="10"/>
  <c r="M57" i="10"/>
  <c r="L57" i="10"/>
  <c r="K57" i="10"/>
  <c r="R56" i="10"/>
  <c r="M56" i="10"/>
  <c r="D169" i="10" s="1"/>
  <c r="L56" i="10"/>
  <c r="K56" i="10"/>
  <c r="R55" i="10"/>
  <c r="M55" i="10"/>
  <c r="L55" i="10"/>
  <c r="K55" i="10"/>
  <c r="N55" i="10" s="1"/>
  <c r="E55" i="10"/>
  <c r="R54" i="10"/>
  <c r="M54" i="10"/>
  <c r="L54" i="10"/>
  <c r="C168" i="10"/>
  <c r="K54" i="10"/>
  <c r="R53" i="10"/>
  <c r="H168" i="10" s="1"/>
  <c r="M53" i="10"/>
  <c r="L53" i="10"/>
  <c r="K53" i="10"/>
  <c r="R52" i="10"/>
  <c r="M52" i="10"/>
  <c r="D167" i="10"/>
  <c r="L52" i="10"/>
  <c r="K52" i="10"/>
  <c r="E52" i="10"/>
  <c r="R51" i="10"/>
  <c r="M51" i="10"/>
  <c r="L51" i="10"/>
  <c r="K51" i="10"/>
  <c r="N51" i="10" s="1"/>
  <c r="R50" i="10"/>
  <c r="M50" i="10"/>
  <c r="L50" i="10"/>
  <c r="K50" i="10"/>
  <c r="R49" i="10"/>
  <c r="J166" i="10" s="1"/>
  <c r="M49" i="10"/>
  <c r="D166" i="10"/>
  <c r="L49" i="10"/>
  <c r="C166" i="10" s="1"/>
  <c r="K49" i="10"/>
  <c r="R48" i="10"/>
  <c r="M48" i="10"/>
  <c r="L48" i="10"/>
  <c r="K48" i="10"/>
  <c r="E48" i="10"/>
  <c r="T165" i="10" s="1"/>
  <c r="R47" i="10"/>
  <c r="M47" i="10"/>
  <c r="L47" i="10"/>
  <c r="N47" i="10" s="1"/>
  <c r="K47" i="10"/>
  <c r="R46" i="10"/>
  <c r="M46" i="10"/>
  <c r="L46" i="10"/>
  <c r="K46" i="10"/>
  <c r="R45" i="10"/>
  <c r="M45" i="10"/>
  <c r="L45" i="10"/>
  <c r="K45" i="10"/>
  <c r="R44" i="10"/>
  <c r="M44" i="10"/>
  <c r="D164" i="10" s="1"/>
  <c r="L44" i="10"/>
  <c r="K44" i="10"/>
  <c r="R43" i="10"/>
  <c r="M43" i="10"/>
  <c r="D163" i="10" s="1"/>
  <c r="L43" i="10"/>
  <c r="C163" i="10"/>
  <c r="K43" i="10"/>
  <c r="E43" i="10"/>
  <c r="R42" i="10"/>
  <c r="M42" i="10"/>
  <c r="L42" i="10"/>
  <c r="K42" i="10"/>
  <c r="N42" i="10"/>
  <c r="R41" i="10"/>
  <c r="M41" i="10"/>
  <c r="L41" i="10"/>
  <c r="K41" i="10"/>
  <c r="R40" i="10"/>
  <c r="M40" i="10"/>
  <c r="D162" i="10" s="1"/>
  <c r="L40" i="10"/>
  <c r="K40" i="10"/>
  <c r="R39" i="10"/>
  <c r="H162" i="10" s="1"/>
  <c r="M39" i="10"/>
  <c r="L39" i="10"/>
  <c r="K39" i="10"/>
  <c r="R38" i="10"/>
  <c r="M38" i="10"/>
  <c r="L38" i="10"/>
  <c r="N38" i="10" s="1"/>
  <c r="K38" i="10"/>
  <c r="E38" i="10"/>
  <c r="R37" i="10"/>
  <c r="M37" i="10"/>
  <c r="D161" i="10" s="1"/>
  <c r="L37" i="10"/>
  <c r="K37" i="10"/>
  <c r="R36" i="10"/>
  <c r="M36" i="10"/>
  <c r="L36" i="10"/>
  <c r="K36" i="10"/>
  <c r="N36" i="10"/>
  <c r="R35" i="10"/>
  <c r="M35" i="10"/>
  <c r="L35" i="10"/>
  <c r="N35" i="10" s="1"/>
  <c r="K35" i="10"/>
  <c r="R34" i="10"/>
  <c r="M34" i="10"/>
  <c r="D160" i="10"/>
  <c r="L34" i="10"/>
  <c r="C160" i="10" s="1"/>
  <c r="K34" i="10"/>
  <c r="R33" i="10"/>
  <c r="M33" i="10"/>
  <c r="L33" i="10"/>
  <c r="K33" i="10"/>
  <c r="N33" i="10"/>
  <c r="E33" i="10"/>
  <c r="R32" i="10"/>
  <c r="M32" i="10"/>
  <c r="L32" i="10"/>
  <c r="K32" i="10"/>
  <c r="R31" i="10"/>
  <c r="L159" i="10" s="1"/>
  <c r="M31" i="10"/>
  <c r="L31" i="10"/>
  <c r="K31" i="10"/>
  <c r="R30" i="10"/>
  <c r="M30" i="10"/>
  <c r="L30" i="10"/>
  <c r="K30" i="10"/>
  <c r="E30" i="10"/>
  <c r="U158" i="10"/>
  <c r="R29" i="10"/>
  <c r="M29" i="10"/>
  <c r="D158" i="10" s="1"/>
  <c r="L29" i="10"/>
  <c r="K29" i="10"/>
  <c r="R28" i="10"/>
  <c r="M28" i="10"/>
  <c r="L28" i="10"/>
  <c r="K28" i="10"/>
  <c r="N28" i="10" s="1"/>
  <c r="E28" i="10"/>
  <c r="R27" i="10"/>
  <c r="J157" i="10" s="1"/>
  <c r="M27" i="10"/>
  <c r="L27" i="10"/>
  <c r="K27" i="10"/>
  <c r="R26" i="10"/>
  <c r="M26" i="10"/>
  <c r="L26" i="10"/>
  <c r="K26" i="10"/>
  <c r="R25" i="10"/>
  <c r="M25" i="10"/>
  <c r="L25" i="10"/>
  <c r="K25" i="10"/>
  <c r="N25" i="10" s="1"/>
  <c r="R24" i="10"/>
  <c r="M24" i="10"/>
  <c r="L24" i="10"/>
  <c r="C156" i="10"/>
  <c r="K24" i="10"/>
  <c r="B156" i="10"/>
  <c r="R23" i="10"/>
  <c r="M23" i="10"/>
  <c r="L23" i="10"/>
  <c r="K23" i="10"/>
  <c r="N23" i="10"/>
  <c r="E23" i="10"/>
  <c r="R22" i="10"/>
  <c r="M22" i="10"/>
  <c r="L22" i="10"/>
  <c r="K22" i="10"/>
  <c r="R21" i="10"/>
  <c r="M21" i="10"/>
  <c r="L21" i="10"/>
  <c r="C154" i="10"/>
  <c r="K21" i="10"/>
  <c r="R20" i="10"/>
  <c r="M20" i="10"/>
  <c r="D154" i="10" s="1"/>
  <c r="L20" i="10"/>
  <c r="K20" i="10"/>
  <c r="B154" i="10" s="1"/>
  <c r="R19" i="10"/>
  <c r="M19" i="10"/>
  <c r="L19" i="10"/>
  <c r="N19" i="10" s="1"/>
  <c r="K19" i="10"/>
  <c r="E19" i="10"/>
  <c r="S153" i="10"/>
  <c r="R18" i="10"/>
  <c r="M18" i="10"/>
  <c r="L18" i="10"/>
  <c r="K18" i="10"/>
  <c r="R17" i="10"/>
  <c r="M17" i="10"/>
  <c r="L17" i="10"/>
  <c r="K17" i="10"/>
  <c r="E17" i="10"/>
  <c r="T152" i="10"/>
  <c r="R16" i="10"/>
  <c r="M16" i="10"/>
  <c r="L16" i="10"/>
  <c r="C152" i="10" s="1"/>
  <c r="K16" i="10"/>
  <c r="R15" i="10"/>
  <c r="M15" i="10"/>
  <c r="L15" i="10"/>
  <c r="K15" i="10"/>
  <c r="B152" i="10" s="1"/>
  <c r="R14" i="10"/>
  <c r="M14" i="10"/>
  <c r="L14" i="10"/>
  <c r="K14" i="10"/>
  <c r="E14" i="10"/>
  <c r="B151" i="10"/>
  <c r="R13" i="10"/>
  <c r="J151" i="10"/>
  <c r="M13" i="10"/>
  <c r="L13" i="10"/>
  <c r="K13" i="10"/>
  <c r="N13" i="10" s="1"/>
  <c r="R12" i="10"/>
  <c r="M12" i="10"/>
  <c r="D150" i="10"/>
  <c r="L12" i="10"/>
  <c r="K12" i="10"/>
  <c r="R11" i="10"/>
  <c r="J150" i="10" s="1"/>
  <c r="M11" i="10"/>
  <c r="L11" i="10"/>
  <c r="C150" i="10" s="1"/>
  <c r="K11" i="10"/>
  <c r="B150" i="10"/>
  <c r="R10" i="10"/>
  <c r="M10" i="10"/>
  <c r="L10" i="10"/>
  <c r="N10" i="10"/>
  <c r="K10" i="10"/>
  <c r="E10" i="10"/>
  <c r="C149" i="10" s="1"/>
  <c r="R9" i="10"/>
  <c r="M9" i="10"/>
  <c r="L9" i="10"/>
  <c r="K9" i="10"/>
  <c r="N9" i="10" s="1"/>
  <c r="R8" i="10"/>
  <c r="M8" i="10"/>
  <c r="L8" i="10"/>
  <c r="K8" i="10"/>
  <c r="E106" i="11"/>
  <c r="U180" i="11"/>
  <c r="E74" i="11"/>
  <c r="U184" i="11"/>
  <c r="T184" i="11"/>
  <c r="S184" i="11"/>
  <c r="U182" i="11"/>
  <c r="W182" i="11" s="1"/>
  <c r="T182" i="11"/>
  <c r="S182" i="11"/>
  <c r="U181" i="11"/>
  <c r="T181" i="11"/>
  <c r="S181" i="11"/>
  <c r="W181" i="11" s="1"/>
  <c r="L180" i="11"/>
  <c r="U179" i="11"/>
  <c r="T179" i="11"/>
  <c r="S179" i="11"/>
  <c r="W179" i="11"/>
  <c r="U177" i="11"/>
  <c r="U169" i="11"/>
  <c r="U160" i="11"/>
  <c r="T160" i="11"/>
  <c r="S160" i="11"/>
  <c r="W160" i="11" s="1"/>
  <c r="U158" i="11"/>
  <c r="T158" i="11"/>
  <c r="S158" i="11"/>
  <c r="W158" i="11" s="1"/>
  <c r="U157" i="11"/>
  <c r="T157" i="11"/>
  <c r="S157" i="11"/>
  <c r="U156" i="11"/>
  <c r="T156" i="11"/>
  <c r="S156" i="11"/>
  <c r="W156" i="11"/>
  <c r="U155" i="11"/>
  <c r="T155" i="11"/>
  <c r="S155" i="11"/>
  <c r="W155" i="11"/>
  <c r="U152" i="11"/>
  <c r="T152" i="11"/>
  <c r="S152" i="11"/>
  <c r="W152" i="11" s="1"/>
  <c r="U151" i="11"/>
  <c r="U150" i="11"/>
  <c r="T150" i="11"/>
  <c r="S150" i="11"/>
  <c r="S149" i="11"/>
  <c r="U148" i="11"/>
  <c r="T148" i="11"/>
  <c r="S148" i="11"/>
  <c r="W148" i="11" s="1"/>
  <c r="U147" i="11"/>
  <c r="T147" i="11"/>
  <c r="S147" i="11"/>
  <c r="U146" i="11"/>
  <c r="T146" i="11"/>
  <c r="W146" i="11" s="1"/>
  <c r="S146" i="11"/>
  <c r="U144" i="11"/>
  <c r="T144" i="11"/>
  <c r="S144" i="11"/>
  <c r="U143" i="11"/>
  <c r="T143" i="11"/>
  <c r="S143" i="11"/>
  <c r="W143" i="11"/>
  <c r="U142" i="11"/>
  <c r="T142" i="11"/>
  <c r="S142" i="11"/>
  <c r="W142" i="11" s="1"/>
  <c r="U140" i="11"/>
  <c r="T140" i="11"/>
  <c r="S140" i="11"/>
  <c r="W140" i="11" s="1"/>
  <c r="U139" i="11"/>
  <c r="T139" i="11"/>
  <c r="W139" i="11"/>
  <c r="S139" i="11"/>
  <c r="B139" i="11"/>
  <c r="U136" i="11"/>
  <c r="T136" i="11"/>
  <c r="S136" i="11"/>
  <c r="W136" i="11" s="1"/>
  <c r="U135" i="11"/>
  <c r="T135" i="11"/>
  <c r="W135" i="11" s="1"/>
  <c r="S135" i="11"/>
  <c r="U134" i="11"/>
  <c r="T134" i="11"/>
  <c r="S134" i="11"/>
  <c r="W134" i="11"/>
  <c r="S133" i="11"/>
  <c r="U132" i="11"/>
  <c r="T132" i="11"/>
  <c r="W132" i="11"/>
  <c r="R117" i="11"/>
  <c r="L184" i="11"/>
  <c r="J184" i="11"/>
  <c r="M117" i="11"/>
  <c r="L117" i="11"/>
  <c r="K117" i="11"/>
  <c r="N117" i="11"/>
  <c r="R116" i="11"/>
  <c r="M116" i="11"/>
  <c r="D184" i="11" s="1"/>
  <c r="L116" i="11"/>
  <c r="K116" i="11"/>
  <c r="B184" i="11" s="1"/>
  <c r="R115" i="11"/>
  <c r="M115" i="11"/>
  <c r="L115" i="11"/>
  <c r="K115" i="11"/>
  <c r="R114" i="11"/>
  <c r="M114" i="11"/>
  <c r="L114" i="11"/>
  <c r="K114" i="11"/>
  <c r="B183" i="11" s="1"/>
  <c r="E114" i="11"/>
  <c r="R113" i="11"/>
  <c r="M113" i="11"/>
  <c r="L113" i="11"/>
  <c r="K113" i="11"/>
  <c r="R112" i="11"/>
  <c r="L183" i="11" s="1"/>
  <c r="M112" i="11"/>
  <c r="L112" i="11"/>
  <c r="N112" i="11" s="1"/>
  <c r="K112" i="11"/>
  <c r="R111" i="11"/>
  <c r="M111" i="11"/>
  <c r="L111" i="11"/>
  <c r="K111" i="11"/>
  <c r="N111" i="11" s="1"/>
  <c r="R110" i="11"/>
  <c r="M110" i="11"/>
  <c r="L110" i="11"/>
  <c r="K110" i="11"/>
  <c r="N110" i="11" s="1"/>
  <c r="R109" i="11"/>
  <c r="M109" i="11"/>
  <c r="L109" i="11"/>
  <c r="N109" i="11" s="1"/>
  <c r="K109" i="11"/>
  <c r="R108" i="11"/>
  <c r="M108" i="11"/>
  <c r="L108" i="11"/>
  <c r="K108" i="11"/>
  <c r="R107" i="11"/>
  <c r="M107" i="11"/>
  <c r="L107" i="11"/>
  <c r="K107" i="11"/>
  <c r="R106" i="11"/>
  <c r="J180" i="11"/>
  <c r="M106" i="11"/>
  <c r="L106" i="11"/>
  <c r="N106" i="11" s="1"/>
  <c r="K106" i="11"/>
  <c r="R105" i="11"/>
  <c r="M105" i="11"/>
  <c r="L105" i="11"/>
  <c r="K105" i="11"/>
  <c r="R104" i="11"/>
  <c r="M104" i="11"/>
  <c r="L104" i="11"/>
  <c r="K104" i="11"/>
  <c r="R103" i="11"/>
  <c r="M103" i="11"/>
  <c r="L103" i="11"/>
  <c r="C179" i="11" s="1"/>
  <c r="K103" i="11"/>
  <c r="B179" i="11" s="1"/>
  <c r="R102" i="11"/>
  <c r="M102" i="11"/>
  <c r="L102" i="11"/>
  <c r="K102" i="11"/>
  <c r="N102" i="11"/>
  <c r="E102" i="11"/>
  <c r="R101" i="11"/>
  <c r="H178" i="11" s="1"/>
  <c r="M101" i="11"/>
  <c r="D178" i="11"/>
  <c r="L101" i="11"/>
  <c r="C178" i="11"/>
  <c r="K101" i="11"/>
  <c r="N101" i="11"/>
  <c r="R100" i="11"/>
  <c r="L177" i="11" s="1"/>
  <c r="M100" i="11"/>
  <c r="L100" i="11"/>
  <c r="K100" i="11"/>
  <c r="N100" i="11" s="1"/>
  <c r="E100" i="11"/>
  <c r="S177" i="11" s="1"/>
  <c r="R99" i="11"/>
  <c r="M99" i="11"/>
  <c r="D177" i="11" s="1"/>
  <c r="L99" i="11"/>
  <c r="C177" i="11" s="1"/>
  <c r="K99" i="11"/>
  <c r="B177" i="11" s="1"/>
  <c r="R98" i="11"/>
  <c r="M98" i="11"/>
  <c r="L98" i="11"/>
  <c r="K98" i="11"/>
  <c r="R97" i="11"/>
  <c r="M97" i="11"/>
  <c r="L97" i="11"/>
  <c r="K97" i="11"/>
  <c r="R96" i="11"/>
  <c r="L175" i="11" s="1"/>
  <c r="M96" i="11"/>
  <c r="N96" i="11" s="1"/>
  <c r="L96" i="11"/>
  <c r="K96" i="11"/>
  <c r="E96" i="11"/>
  <c r="T175" i="11" s="1"/>
  <c r="U175" i="11"/>
  <c r="R95" i="11"/>
  <c r="M95" i="11"/>
  <c r="D175" i="11" s="1"/>
  <c r="L95" i="11"/>
  <c r="C175" i="11" s="1"/>
  <c r="K95" i="11"/>
  <c r="R94" i="11"/>
  <c r="M94" i="11"/>
  <c r="L94" i="11"/>
  <c r="K94" i="11"/>
  <c r="N94" i="11" s="1"/>
  <c r="E94" i="11"/>
  <c r="R93" i="11"/>
  <c r="H174" i="11" s="1"/>
  <c r="M93" i="11"/>
  <c r="D174" i="11" s="1"/>
  <c r="L93" i="11"/>
  <c r="C174" i="11"/>
  <c r="K93" i="11"/>
  <c r="R92" i="11"/>
  <c r="M92" i="11"/>
  <c r="L92" i="11"/>
  <c r="K92" i="11"/>
  <c r="E92" i="11"/>
  <c r="D173" i="11" s="1"/>
  <c r="R91" i="11"/>
  <c r="M91" i="11"/>
  <c r="L91" i="11"/>
  <c r="K91" i="11"/>
  <c r="N91" i="11" s="1"/>
  <c r="R90" i="11"/>
  <c r="M90" i="11"/>
  <c r="L90" i="11"/>
  <c r="N90" i="11"/>
  <c r="K90" i="11"/>
  <c r="U172" i="11"/>
  <c r="R89" i="11"/>
  <c r="M89" i="11"/>
  <c r="L89" i="11"/>
  <c r="K89" i="11"/>
  <c r="N89" i="11" s="1"/>
  <c r="R88" i="11"/>
  <c r="M88" i="11"/>
  <c r="L88" i="11"/>
  <c r="K88" i="11"/>
  <c r="N88" i="11" s="1"/>
  <c r="E88" i="11"/>
  <c r="C171" i="11" s="1"/>
  <c r="R87" i="11"/>
  <c r="M87" i="11"/>
  <c r="D171" i="11" s="1"/>
  <c r="L87" i="11"/>
  <c r="K87" i="11"/>
  <c r="N87" i="11" s="1"/>
  <c r="R86" i="11"/>
  <c r="M86" i="11"/>
  <c r="L86" i="11"/>
  <c r="K86" i="11"/>
  <c r="E86" i="11"/>
  <c r="R85" i="11"/>
  <c r="M85" i="11"/>
  <c r="L85" i="11"/>
  <c r="C170" i="11"/>
  <c r="K85" i="11"/>
  <c r="R84" i="11"/>
  <c r="M84" i="11"/>
  <c r="L84" i="11"/>
  <c r="K84" i="11"/>
  <c r="N84" i="11" s="1"/>
  <c r="E84" i="11"/>
  <c r="T169" i="11"/>
  <c r="R83" i="11"/>
  <c r="M83" i="11"/>
  <c r="L83" i="11"/>
  <c r="C169" i="11" s="1"/>
  <c r="K83" i="11"/>
  <c r="R82" i="11"/>
  <c r="L168" i="11"/>
  <c r="M82" i="11"/>
  <c r="L82" i="11"/>
  <c r="N82" i="11" s="1"/>
  <c r="K82" i="11"/>
  <c r="R81" i="11"/>
  <c r="M81" i="11"/>
  <c r="D168" i="11"/>
  <c r="L81" i="11"/>
  <c r="N81" i="11" s="1"/>
  <c r="K81" i="11"/>
  <c r="R80" i="11"/>
  <c r="M80" i="11"/>
  <c r="L80" i="11"/>
  <c r="K80" i="11"/>
  <c r="E80" i="11"/>
  <c r="D167" i="11" s="1"/>
  <c r="E167" i="11" s="1"/>
  <c r="R79" i="11"/>
  <c r="M79" i="11"/>
  <c r="L79" i="11"/>
  <c r="C167" i="11" s="1"/>
  <c r="K79" i="11"/>
  <c r="M78" i="11"/>
  <c r="L78" i="11"/>
  <c r="K78" i="11"/>
  <c r="N78" i="11"/>
  <c r="E78" i="11"/>
  <c r="R77" i="11"/>
  <c r="M77" i="11"/>
  <c r="L77" i="11"/>
  <c r="C166" i="11"/>
  <c r="K77" i="11"/>
  <c r="R76" i="11"/>
  <c r="M76" i="11"/>
  <c r="L76" i="11"/>
  <c r="K76" i="11"/>
  <c r="E76" i="11"/>
  <c r="U165" i="11" s="1"/>
  <c r="R75" i="11"/>
  <c r="M75" i="11"/>
  <c r="L75" i="11"/>
  <c r="K75" i="11"/>
  <c r="B165" i="11" s="1"/>
  <c r="R74" i="11"/>
  <c r="M74" i="11"/>
  <c r="L74" i="11"/>
  <c r="N74" i="11" s="1"/>
  <c r="K74" i="11"/>
  <c r="R73" i="11"/>
  <c r="M73" i="11"/>
  <c r="D164" i="11"/>
  <c r="L73" i="11"/>
  <c r="K73" i="11"/>
  <c r="N73" i="11" s="1"/>
  <c r="R72" i="11"/>
  <c r="M72" i="11"/>
  <c r="N72" i="11" s="1"/>
  <c r="L72" i="11"/>
  <c r="K72" i="11"/>
  <c r="E72" i="11"/>
  <c r="T163" i="11" s="1"/>
  <c r="U163" i="11"/>
  <c r="R71" i="11"/>
  <c r="M71" i="11"/>
  <c r="D163" i="11" s="1"/>
  <c r="L71" i="11"/>
  <c r="C163" i="11" s="1"/>
  <c r="K71" i="11"/>
  <c r="N71" i="11" s="1"/>
  <c r="B163" i="11"/>
  <c r="R70" i="11"/>
  <c r="M70" i="11"/>
  <c r="L70" i="11"/>
  <c r="N70" i="11" s="1"/>
  <c r="K70" i="11"/>
  <c r="E70" i="11"/>
  <c r="R69" i="11"/>
  <c r="M69" i="11"/>
  <c r="L69" i="11"/>
  <c r="K69" i="11"/>
  <c r="R68" i="11"/>
  <c r="M68" i="11"/>
  <c r="L68" i="11"/>
  <c r="K68" i="11"/>
  <c r="E68" i="11"/>
  <c r="U161" i="11" s="1"/>
  <c r="T161" i="11"/>
  <c r="R67" i="11"/>
  <c r="M67" i="11"/>
  <c r="L67" i="11"/>
  <c r="C161" i="11" s="1"/>
  <c r="K67" i="11"/>
  <c r="R66" i="11"/>
  <c r="L160" i="11"/>
  <c r="M66" i="11"/>
  <c r="L66" i="11"/>
  <c r="N66" i="11" s="1"/>
  <c r="K66" i="11"/>
  <c r="R65" i="11"/>
  <c r="J160" i="11" s="1"/>
  <c r="M65" i="11"/>
  <c r="D160" i="11"/>
  <c r="L65" i="11"/>
  <c r="C160" i="11"/>
  <c r="K65" i="11"/>
  <c r="R64" i="11"/>
  <c r="M64" i="11"/>
  <c r="L64" i="11"/>
  <c r="K64" i="11"/>
  <c r="N64" i="11" s="1"/>
  <c r="E64" i="11"/>
  <c r="R63" i="11"/>
  <c r="M63" i="11"/>
  <c r="L63" i="11"/>
  <c r="K63" i="11"/>
  <c r="R62" i="11"/>
  <c r="L158" i="11" s="1"/>
  <c r="M62" i="11"/>
  <c r="L62" i="11"/>
  <c r="K62" i="11"/>
  <c r="N62" i="11" s="1"/>
  <c r="R61" i="11"/>
  <c r="M61" i="11"/>
  <c r="L61" i="11"/>
  <c r="K61" i="11"/>
  <c r="R60" i="11"/>
  <c r="N60" i="11"/>
  <c r="M60" i="11"/>
  <c r="L60" i="11"/>
  <c r="K60" i="11"/>
  <c r="R59" i="11"/>
  <c r="M59" i="11"/>
  <c r="D157" i="11" s="1"/>
  <c r="L59" i="11"/>
  <c r="C157" i="11"/>
  <c r="K59" i="11"/>
  <c r="R58" i="11"/>
  <c r="M58" i="11"/>
  <c r="L58" i="11"/>
  <c r="K58" i="11"/>
  <c r="R57" i="11"/>
  <c r="M57" i="11"/>
  <c r="N57" i="11"/>
  <c r="L57" i="11"/>
  <c r="C156" i="11"/>
  <c r="K57" i="11"/>
  <c r="R56" i="11"/>
  <c r="M56" i="11"/>
  <c r="D155" i="11" s="1"/>
  <c r="L56" i="11"/>
  <c r="K56" i="11"/>
  <c r="R55" i="11"/>
  <c r="M55" i="11"/>
  <c r="L55" i="11"/>
  <c r="K55" i="11"/>
  <c r="R54" i="11"/>
  <c r="M54" i="11"/>
  <c r="N54" i="11"/>
  <c r="L54" i="11"/>
  <c r="K54" i="11"/>
  <c r="E54" i="11"/>
  <c r="R53" i="11"/>
  <c r="M53" i="11"/>
  <c r="L53" i="11"/>
  <c r="K53" i="11"/>
  <c r="R52" i="11"/>
  <c r="M52" i="11"/>
  <c r="L52" i="11"/>
  <c r="K52" i="11"/>
  <c r="R51" i="11"/>
  <c r="M51" i="11"/>
  <c r="L51" i="11"/>
  <c r="K51" i="11"/>
  <c r="E51" i="11"/>
  <c r="R50" i="11"/>
  <c r="M50" i="11"/>
  <c r="L50" i="11"/>
  <c r="K50" i="11"/>
  <c r="N50" i="11" s="1"/>
  <c r="R49" i="11"/>
  <c r="H152" i="11" s="1"/>
  <c r="M49" i="11"/>
  <c r="L49" i="11"/>
  <c r="K49" i="11"/>
  <c r="N49" i="11" s="1"/>
  <c r="R48" i="11"/>
  <c r="M48" i="11"/>
  <c r="D152" i="11"/>
  <c r="L48" i="11"/>
  <c r="C152" i="11"/>
  <c r="K48" i="11"/>
  <c r="N48" i="11" s="1"/>
  <c r="B152" i="11"/>
  <c r="R47" i="11"/>
  <c r="M47" i="11"/>
  <c r="L47" i="11"/>
  <c r="K47" i="11"/>
  <c r="E47" i="11"/>
  <c r="R46" i="11"/>
  <c r="M46" i="11"/>
  <c r="D151" i="11"/>
  <c r="L46" i="11"/>
  <c r="K46" i="11"/>
  <c r="B151" i="11" s="1"/>
  <c r="R45" i="11"/>
  <c r="M45" i="11"/>
  <c r="L45" i="11"/>
  <c r="K45" i="11"/>
  <c r="N45" i="11" s="1"/>
  <c r="R44" i="11"/>
  <c r="L150" i="11" s="1"/>
  <c r="M44" i="11"/>
  <c r="L44" i="11"/>
  <c r="K44" i="11"/>
  <c r="B150" i="11"/>
  <c r="R43" i="11"/>
  <c r="M43" i="11"/>
  <c r="L43" i="11"/>
  <c r="K43" i="11"/>
  <c r="N43" i="11"/>
  <c r="E43" i="11"/>
  <c r="R42" i="11"/>
  <c r="M42" i="11"/>
  <c r="D149" i="11" s="1"/>
  <c r="L42" i="11"/>
  <c r="K42" i="11"/>
  <c r="B149" i="11"/>
  <c r="R41" i="11"/>
  <c r="M41" i="11"/>
  <c r="L41" i="11"/>
  <c r="N41" i="11" s="1"/>
  <c r="K41" i="11"/>
  <c r="R40" i="11"/>
  <c r="M40" i="11"/>
  <c r="D148" i="11"/>
  <c r="L40" i="11"/>
  <c r="N40" i="11" s="1"/>
  <c r="K40" i="11"/>
  <c r="R39" i="11"/>
  <c r="M39" i="11"/>
  <c r="L39" i="11"/>
  <c r="K39" i="11"/>
  <c r="N39" i="11"/>
  <c r="R38" i="11"/>
  <c r="M38" i="11"/>
  <c r="D147" i="11" s="1"/>
  <c r="L38" i="11"/>
  <c r="C147" i="11" s="1"/>
  <c r="K38" i="11"/>
  <c r="R37" i="11"/>
  <c r="M37" i="11"/>
  <c r="N37" i="11" s="1"/>
  <c r="L37" i="11"/>
  <c r="K37" i="11"/>
  <c r="R36" i="11"/>
  <c r="M36" i="11"/>
  <c r="L36" i="11"/>
  <c r="C146" i="11" s="1"/>
  <c r="K36" i="11"/>
  <c r="R35" i="11"/>
  <c r="M35" i="11"/>
  <c r="L35" i="11"/>
  <c r="K35" i="11"/>
  <c r="N35" i="11" s="1"/>
  <c r="E35" i="11"/>
  <c r="D145" i="11" s="1"/>
  <c r="R34" i="11"/>
  <c r="N34" i="11"/>
  <c r="M34" i="11"/>
  <c r="L34" i="11"/>
  <c r="K34" i="11"/>
  <c r="B145" i="11" s="1"/>
  <c r="R33" i="11"/>
  <c r="M33" i="11"/>
  <c r="L33" i="11"/>
  <c r="K33" i="11"/>
  <c r="N33" i="11" s="1"/>
  <c r="R32" i="11"/>
  <c r="L144" i="11" s="1"/>
  <c r="M32" i="11"/>
  <c r="L32" i="11"/>
  <c r="K32" i="11"/>
  <c r="R31" i="11"/>
  <c r="M31" i="11"/>
  <c r="L31" i="11"/>
  <c r="K31" i="11"/>
  <c r="N31" i="11" s="1"/>
  <c r="R30" i="11"/>
  <c r="M30" i="11"/>
  <c r="L30" i="11"/>
  <c r="N30" i="11" s="1"/>
  <c r="K30" i="11"/>
  <c r="B143" i="11"/>
  <c r="R29" i="11"/>
  <c r="H142" i="11"/>
  <c r="M29" i="11"/>
  <c r="L29" i="11"/>
  <c r="C142" i="11" s="1"/>
  <c r="K29" i="11"/>
  <c r="R28" i="11"/>
  <c r="J142" i="11" s="1"/>
  <c r="M28" i="11"/>
  <c r="D142" i="11" s="1"/>
  <c r="L28" i="11"/>
  <c r="K28" i="11"/>
  <c r="R27" i="11"/>
  <c r="M27" i="11"/>
  <c r="L27" i="11"/>
  <c r="K27" i="11"/>
  <c r="E27" i="11"/>
  <c r="R26" i="11"/>
  <c r="M26" i="11"/>
  <c r="L26" i="11"/>
  <c r="K26" i="11"/>
  <c r="R25" i="11"/>
  <c r="M25" i="11"/>
  <c r="L25" i="11"/>
  <c r="K25" i="11"/>
  <c r="N25" i="11"/>
  <c r="R24" i="11"/>
  <c r="H140" i="11" s="1"/>
  <c r="M24" i="11"/>
  <c r="D140" i="11"/>
  <c r="L24" i="11"/>
  <c r="K24" i="11"/>
  <c r="R23" i="11"/>
  <c r="M23" i="11"/>
  <c r="D139" i="11"/>
  <c r="L23" i="11"/>
  <c r="C139" i="11" s="1"/>
  <c r="K23" i="11"/>
  <c r="R22" i="11"/>
  <c r="M22" i="11"/>
  <c r="L22" i="11"/>
  <c r="K22" i="11"/>
  <c r="R21" i="11"/>
  <c r="M21" i="11"/>
  <c r="D138" i="11" s="1"/>
  <c r="L21" i="11"/>
  <c r="K21" i="11"/>
  <c r="N21" i="11" s="1"/>
  <c r="E21" i="11"/>
  <c r="R20" i="11"/>
  <c r="M20" i="11"/>
  <c r="L20" i="11"/>
  <c r="N20" i="11" s="1"/>
  <c r="K20" i="11"/>
  <c r="R19" i="11"/>
  <c r="M19" i="11"/>
  <c r="L19" i="11"/>
  <c r="K19" i="11"/>
  <c r="N19" i="11"/>
  <c r="E19" i="11"/>
  <c r="R18" i="11"/>
  <c r="M18" i="11"/>
  <c r="L18" i="11"/>
  <c r="K18" i="11"/>
  <c r="N18" i="11" s="1"/>
  <c r="R17" i="11"/>
  <c r="M17" i="11"/>
  <c r="L17" i="11"/>
  <c r="K17" i="11"/>
  <c r="R16" i="11"/>
  <c r="M16" i="11"/>
  <c r="L16" i="11"/>
  <c r="C136" i="11"/>
  <c r="K16" i="11"/>
  <c r="R15" i="11"/>
  <c r="M15" i="11"/>
  <c r="L15" i="11"/>
  <c r="K15" i="11"/>
  <c r="N15" i="11" s="1"/>
  <c r="R14" i="11"/>
  <c r="M14" i="11"/>
  <c r="D135" i="11"/>
  <c r="L14" i="11"/>
  <c r="K14" i="11"/>
  <c r="B135" i="11" s="1"/>
  <c r="R13" i="11"/>
  <c r="M13" i="11"/>
  <c r="L13" i="11"/>
  <c r="K13" i="11"/>
  <c r="N13" i="11"/>
  <c r="R12" i="11"/>
  <c r="M12" i="11"/>
  <c r="D134" i="11"/>
  <c r="L12" i="11"/>
  <c r="K12" i="11"/>
  <c r="N12" i="11"/>
  <c r="R11" i="11"/>
  <c r="M11" i="11"/>
  <c r="L11" i="11"/>
  <c r="N11" i="11" s="1"/>
  <c r="K11" i="11"/>
  <c r="E11" i="11"/>
  <c r="U133" i="11"/>
  <c r="R10" i="11"/>
  <c r="M10" i="11"/>
  <c r="D133" i="11" s="1"/>
  <c r="L10" i="11"/>
  <c r="K10" i="11"/>
  <c r="R9" i="11"/>
  <c r="M9" i="11"/>
  <c r="L9" i="11"/>
  <c r="C132" i="11" s="1"/>
  <c r="K9" i="11"/>
  <c r="N9" i="11"/>
  <c r="R8" i="11"/>
  <c r="M8" i="11"/>
  <c r="D132" i="11"/>
  <c r="L8" i="11"/>
  <c r="K8" i="11"/>
  <c r="B132" i="11" s="1"/>
  <c r="U181" i="12"/>
  <c r="T181" i="12"/>
  <c r="W181" i="12" s="1"/>
  <c r="S181" i="12"/>
  <c r="J181" i="12"/>
  <c r="H181" i="12"/>
  <c r="N181" i="12" s="1"/>
  <c r="U180" i="12"/>
  <c r="T180" i="12"/>
  <c r="S180" i="12"/>
  <c r="L180" i="12"/>
  <c r="J180" i="12"/>
  <c r="H180" i="12"/>
  <c r="U177" i="12"/>
  <c r="T177" i="12"/>
  <c r="S177" i="12"/>
  <c r="W177" i="12" s="1"/>
  <c r="L177" i="12"/>
  <c r="J177" i="12"/>
  <c r="H177" i="12"/>
  <c r="N177" i="12" s="1"/>
  <c r="U176" i="12"/>
  <c r="T176" i="12"/>
  <c r="S176" i="12"/>
  <c r="W176" i="12" s="1"/>
  <c r="L176" i="12"/>
  <c r="J176" i="12"/>
  <c r="H176" i="12"/>
  <c r="U174" i="12"/>
  <c r="T174" i="12"/>
  <c r="S174" i="12"/>
  <c r="L174" i="12"/>
  <c r="J174" i="12"/>
  <c r="N174" i="12" s="1"/>
  <c r="H174" i="12"/>
  <c r="H172" i="12"/>
  <c r="U169" i="12"/>
  <c r="T169" i="12"/>
  <c r="S169" i="12"/>
  <c r="W169" i="12" s="1"/>
  <c r="L169" i="12"/>
  <c r="J169" i="12"/>
  <c r="H169" i="12"/>
  <c r="U165" i="12"/>
  <c r="T165" i="12"/>
  <c r="S165" i="12"/>
  <c r="W165" i="12" s="1"/>
  <c r="L165" i="12"/>
  <c r="J165" i="12"/>
  <c r="H165" i="12"/>
  <c r="U161" i="12"/>
  <c r="T161" i="12"/>
  <c r="S161" i="12"/>
  <c r="W161" i="12" s="1"/>
  <c r="L161" i="12"/>
  <c r="J161" i="12"/>
  <c r="H161" i="12"/>
  <c r="U155" i="12"/>
  <c r="T155" i="12"/>
  <c r="W155" i="12" s="1"/>
  <c r="S155" i="12"/>
  <c r="L155" i="12"/>
  <c r="J155" i="12"/>
  <c r="H155" i="12"/>
  <c r="U154" i="12"/>
  <c r="W154" i="12"/>
  <c r="T154" i="12"/>
  <c r="S154" i="12"/>
  <c r="L154" i="12"/>
  <c r="J154" i="12"/>
  <c r="H154" i="12"/>
  <c r="N154" i="12" s="1"/>
  <c r="U153" i="12"/>
  <c r="T153" i="12"/>
  <c r="W153" i="12" s="1"/>
  <c r="S153" i="12"/>
  <c r="L153" i="12"/>
  <c r="J153" i="12"/>
  <c r="H153" i="12"/>
  <c r="U151" i="12"/>
  <c r="T151" i="12"/>
  <c r="S151" i="12"/>
  <c r="L151" i="12"/>
  <c r="J151" i="12"/>
  <c r="H151" i="12"/>
  <c r="U150" i="12"/>
  <c r="T150" i="12"/>
  <c r="S150" i="12"/>
  <c r="W150" i="12" s="1"/>
  <c r="L150" i="12"/>
  <c r="J150" i="12"/>
  <c r="H150" i="12"/>
  <c r="U146" i="12"/>
  <c r="T146" i="12"/>
  <c r="S146" i="12"/>
  <c r="L146" i="12"/>
  <c r="J146" i="12"/>
  <c r="H146" i="12"/>
  <c r="N146" i="12" s="1"/>
  <c r="U145" i="12"/>
  <c r="T145" i="12"/>
  <c r="S145" i="12"/>
  <c r="L145" i="12"/>
  <c r="J145" i="12"/>
  <c r="H145" i="12"/>
  <c r="N145" i="12" s="1"/>
  <c r="U144" i="12"/>
  <c r="T144" i="12"/>
  <c r="W144" i="12"/>
  <c r="S144" i="12"/>
  <c r="L144" i="12"/>
  <c r="J144" i="12"/>
  <c r="H144" i="12"/>
  <c r="N144" i="12"/>
  <c r="U142" i="12"/>
  <c r="T142" i="12"/>
  <c r="S142" i="12"/>
  <c r="W142" i="12" s="1"/>
  <c r="L142" i="12"/>
  <c r="J142" i="12"/>
  <c r="H142" i="12"/>
  <c r="U141" i="12"/>
  <c r="T141" i="12"/>
  <c r="S141" i="12"/>
  <c r="L141" i="12"/>
  <c r="J141" i="12"/>
  <c r="H141" i="12"/>
  <c r="N141" i="12"/>
  <c r="U138" i="12"/>
  <c r="T138" i="12"/>
  <c r="S138" i="12"/>
  <c r="W138" i="12" s="1"/>
  <c r="L138" i="12"/>
  <c r="J138" i="12"/>
  <c r="H138" i="12"/>
  <c r="U137" i="12"/>
  <c r="T137" i="12"/>
  <c r="S137" i="12"/>
  <c r="W137" i="12"/>
  <c r="L137" i="12"/>
  <c r="J137" i="12"/>
  <c r="N137" i="12" s="1"/>
  <c r="H137" i="12"/>
  <c r="U135" i="12"/>
  <c r="T135" i="12"/>
  <c r="S135" i="12"/>
  <c r="L135" i="12"/>
  <c r="J135" i="12"/>
  <c r="H135" i="12"/>
  <c r="U134" i="12"/>
  <c r="T134" i="12"/>
  <c r="S134" i="12"/>
  <c r="W134" i="12"/>
  <c r="L134" i="12"/>
  <c r="J134" i="12"/>
  <c r="H134" i="12"/>
  <c r="U133" i="12"/>
  <c r="T133" i="12"/>
  <c r="S133" i="12"/>
  <c r="L133" i="12"/>
  <c r="N133" i="12" s="1"/>
  <c r="J133" i="12"/>
  <c r="H133" i="12"/>
  <c r="U131" i="12"/>
  <c r="T131" i="12"/>
  <c r="S131" i="12"/>
  <c r="L131" i="12"/>
  <c r="J131" i="12"/>
  <c r="H131" i="12"/>
  <c r="U130" i="12"/>
  <c r="T130" i="12"/>
  <c r="S130" i="12"/>
  <c r="W130" i="12" s="1"/>
  <c r="L130" i="12"/>
  <c r="J130" i="12"/>
  <c r="N130" i="12" s="1"/>
  <c r="H130" i="12"/>
  <c r="U129" i="12"/>
  <c r="T129" i="12"/>
  <c r="W129" i="12" s="1"/>
  <c r="L129" i="12"/>
  <c r="J129" i="12"/>
  <c r="N129" i="12" s="1"/>
  <c r="H129" i="12"/>
  <c r="R114" i="12"/>
  <c r="M114" i="12"/>
  <c r="L114" i="12"/>
  <c r="K114" i="12"/>
  <c r="R113" i="12"/>
  <c r="M113" i="12"/>
  <c r="L113" i="12"/>
  <c r="K113" i="12"/>
  <c r="R112" i="12"/>
  <c r="M112" i="12"/>
  <c r="L112" i="12"/>
  <c r="C180" i="12" s="1"/>
  <c r="K112" i="12"/>
  <c r="R111" i="12"/>
  <c r="M111" i="12"/>
  <c r="L111" i="12"/>
  <c r="K111" i="12"/>
  <c r="R110" i="12"/>
  <c r="M110" i="12"/>
  <c r="L110" i="12"/>
  <c r="K110" i="12"/>
  <c r="E110" i="12"/>
  <c r="L179" i="12"/>
  <c r="R109" i="12"/>
  <c r="M109" i="12"/>
  <c r="L109" i="12"/>
  <c r="K109" i="12"/>
  <c r="R108" i="12"/>
  <c r="M108" i="12"/>
  <c r="L108" i="12"/>
  <c r="K108" i="12"/>
  <c r="N108" i="12"/>
  <c r="E108" i="12"/>
  <c r="R107" i="12"/>
  <c r="M107" i="12"/>
  <c r="L107" i="12"/>
  <c r="K107" i="12"/>
  <c r="N107" i="12"/>
  <c r="R106" i="12"/>
  <c r="M106" i="12"/>
  <c r="L106" i="12"/>
  <c r="K106" i="12"/>
  <c r="R105" i="12"/>
  <c r="M105" i="12"/>
  <c r="L105" i="12"/>
  <c r="K105" i="12"/>
  <c r="R104" i="12"/>
  <c r="M104" i="12"/>
  <c r="D177" i="12"/>
  <c r="L104" i="12"/>
  <c r="K104" i="12"/>
  <c r="R103" i="12"/>
  <c r="M103" i="12"/>
  <c r="L103" i="12"/>
  <c r="K103" i="12"/>
  <c r="R102" i="12"/>
  <c r="M102" i="12"/>
  <c r="D176" i="12"/>
  <c r="L102" i="12"/>
  <c r="K102" i="12"/>
  <c r="B176" i="12"/>
  <c r="R101" i="12"/>
  <c r="M101" i="12"/>
  <c r="L101" i="12"/>
  <c r="K101" i="12"/>
  <c r="N101" i="12" s="1"/>
  <c r="E101" i="12"/>
  <c r="R100" i="12"/>
  <c r="M100" i="12"/>
  <c r="L100" i="12"/>
  <c r="K100" i="12"/>
  <c r="N100" i="12" s="1"/>
  <c r="R99" i="12"/>
  <c r="M99" i="12"/>
  <c r="L99" i="12"/>
  <c r="C174" i="12" s="1"/>
  <c r="K99" i="12"/>
  <c r="R98" i="12"/>
  <c r="M98" i="12"/>
  <c r="D174" i="12"/>
  <c r="L98" i="12"/>
  <c r="K98" i="12"/>
  <c r="R97" i="12"/>
  <c r="M97" i="12"/>
  <c r="L97" i="12"/>
  <c r="K97" i="12"/>
  <c r="N97" i="12"/>
  <c r="E97" i="12"/>
  <c r="R96" i="12"/>
  <c r="M96" i="12"/>
  <c r="L96" i="12"/>
  <c r="K96" i="12"/>
  <c r="R95" i="12"/>
  <c r="M95" i="12"/>
  <c r="N95" i="12" s="1"/>
  <c r="L95" i="12"/>
  <c r="K95" i="12"/>
  <c r="E95" i="12"/>
  <c r="U172" i="12" s="1"/>
  <c r="L172" i="12"/>
  <c r="R94" i="12"/>
  <c r="M94" i="12"/>
  <c r="D172" i="12" s="1"/>
  <c r="L94" i="12"/>
  <c r="C172" i="12" s="1"/>
  <c r="K94" i="12"/>
  <c r="R93" i="12"/>
  <c r="M93" i="12"/>
  <c r="L93" i="12"/>
  <c r="N93" i="12"/>
  <c r="K93" i="12"/>
  <c r="E93" i="12"/>
  <c r="H171" i="12" s="1"/>
  <c r="R92" i="12"/>
  <c r="M92" i="12"/>
  <c r="L92" i="12"/>
  <c r="K92" i="12"/>
  <c r="R91" i="12"/>
  <c r="M91" i="12"/>
  <c r="N91" i="12"/>
  <c r="L91" i="12"/>
  <c r="K91" i="12"/>
  <c r="E91" i="12"/>
  <c r="T170" i="12" s="1"/>
  <c r="U170" i="12"/>
  <c r="R90" i="12"/>
  <c r="M90" i="12"/>
  <c r="N90" i="12"/>
  <c r="L90" i="12"/>
  <c r="C170" i="12" s="1"/>
  <c r="K90" i="12"/>
  <c r="R89" i="12"/>
  <c r="M89" i="12"/>
  <c r="L89" i="12"/>
  <c r="C169" i="12" s="1"/>
  <c r="K89" i="12"/>
  <c r="R88" i="12"/>
  <c r="M88" i="12"/>
  <c r="L88" i="12"/>
  <c r="K88" i="12"/>
  <c r="R87" i="12"/>
  <c r="M87" i="12"/>
  <c r="L87" i="12"/>
  <c r="K87" i="12"/>
  <c r="E87" i="12"/>
  <c r="U168" i="12"/>
  <c r="R86" i="12"/>
  <c r="M86" i="12"/>
  <c r="L86" i="12"/>
  <c r="N86" i="12"/>
  <c r="K86" i="12"/>
  <c r="R85" i="12"/>
  <c r="M85" i="12"/>
  <c r="L85" i="12"/>
  <c r="N85" i="12" s="1"/>
  <c r="K85" i="12"/>
  <c r="E85" i="12"/>
  <c r="B167" i="12" s="1"/>
  <c r="R84" i="12"/>
  <c r="M84" i="12"/>
  <c r="L84" i="12"/>
  <c r="K84" i="12"/>
  <c r="R83" i="12"/>
  <c r="M83" i="12"/>
  <c r="D166" i="12"/>
  <c r="L83" i="12"/>
  <c r="K83" i="12"/>
  <c r="E83" i="12"/>
  <c r="S166" i="12"/>
  <c r="R82" i="12"/>
  <c r="M82" i="12"/>
  <c r="L82" i="12"/>
  <c r="C166" i="12" s="1"/>
  <c r="K82" i="12"/>
  <c r="N82" i="12" s="1"/>
  <c r="R81" i="12"/>
  <c r="M81" i="12"/>
  <c r="L81" i="12"/>
  <c r="C165" i="12"/>
  <c r="K81" i="12"/>
  <c r="B165" i="12" s="1"/>
  <c r="R80" i="12"/>
  <c r="M80" i="12"/>
  <c r="D165" i="12" s="1"/>
  <c r="L80" i="12"/>
  <c r="N80" i="12" s="1"/>
  <c r="K80" i="12"/>
  <c r="R79" i="12"/>
  <c r="M79" i="12"/>
  <c r="L79" i="12"/>
  <c r="K79" i="12"/>
  <c r="N79" i="12"/>
  <c r="E79" i="12"/>
  <c r="T164" i="12" s="1"/>
  <c r="U164" i="12"/>
  <c r="R78" i="12"/>
  <c r="M78" i="12"/>
  <c r="D164" i="12"/>
  <c r="L78" i="12"/>
  <c r="C164" i="12" s="1"/>
  <c r="K78" i="12"/>
  <c r="R77" i="12"/>
  <c r="M77" i="12"/>
  <c r="L77" i="12"/>
  <c r="K77" i="12"/>
  <c r="N77" i="12" s="1"/>
  <c r="E77" i="12"/>
  <c r="J163" i="12" s="1"/>
  <c r="L163" i="12"/>
  <c r="R76" i="12"/>
  <c r="M76" i="12"/>
  <c r="N76" i="12" s="1"/>
  <c r="D163" i="12"/>
  <c r="L76" i="12"/>
  <c r="C163" i="12"/>
  <c r="K76" i="12"/>
  <c r="R75" i="12"/>
  <c r="M75" i="12"/>
  <c r="L75" i="12"/>
  <c r="N75" i="12"/>
  <c r="K75" i="12"/>
  <c r="E75" i="12"/>
  <c r="U162" i="12" s="1"/>
  <c r="R74" i="12"/>
  <c r="M74" i="12"/>
  <c r="L74" i="12"/>
  <c r="K74" i="12"/>
  <c r="R73" i="12"/>
  <c r="M73" i="12"/>
  <c r="L73" i="12"/>
  <c r="N73" i="12" s="1"/>
  <c r="K73" i="12"/>
  <c r="R72" i="12"/>
  <c r="M72" i="12"/>
  <c r="L72" i="12"/>
  <c r="C161" i="12"/>
  <c r="K72" i="12"/>
  <c r="B161" i="12"/>
  <c r="R71" i="12"/>
  <c r="M71" i="12"/>
  <c r="L71" i="12"/>
  <c r="K71" i="12"/>
  <c r="N71" i="12"/>
  <c r="E71" i="12"/>
  <c r="R70" i="12"/>
  <c r="M70" i="12"/>
  <c r="D160" i="12"/>
  <c r="L70" i="12"/>
  <c r="K70" i="12"/>
  <c r="N70" i="12" s="1"/>
  <c r="R69" i="12"/>
  <c r="M69" i="12"/>
  <c r="L69" i="12"/>
  <c r="K69" i="12"/>
  <c r="N69" i="12" s="1"/>
  <c r="E69" i="12"/>
  <c r="S159" i="12" s="1"/>
  <c r="H159" i="12"/>
  <c r="R68" i="12"/>
  <c r="M68" i="12"/>
  <c r="D159" i="12" s="1"/>
  <c r="L68" i="12"/>
  <c r="C159" i="12" s="1"/>
  <c r="K68" i="12"/>
  <c r="B159" i="12" s="1"/>
  <c r="E159" i="12" s="1"/>
  <c r="R67" i="12"/>
  <c r="M67" i="12"/>
  <c r="L67" i="12"/>
  <c r="N67" i="12" s="1"/>
  <c r="K67" i="12"/>
  <c r="E67" i="12"/>
  <c r="H158" i="12" s="1"/>
  <c r="T158" i="12"/>
  <c r="R66" i="12"/>
  <c r="M66" i="12"/>
  <c r="L66" i="12"/>
  <c r="C158" i="12" s="1"/>
  <c r="E158" i="12" s="1"/>
  <c r="K66" i="12"/>
  <c r="N66" i="12"/>
  <c r="R65" i="12"/>
  <c r="M65" i="12"/>
  <c r="L65" i="12"/>
  <c r="N65" i="12" s="1"/>
  <c r="K65" i="12"/>
  <c r="E65" i="12"/>
  <c r="R64" i="12"/>
  <c r="M64" i="12"/>
  <c r="D157" i="12" s="1"/>
  <c r="L64" i="12"/>
  <c r="K64" i="12"/>
  <c r="N64" i="12" s="1"/>
  <c r="R63" i="12"/>
  <c r="M63" i="12"/>
  <c r="L63" i="12"/>
  <c r="N63" i="12" s="1"/>
  <c r="K63" i="12"/>
  <c r="E63" i="12"/>
  <c r="R62" i="12"/>
  <c r="M62" i="12"/>
  <c r="L62" i="12"/>
  <c r="K62" i="12"/>
  <c r="R61" i="12"/>
  <c r="M61" i="12"/>
  <c r="L61" i="12"/>
  <c r="K61" i="12"/>
  <c r="B155" i="12" s="1"/>
  <c r="E155" i="12" s="1"/>
  <c r="R60" i="12"/>
  <c r="M60" i="12"/>
  <c r="D155" i="12" s="1"/>
  <c r="L60" i="12"/>
  <c r="K60" i="12"/>
  <c r="R59" i="12"/>
  <c r="M59" i="12"/>
  <c r="D154" i="12" s="1"/>
  <c r="L59" i="12"/>
  <c r="K59" i="12"/>
  <c r="B154" i="12" s="1"/>
  <c r="E154" i="12" s="1"/>
  <c r="R58" i="12"/>
  <c r="M58" i="12"/>
  <c r="L58" i="12"/>
  <c r="N58" i="12" s="1"/>
  <c r="C154" i="12"/>
  <c r="K58" i="12"/>
  <c r="R57" i="12"/>
  <c r="M57" i="12"/>
  <c r="L57" i="12"/>
  <c r="C153" i="12" s="1"/>
  <c r="E153" i="12" s="1"/>
  <c r="K57" i="12"/>
  <c r="R56" i="12"/>
  <c r="M56" i="12"/>
  <c r="L56" i="12"/>
  <c r="K56" i="12"/>
  <c r="R55" i="12"/>
  <c r="M55" i="12"/>
  <c r="L55" i="12"/>
  <c r="K55" i="12"/>
  <c r="E55" i="12"/>
  <c r="T152" i="12" s="1"/>
  <c r="R54" i="12"/>
  <c r="M54" i="12"/>
  <c r="L54" i="12"/>
  <c r="K54" i="12"/>
  <c r="R53" i="12"/>
  <c r="M53" i="12"/>
  <c r="D151" i="12" s="1"/>
  <c r="L53" i="12"/>
  <c r="K53" i="12"/>
  <c r="R52" i="12"/>
  <c r="M52" i="12"/>
  <c r="L52" i="12"/>
  <c r="K52" i="12"/>
  <c r="R51" i="12"/>
  <c r="M51" i="12"/>
  <c r="L51" i="12"/>
  <c r="K51" i="12"/>
  <c r="R50" i="12"/>
  <c r="M50" i="12"/>
  <c r="D150" i="12" s="1"/>
  <c r="L50" i="12"/>
  <c r="C150" i="12" s="1"/>
  <c r="K50" i="12"/>
  <c r="R49" i="12"/>
  <c r="M49" i="12"/>
  <c r="L49" i="12"/>
  <c r="K49" i="12"/>
  <c r="N49" i="12"/>
  <c r="E49" i="12"/>
  <c r="R48" i="12"/>
  <c r="M48" i="12"/>
  <c r="L48" i="12"/>
  <c r="K48" i="12"/>
  <c r="R47" i="12"/>
  <c r="M47" i="12"/>
  <c r="N47" i="12"/>
  <c r="L47" i="12"/>
  <c r="K47" i="12"/>
  <c r="E47" i="12"/>
  <c r="U148" i="12" s="1"/>
  <c r="T148" i="12"/>
  <c r="R46" i="12"/>
  <c r="M46" i="12"/>
  <c r="L46" i="12"/>
  <c r="C148" i="12" s="1"/>
  <c r="K46" i="12"/>
  <c r="B148" i="12" s="1"/>
  <c r="R45" i="12"/>
  <c r="M45" i="12"/>
  <c r="L45" i="12"/>
  <c r="K45" i="12"/>
  <c r="E45" i="12"/>
  <c r="J147" i="12" s="1"/>
  <c r="H147" i="12"/>
  <c r="R44" i="12"/>
  <c r="M44" i="12"/>
  <c r="D147" i="12"/>
  <c r="L44" i="12"/>
  <c r="K44" i="12"/>
  <c r="R43" i="12"/>
  <c r="M43" i="12"/>
  <c r="L43" i="12"/>
  <c r="C146" i="12" s="1"/>
  <c r="K43" i="12"/>
  <c r="B146" i="12"/>
  <c r="R42" i="12"/>
  <c r="M42" i="12"/>
  <c r="D146" i="12" s="1"/>
  <c r="L42" i="12"/>
  <c r="K42" i="12"/>
  <c r="R41" i="12"/>
  <c r="M41" i="12"/>
  <c r="L41" i="12"/>
  <c r="C145" i="12"/>
  <c r="K41" i="12"/>
  <c r="R40" i="12"/>
  <c r="M40" i="12"/>
  <c r="D145" i="12" s="1"/>
  <c r="L40" i="12"/>
  <c r="K40" i="12"/>
  <c r="N40" i="12" s="1"/>
  <c r="B145" i="12"/>
  <c r="R39" i="12"/>
  <c r="M39" i="12"/>
  <c r="L39" i="12"/>
  <c r="C144" i="12"/>
  <c r="K39" i="12"/>
  <c r="R38" i="12"/>
  <c r="M38" i="12"/>
  <c r="D144" i="12"/>
  <c r="L38" i="12"/>
  <c r="K38" i="12"/>
  <c r="R37" i="12"/>
  <c r="M37" i="12"/>
  <c r="L37" i="12"/>
  <c r="K37" i="12"/>
  <c r="E37" i="12"/>
  <c r="R36" i="12"/>
  <c r="M36" i="12"/>
  <c r="L36" i="12"/>
  <c r="K36" i="12"/>
  <c r="B143" i="12" s="1"/>
  <c r="R35" i="12"/>
  <c r="M35" i="12"/>
  <c r="L35" i="12"/>
  <c r="N35" i="12" s="1"/>
  <c r="K35" i="12"/>
  <c r="R34" i="12"/>
  <c r="M34" i="12"/>
  <c r="D142" i="12"/>
  <c r="L34" i="12"/>
  <c r="K34" i="12"/>
  <c r="R33" i="12"/>
  <c r="M33" i="12"/>
  <c r="L33" i="12"/>
  <c r="N33" i="12"/>
  <c r="K33" i="12"/>
  <c r="R32" i="12"/>
  <c r="M32" i="12"/>
  <c r="L32" i="12"/>
  <c r="K32" i="12"/>
  <c r="R31" i="12"/>
  <c r="M31" i="12"/>
  <c r="L31" i="12"/>
  <c r="K31" i="12"/>
  <c r="N31" i="12" s="1"/>
  <c r="E31" i="12"/>
  <c r="H140" i="12" s="1"/>
  <c r="R30" i="12"/>
  <c r="M30" i="12"/>
  <c r="L30" i="12"/>
  <c r="K30" i="12"/>
  <c r="R29" i="12"/>
  <c r="M29" i="12"/>
  <c r="L29" i="12"/>
  <c r="K29" i="12"/>
  <c r="N29" i="12" s="1"/>
  <c r="E29" i="12"/>
  <c r="J139" i="12"/>
  <c r="R28" i="12"/>
  <c r="M28" i="12"/>
  <c r="D139" i="12"/>
  <c r="L28" i="12"/>
  <c r="K28" i="12"/>
  <c r="N28" i="12"/>
  <c r="R27" i="12"/>
  <c r="M27" i="12"/>
  <c r="L27" i="12"/>
  <c r="K27" i="12"/>
  <c r="R26" i="12"/>
  <c r="M26" i="12"/>
  <c r="L26" i="12"/>
  <c r="C138" i="12" s="1"/>
  <c r="K26" i="12"/>
  <c r="B138" i="12"/>
  <c r="R25" i="12"/>
  <c r="M25" i="12"/>
  <c r="L25" i="12"/>
  <c r="K25" i="12"/>
  <c r="B137" i="12"/>
  <c r="N25" i="12"/>
  <c r="R24" i="12"/>
  <c r="M24" i="12"/>
  <c r="N24" i="12" s="1"/>
  <c r="D137" i="12"/>
  <c r="L24" i="12"/>
  <c r="K24" i="12"/>
  <c r="R23" i="12"/>
  <c r="M23" i="12"/>
  <c r="L23" i="12"/>
  <c r="K23" i="12"/>
  <c r="N23" i="12"/>
  <c r="E23" i="12"/>
  <c r="R22" i="12"/>
  <c r="M22" i="12"/>
  <c r="D136" i="12" s="1"/>
  <c r="L22" i="12"/>
  <c r="K22" i="12"/>
  <c r="R21" i="12"/>
  <c r="M21" i="12"/>
  <c r="L21" i="12"/>
  <c r="N21" i="12" s="1"/>
  <c r="K21" i="12"/>
  <c r="R20" i="12"/>
  <c r="M20" i="12"/>
  <c r="D135" i="12" s="1"/>
  <c r="L20" i="12"/>
  <c r="C135" i="12" s="1"/>
  <c r="K20" i="12"/>
  <c r="R19" i="12"/>
  <c r="M19" i="12"/>
  <c r="L19" i="12"/>
  <c r="K19" i="12"/>
  <c r="N19" i="12" s="1"/>
  <c r="R18" i="12"/>
  <c r="M18" i="12"/>
  <c r="D134" i="12" s="1"/>
  <c r="L18" i="12"/>
  <c r="C134" i="12" s="1"/>
  <c r="K18" i="12"/>
  <c r="B134" i="12" s="1"/>
  <c r="R17" i="12"/>
  <c r="M17" i="12"/>
  <c r="L17" i="12"/>
  <c r="C133" i="12" s="1"/>
  <c r="K17" i="12"/>
  <c r="R16" i="12"/>
  <c r="M16" i="12"/>
  <c r="D133" i="12" s="1"/>
  <c r="L16" i="12"/>
  <c r="K16" i="12"/>
  <c r="R15" i="12"/>
  <c r="M15" i="12"/>
  <c r="L15" i="12"/>
  <c r="K15" i="12"/>
  <c r="B132" i="12" s="1"/>
  <c r="E15" i="12"/>
  <c r="J132" i="12" s="1"/>
  <c r="T132" i="12"/>
  <c r="R14" i="12"/>
  <c r="M14" i="12"/>
  <c r="L14" i="12"/>
  <c r="K14" i="12"/>
  <c r="R13" i="12"/>
  <c r="M13" i="12"/>
  <c r="L13" i="12"/>
  <c r="N13" i="12"/>
  <c r="K13" i="12"/>
  <c r="R12" i="12"/>
  <c r="M12" i="12"/>
  <c r="D131" i="12" s="1"/>
  <c r="L12" i="12"/>
  <c r="K12" i="12"/>
  <c r="B131" i="12" s="1"/>
  <c r="R11" i="12"/>
  <c r="M11" i="12"/>
  <c r="L11" i="12"/>
  <c r="K11" i="12"/>
  <c r="N11" i="12"/>
  <c r="R10" i="12"/>
  <c r="M10" i="12"/>
  <c r="D130" i="12" s="1"/>
  <c r="L10" i="12"/>
  <c r="C130" i="12"/>
  <c r="K10" i="12"/>
  <c r="R9" i="12"/>
  <c r="M9" i="12"/>
  <c r="L9" i="12"/>
  <c r="K9" i="12"/>
  <c r="N9" i="12"/>
  <c r="R8" i="12"/>
  <c r="M8" i="12"/>
  <c r="D129" i="12" s="1"/>
  <c r="L8" i="12"/>
  <c r="K8" i="12"/>
  <c r="B129" i="12" s="1"/>
  <c r="N69" i="7"/>
  <c r="L143" i="7"/>
  <c r="T130" i="7"/>
  <c r="U130" i="7"/>
  <c r="T133" i="7"/>
  <c r="U133" i="7"/>
  <c r="T134" i="7"/>
  <c r="U134" i="7"/>
  <c r="T135" i="7"/>
  <c r="U135" i="7"/>
  <c r="T136" i="7"/>
  <c r="U136" i="7"/>
  <c r="T137" i="7"/>
  <c r="U137" i="7"/>
  <c r="T138" i="7"/>
  <c r="U138" i="7"/>
  <c r="T139" i="7"/>
  <c r="U139" i="7"/>
  <c r="T140" i="7"/>
  <c r="U140" i="7"/>
  <c r="T141" i="7"/>
  <c r="U141" i="7"/>
  <c r="T142" i="7"/>
  <c r="U142" i="7"/>
  <c r="T143" i="7"/>
  <c r="U143" i="7"/>
  <c r="T144" i="7"/>
  <c r="U144" i="7"/>
  <c r="T145" i="7"/>
  <c r="U145" i="7"/>
  <c r="T146" i="7"/>
  <c r="U146" i="7"/>
  <c r="T147" i="7"/>
  <c r="U147" i="7"/>
  <c r="T148" i="7"/>
  <c r="U148" i="7"/>
  <c r="T149" i="7"/>
  <c r="U149" i="7"/>
  <c r="T150" i="7"/>
  <c r="U150" i="7"/>
  <c r="T151" i="7"/>
  <c r="U151" i="7"/>
  <c r="T152" i="7"/>
  <c r="U152" i="7"/>
  <c r="T153" i="7"/>
  <c r="U153" i="7"/>
  <c r="T154" i="7"/>
  <c r="U154" i="7"/>
  <c r="T155" i="7"/>
  <c r="U155" i="7"/>
  <c r="T156" i="7"/>
  <c r="U156" i="7"/>
  <c r="U157" i="7"/>
  <c r="T158" i="7"/>
  <c r="U158" i="7"/>
  <c r="T159" i="7"/>
  <c r="U159" i="7"/>
  <c r="T162" i="7"/>
  <c r="U162" i="7"/>
  <c r="T166" i="7"/>
  <c r="U166" i="7"/>
  <c r="T170" i="7"/>
  <c r="U170" i="7"/>
  <c r="T174" i="7"/>
  <c r="U174" i="7"/>
  <c r="T176" i="7"/>
  <c r="U176" i="7"/>
  <c r="T178" i="7"/>
  <c r="U178" i="7"/>
  <c r="T179" i="7"/>
  <c r="U179" i="7"/>
  <c r="T180" i="7"/>
  <c r="U180" i="7"/>
  <c r="T181" i="7"/>
  <c r="U181" i="7"/>
  <c r="T182" i="7"/>
  <c r="U182" i="7"/>
  <c r="S182" i="7"/>
  <c r="S181" i="7"/>
  <c r="S180" i="7"/>
  <c r="S179" i="7"/>
  <c r="S178" i="7"/>
  <c r="S176" i="7"/>
  <c r="S174" i="7"/>
  <c r="S170" i="7"/>
  <c r="S166" i="7"/>
  <c r="S162" i="7"/>
  <c r="S159" i="7"/>
  <c r="S158" i="7"/>
  <c r="S157" i="7"/>
  <c r="S156" i="7"/>
  <c r="S155" i="7"/>
  <c r="S154" i="7"/>
  <c r="S153" i="7"/>
  <c r="S152" i="7"/>
  <c r="S151" i="7"/>
  <c r="S150" i="7"/>
  <c r="S149" i="7"/>
  <c r="S148" i="7"/>
  <c r="S147" i="7"/>
  <c r="S146" i="7"/>
  <c r="S145" i="7"/>
  <c r="S144" i="7"/>
  <c r="S143" i="7"/>
  <c r="S142" i="7"/>
  <c r="S141" i="7"/>
  <c r="S140" i="7"/>
  <c r="S139" i="7"/>
  <c r="S138" i="7"/>
  <c r="S137" i="7"/>
  <c r="S136" i="7"/>
  <c r="S135" i="7"/>
  <c r="S134" i="7"/>
  <c r="S133" i="7"/>
  <c r="B135" i="7"/>
  <c r="T163" i="5"/>
  <c r="U163" i="5"/>
  <c r="S163" i="5"/>
  <c r="N69" i="5"/>
  <c r="N70" i="5"/>
  <c r="R75" i="5"/>
  <c r="M75" i="5"/>
  <c r="L75" i="5"/>
  <c r="K75" i="5"/>
  <c r="N75" i="5" s="1"/>
  <c r="T130" i="5"/>
  <c r="U130" i="5"/>
  <c r="T133" i="5"/>
  <c r="U133" i="5"/>
  <c r="T134" i="5"/>
  <c r="U134" i="5"/>
  <c r="T135" i="5"/>
  <c r="U135" i="5"/>
  <c r="T136" i="5"/>
  <c r="U136" i="5"/>
  <c r="T138" i="5"/>
  <c r="U138" i="5"/>
  <c r="T140" i="5"/>
  <c r="U140" i="5"/>
  <c r="T142" i="5"/>
  <c r="U142" i="5"/>
  <c r="T143" i="5"/>
  <c r="U143" i="5"/>
  <c r="T144" i="5"/>
  <c r="U144" i="5"/>
  <c r="T146" i="5"/>
  <c r="U146" i="5"/>
  <c r="T147" i="5"/>
  <c r="U147" i="5"/>
  <c r="T148" i="5"/>
  <c r="U148" i="5"/>
  <c r="T149" i="5"/>
  <c r="U149" i="5"/>
  <c r="T150" i="5"/>
  <c r="U150" i="5"/>
  <c r="T154" i="5"/>
  <c r="U154" i="5"/>
  <c r="T155" i="5"/>
  <c r="U155" i="5"/>
  <c r="T158" i="5"/>
  <c r="U158" i="5"/>
  <c r="T162" i="5"/>
  <c r="U162" i="5"/>
  <c r="T166" i="5"/>
  <c r="U166" i="5"/>
  <c r="T167" i="5"/>
  <c r="U167" i="5"/>
  <c r="T170" i="5"/>
  <c r="U170" i="5"/>
  <c r="T174" i="5"/>
  <c r="U174" i="5"/>
  <c r="T178" i="5"/>
  <c r="U178" i="5"/>
  <c r="T179" i="5"/>
  <c r="U179" i="5"/>
  <c r="T180" i="5"/>
  <c r="U180" i="5"/>
  <c r="T181" i="5"/>
  <c r="U181" i="5"/>
  <c r="T182" i="5"/>
  <c r="U182" i="5"/>
  <c r="S182" i="5"/>
  <c r="S181" i="5"/>
  <c r="S180" i="5"/>
  <c r="S179" i="5"/>
  <c r="S178" i="5"/>
  <c r="S174" i="5"/>
  <c r="S170" i="5"/>
  <c r="S167" i="5"/>
  <c r="S166" i="5"/>
  <c r="S162" i="5"/>
  <c r="S158" i="5"/>
  <c r="S155" i="5"/>
  <c r="S154" i="5"/>
  <c r="S150" i="5"/>
  <c r="S149" i="5"/>
  <c r="S148" i="5"/>
  <c r="S147" i="5"/>
  <c r="S146" i="5"/>
  <c r="S144" i="5"/>
  <c r="S143" i="5"/>
  <c r="S142" i="5"/>
  <c r="S140" i="5"/>
  <c r="S138" i="5"/>
  <c r="S136" i="5"/>
  <c r="S135" i="5"/>
  <c r="S134" i="5"/>
  <c r="S133" i="5"/>
  <c r="T135" i="3"/>
  <c r="U135" i="3"/>
  <c r="T136" i="3"/>
  <c r="U136" i="3"/>
  <c r="T137" i="3"/>
  <c r="U137" i="3"/>
  <c r="T138" i="3"/>
  <c r="U138" i="3"/>
  <c r="T139" i="3"/>
  <c r="U139" i="3"/>
  <c r="T140" i="3"/>
  <c r="U140" i="3"/>
  <c r="T141" i="3"/>
  <c r="U141" i="3"/>
  <c r="T142" i="3"/>
  <c r="U142" i="3"/>
  <c r="T143" i="3"/>
  <c r="U143" i="3"/>
  <c r="T144" i="3"/>
  <c r="U144" i="3"/>
  <c r="T145" i="3"/>
  <c r="U145" i="3"/>
  <c r="T146" i="3"/>
  <c r="U146" i="3"/>
  <c r="T147" i="3"/>
  <c r="U147" i="3"/>
  <c r="T148" i="3"/>
  <c r="U148" i="3"/>
  <c r="T149" i="3"/>
  <c r="U149" i="3"/>
  <c r="T150" i="3"/>
  <c r="U150" i="3"/>
  <c r="T151" i="3"/>
  <c r="U151" i="3"/>
  <c r="T152" i="3"/>
  <c r="U152" i="3"/>
  <c r="T153" i="3"/>
  <c r="U153" i="3"/>
  <c r="T154" i="3"/>
  <c r="U154" i="3"/>
  <c r="T155" i="3"/>
  <c r="U155" i="3"/>
  <c r="T156" i="3"/>
  <c r="U156" i="3"/>
  <c r="T157" i="3"/>
  <c r="U157" i="3"/>
  <c r="T158" i="3"/>
  <c r="U158" i="3"/>
  <c r="T159" i="3"/>
  <c r="U159" i="3"/>
  <c r="T160" i="3"/>
  <c r="U160" i="3"/>
  <c r="T162" i="3"/>
  <c r="U162" i="3"/>
  <c r="T163" i="3"/>
  <c r="U163" i="3"/>
  <c r="T167" i="3"/>
  <c r="U167" i="3"/>
  <c r="T171" i="3"/>
  <c r="U171" i="3"/>
  <c r="T175" i="3"/>
  <c r="U175" i="3"/>
  <c r="T178" i="3"/>
  <c r="U178" i="3"/>
  <c r="T179" i="3"/>
  <c r="U179" i="3"/>
  <c r="T183" i="3"/>
  <c r="U183" i="3"/>
  <c r="T184" i="3"/>
  <c r="U184" i="3"/>
  <c r="T186" i="3"/>
  <c r="U186" i="3"/>
  <c r="T187" i="3"/>
  <c r="U187" i="3"/>
  <c r="S186" i="3"/>
  <c r="S184" i="3"/>
  <c r="S183" i="3"/>
  <c r="S179" i="3"/>
  <c r="S178" i="3"/>
  <c r="S175" i="3"/>
  <c r="S171" i="3"/>
  <c r="S167" i="3"/>
  <c r="S163" i="3"/>
  <c r="S162" i="3"/>
  <c r="S160" i="3"/>
  <c r="S159" i="3"/>
  <c r="S158" i="3"/>
  <c r="S157" i="3"/>
  <c r="S156" i="3"/>
  <c r="S155" i="3"/>
  <c r="S154" i="3"/>
  <c r="S153" i="3"/>
  <c r="S152" i="3"/>
  <c r="S151" i="3"/>
  <c r="S150" i="3"/>
  <c r="S149" i="3"/>
  <c r="S148" i="3"/>
  <c r="S147" i="3"/>
  <c r="S146" i="3"/>
  <c r="S145" i="3"/>
  <c r="S144" i="3"/>
  <c r="S143" i="3"/>
  <c r="S142" i="3"/>
  <c r="S141" i="3"/>
  <c r="S140" i="3"/>
  <c r="S139" i="3"/>
  <c r="S138" i="3"/>
  <c r="S137" i="3"/>
  <c r="S136" i="3"/>
  <c r="R46" i="13"/>
  <c r="R47" i="13"/>
  <c r="H159" i="13" s="1"/>
  <c r="R48" i="13"/>
  <c r="R49" i="13"/>
  <c r="R50" i="13"/>
  <c r="R51" i="13"/>
  <c r="J161" i="13"/>
  <c r="H161" i="13"/>
  <c r="R52" i="13"/>
  <c r="R53" i="13"/>
  <c r="R54" i="13"/>
  <c r="J163" i="13"/>
  <c r="R55" i="13"/>
  <c r="R56" i="13"/>
  <c r="H164" i="13"/>
  <c r="R57" i="13"/>
  <c r="L164" i="13"/>
  <c r="R58" i="13"/>
  <c r="R59" i="13"/>
  <c r="R60" i="13"/>
  <c r="R61" i="13"/>
  <c r="L166" i="13"/>
  <c r="R62" i="13"/>
  <c r="R63" i="13"/>
  <c r="L167" i="13"/>
  <c r="J167" i="13"/>
  <c r="R64" i="13"/>
  <c r="H168" i="13"/>
  <c r="R65" i="13"/>
  <c r="R66" i="13"/>
  <c r="R67" i="13"/>
  <c r="R68" i="13"/>
  <c r="R69" i="13"/>
  <c r="J170" i="13" s="1"/>
  <c r="R70" i="13"/>
  <c r="R71" i="13"/>
  <c r="R72" i="13"/>
  <c r="H171" i="13" s="1"/>
  <c r="R73" i="13"/>
  <c r="J172" i="13"/>
  <c r="R74" i="13"/>
  <c r="R75" i="13"/>
  <c r="R76" i="13"/>
  <c r="R77" i="13"/>
  <c r="R78" i="13"/>
  <c r="R79" i="13"/>
  <c r="R80" i="13"/>
  <c r="R81" i="13"/>
  <c r="R82" i="13"/>
  <c r="R83" i="13"/>
  <c r="R84" i="13"/>
  <c r="R85" i="13"/>
  <c r="R86" i="13"/>
  <c r="R87" i="13"/>
  <c r="R88" i="13"/>
  <c r="R89" i="13"/>
  <c r="R90" i="13"/>
  <c r="R91" i="13"/>
  <c r="R92" i="13"/>
  <c r="R93" i="13"/>
  <c r="R94" i="13"/>
  <c r="H180" i="13"/>
  <c r="R95" i="13"/>
  <c r="R96" i="13"/>
  <c r="R97" i="13"/>
  <c r="R98" i="13"/>
  <c r="R99" i="13"/>
  <c r="R100" i="13"/>
  <c r="R101" i="13"/>
  <c r="J184" i="13" s="1"/>
  <c r="R102" i="13"/>
  <c r="R103" i="13"/>
  <c r="R104" i="13"/>
  <c r="R105" i="13"/>
  <c r="R106" i="13"/>
  <c r="R107" i="13"/>
  <c r="R108" i="13"/>
  <c r="R109" i="13"/>
  <c r="R110" i="13"/>
  <c r="J188" i="13" s="1"/>
  <c r="R111" i="13"/>
  <c r="R112" i="13"/>
  <c r="R113" i="13"/>
  <c r="R114" i="13"/>
  <c r="J190" i="13" s="1"/>
  <c r="R115" i="13"/>
  <c r="R116" i="13"/>
  <c r="R117" i="13"/>
  <c r="R118" i="13"/>
  <c r="J192" i="13"/>
  <c r="R119" i="13"/>
  <c r="R120" i="13"/>
  <c r="R121" i="13"/>
  <c r="R122" i="13"/>
  <c r="R123" i="13"/>
  <c r="R124" i="13"/>
  <c r="J195" i="13"/>
  <c r="H195" i="13"/>
  <c r="R125" i="13"/>
  <c r="H196" i="13" s="1"/>
  <c r="R126" i="13"/>
  <c r="R127" i="13"/>
  <c r="R45" i="13"/>
  <c r="L158" i="13"/>
  <c r="M80" i="13"/>
  <c r="L80" i="13"/>
  <c r="N80" i="13"/>
  <c r="K80" i="13"/>
  <c r="N126" i="13"/>
  <c r="M75" i="13"/>
  <c r="L75" i="13"/>
  <c r="K75" i="13"/>
  <c r="M76" i="13"/>
  <c r="L76" i="13"/>
  <c r="K76" i="13"/>
  <c r="M67" i="13"/>
  <c r="L67" i="13"/>
  <c r="K67" i="13"/>
  <c r="N67" i="13"/>
  <c r="T179" i="1"/>
  <c r="U179" i="1"/>
  <c r="T180" i="1"/>
  <c r="U180" i="1"/>
  <c r="T183" i="1"/>
  <c r="U183" i="1"/>
  <c r="S183" i="1"/>
  <c r="S180" i="1"/>
  <c r="S179" i="1"/>
  <c r="T140" i="1"/>
  <c r="U140" i="1"/>
  <c r="T145" i="1"/>
  <c r="U145" i="1"/>
  <c r="T149" i="1"/>
  <c r="U149" i="1"/>
  <c r="T151" i="1"/>
  <c r="U151" i="1"/>
  <c r="S151" i="1"/>
  <c r="S149" i="1"/>
  <c r="S145" i="1"/>
  <c r="S140" i="1"/>
  <c r="M47" i="38"/>
  <c r="L47" i="38"/>
  <c r="K47" i="38"/>
  <c r="M46" i="38"/>
  <c r="L46" i="38"/>
  <c r="K46" i="38"/>
  <c r="M36" i="38"/>
  <c r="L36" i="38"/>
  <c r="K36" i="38"/>
  <c r="R10" i="37"/>
  <c r="R11" i="37"/>
  <c r="J74" i="37"/>
  <c r="R12" i="37"/>
  <c r="R13" i="37"/>
  <c r="R16" i="37"/>
  <c r="H76" i="37" s="1"/>
  <c r="R20" i="37"/>
  <c r="J77" i="37" s="1"/>
  <c r="R21" i="37"/>
  <c r="R22" i="37"/>
  <c r="R23" i="37"/>
  <c r="H79" i="37"/>
  <c r="R24" i="37"/>
  <c r="R27" i="37"/>
  <c r="R28" i="37"/>
  <c r="R29" i="37"/>
  <c r="R30" i="37"/>
  <c r="R31" i="37"/>
  <c r="R32" i="37"/>
  <c r="R33" i="37"/>
  <c r="R34" i="37"/>
  <c r="R35" i="37"/>
  <c r="J84" i="37" s="1"/>
  <c r="R36" i="37"/>
  <c r="R37" i="37"/>
  <c r="J85" i="37" s="1"/>
  <c r="R38" i="37"/>
  <c r="R39" i="37"/>
  <c r="R40" i="37"/>
  <c r="H86" i="37" s="1"/>
  <c r="R41" i="37"/>
  <c r="L87" i="37"/>
  <c r="R42" i="37"/>
  <c r="R43" i="37"/>
  <c r="L88" i="37" s="1"/>
  <c r="R45" i="37"/>
  <c r="R46" i="37"/>
  <c r="R47" i="37"/>
  <c r="R48" i="37"/>
  <c r="L89" i="37" s="1"/>
  <c r="R49" i="37"/>
  <c r="R50" i="37"/>
  <c r="H90" i="37" s="1"/>
  <c r="L90" i="37"/>
  <c r="R51" i="37"/>
  <c r="R52" i="37"/>
  <c r="J91" i="37" s="1"/>
  <c r="R53" i="37"/>
  <c r="R54" i="37"/>
  <c r="J92" i="37" s="1"/>
  <c r="R55" i="37"/>
  <c r="H93" i="37" s="1"/>
  <c r="R56" i="37"/>
  <c r="J93" i="37"/>
  <c r="R57" i="37"/>
  <c r="J94" i="37" s="1"/>
  <c r="R58" i="37"/>
  <c r="M45" i="37"/>
  <c r="L45" i="37"/>
  <c r="K45" i="37"/>
  <c r="N45" i="37" s="1"/>
  <c r="R7" i="36"/>
  <c r="H86" i="36"/>
  <c r="R8" i="36"/>
  <c r="R9" i="36"/>
  <c r="R10" i="36"/>
  <c r="R11" i="36"/>
  <c r="L88" i="36"/>
  <c r="R12" i="36"/>
  <c r="R13" i="36"/>
  <c r="R14" i="36"/>
  <c r="L90" i="36"/>
  <c r="R15" i="36"/>
  <c r="R16" i="36"/>
  <c r="R17" i="36"/>
  <c r="R18" i="36"/>
  <c r="J92" i="36"/>
  <c r="R19" i="36"/>
  <c r="R23" i="36"/>
  <c r="H94" i="36"/>
  <c r="R26" i="36"/>
  <c r="R27" i="36"/>
  <c r="H95" i="36" s="1"/>
  <c r="R28" i="36"/>
  <c r="R29" i="36"/>
  <c r="R30" i="36"/>
  <c r="H97" i="36" s="1"/>
  <c r="R31" i="36"/>
  <c r="R32" i="36"/>
  <c r="R33" i="36"/>
  <c r="J98" i="36" s="1"/>
  <c r="R34" i="36"/>
  <c r="R35" i="36"/>
  <c r="R36" i="36"/>
  <c r="R37" i="36"/>
  <c r="R38" i="36"/>
  <c r="H101" i="36" s="1"/>
  <c r="R39" i="36"/>
  <c r="R40" i="36"/>
  <c r="R41" i="36"/>
  <c r="R42" i="36"/>
  <c r="R43" i="36"/>
  <c r="R44" i="36"/>
  <c r="R48" i="36"/>
  <c r="J104" i="36" s="1"/>
  <c r="L104" i="36"/>
  <c r="R49" i="36"/>
  <c r="R50" i="36"/>
  <c r="R51" i="36"/>
  <c r="R52" i="36"/>
  <c r="R53" i="36"/>
  <c r="R54" i="36"/>
  <c r="R55" i="36"/>
  <c r="R56" i="36"/>
  <c r="R57" i="36"/>
  <c r="R58" i="36"/>
  <c r="R59" i="36"/>
  <c r="R60" i="36"/>
  <c r="R61" i="36"/>
  <c r="R62" i="36"/>
  <c r="R63" i="36"/>
  <c r="R64" i="36"/>
  <c r="M62" i="36"/>
  <c r="K62" i="36"/>
  <c r="M61" i="36"/>
  <c r="L61" i="36"/>
  <c r="K61" i="36"/>
  <c r="M60" i="36"/>
  <c r="L60" i="36"/>
  <c r="K60" i="36"/>
  <c r="M57" i="36"/>
  <c r="L57" i="36"/>
  <c r="K57" i="36"/>
  <c r="M56" i="36"/>
  <c r="L56" i="36"/>
  <c r="K56" i="36"/>
  <c r="M53" i="36"/>
  <c r="L53" i="36"/>
  <c r="K53" i="36"/>
  <c r="M50" i="36"/>
  <c r="L50" i="36"/>
  <c r="K50" i="36"/>
  <c r="M41" i="36"/>
  <c r="L41" i="36"/>
  <c r="K41" i="36"/>
  <c r="N41" i="36" s="1"/>
  <c r="M40" i="36"/>
  <c r="L40" i="36"/>
  <c r="K40" i="36"/>
  <c r="R7" i="35"/>
  <c r="L99" i="35"/>
  <c r="H99" i="35"/>
  <c r="R8" i="35"/>
  <c r="J100" i="35"/>
  <c r="R9" i="35"/>
  <c r="R11" i="35"/>
  <c r="J101" i="35"/>
  <c r="R7" i="34"/>
  <c r="L69" i="34"/>
  <c r="R8" i="34"/>
  <c r="R9" i="34"/>
  <c r="R10" i="34"/>
  <c r="R11" i="34"/>
  <c r="R12" i="34"/>
  <c r="L72" i="34"/>
  <c r="R13" i="34"/>
  <c r="H72" i="34"/>
  <c r="R14" i="34"/>
  <c r="J73" i="34" s="1"/>
  <c r="L73" i="34"/>
  <c r="R15" i="34"/>
  <c r="R26" i="34"/>
  <c r="L78" i="34" s="1"/>
  <c r="R27" i="34"/>
  <c r="R28" i="34"/>
  <c r="R29" i="34"/>
  <c r="R30" i="34"/>
  <c r="R31" i="34"/>
  <c r="R32" i="34"/>
  <c r="L81" i="34" s="1"/>
  <c r="R33" i="34"/>
  <c r="R34" i="34"/>
  <c r="R35" i="34"/>
  <c r="R36" i="34"/>
  <c r="R37" i="34"/>
  <c r="R38" i="34"/>
  <c r="R39" i="34"/>
  <c r="R40" i="34"/>
  <c r="R41" i="34"/>
  <c r="R42" i="34"/>
  <c r="R43" i="34"/>
  <c r="R44" i="34"/>
  <c r="R51" i="34"/>
  <c r="L88" i="34" s="1"/>
  <c r="R52" i="34"/>
  <c r="R53" i="34"/>
  <c r="J89" i="34"/>
  <c r="H89" i="34"/>
  <c r="M43" i="34"/>
  <c r="L43" i="34"/>
  <c r="K43" i="34"/>
  <c r="N43" i="34" s="1"/>
  <c r="M42" i="34"/>
  <c r="L42" i="34"/>
  <c r="K42" i="34"/>
  <c r="N42" i="34"/>
  <c r="M37" i="34"/>
  <c r="L37" i="34"/>
  <c r="K37" i="34"/>
  <c r="M32" i="34"/>
  <c r="L32" i="34"/>
  <c r="K32" i="34"/>
  <c r="R8" i="32"/>
  <c r="R9" i="32"/>
  <c r="R10" i="32"/>
  <c r="R11" i="32"/>
  <c r="L70" i="32"/>
  <c r="R12" i="32"/>
  <c r="H70" i="32" s="1"/>
  <c r="R13" i="32"/>
  <c r="R14" i="32"/>
  <c r="R15" i="32"/>
  <c r="R16" i="32"/>
  <c r="H72" i="32" s="1"/>
  <c r="R17" i="32"/>
  <c r="R18" i="32"/>
  <c r="H73" i="32" s="1"/>
  <c r="N73" i="32" s="1"/>
  <c r="R19" i="32"/>
  <c r="H74" i="32"/>
  <c r="R20" i="32"/>
  <c r="L74" i="32"/>
  <c r="R21" i="32"/>
  <c r="R22" i="32"/>
  <c r="R23" i="32"/>
  <c r="R24" i="32"/>
  <c r="R25" i="32"/>
  <c r="J77" i="32"/>
  <c r="R26" i="32"/>
  <c r="R27" i="32"/>
  <c r="R28" i="32"/>
  <c r="R29" i="32"/>
  <c r="J79" i="32" s="1"/>
  <c r="H79" i="32"/>
  <c r="R30" i="32"/>
  <c r="R31" i="32"/>
  <c r="J80" i="32" s="1"/>
  <c r="R32" i="32"/>
  <c r="R33" i="32"/>
  <c r="R34" i="32"/>
  <c r="H81" i="32"/>
  <c r="R35" i="32"/>
  <c r="J82" i="32" s="1"/>
  <c r="R37" i="32"/>
  <c r="H83" i="32" s="1"/>
  <c r="R38" i="32"/>
  <c r="R39" i="32"/>
  <c r="J84" i="32" s="1"/>
  <c r="N84" i="32" s="1"/>
  <c r="R40" i="32"/>
  <c r="L84" i="32" s="1"/>
  <c r="R41" i="32"/>
  <c r="J85" i="32"/>
  <c r="R42" i="32"/>
  <c r="R43" i="32"/>
  <c r="R44" i="32"/>
  <c r="R45" i="32"/>
  <c r="J86" i="32" s="1"/>
  <c r="R46" i="32"/>
  <c r="H87" i="32"/>
  <c r="R47" i="32"/>
  <c r="R48" i="32"/>
  <c r="R49" i="32"/>
  <c r="J88" i="32" s="1"/>
  <c r="R50" i="32"/>
  <c r="R51" i="32"/>
  <c r="R52" i="32"/>
  <c r="R53" i="32"/>
  <c r="R36" i="32"/>
  <c r="M52" i="32"/>
  <c r="D90" i="32" s="1"/>
  <c r="L52" i="32"/>
  <c r="C90" i="32" s="1"/>
  <c r="M43" i="32"/>
  <c r="L43" i="32"/>
  <c r="N43" i="32"/>
  <c r="K43" i="32"/>
  <c r="R31" i="31"/>
  <c r="J77" i="31"/>
  <c r="R32" i="31"/>
  <c r="R33" i="31"/>
  <c r="L78" i="31" s="1"/>
  <c r="R34" i="31"/>
  <c r="R35" i="31"/>
  <c r="R36" i="31"/>
  <c r="R37" i="31"/>
  <c r="R38" i="31"/>
  <c r="R39" i="31"/>
  <c r="L81" i="31"/>
  <c r="R40" i="31"/>
  <c r="R41" i="31"/>
  <c r="J82" i="31" s="1"/>
  <c r="R42" i="31"/>
  <c r="R43" i="31"/>
  <c r="L83" i="31" s="1"/>
  <c r="R44" i="31"/>
  <c r="R45" i="31"/>
  <c r="L84" i="31" s="1"/>
  <c r="R46" i="31"/>
  <c r="H84" i="31"/>
  <c r="R47" i="31"/>
  <c r="J85" i="31"/>
  <c r="R48" i="31"/>
  <c r="R30" i="31"/>
  <c r="J76" i="31"/>
  <c r="M13" i="31"/>
  <c r="L13" i="31"/>
  <c r="K13" i="31"/>
  <c r="B68" i="31" s="1"/>
  <c r="R7" i="29"/>
  <c r="J72" i="29" s="1"/>
  <c r="R8" i="29"/>
  <c r="R9" i="29"/>
  <c r="R10" i="29"/>
  <c r="J74" i="29" s="1"/>
  <c r="R11" i="29"/>
  <c r="L74" i="29" s="1"/>
  <c r="R12" i="29"/>
  <c r="H75" i="29" s="1"/>
  <c r="J75" i="29"/>
  <c r="R13" i="29"/>
  <c r="R14" i="29"/>
  <c r="H76" i="29" s="1"/>
  <c r="R15" i="29"/>
  <c r="R16" i="29"/>
  <c r="R17" i="29"/>
  <c r="H77" i="29" s="1"/>
  <c r="R18" i="29"/>
  <c r="R19" i="29"/>
  <c r="R20" i="29"/>
  <c r="R21" i="29"/>
  <c r="H79" i="29" s="1"/>
  <c r="R22" i="29"/>
  <c r="R24" i="29"/>
  <c r="R25" i="29"/>
  <c r="L81" i="29" s="1"/>
  <c r="R27" i="29"/>
  <c r="R28" i="29"/>
  <c r="J82" i="29" s="1"/>
  <c r="L82" i="29"/>
  <c r="R29" i="29"/>
  <c r="R30" i="29"/>
  <c r="R31" i="29"/>
  <c r="R32" i="29"/>
  <c r="L84" i="29" s="1"/>
  <c r="R33" i="29"/>
  <c r="H84" i="29" s="1"/>
  <c r="R34" i="29"/>
  <c r="R36" i="29"/>
  <c r="R37" i="29"/>
  <c r="R38" i="29"/>
  <c r="R39" i="29"/>
  <c r="R42" i="29"/>
  <c r="R43" i="29"/>
  <c r="R44" i="29"/>
  <c r="R45" i="29"/>
  <c r="R46" i="29"/>
  <c r="H89" i="29" s="1"/>
  <c r="R47" i="29"/>
  <c r="R48" i="29"/>
  <c r="L90" i="29" s="1"/>
  <c r="R49" i="29"/>
  <c r="H91" i="29" s="1"/>
  <c r="R50" i="29"/>
  <c r="R51" i="29"/>
  <c r="R52" i="29"/>
  <c r="J92" i="29" s="1"/>
  <c r="R53" i="29"/>
  <c r="R55" i="29"/>
  <c r="L94" i="29" s="1"/>
  <c r="R56" i="29"/>
  <c r="R57" i="29"/>
  <c r="J94" i="29" s="1"/>
  <c r="M55" i="29"/>
  <c r="D94" i="29" s="1"/>
  <c r="L55" i="29"/>
  <c r="C94" i="29" s="1"/>
  <c r="K55" i="29"/>
  <c r="N55" i="29" s="1"/>
  <c r="R7" i="30"/>
  <c r="L61" i="30"/>
  <c r="R8" i="30"/>
  <c r="R9" i="30"/>
  <c r="R10" i="30"/>
  <c r="R11" i="30"/>
  <c r="R12" i="30"/>
  <c r="J63" i="30"/>
  <c r="R13" i="30"/>
  <c r="R14" i="30"/>
  <c r="R15" i="30"/>
  <c r="R16" i="30"/>
  <c r="H65" i="30" s="1"/>
  <c r="R17" i="30"/>
  <c r="R18" i="30"/>
  <c r="R19" i="30"/>
  <c r="R20" i="30"/>
  <c r="R21" i="30"/>
  <c r="R22" i="30"/>
  <c r="H68" i="30" s="1"/>
  <c r="N68" i="30" s="1"/>
  <c r="R23" i="30"/>
  <c r="R24" i="30"/>
  <c r="R25" i="30"/>
  <c r="R26" i="30"/>
  <c r="R27" i="30"/>
  <c r="R28" i="30"/>
  <c r="R29" i="30"/>
  <c r="R30" i="30"/>
  <c r="R31" i="30"/>
  <c r="R32" i="30"/>
  <c r="J71" i="30" s="1"/>
  <c r="R33" i="30"/>
  <c r="R34" i="30"/>
  <c r="R35" i="30"/>
  <c r="J73" i="30" s="1"/>
  <c r="R36" i="30"/>
  <c r="L73" i="30"/>
  <c r="R8" i="28"/>
  <c r="R9" i="28"/>
  <c r="R10" i="28"/>
  <c r="J75" i="28" s="1"/>
  <c r="R11" i="28"/>
  <c r="L76" i="28" s="1"/>
  <c r="J76" i="28"/>
  <c r="R12" i="28"/>
  <c r="R13" i="28"/>
  <c r="R14" i="28"/>
  <c r="R15" i="28"/>
  <c r="R16" i="28"/>
  <c r="R17" i="28"/>
  <c r="R18" i="28"/>
  <c r="J79" i="28"/>
  <c r="R19" i="28"/>
  <c r="J80" i="28" s="1"/>
  <c r="N80" i="28" s="1"/>
  <c r="R20" i="28"/>
  <c r="R21" i="28"/>
  <c r="R23" i="28"/>
  <c r="R24" i="28"/>
  <c r="H82" i="28" s="1"/>
  <c r="L82" i="28"/>
  <c r="R25" i="28"/>
  <c r="R26" i="28"/>
  <c r="H83" i="28" s="1"/>
  <c r="R27" i="28"/>
  <c r="R28" i="28"/>
  <c r="R29" i="28"/>
  <c r="J84" i="28" s="1"/>
  <c r="R30" i="28"/>
  <c r="R31" i="28"/>
  <c r="R32" i="28"/>
  <c r="J86" i="28" s="1"/>
  <c r="R33" i="28"/>
  <c r="R34" i="28"/>
  <c r="L87" i="28" s="1"/>
  <c r="R35" i="28"/>
  <c r="R36" i="28"/>
  <c r="J88" i="28" s="1"/>
  <c r="R37" i="28"/>
  <c r="R38" i="28"/>
  <c r="R39" i="28"/>
  <c r="R40" i="28"/>
  <c r="R41" i="28"/>
  <c r="R42" i="28"/>
  <c r="R43" i="28"/>
  <c r="R44" i="28"/>
  <c r="R45" i="28"/>
  <c r="R46" i="28"/>
  <c r="J92" i="28" s="1"/>
  <c r="R47" i="28"/>
  <c r="H93" i="28" s="1"/>
  <c r="R48" i="28"/>
  <c r="R49" i="28"/>
  <c r="R50" i="28"/>
  <c r="R51" i="28"/>
  <c r="R52" i="28"/>
  <c r="R53" i="28"/>
  <c r="H95" i="28" s="1"/>
  <c r="R54" i="28"/>
  <c r="R55" i="28"/>
  <c r="R56" i="28"/>
  <c r="M30" i="30"/>
  <c r="D71" i="30" s="1"/>
  <c r="L30" i="30"/>
  <c r="K30" i="30"/>
  <c r="N30" i="30"/>
  <c r="M29" i="30"/>
  <c r="L29" i="30"/>
  <c r="K29" i="30"/>
  <c r="M24" i="30"/>
  <c r="L24" i="30"/>
  <c r="K24" i="30"/>
  <c r="N24" i="30" s="1"/>
  <c r="M14" i="30"/>
  <c r="L14" i="30"/>
  <c r="K14" i="30"/>
  <c r="N14" i="30" s="1"/>
  <c r="M8" i="30"/>
  <c r="L8" i="30"/>
  <c r="C62" i="30" s="1"/>
  <c r="K8" i="30"/>
  <c r="E48" i="28"/>
  <c r="U93" i="28" s="1"/>
  <c r="E39" i="28"/>
  <c r="U89" i="28" s="1"/>
  <c r="E33" i="28"/>
  <c r="S86" i="28" s="1"/>
  <c r="W86" i="28" s="1"/>
  <c r="T86" i="28"/>
  <c r="M50" i="28"/>
  <c r="L50" i="28"/>
  <c r="K50" i="28"/>
  <c r="M49" i="28"/>
  <c r="D94" i="28" s="1"/>
  <c r="L49" i="28"/>
  <c r="K49" i="28"/>
  <c r="B94" i="28" s="1"/>
  <c r="N49" i="28"/>
  <c r="M39" i="28"/>
  <c r="L39" i="28"/>
  <c r="K39" i="28"/>
  <c r="M51" i="38"/>
  <c r="L51" i="38"/>
  <c r="K51" i="38"/>
  <c r="M50" i="38"/>
  <c r="L50" i="38"/>
  <c r="K50" i="38"/>
  <c r="M49" i="38"/>
  <c r="L49" i="38"/>
  <c r="K49" i="38"/>
  <c r="M48" i="38"/>
  <c r="L48" i="38"/>
  <c r="K48" i="38"/>
  <c r="M45" i="38"/>
  <c r="L45" i="38"/>
  <c r="K45" i="38"/>
  <c r="M44" i="38"/>
  <c r="L44" i="38"/>
  <c r="K44" i="38"/>
  <c r="M43" i="38"/>
  <c r="L43" i="38"/>
  <c r="K43" i="38"/>
  <c r="M42" i="38"/>
  <c r="L42" i="38"/>
  <c r="K42" i="38"/>
  <c r="M41" i="38"/>
  <c r="L41" i="38"/>
  <c r="K41" i="38"/>
  <c r="M40" i="38"/>
  <c r="D87" i="38" s="1"/>
  <c r="L40" i="38"/>
  <c r="K40" i="38"/>
  <c r="M39" i="38"/>
  <c r="L39" i="38"/>
  <c r="K39" i="38"/>
  <c r="M38" i="38"/>
  <c r="L38" i="38"/>
  <c r="C86" i="38" s="1"/>
  <c r="K38" i="38"/>
  <c r="N38" i="38" s="1"/>
  <c r="M37" i="38"/>
  <c r="L37" i="38"/>
  <c r="K37" i="38"/>
  <c r="M35" i="38"/>
  <c r="L35" i="38"/>
  <c r="K35" i="38"/>
  <c r="M34" i="38"/>
  <c r="L34" i="38"/>
  <c r="K34" i="38"/>
  <c r="M33" i="38"/>
  <c r="L33" i="38"/>
  <c r="K33" i="38"/>
  <c r="M31" i="38"/>
  <c r="L31" i="38"/>
  <c r="K31" i="38"/>
  <c r="N31" i="38" s="1"/>
  <c r="M30" i="38"/>
  <c r="L30" i="38"/>
  <c r="K30" i="38"/>
  <c r="M29" i="38"/>
  <c r="L29" i="38"/>
  <c r="K29" i="38"/>
  <c r="M28" i="38"/>
  <c r="L28" i="38"/>
  <c r="K28" i="38"/>
  <c r="M27" i="38"/>
  <c r="L27" i="38"/>
  <c r="K27" i="38"/>
  <c r="M26" i="38"/>
  <c r="L26" i="38"/>
  <c r="K26" i="38"/>
  <c r="B81" i="38" s="1"/>
  <c r="M24" i="38"/>
  <c r="L24" i="38"/>
  <c r="K24" i="38"/>
  <c r="M23" i="38"/>
  <c r="L23" i="38"/>
  <c r="K23" i="38"/>
  <c r="M20" i="38"/>
  <c r="L20" i="38"/>
  <c r="K20" i="38"/>
  <c r="N20" i="38" s="1"/>
  <c r="M19" i="38"/>
  <c r="L19" i="38"/>
  <c r="K19" i="38"/>
  <c r="N19" i="38" s="1"/>
  <c r="M18" i="38"/>
  <c r="L18" i="38"/>
  <c r="K18" i="38"/>
  <c r="M17" i="38"/>
  <c r="L17" i="38"/>
  <c r="K17" i="38"/>
  <c r="M16" i="38"/>
  <c r="L16" i="38"/>
  <c r="K16" i="38"/>
  <c r="M15" i="38"/>
  <c r="L15" i="38"/>
  <c r="K15" i="38"/>
  <c r="M14" i="38"/>
  <c r="L14" i="38"/>
  <c r="K14" i="38"/>
  <c r="M13" i="38"/>
  <c r="L13" i="38"/>
  <c r="K13" i="38"/>
  <c r="M12" i="38"/>
  <c r="L12" i="38"/>
  <c r="K12" i="38"/>
  <c r="M11" i="38"/>
  <c r="L11" i="38"/>
  <c r="K11" i="38"/>
  <c r="M10" i="38"/>
  <c r="L10" i="38"/>
  <c r="K10" i="38"/>
  <c r="M9" i="38"/>
  <c r="L9" i="38"/>
  <c r="K9" i="38"/>
  <c r="M8" i="38"/>
  <c r="L8" i="38"/>
  <c r="K8" i="38"/>
  <c r="M7" i="38"/>
  <c r="D72" i="38" s="1"/>
  <c r="L7" i="38"/>
  <c r="C72" i="38" s="1"/>
  <c r="K7" i="38"/>
  <c r="M58" i="37"/>
  <c r="L58" i="37"/>
  <c r="K58" i="37"/>
  <c r="N58" i="37"/>
  <c r="M57" i="37"/>
  <c r="D94" i="37"/>
  <c r="L57" i="37"/>
  <c r="K57" i="37"/>
  <c r="M56" i="37"/>
  <c r="L56" i="37"/>
  <c r="K56" i="37"/>
  <c r="N56" i="37"/>
  <c r="M55" i="37"/>
  <c r="L55" i="37"/>
  <c r="K55" i="37"/>
  <c r="M54" i="37"/>
  <c r="L54" i="37"/>
  <c r="K54" i="37"/>
  <c r="N54" i="37"/>
  <c r="M53" i="37"/>
  <c r="L53" i="37"/>
  <c r="K53" i="37"/>
  <c r="B92" i="37" s="1"/>
  <c r="M52" i="37"/>
  <c r="L52" i="37"/>
  <c r="C91" i="37"/>
  <c r="K52" i="37"/>
  <c r="N52" i="37" s="1"/>
  <c r="M51" i="37"/>
  <c r="N51" i="37" s="1"/>
  <c r="L51" i="37"/>
  <c r="K51" i="37"/>
  <c r="B91" i="37" s="1"/>
  <c r="M50" i="37"/>
  <c r="D90" i="37" s="1"/>
  <c r="L50" i="37"/>
  <c r="C90" i="37" s="1"/>
  <c r="K50" i="37"/>
  <c r="N50" i="37"/>
  <c r="B90" i="37"/>
  <c r="M49" i="37"/>
  <c r="L49" i="37"/>
  <c r="K49" i="37"/>
  <c r="N49" i="37" s="1"/>
  <c r="M48" i="37"/>
  <c r="L48" i="37"/>
  <c r="C89" i="37" s="1"/>
  <c r="K48" i="37"/>
  <c r="M47" i="37"/>
  <c r="L47" i="37"/>
  <c r="K47" i="37"/>
  <c r="N47" i="37"/>
  <c r="M46" i="37"/>
  <c r="L46" i="37"/>
  <c r="K46" i="37"/>
  <c r="N46" i="37" s="1"/>
  <c r="M43" i="37"/>
  <c r="L43" i="37"/>
  <c r="K43" i="37"/>
  <c r="N43" i="37" s="1"/>
  <c r="M42" i="37"/>
  <c r="N42" i="37" s="1"/>
  <c r="L42" i="37"/>
  <c r="K42" i="37"/>
  <c r="M41" i="37"/>
  <c r="L41" i="37"/>
  <c r="C87" i="37" s="1"/>
  <c r="K41" i="37"/>
  <c r="M40" i="37"/>
  <c r="L40" i="37"/>
  <c r="K40" i="37"/>
  <c r="B86" i="37"/>
  <c r="M39" i="37"/>
  <c r="D86" i="37" s="1"/>
  <c r="L39" i="37"/>
  <c r="C86" i="37" s="1"/>
  <c r="E86" i="37" s="1"/>
  <c r="K39" i="37"/>
  <c r="M38" i="37"/>
  <c r="L38" i="37"/>
  <c r="C85" i="37"/>
  <c r="K38" i="37"/>
  <c r="B85" i="37"/>
  <c r="M37" i="37"/>
  <c r="D85" i="37" s="1"/>
  <c r="L37" i="37"/>
  <c r="K37" i="37"/>
  <c r="M36" i="37"/>
  <c r="L36" i="37"/>
  <c r="C84" i="37" s="1"/>
  <c r="K36" i="37"/>
  <c r="M35" i="37"/>
  <c r="L35" i="37"/>
  <c r="K35" i="37"/>
  <c r="B84" i="37" s="1"/>
  <c r="M34" i="37"/>
  <c r="L34" i="37"/>
  <c r="K34" i="37"/>
  <c r="M33" i="37"/>
  <c r="D83" i="37" s="1"/>
  <c r="L33" i="37"/>
  <c r="K33" i="37"/>
  <c r="B83" i="37" s="1"/>
  <c r="M32" i="37"/>
  <c r="N32" i="37" s="1"/>
  <c r="L32" i="37"/>
  <c r="K32" i="37"/>
  <c r="M31" i="37"/>
  <c r="L31" i="37"/>
  <c r="C82" i="37" s="1"/>
  <c r="K31" i="37"/>
  <c r="B82" i="37" s="1"/>
  <c r="M30" i="37"/>
  <c r="L30" i="37"/>
  <c r="K30" i="37"/>
  <c r="M29" i="37"/>
  <c r="L29" i="37"/>
  <c r="C81" i="37" s="1"/>
  <c r="K29" i="37"/>
  <c r="B81" i="37" s="1"/>
  <c r="M28" i="37"/>
  <c r="D80" i="37"/>
  <c r="N28" i="37"/>
  <c r="L28" i="37"/>
  <c r="K28" i="37"/>
  <c r="M27" i="37"/>
  <c r="L27" i="37"/>
  <c r="K27" i="37"/>
  <c r="M24" i="37"/>
  <c r="D79" i="37"/>
  <c r="L24" i="37"/>
  <c r="C79" i="37" s="1"/>
  <c r="K24" i="37"/>
  <c r="N24" i="37" s="1"/>
  <c r="M23" i="37"/>
  <c r="L23" i="37"/>
  <c r="K23" i="37"/>
  <c r="B79" i="37"/>
  <c r="M22" i="37"/>
  <c r="L22" i="37"/>
  <c r="K22" i="37"/>
  <c r="M21" i="37"/>
  <c r="L21" i="37"/>
  <c r="C78" i="37" s="1"/>
  <c r="K21" i="37"/>
  <c r="B78" i="37"/>
  <c r="M20" i="37"/>
  <c r="L20" i="37"/>
  <c r="K20" i="37"/>
  <c r="M19" i="37"/>
  <c r="L19" i="37"/>
  <c r="K19" i="37"/>
  <c r="N19" i="37" s="1"/>
  <c r="B77" i="37"/>
  <c r="M17" i="37"/>
  <c r="D76" i="37" s="1"/>
  <c r="L17" i="37"/>
  <c r="K17" i="37"/>
  <c r="M16" i="37"/>
  <c r="L16" i="37"/>
  <c r="K16" i="37"/>
  <c r="B76" i="37" s="1"/>
  <c r="M13" i="37"/>
  <c r="D75" i="37"/>
  <c r="L13" i="37"/>
  <c r="K13" i="37"/>
  <c r="N13" i="37" s="1"/>
  <c r="M12" i="37"/>
  <c r="L12" i="37"/>
  <c r="N12" i="37" s="1"/>
  <c r="C75" i="37"/>
  <c r="K12" i="37"/>
  <c r="M11" i="37"/>
  <c r="D74" i="37"/>
  <c r="C74" i="37"/>
  <c r="K11" i="37"/>
  <c r="B74" i="37"/>
  <c r="E74" i="37" s="1"/>
  <c r="M64" i="36"/>
  <c r="L64" i="36"/>
  <c r="M63" i="36"/>
  <c r="K63" i="36"/>
  <c r="N63" i="36"/>
  <c r="M59" i="36"/>
  <c r="L59" i="36"/>
  <c r="K59" i="36"/>
  <c r="M58" i="36"/>
  <c r="L58" i="36"/>
  <c r="K58" i="36"/>
  <c r="M55" i="36"/>
  <c r="L55" i="36"/>
  <c r="K55" i="36"/>
  <c r="M54" i="36"/>
  <c r="D106" i="36" s="1"/>
  <c r="L54" i="36"/>
  <c r="K54" i="36"/>
  <c r="N54" i="36" s="1"/>
  <c r="M52" i="36"/>
  <c r="L52" i="36"/>
  <c r="K52" i="36"/>
  <c r="M51" i="36"/>
  <c r="L51" i="36"/>
  <c r="K51" i="36"/>
  <c r="M49" i="36"/>
  <c r="L49" i="36"/>
  <c r="K49" i="36"/>
  <c r="M48" i="36"/>
  <c r="L48" i="36"/>
  <c r="K48" i="36"/>
  <c r="B104" i="36"/>
  <c r="M44" i="36"/>
  <c r="D103" i="36"/>
  <c r="L44" i="36"/>
  <c r="K44" i="36"/>
  <c r="M43" i="36"/>
  <c r="N43" i="36" s="1"/>
  <c r="L43" i="36"/>
  <c r="K43" i="36"/>
  <c r="M42" i="36"/>
  <c r="L42" i="36"/>
  <c r="K42" i="36"/>
  <c r="M39" i="36"/>
  <c r="L39" i="36"/>
  <c r="K39" i="36"/>
  <c r="M38" i="36"/>
  <c r="L38" i="36"/>
  <c r="K38" i="36"/>
  <c r="M37" i="36"/>
  <c r="L37" i="36"/>
  <c r="C100" i="36" s="1"/>
  <c r="K37" i="36"/>
  <c r="M36" i="36"/>
  <c r="N36" i="36" s="1"/>
  <c r="M35" i="36"/>
  <c r="M34" i="36"/>
  <c r="M33" i="36"/>
  <c r="M32" i="36"/>
  <c r="D98" i="36"/>
  <c r="M31" i="36"/>
  <c r="M30" i="36"/>
  <c r="M29" i="36"/>
  <c r="D96" i="36" s="1"/>
  <c r="M28" i="36"/>
  <c r="M27" i="36"/>
  <c r="M26" i="36"/>
  <c r="M24" i="36"/>
  <c r="M23" i="36"/>
  <c r="M22" i="36"/>
  <c r="M21" i="36"/>
  <c r="M19" i="36"/>
  <c r="L19" i="36"/>
  <c r="C92" i="36"/>
  <c r="M18" i="36"/>
  <c r="D92" i="36" s="1"/>
  <c r="L18" i="36"/>
  <c r="K18" i="36"/>
  <c r="N18" i="36"/>
  <c r="M17" i="36"/>
  <c r="L17" i="36"/>
  <c r="K17" i="36"/>
  <c r="M16" i="36"/>
  <c r="L16" i="36"/>
  <c r="K16" i="36"/>
  <c r="B91" i="36" s="1"/>
  <c r="M15" i="36"/>
  <c r="L15" i="36"/>
  <c r="K15" i="36"/>
  <c r="M14" i="36"/>
  <c r="L14" i="36"/>
  <c r="K14" i="36"/>
  <c r="M13" i="36"/>
  <c r="L13" i="36"/>
  <c r="K13" i="36"/>
  <c r="M12" i="36"/>
  <c r="D89" i="36" s="1"/>
  <c r="L12" i="36"/>
  <c r="N12" i="36"/>
  <c r="K12" i="36"/>
  <c r="M11" i="36"/>
  <c r="N11" i="36" s="1"/>
  <c r="L11" i="36"/>
  <c r="C88" i="36"/>
  <c r="K11" i="36"/>
  <c r="M10" i="36"/>
  <c r="L10" i="36"/>
  <c r="K10" i="36"/>
  <c r="M9" i="36"/>
  <c r="N9" i="36" s="1"/>
  <c r="L9" i="36"/>
  <c r="C87" i="36"/>
  <c r="K9" i="36"/>
  <c r="M8" i="36"/>
  <c r="L8" i="36"/>
  <c r="K8" i="36"/>
  <c r="B87" i="36" s="1"/>
  <c r="M7" i="36"/>
  <c r="D86" i="36"/>
  <c r="L7" i="36"/>
  <c r="K7" i="36"/>
  <c r="B86" i="36"/>
  <c r="K37" i="35"/>
  <c r="N37" i="35"/>
  <c r="K36" i="35"/>
  <c r="K35" i="35"/>
  <c r="M23" i="35"/>
  <c r="M22" i="35"/>
  <c r="M21" i="35"/>
  <c r="L21" i="35"/>
  <c r="K21" i="35"/>
  <c r="M18" i="35"/>
  <c r="L18" i="35"/>
  <c r="K18" i="35"/>
  <c r="N18" i="35" s="1"/>
  <c r="M17" i="35"/>
  <c r="D104" i="35" s="1"/>
  <c r="L17" i="35"/>
  <c r="C104" i="35" s="1"/>
  <c r="K17" i="35"/>
  <c r="M16" i="35"/>
  <c r="L16" i="35"/>
  <c r="K16" i="35"/>
  <c r="M15" i="35"/>
  <c r="D103" i="35" s="1"/>
  <c r="L15" i="35"/>
  <c r="C103" i="35" s="1"/>
  <c r="K15" i="35"/>
  <c r="N15" i="35" s="1"/>
  <c r="M14" i="35"/>
  <c r="L14" i="35"/>
  <c r="K14" i="35"/>
  <c r="M13" i="35"/>
  <c r="L13" i="35"/>
  <c r="C102" i="35" s="1"/>
  <c r="K13" i="35"/>
  <c r="B102" i="35" s="1"/>
  <c r="M53" i="34"/>
  <c r="L53" i="34"/>
  <c r="C89" i="34" s="1"/>
  <c r="K53" i="34"/>
  <c r="N53" i="34" s="1"/>
  <c r="M52" i="34"/>
  <c r="N52" i="34" s="1"/>
  <c r="D89" i="34"/>
  <c r="L52" i="34"/>
  <c r="K52" i="34"/>
  <c r="M51" i="34"/>
  <c r="L51" i="34"/>
  <c r="C88" i="34" s="1"/>
  <c r="K51" i="34"/>
  <c r="M50" i="34"/>
  <c r="L50" i="34"/>
  <c r="K50" i="34"/>
  <c r="N50" i="34" s="1"/>
  <c r="M49" i="34"/>
  <c r="D87" i="34" s="1"/>
  <c r="L49" i="34"/>
  <c r="K49" i="34"/>
  <c r="M48" i="34"/>
  <c r="L48" i="34"/>
  <c r="K48" i="34"/>
  <c r="B87" i="34" s="1"/>
  <c r="N48" i="34"/>
  <c r="M47" i="34"/>
  <c r="L47" i="34"/>
  <c r="K47" i="34"/>
  <c r="N47" i="34"/>
  <c r="M46" i="34"/>
  <c r="D86" i="34"/>
  <c r="L46" i="34"/>
  <c r="C86" i="34" s="1"/>
  <c r="K46" i="34"/>
  <c r="N46" i="34" s="1"/>
  <c r="M45" i="34"/>
  <c r="L45" i="34"/>
  <c r="K45" i="34"/>
  <c r="N45" i="34" s="1"/>
  <c r="M44" i="34"/>
  <c r="L44" i="34"/>
  <c r="C85" i="34"/>
  <c r="K44" i="34"/>
  <c r="N44" i="34" s="1"/>
  <c r="M41" i="34"/>
  <c r="D84" i="34" s="1"/>
  <c r="L41" i="34"/>
  <c r="K41" i="34"/>
  <c r="N41" i="34" s="1"/>
  <c r="M40" i="34"/>
  <c r="L40" i="34"/>
  <c r="K40" i="34"/>
  <c r="N40" i="34" s="1"/>
  <c r="M39" i="34"/>
  <c r="L39" i="34"/>
  <c r="K39" i="34"/>
  <c r="M38" i="34"/>
  <c r="L38" i="34"/>
  <c r="N38" i="34" s="1"/>
  <c r="K38" i="34"/>
  <c r="M36" i="34"/>
  <c r="L36" i="34"/>
  <c r="K36" i="34"/>
  <c r="B82" i="34"/>
  <c r="M35" i="34"/>
  <c r="L35" i="34"/>
  <c r="N35" i="34" s="1"/>
  <c r="K35" i="34"/>
  <c r="M34" i="34"/>
  <c r="L34" i="34"/>
  <c r="N34" i="34"/>
  <c r="K34" i="34"/>
  <c r="M33" i="34"/>
  <c r="D81" i="34" s="1"/>
  <c r="L33" i="34"/>
  <c r="C81" i="34" s="1"/>
  <c r="K33" i="34"/>
  <c r="M31" i="34"/>
  <c r="L31" i="34"/>
  <c r="K31" i="34"/>
  <c r="N31" i="34" s="1"/>
  <c r="M30" i="34"/>
  <c r="L30" i="34"/>
  <c r="K30" i="34"/>
  <c r="M29" i="34"/>
  <c r="L29" i="34"/>
  <c r="K29" i="34"/>
  <c r="N29" i="34" s="1"/>
  <c r="M28" i="34"/>
  <c r="D79" i="34" s="1"/>
  <c r="L28" i="34"/>
  <c r="K28" i="34"/>
  <c r="B79" i="34" s="1"/>
  <c r="M27" i="34"/>
  <c r="D78" i="34" s="1"/>
  <c r="L27" i="34"/>
  <c r="K27" i="34"/>
  <c r="M21" i="34"/>
  <c r="D76" i="34" s="1"/>
  <c r="L21" i="34"/>
  <c r="C76" i="34" s="1"/>
  <c r="K21" i="34"/>
  <c r="B76" i="34"/>
  <c r="N21" i="34"/>
  <c r="M20" i="34"/>
  <c r="L20" i="34"/>
  <c r="K20" i="34"/>
  <c r="M19" i="34"/>
  <c r="L19" i="34"/>
  <c r="C75" i="34" s="1"/>
  <c r="K19" i="34"/>
  <c r="B75" i="34" s="1"/>
  <c r="M18" i="34"/>
  <c r="L18" i="34"/>
  <c r="K18" i="34"/>
  <c r="N18" i="34"/>
  <c r="M17" i="34"/>
  <c r="D74" i="34"/>
  <c r="L17" i="34"/>
  <c r="C74" i="34" s="1"/>
  <c r="K17" i="34"/>
  <c r="B74" i="34" s="1"/>
  <c r="M15" i="34"/>
  <c r="L15" i="34"/>
  <c r="K15" i="34"/>
  <c r="N15" i="34" s="1"/>
  <c r="B73" i="34"/>
  <c r="M14" i="34"/>
  <c r="L14" i="34"/>
  <c r="C73" i="34"/>
  <c r="K14" i="34"/>
  <c r="M13" i="34"/>
  <c r="D72" i="34" s="1"/>
  <c r="N13" i="34"/>
  <c r="L13" i="34"/>
  <c r="K13" i="34"/>
  <c r="M12" i="34"/>
  <c r="L12" i="34"/>
  <c r="C72" i="34" s="1"/>
  <c r="K12" i="34"/>
  <c r="N12" i="34" s="1"/>
  <c r="M11" i="34"/>
  <c r="L11" i="34"/>
  <c r="K11" i="34"/>
  <c r="N11" i="34"/>
  <c r="M10" i="34"/>
  <c r="D71" i="34" s="1"/>
  <c r="L10" i="34"/>
  <c r="C71" i="34"/>
  <c r="K10" i="34"/>
  <c r="B71" i="34" s="1"/>
  <c r="M9" i="34"/>
  <c r="L9" i="34"/>
  <c r="K9" i="34"/>
  <c r="N9" i="34"/>
  <c r="B70" i="34"/>
  <c r="M8" i="34"/>
  <c r="D70" i="34" s="1"/>
  <c r="L8" i="34"/>
  <c r="C70" i="34"/>
  <c r="K8" i="34"/>
  <c r="M7" i="34"/>
  <c r="D69" i="34" s="1"/>
  <c r="L7" i="34"/>
  <c r="C69" i="34"/>
  <c r="K7" i="34"/>
  <c r="B69" i="34" s="1"/>
  <c r="M53" i="32"/>
  <c r="L53" i="32"/>
  <c r="K53" i="32"/>
  <c r="M51" i="32"/>
  <c r="L51" i="32"/>
  <c r="K51" i="32"/>
  <c r="M50" i="32"/>
  <c r="L50" i="32"/>
  <c r="C89" i="32" s="1"/>
  <c r="K50" i="32"/>
  <c r="B89" i="32" s="1"/>
  <c r="M49" i="32"/>
  <c r="L49" i="32"/>
  <c r="K49" i="32"/>
  <c r="N49" i="32"/>
  <c r="M48" i="32"/>
  <c r="D88" i="32"/>
  <c r="L48" i="32"/>
  <c r="K48" i="32"/>
  <c r="B88" i="32" s="1"/>
  <c r="M47" i="32"/>
  <c r="L47" i="32"/>
  <c r="C87" i="32"/>
  <c r="K47" i="32"/>
  <c r="M46" i="32"/>
  <c r="D87" i="32"/>
  <c r="L46" i="32"/>
  <c r="K46" i="32"/>
  <c r="B87" i="32" s="1"/>
  <c r="M45" i="32"/>
  <c r="L45" i="32"/>
  <c r="K45" i="32"/>
  <c r="B86" i="32" s="1"/>
  <c r="N45" i="32"/>
  <c r="M44" i="32"/>
  <c r="D86" i="32" s="1"/>
  <c r="L44" i="32"/>
  <c r="C86" i="32" s="1"/>
  <c r="K44" i="32"/>
  <c r="N44" i="32"/>
  <c r="M42" i="32"/>
  <c r="K42" i="32"/>
  <c r="N42" i="32" s="1"/>
  <c r="M41" i="32"/>
  <c r="D85" i="32"/>
  <c r="L41" i="32"/>
  <c r="C85" i="32"/>
  <c r="K41" i="32"/>
  <c r="N41" i="32"/>
  <c r="M40" i="32"/>
  <c r="D84" i="32" s="1"/>
  <c r="L40" i="32"/>
  <c r="K40" i="32"/>
  <c r="M39" i="32"/>
  <c r="L39" i="32"/>
  <c r="C84" i="32"/>
  <c r="K39" i="32"/>
  <c r="B84" i="32" s="1"/>
  <c r="M38" i="32"/>
  <c r="L38" i="32"/>
  <c r="K38" i="32"/>
  <c r="N38" i="32" s="1"/>
  <c r="B83" i="32"/>
  <c r="M37" i="32"/>
  <c r="L37" i="32"/>
  <c r="C83" i="32" s="1"/>
  <c r="K37" i="32"/>
  <c r="M36" i="32"/>
  <c r="L36" i="32"/>
  <c r="C82" i="32"/>
  <c r="E82" i="32" s="1"/>
  <c r="K36" i="32"/>
  <c r="N36" i="32" s="1"/>
  <c r="M35" i="32"/>
  <c r="D82" i="32" s="1"/>
  <c r="L35" i="32"/>
  <c r="K35" i="32"/>
  <c r="B82" i="32" s="1"/>
  <c r="M34" i="32"/>
  <c r="D81" i="32" s="1"/>
  <c r="L34" i="32"/>
  <c r="K34" i="32"/>
  <c r="M33" i="32"/>
  <c r="L33" i="32"/>
  <c r="K33" i="32"/>
  <c r="N33" i="32" s="1"/>
  <c r="M32" i="32"/>
  <c r="L32" i="32"/>
  <c r="N32" i="32" s="1"/>
  <c r="K32" i="32"/>
  <c r="M31" i="32"/>
  <c r="D80" i="32" s="1"/>
  <c r="L31" i="32"/>
  <c r="K31" i="32"/>
  <c r="B80" i="32"/>
  <c r="M30" i="32"/>
  <c r="D79" i="32" s="1"/>
  <c r="L30" i="32"/>
  <c r="K30" i="32"/>
  <c r="N30" i="32"/>
  <c r="M29" i="32"/>
  <c r="L29" i="32"/>
  <c r="N29" i="32" s="1"/>
  <c r="C79" i="32"/>
  <c r="K29" i="32"/>
  <c r="B79" i="32"/>
  <c r="E79" i="32"/>
  <c r="M28" i="32"/>
  <c r="L28" i="32"/>
  <c r="K28" i="32"/>
  <c r="N28" i="32" s="1"/>
  <c r="M27" i="32"/>
  <c r="D78" i="32" s="1"/>
  <c r="L27" i="32"/>
  <c r="K27" i="32"/>
  <c r="M26" i="32"/>
  <c r="L26" i="32"/>
  <c r="C77" i="32"/>
  <c r="K26" i="32"/>
  <c r="N26" i="32" s="1"/>
  <c r="M25" i="32"/>
  <c r="L25" i="32"/>
  <c r="K25" i="32"/>
  <c r="B77" i="32" s="1"/>
  <c r="M24" i="32"/>
  <c r="L24" i="32"/>
  <c r="N24" i="32" s="1"/>
  <c r="K24" i="32"/>
  <c r="M23" i="32"/>
  <c r="D76" i="32" s="1"/>
  <c r="L23" i="32"/>
  <c r="K23" i="32"/>
  <c r="M22" i="32"/>
  <c r="L22" i="32"/>
  <c r="K22" i="32"/>
  <c r="N22" i="32"/>
  <c r="M21" i="32"/>
  <c r="L21" i="32"/>
  <c r="C75" i="32"/>
  <c r="K21" i="32"/>
  <c r="B75" i="32" s="1"/>
  <c r="M20" i="32"/>
  <c r="D74" i="32" s="1"/>
  <c r="L20" i="32"/>
  <c r="K20" i="32"/>
  <c r="N20" i="32"/>
  <c r="M19" i="32"/>
  <c r="L19" i="32"/>
  <c r="C74" i="32"/>
  <c r="K19" i="32"/>
  <c r="M18" i="32"/>
  <c r="L18" i="32"/>
  <c r="C73" i="32" s="1"/>
  <c r="K18" i="32"/>
  <c r="M17" i="32"/>
  <c r="L17" i="32"/>
  <c r="K17" i="32"/>
  <c r="B73" i="32" s="1"/>
  <c r="N17" i="32"/>
  <c r="M16" i="32"/>
  <c r="L16" i="32"/>
  <c r="K16" i="32"/>
  <c r="B72" i="32" s="1"/>
  <c r="E72" i="32" s="1"/>
  <c r="M15" i="32"/>
  <c r="D72" i="32" s="1"/>
  <c r="L15" i="32"/>
  <c r="C72" i="32"/>
  <c r="K15" i="32"/>
  <c r="M14" i="32"/>
  <c r="L14" i="32"/>
  <c r="C71" i="32" s="1"/>
  <c r="K14" i="32"/>
  <c r="M13" i="32"/>
  <c r="L13" i="32"/>
  <c r="K13" i="32"/>
  <c r="M12" i="32"/>
  <c r="D70" i="32" s="1"/>
  <c r="L12" i="32"/>
  <c r="C70" i="32" s="1"/>
  <c r="K12" i="32"/>
  <c r="N12" i="32" s="1"/>
  <c r="M11" i="32"/>
  <c r="L11" i="32"/>
  <c r="N11" i="32" s="1"/>
  <c r="K11" i="32"/>
  <c r="M10" i="32"/>
  <c r="D69" i="32" s="1"/>
  <c r="L10" i="32"/>
  <c r="K10" i="32"/>
  <c r="N10" i="32" s="1"/>
  <c r="M9" i="32"/>
  <c r="L9" i="32"/>
  <c r="C69" i="32"/>
  <c r="K9" i="32"/>
  <c r="B69" i="32" s="1"/>
  <c r="M8" i="32"/>
  <c r="D68" i="32" s="1"/>
  <c r="L8" i="32"/>
  <c r="C68" i="32" s="1"/>
  <c r="K8" i="32"/>
  <c r="N8" i="32"/>
  <c r="M48" i="31"/>
  <c r="L48" i="31"/>
  <c r="C85" i="31" s="1"/>
  <c r="K48" i="31"/>
  <c r="N48" i="31" s="1"/>
  <c r="M47" i="31"/>
  <c r="D85" i="31" s="1"/>
  <c r="L47" i="31"/>
  <c r="K47" i="31"/>
  <c r="M46" i="31"/>
  <c r="D84" i="31"/>
  <c r="L46" i="31"/>
  <c r="K46" i="31"/>
  <c r="M45" i="31"/>
  <c r="L45" i="31"/>
  <c r="C84" i="31" s="1"/>
  <c r="K45" i="31"/>
  <c r="B84" i="31"/>
  <c r="M44" i="31"/>
  <c r="D83" i="31"/>
  <c r="L44" i="31"/>
  <c r="K44" i="31"/>
  <c r="B83" i="31"/>
  <c r="M43" i="31"/>
  <c r="L43" i="31"/>
  <c r="C83" i="31"/>
  <c r="K43" i="31"/>
  <c r="M42" i="31"/>
  <c r="L42" i="31"/>
  <c r="K42" i="31"/>
  <c r="N42" i="31"/>
  <c r="M41" i="31"/>
  <c r="L41" i="31"/>
  <c r="C82" i="31"/>
  <c r="K41" i="31"/>
  <c r="B82" i="31"/>
  <c r="M40" i="31"/>
  <c r="L40" i="31"/>
  <c r="K40" i="31"/>
  <c r="M39" i="31"/>
  <c r="D81" i="31"/>
  <c r="L39" i="31"/>
  <c r="C81" i="31" s="1"/>
  <c r="K39" i="31"/>
  <c r="M38" i="31"/>
  <c r="L38" i="31"/>
  <c r="K38" i="31"/>
  <c r="M37" i="31"/>
  <c r="D80" i="31" s="1"/>
  <c r="L37" i="31"/>
  <c r="C80" i="31" s="1"/>
  <c r="K37" i="31"/>
  <c r="M36" i="31"/>
  <c r="D79" i="31"/>
  <c r="L36" i="31"/>
  <c r="K36" i="31"/>
  <c r="N36" i="31" s="1"/>
  <c r="M35" i="31"/>
  <c r="L35" i="31"/>
  <c r="C79" i="31" s="1"/>
  <c r="K35" i="31"/>
  <c r="M34" i="31"/>
  <c r="L34" i="31"/>
  <c r="K34" i="31"/>
  <c r="N34" i="31"/>
  <c r="M33" i="31"/>
  <c r="L33" i="31"/>
  <c r="K33" i="31"/>
  <c r="N33" i="31" s="1"/>
  <c r="M32" i="31"/>
  <c r="L32" i="31"/>
  <c r="K32" i="31"/>
  <c r="B77" i="31" s="1"/>
  <c r="M31" i="31"/>
  <c r="D77" i="31" s="1"/>
  <c r="L31" i="31"/>
  <c r="C77" i="31" s="1"/>
  <c r="K31" i="31"/>
  <c r="M30" i="31"/>
  <c r="D76" i="31"/>
  <c r="L30" i="31"/>
  <c r="K30" i="31"/>
  <c r="M29" i="31"/>
  <c r="L29" i="31"/>
  <c r="K29" i="31"/>
  <c r="B76" i="31"/>
  <c r="M28" i="31"/>
  <c r="L28" i="31"/>
  <c r="K28" i="31"/>
  <c r="M27" i="31"/>
  <c r="L27" i="31"/>
  <c r="C75" i="31"/>
  <c r="K27" i="31"/>
  <c r="B75" i="31" s="1"/>
  <c r="M26" i="31"/>
  <c r="L26" i="31"/>
  <c r="N26" i="31" s="1"/>
  <c r="K26" i="31"/>
  <c r="M25" i="31"/>
  <c r="D74" i="31" s="1"/>
  <c r="L25" i="31"/>
  <c r="K25" i="31"/>
  <c r="B74" i="31" s="1"/>
  <c r="M24" i="31"/>
  <c r="L24" i="31"/>
  <c r="K24" i="31"/>
  <c r="M23" i="31"/>
  <c r="D73" i="31" s="1"/>
  <c r="L23" i="31"/>
  <c r="N23" i="31"/>
  <c r="K23" i="31"/>
  <c r="M22" i="31"/>
  <c r="L22" i="31"/>
  <c r="K22" i="31"/>
  <c r="M21" i="31"/>
  <c r="D72" i="31" s="1"/>
  <c r="L21" i="31"/>
  <c r="C72" i="31" s="1"/>
  <c r="K21" i="31"/>
  <c r="B72" i="31"/>
  <c r="M20" i="31"/>
  <c r="L20" i="31"/>
  <c r="C71" i="31" s="1"/>
  <c r="K20" i="31"/>
  <c r="N20" i="31" s="1"/>
  <c r="M19" i="31"/>
  <c r="N19" i="31" s="1"/>
  <c r="D71" i="31"/>
  <c r="L19" i="31"/>
  <c r="K19" i="31"/>
  <c r="B71" i="31"/>
  <c r="M18" i="31"/>
  <c r="N18" i="31"/>
  <c r="L18" i="31"/>
  <c r="K18" i="31"/>
  <c r="M17" i="31"/>
  <c r="L17" i="31"/>
  <c r="C70" i="31"/>
  <c r="K17" i="31"/>
  <c r="N17" i="31"/>
  <c r="M16" i="31"/>
  <c r="L16" i="31"/>
  <c r="K16" i="31"/>
  <c r="M15" i="31"/>
  <c r="L15" i="31"/>
  <c r="C69" i="31" s="1"/>
  <c r="K15" i="31"/>
  <c r="N15" i="31" s="1"/>
  <c r="M14" i="31"/>
  <c r="N14" i="31"/>
  <c r="L14" i="31"/>
  <c r="K14" i="31"/>
  <c r="M12" i="31"/>
  <c r="D68" i="31" s="1"/>
  <c r="L12" i="31"/>
  <c r="C68" i="31"/>
  <c r="K12" i="31"/>
  <c r="M11" i="31"/>
  <c r="L11" i="31"/>
  <c r="N11" i="31"/>
  <c r="K11" i="31"/>
  <c r="M10" i="31"/>
  <c r="L10" i="31"/>
  <c r="C67" i="31"/>
  <c r="K10" i="31"/>
  <c r="M9" i="31"/>
  <c r="D66" i="31" s="1"/>
  <c r="L9" i="31"/>
  <c r="K9" i="31"/>
  <c r="N9" i="31" s="1"/>
  <c r="M8" i="31"/>
  <c r="L8" i="31"/>
  <c r="C66" i="31" s="1"/>
  <c r="K8" i="31"/>
  <c r="N8" i="31"/>
  <c r="M7" i="31"/>
  <c r="D65" i="31" s="1"/>
  <c r="L7" i="31"/>
  <c r="K7" i="31"/>
  <c r="B65" i="31" s="1"/>
  <c r="M36" i="30"/>
  <c r="L36" i="30"/>
  <c r="K36" i="30"/>
  <c r="N36" i="30"/>
  <c r="M35" i="30"/>
  <c r="D73" i="30" s="1"/>
  <c r="L35" i="30"/>
  <c r="N35" i="30" s="1"/>
  <c r="K35" i="30"/>
  <c r="M34" i="30"/>
  <c r="L34" i="30"/>
  <c r="K34" i="30"/>
  <c r="N34" i="30" s="1"/>
  <c r="B72" i="30"/>
  <c r="M33" i="30"/>
  <c r="D72" i="30" s="1"/>
  <c r="L33" i="30"/>
  <c r="K33" i="30"/>
  <c r="M32" i="30"/>
  <c r="L32" i="30"/>
  <c r="K32" i="30"/>
  <c r="M31" i="30"/>
  <c r="L31" i="30"/>
  <c r="K31" i="30"/>
  <c r="N31" i="30"/>
  <c r="M28" i="30"/>
  <c r="L28" i="30"/>
  <c r="K28" i="30"/>
  <c r="N28" i="30" s="1"/>
  <c r="M27" i="30"/>
  <c r="L27" i="30"/>
  <c r="K27" i="30"/>
  <c r="N27" i="30" s="1"/>
  <c r="M26" i="30"/>
  <c r="L26" i="30"/>
  <c r="C69" i="30" s="1"/>
  <c r="K26" i="30"/>
  <c r="N26" i="30" s="1"/>
  <c r="M25" i="30"/>
  <c r="L25" i="30"/>
  <c r="K25" i="30"/>
  <c r="N25" i="30" s="1"/>
  <c r="M23" i="30"/>
  <c r="L23" i="30"/>
  <c r="K23" i="30"/>
  <c r="M22" i="30"/>
  <c r="L22" i="30"/>
  <c r="K22" i="30"/>
  <c r="M21" i="30"/>
  <c r="D67" i="30" s="1"/>
  <c r="L21" i="30"/>
  <c r="K21" i="30"/>
  <c r="M20" i="30"/>
  <c r="L20" i="30"/>
  <c r="K20" i="30"/>
  <c r="M19" i="30"/>
  <c r="D66" i="30" s="1"/>
  <c r="L19" i="30"/>
  <c r="K19" i="30"/>
  <c r="N19" i="30" s="1"/>
  <c r="M18" i="30"/>
  <c r="L18" i="30"/>
  <c r="C66" i="30"/>
  <c r="K18" i="30"/>
  <c r="N18" i="30" s="1"/>
  <c r="M17" i="30"/>
  <c r="L17" i="30"/>
  <c r="K17" i="30"/>
  <c r="N17" i="30"/>
  <c r="M16" i="30"/>
  <c r="L16" i="30"/>
  <c r="N16" i="30" s="1"/>
  <c r="C65" i="30"/>
  <c r="K16" i="30"/>
  <c r="M15" i="30"/>
  <c r="L15" i="30"/>
  <c r="K15" i="30"/>
  <c r="B64" i="30" s="1"/>
  <c r="M13" i="30"/>
  <c r="D64" i="30" s="1"/>
  <c r="L13" i="30"/>
  <c r="K13" i="30"/>
  <c r="M12" i="30"/>
  <c r="L12" i="30"/>
  <c r="K12" i="30"/>
  <c r="N12" i="30" s="1"/>
  <c r="M11" i="30"/>
  <c r="L11" i="30"/>
  <c r="C63" i="30" s="1"/>
  <c r="K11" i="30"/>
  <c r="N11" i="30" s="1"/>
  <c r="M10" i="30"/>
  <c r="L10" i="30"/>
  <c r="K10" i="30"/>
  <c r="N10" i="30" s="1"/>
  <c r="M9" i="30"/>
  <c r="N9" i="30" s="1"/>
  <c r="L9" i="30"/>
  <c r="K9" i="30"/>
  <c r="M7" i="30"/>
  <c r="D61" i="30" s="1"/>
  <c r="L7" i="30"/>
  <c r="C61" i="30" s="1"/>
  <c r="E61" i="30" s="1"/>
  <c r="K7" i="30"/>
  <c r="B61" i="30"/>
  <c r="M57" i="29"/>
  <c r="L57" i="29"/>
  <c r="K57" i="29"/>
  <c r="N57" i="29" s="1"/>
  <c r="M56" i="29"/>
  <c r="L56" i="29"/>
  <c r="N56" i="29" s="1"/>
  <c r="K56" i="29"/>
  <c r="M53" i="29"/>
  <c r="L53" i="29"/>
  <c r="K53" i="29"/>
  <c r="M52" i="29"/>
  <c r="D92" i="29" s="1"/>
  <c r="L52" i="29"/>
  <c r="C92" i="29" s="1"/>
  <c r="K52" i="29"/>
  <c r="M51" i="29"/>
  <c r="L51" i="29"/>
  <c r="K51" i="29"/>
  <c r="M50" i="29"/>
  <c r="L50" i="29"/>
  <c r="K50" i="29"/>
  <c r="N50" i="29" s="1"/>
  <c r="M49" i="29"/>
  <c r="D91" i="29" s="1"/>
  <c r="L49" i="29"/>
  <c r="K49" i="29"/>
  <c r="M48" i="29"/>
  <c r="L48" i="29"/>
  <c r="K48" i="29"/>
  <c r="M47" i="29"/>
  <c r="D90" i="29" s="1"/>
  <c r="L47" i="29"/>
  <c r="C90" i="29" s="1"/>
  <c r="K47" i="29"/>
  <c r="B90" i="29" s="1"/>
  <c r="E90" i="29" s="1"/>
  <c r="M46" i="29"/>
  <c r="L46" i="29"/>
  <c r="K46" i="29"/>
  <c r="M45" i="29"/>
  <c r="L45" i="29"/>
  <c r="K45" i="29"/>
  <c r="B89" i="29" s="1"/>
  <c r="M44" i="29"/>
  <c r="L44" i="29"/>
  <c r="C88" i="29" s="1"/>
  <c r="K44" i="29"/>
  <c r="M43" i="29"/>
  <c r="L43" i="29"/>
  <c r="K43" i="29"/>
  <c r="B88" i="29" s="1"/>
  <c r="M42" i="29"/>
  <c r="L42" i="29"/>
  <c r="K42" i="29"/>
  <c r="N42" i="29" s="1"/>
  <c r="M39" i="29"/>
  <c r="D87" i="29" s="1"/>
  <c r="L39" i="29"/>
  <c r="K39" i="29"/>
  <c r="M38" i="29"/>
  <c r="L38" i="29"/>
  <c r="K38" i="29"/>
  <c r="N38" i="29" s="1"/>
  <c r="M56" i="28"/>
  <c r="L56" i="28"/>
  <c r="K56" i="28"/>
  <c r="N56" i="28" s="1"/>
  <c r="M55" i="28"/>
  <c r="D96" i="28" s="1"/>
  <c r="L55" i="28"/>
  <c r="K55" i="28"/>
  <c r="B96" i="28" s="1"/>
  <c r="M54" i="28"/>
  <c r="L54" i="28"/>
  <c r="K54" i="28"/>
  <c r="N54" i="28" s="1"/>
  <c r="M53" i="28"/>
  <c r="D95" i="28" s="1"/>
  <c r="L53" i="28"/>
  <c r="C95" i="28" s="1"/>
  <c r="K53" i="28"/>
  <c r="M52" i="28"/>
  <c r="L52" i="28"/>
  <c r="K52" i="28"/>
  <c r="N52" i="28" s="1"/>
  <c r="M51" i="28"/>
  <c r="L51" i="28"/>
  <c r="K51" i="28"/>
  <c r="N51" i="28" s="1"/>
  <c r="M48" i="28"/>
  <c r="L48" i="28"/>
  <c r="K48" i="28"/>
  <c r="M47" i="28"/>
  <c r="D93" i="28" s="1"/>
  <c r="L47" i="28"/>
  <c r="C93" i="28" s="1"/>
  <c r="K47" i="28"/>
  <c r="B93" i="28" s="1"/>
  <c r="N47" i="28"/>
  <c r="M46" i="28"/>
  <c r="L46" i="28"/>
  <c r="K46" i="28"/>
  <c r="M45" i="28"/>
  <c r="L45" i="28"/>
  <c r="K45" i="28"/>
  <c r="B92" i="28" s="1"/>
  <c r="M44" i="28"/>
  <c r="L44" i="28"/>
  <c r="C91" i="28" s="1"/>
  <c r="K44" i="28"/>
  <c r="M43" i="28"/>
  <c r="L43" i="28"/>
  <c r="K43" i="28"/>
  <c r="M42" i="28"/>
  <c r="L42" i="28"/>
  <c r="K42" i="28"/>
  <c r="N42" i="28" s="1"/>
  <c r="M41" i="28"/>
  <c r="D90" i="28" s="1"/>
  <c r="L41" i="28"/>
  <c r="N41" i="28" s="1"/>
  <c r="K41" i="28"/>
  <c r="M40" i="28"/>
  <c r="L40" i="28"/>
  <c r="K40" i="28"/>
  <c r="B89" i="28" s="1"/>
  <c r="M38" i="28"/>
  <c r="L38" i="28"/>
  <c r="N38" i="28" s="1"/>
  <c r="K38" i="28"/>
  <c r="M37" i="28"/>
  <c r="L37" i="28"/>
  <c r="K37" i="28"/>
  <c r="M36" i="28"/>
  <c r="D88" i="28" s="1"/>
  <c r="L36" i="28"/>
  <c r="C88" i="28"/>
  <c r="K36" i="28"/>
  <c r="M35" i="28"/>
  <c r="L35" i="28"/>
  <c r="K35" i="28"/>
  <c r="N35" i="28" s="1"/>
  <c r="M34" i="28"/>
  <c r="L34" i="28"/>
  <c r="C87" i="28" s="1"/>
  <c r="K34" i="28"/>
  <c r="N34" i="28" s="1"/>
  <c r="M33" i="28"/>
  <c r="D86" i="28" s="1"/>
  <c r="L33" i="28"/>
  <c r="C86" i="28" s="1"/>
  <c r="K33" i="28"/>
  <c r="M32" i="28"/>
  <c r="L32" i="28"/>
  <c r="K32" i="28"/>
  <c r="B86" i="28" s="1"/>
  <c r="E86" i="28" s="1"/>
  <c r="M31" i="28"/>
  <c r="L31" i="28"/>
  <c r="C85" i="28" s="1"/>
  <c r="K31" i="28"/>
  <c r="N31" i="28" s="1"/>
  <c r="M30" i="28"/>
  <c r="L30" i="28"/>
  <c r="K30" i="28"/>
  <c r="M29" i="28"/>
  <c r="L29" i="28"/>
  <c r="K29" i="28"/>
  <c r="N29" i="28" s="1"/>
  <c r="M28" i="28"/>
  <c r="L28" i="28"/>
  <c r="C84" i="28" s="1"/>
  <c r="K28" i="28"/>
  <c r="M27" i="28"/>
  <c r="L27" i="28"/>
  <c r="K27" i="28"/>
  <c r="N27" i="28" s="1"/>
  <c r="M26" i="28"/>
  <c r="L26" i="28"/>
  <c r="K26" i="28"/>
  <c r="N26" i="28" s="1"/>
  <c r="M25" i="28"/>
  <c r="L25" i="28"/>
  <c r="K25" i="28"/>
  <c r="N25" i="28" s="1"/>
  <c r="M24" i="28"/>
  <c r="D82" i="28" s="1"/>
  <c r="L24" i="28"/>
  <c r="K24" i="28"/>
  <c r="N24" i="28" s="1"/>
  <c r="M23" i="28"/>
  <c r="L23" i="28"/>
  <c r="K23" i="28"/>
  <c r="M21" i="28"/>
  <c r="L21" i="28"/>
  <c r="K21" i="28"/>
  <c r="N21" i="28" s="1"/>
  <c r="B81" i="28"/>
  <c r="M20" i="28"/>
  <c r="L20" i="28"/>
  <c r="K20" i="28"/>
  <c r="M19" i="28"/>
  <c r="L19" i="28"/>
  <c r="K19" i="28"/>
  <c r="M18" i="28"/>
  <c r="L18" i="28"/>
  <c r="K18" i="28"/>
  <c r="B79" i="28" s="1"/>
  <c r="E79" i="28" s="1"/>
  <c r="N18" i="28"/>
  <c r="M17" i="28"/>
  <c r="D79" i="28" s="1"/>
  <c r="L17" i="28"/>
  <c r="C79" i="28" s="1"/>
  <c r="K17" i="28"/>
  <c r="M16" i="28"/>
  <c r="L16" i="28"/>
  <c r="K16" i="28"/>
  <c r="B78" i="28" s="1"/>
  <c r="N16" i="28"/>
  <c r="M15" i="28"/>
  <c r="D78" i="28" s="1"/>
  <c r="L15" i="28"/>
  <c r="K15" i="28"/>
  <c r="M14" i="28"/>
  <c r="L14" i="28"/>
  <c r="K14" i="28"/>
  <c r="B77" i="28" s="1"/>
  <c r="M13" i="28"/>
  <c r="D77" i="28"/>
  <c r="L13" i="28"/>
  <c r="K13" i="28"/>
  <c r="M12" i="28"/>
  <c r="L12" i="28"/>
  <c r="K12" i="28"/>
  <c r="N12" i="28" s="1"/>
  <c r="M11" i="28"/>
  <c r="D76" i="28" s="1"/>
  <c r="L11" i="28"/>
  <c r="C76" i="28" s="1"/>
  <c r="K11" i="28"/>
  <c r="M10" i="28"/>
  <c r="L10" i="28"/>
  <c r="K10" i="28"/>
  <c r="M9" i="28"/>
  <c r="D75" i="28"/>
  <c r="L9" i="28"/>
  <c r="K9" i="28"/>
  <c r="B75" i="28" s="1"/>
  <c r="M8" i="28"/>
  <c r="L8" i="28"/>
  <c r="K8" i="28"/>
  <c r="U141" i="2"/>
  <c r="M70" i="13"/>
  <c r="D170" i="13" s="1"/>
  <c r="L70" i="13"/>
  <c r="K70" i="13"/>
  <c r="M69" i="13"/>
  <c r="L69" i="13"/>
  <c r="K69" i="13"/>
  <c r="N69" i="13" s="1"/>
  <c r="M68" i="13"/>
  <c r="L68" i="13"/>
  <c r="K68" i="13"/>
  <c r="M66" i="13"/>
  <c r="D169" i="13" s="1"/>
  <c r="L66" i="13"/>
  <c r="K66" i="13"/>
  <c r="B169" i="13" s="1"/>
  <c r="M65" i="13"/>
  <c r="L65" i="13"/>
  <c r="K65" i="13"/>
  <c r="L150" i="2"/>
  <c r="J176" i="2"/>
  <c r="L176" i="2"/>
  <c r="N176" i="2"/>
  <c r="H176" i="2"/>
  <c r="H172" i="2"/>
  <c r="J172" i="2"/>
  <c r="L172" i="2"/>
  <c r="L168" i="2"/>
  <c r="J168" i="2"/>
  <c r="H168" i="2"/>
  <c r="H164" i="2"/>
  <c r="J164" i="2"/>
  <c r="L164" i="2"/>
  <c r="L160" i="2"/>
  <c r="J160" i="2"/>
  <c r="H160" i="2"/>
  <c r="J130" i="2"/>
  <c r="L130" i="2"/>
  <c r="J131" i="2"/>
  <c r="L131" i="2"/>
  <c r="J132" i="2"/>
  <c r="L132" i="2"/>
  <c r="J133" i="2"/>
  <c r="L133" i="2"/>
  <c r="J134" i="2"/>
  <c r="L134" i="2"/>
  <c r="N134" i="2" s="1"/>
  <c r="J135" i="2"/>
  <c r="L135" i="2"/>
  <c r="J136" i="2"/>
  <c r="L136" i="2"/>
  <c r="J137" i="2"/>
  <c r="L137" i="2"/>
  <c r="J138" i="2"/>
  <c r="L138" i="2"/>
  <c r="J139" i="2"/>
  <c r="L139" i="2"/>
  <c r="J140" i="2"/>
  <c r="L140" i="2"/>
  <c r="J141" i="2"/>
  <c r="L141" i="2"/>
  <c r="N141" i="2" s="1"/>
  <c r="J142" i="2"/>
  <c r="L142" i="2"/>
  <c r="N142" i="2" s="1"/>
  <c r="J143" i="2"/>
  <c r="L143" i="2"/>
  <c r="J144" i="2"/>
  <c r="L144" i="2"/>
  <c r="J145" i="2"/>
  <c r="L145" i="2"/>
  <c r="J146" i="2"/>
  <c r="L146" i="2"/>
  <c r="N146" i="2" s="1"/>
  <c r="J147" i="2"/>
  <c r="L147" i="2"/>
  <c r="J148" i="2"/>
  <c r="L148" i="2"/>
  <c r="J149" i="2"/>
  <c r="L149" i="2"/>
  <c r="N149" i="2" s="1"/>
  <c r="J150" i="2"/>
  <c r="J151" i="2"/>
  <c r="L151" i="2"/>
  <c r="N151" i="2" s="1"/>
  <c r="J152" i="2"/>
  <c r="L152" i="2"/>
  <c r="J153" i="2"/>
  <c r="L153" i="2"/>
  <c r="J154" i="2"/>
  <c r="N154" i="2" s="1"/>
  <c r="L154" i="2"/>
  <c r="J155" i="2"/>
  <c r="L155" i="2"/>
  <c r="J156" i="2"/>
  <c r="L156" i="2"/>
  <c r="J157" i="2"/>
  <c r="L157" i="2"/>
  <c r="H156" i="2"/>
  <c r="N156" i="2" s="1"/>
  <c r="H152" i="2"/>
  <c r="H148" i="2"/>
  <c r="N148" i="2" s="1"/>
  <c r="H144" i="2"/>
  <c r="H140" i="2"/>
  <c r="N140" i="2"/>
  <c r="H136" i="2"/>
  <c r="H132" i="2"/>
  <c r="H157" i="2"/>
  <c r="N157" i="2" s="1"/>
  <c r="H158" i="2"/>
  <c r="H155" i="2"/>
  <c r="H154" i="2"/>
  <c r="H153" i="2"/>
  <c r="H151" i="2"/>
  <c r="H150" i="2"/>
  <c r="H149" i="2"/>
  <c r="H147" i="2"/>
  <c r="H146" i="2"/>
  <c r="H145" i="2"/>
  <c r="N145" i="2"/>
  <c r="H143" i="2"/>
  <c r="H142" i="2"/>
  <c r="H141" i="2"/>
  <c r="H139" i="2"/>
  <c r="H138" i="2"/>
  <c r="N138" i="2"/>
  <c r="H137" i="2"/>
  <c r="N137" i="2" s="1"/>
  <c r="H135" i="2"/>
  <c r="H134" i="2"/>
  <c r="H133" i="2"/>
  <c r="H131" i="2"/>
  <c r="H130" i="2"/>
  <c r="N130" i="2" s="1"/>
  <c r="J128" i="2"/>
  <c r="L128" i="2"/>
  <c r="H128" i="2"/>
  <c r="N128" i="2"/>
  <c r="J129" i="2"/>
  <c r="L129" i="2"/>
  <c r="H129" i="2"/>
  <c r="T155" i="2"/>
  <c r="T180" i="2"/>
  <c r="S131" i="2"/>
  <c r="T131" i="2"/>
  <c r="U131" i="2"/>
  <c r="S132" i="2"/>
  <c r="T132" i="2"/>
  <c r="U132" i="2"/>
  <c r="S133" i="2"/>
  <c r="T133" i="2"/>
  <c r="U133" i="2"/>
  <c r="S134" i="2"/>
  <c r="T134" i="2"/>
  <c r="U134" i="2"/>
  <c r="S135" i="2"/>
  <c r="T135" i="2"/>
  <c r="U135" i="2"/>
  <c r="S136" i="2"/>
  <c r="T136" i="2"/>
  <c r="U136" i="2"/>
  <c r="S137" i="2"/>
  <c r="T137" i="2"/>
  <c r="U137" i="2"/>
  <c r="S138" i="2"/>
  <c r="T138" i="2"/>
  <c r="U138" i="2"/>
  <c r="S139" i="2"/>
  <c r="T139" i="2"/>
  <c r="U139" i="2"/>
  <c r="S140" i="2"/>
  <c r="T140" i="2"/>
  <c r="U140" i="2"/>
  <c r="S141" i="2"/>
  <c r="T141" i="2"/>
  <c r="S142" i="2"/>
  <c r="T142" i="2"/>
  <c r="U142" i="2"/>
  <c r="S143" i="2"/>
  <c r="T143" i="2"/>
  <c r="U143" i="2"/>
  <c r="S144" i="2"/>
  <c r="T144" i="2"/>
  <c r="U144" i="2"/>
  <c r="S145" i="2"/>
  <c r="T145" i="2"/>
  <c r="U145" i="2"/>
  <c r="S146" i="2"/>
  <c r="T146" i="2"/>
  <c r="U146" i="2"/>
  <c r="S147" i="2"/>
  <c r="T147" i="2"/>
  <c r="U147" i="2"/>
  <c r="S148" i="2"/>
  <c r="T148" i="2"/>
  <c r="U148" i="2"/>
  <c r="S149" i="2"/>
  <c r="T149" i="2"/>
  <c r="U149" i="2"/>
  <c r="S150" i="2"/>
  <c r="T150" i="2"/>
  <c r="U150" i="2"/>
  <c r="S151" i="2"/>
  <c r="T151" i="2"/>
  <c r="U151" i="2"/>
  <c r="S152" i="2"/>
  <c r="T152" i="2"/>
  <c r="U152" i="2"/>
  <c r="S153" i="2"/>
  <c r="T153" i="2"/>
  <c r="U153" i="2"/>
  <c r="S154" i="2"/>
  <c r="T154" i="2"/>
  <c r="U154" i="2"/>
  <c r="S155" i="2"/>
  <c r="U155" i="2"/>
  <c r="S156" i="2"/>
  <c r="T156" i="2"/>
  <c r="U156" i="2"/>
  <c r="S157" i="2"/>
  <c r="T157" i="2"/>
  <c r="U157" i="2"/>
  <c r="S158" i="2"/>
  <c r="T158" i="2"/>
  <c r="U158" i="2"/>
  <c r="S159" i="2"/>
  <c r="T159" i="2"/>
  <c r="U159" i="2"/>
  <c r="S160" i="2"/>
  <c r="T160" i="2"/>
  <c r="U160" i="2"/>
  <c r="S161" i="2"/>
  <c r="T161" i="2"/>
  <c r="U161" i="2"/>
  <c r="S162" i="2"/>
  <c r="T162" i="2"/>
  <c r="U162" i="2"/>
  <c r="S163" i="2"/>
  <c r="T163" i="2"/>
  <c r="U163" i="2"/>
  <c r="S164" i="2"/>
  <c r="T164" i="2"/>
  <c r="U164" i="2"/>
  <c r="S165" i="2"/>
  <c r="T165" i="2"/>
  <c r="U165" i="2"/>
  <c r="S166" i="2"/>
  <c r="T166" i="2"/>
  <c r="U166" i="2"/>
  <c r="S167" i="2"/>
  <c r="T167" i="2"/>
  <c r="U167" i="2"/>
  <c r="S168" i="2"/>
  <c r="T168" i="2"/>
  <c r="U168" i="2"/>
  <c r="S169" i="2"/>
  <c r="T169" i="2"/>
  <c r="U169" i="2"/>
  <c r="S170" i="2"/>
  <c r="T170" i="2"/>
  <c r="U170" i="2"/>
  <c r="S171" i="2"/>
  <c r="T171" i="2"/>
  <c r="U171" i="2"/>
  <c r="S172" i="2"/>
  <c r="T172" i="2"/>
  <c r="U172" i="2"/>
  <c r="S173" i="2"/>
  <c r="T173" i="2"/>
  <c r="U173" i="2"/>
  <c r="S174" i="2"/>
  <c r="T174" i="2"/>
  <c r="U174" i="2"/>
  <c r="S175" i="2"/>
  <c r="T175" i="2"/>
  <c r="U175" i="2"/>
  <c r="S176" i="2"/>
  <c r="T176" i="2"/>
  <c r="U176" i="2"/>
  <c r="S177" i="2"/>
  <c r="T177" i="2"/>
  <c r="U177" i="2"/>
  <c r="S178" i="2"/>
  <c r="T178" i="2"/>
  <c r="U178" i="2"/>
  <c r="S179" i="2"/>
  <c r="T179" i="2"/>
  <c r="U179" i="2"/>
  <c r="S180" i="2"/>
  <c r="U180" i="2"/>
  <c r="S129" i="2"/>
  <c r="T129" i="2"/>
  <c r="U129" i="2"/>
  <c r="S130" i="2"/>
  <c r="T130" i="2"/>
  <c r="U130" i="2"/>
  <c r="T128" i="2"/>
  <c r="U128" i="2"/>
  <c r="K8" i="2"/>
  <c r="N68" i="2"/>
  <c r="H167" i="2"/>
  <c r="R9" i="14"/>
  <c r="R10" i="14"/>
  <c r="H133" i="14" s="1"/>
  <c r="R11" i="14"/>
  <c r="R12" i="14"/>
  <c r="R13" i="14"/>
  <c r="R14" i="14"/>
  <c r="R15" i="14"/>
  <c r="R16" i="14"/>
  <c r="R17" i="14"/>
  <c r="H136" i="14" s="1"/>
  <c r="R18" i="14"/>
  <c r="R19" i="14"/>
  <c r="R20" i="14"/>
  <c r="L137" i="14"/>
  <c r="R21" i="14"/>
  <c r="R22" i="14"/>
  <c r="R23" i="14"/>
  <c r="R24" i="14"/>
  <c r="R25" i="14"/>
  <c r="R26" i="14"/>
  <c r="R27" i="14"/>
  <c r="R28" i="14"/>
  <c r="R29" i="14"/>
  <c r="R30" i="14"/>
  <c r="R31" i="14"/>
  <c r="R32" i="14"/>
  <c r="R33" i="14"/>
  <c r="R34" i="14"/>
  <c r="R35" i="14"/>
  <c r="R36" i="14"/>
  <c r="R37" i="14"/>
  <c r="R38" i="14"/>
  <c r="L145" i="14" s="1"/>
  <c r="R39" i="14"/>
  <c r="R40" i="14"/>
  <c r="R41" i="14"/>
  <c r="R42" i="14"/>
  <c r="J147" i="14" s="1"/>
  <c r="R43" i="14"/>
  <c r="R44" i="14"/>
  <c r="R45" i="14"/>
  <c r="R46" i="14"/>
  <c r="L149" i="14"/>
  <c r="R47" i="14"/>
  <c r="R48" i="14"/>
  <c r="H150" i="14" s="1"/>
  <c r="R49" i="14"/>
  <c r="J151" i="14"/>
  <c r="R50" i="14"/>
  <c r="R51" i="14"/>
  <c r="H152" i="14" s="1"/>
  <c r="R52" i="14"/>
  <c r="R53" i="14"/>
  <c r="R54" i="14"/>
  <c r="R55" i="14"/>
  <c r="L154" i="14" s="1"/>
  <c r="R56" i="14"/>
  <c r="R57" i="14"/>
  <c r="R58" i="14"/>
  <c r="R59" i="14"/>
  <c r="H155" i="14" s="1"/>
  <c r="R60" i="14"/>
  <c r="R61" i="14"/>
  <c r="R62" i="14"/>
  <c r="R63" i="14"/>
  <c r="R64" i="14"/>
  <c r="R65" i="14"/>
  <c r="R66" i="14"/>
  <c r="H159" i="14" s="1"/>
  <c r="J159" i="14"/>
  <c r="R67" i="14"/>
  <c r="R68" i="14"/>
  <c r="R69" i="14"/>
  <c r="R70" i="14"/>
  <c r="R71" i="14"/>
  <c r="R72" i="14"/>
  <c r="R73" i="14"/>
  <c r="R74" i="14"/>
  <c r="R75" i="14"/>
  <c r="R76" i="14"/>
  <c r="R77" i="14"/>
  <c r="R78" i="14"/>
  <c r="R79" i="14"/>
  <c r="R80" i="14"/>
  <c r="R81" i="14"/>
  <c r="R82" i="14"/>
  <c r="R83" i="14"/>
  <c r="R84" i="14"/>
  <c r="R85" i="14"/>
  <c r="R86" i="14"/>
  <c r="R87" i="14"/>
  <c r="R88" i="14"/>
  <c r="R89" i="14"/>
  <c r="R90" i="14"/>
  <c r="R91" i="14"/>
  <c r="R92" i="14"/>
  <c r="R93" i="14"/>
  <c r="R94" i="14"/>
  <c r="R95" i="14"/>
  <c r="R96" i="14"/>
  <c r="H174" i="14" s="1"/>
  <c r="R97" i="14"/>
  <c r="R98" i="14"/>
  <c r="J175" i="14" s="1"/>
  <c r="R99" i="14"/>
  <c r="R100" i="14"/>
  <c r="R101" i="14"/>
  <c r="R102" i="14"/>
  <c r="R103" i="14"/>
  <c r="R104" i="14"/>
  <c r="R105" i="14"/>
  <c r="R106" i="14"/>
  <c r="R107" i="14"/>
  <c r="H179" i="14" s="1"/>
  <c r="R108" i="14"/>
  <c r="R109" i="14"/>
  <c r="R110" i="14"/>
  <c r="R111" i="14"/>
  <c r="R112" i="14"/>
  <c r="R113" i="14"/>
  <c r="R114" i="14"/>
  <c r="R115" i="14"/>
  <c r="R116" i="14"/>
  <c r="R117" i="14"/>
  <c r="R8" i="14"/>
  <c r="M35" i="14"/>
  <c r="L35" i="14"/>
  <c r="K35" i="14"/>
  <c r="K8" i="14"/>
  <c r="L8" i="14"/>
  <c r="M8" i="14"/>
  <c r="D132" i="14"/>
  <c r="K9" i="14"/>
  <c r="L9" i="14"/>
  <c r="M9" i="14"/>
  <c r="K10" i="14"/>
  <c r="L10" i="14"/>
  <c r="C133" i="14" s="1"/>
  <c r="M10" i="14"/>
  <c r="K11" i="14"/>
  <c r="B133" i="14"/>
  <c r="L11" i="14"/>
  <c r="M11" i="14"/>
  <c r="K12" i="14"/>
  <c r="L12" i="14"/>
  <c r="M12" i="14"/>
  <c r="K13" i="14"/>
  <c r="L13" i="14"/>
  <c r="M13" i="14"/>
  <c r="K14" i="14"/>
  <c r="L14" i="14"/>
  <c r="M14" i="14"/>
  <c r="K15" i="14"/>
  <c r="L15" i="14"/>
  <c r="M15" i="14"/>
  <c r="K16" i="14"/>
  <c r="L16" i="14"/>
  <c r="M16" i="14"/>
  <c r="K17" i="14"/>
  <c r="L17" i="14"/>
  <c r="M17" i="14"/>
  <c r="K18" i="14"/>
  <c r="L18" i="14"/>
  <c r="M18" i="14"/>
  <c r="D136" i="14" s="1"/>
  <c r="K19" i="14"/>
  <c r="L19" i="14"/>
  <c r="M19" i="14"/>
  <c r="K20" i="14"/>
  <c r="L20" i="14"/>
  <c r="M20" i="14"/>
  <c r="K21" i="14"/>
  <c r="L21" i="14"/>
  <c r="M21" i="14"/>
  <c r="K22" i="14"/>
  <c r="L22" i="14"/>
  <c r="M22" i="14"/>
  <c r="K23" i="14"/>
  <c r="L23" i="14"/>
  <c r="M23" i="14"/>
  <c r="D138" i="14" s="1"/>
  <c r="K24" i="14"/>
  <c r="L24" i="14"/>
  <c r="M24" i="14"/>
  <c r="K25" i="14"/>
  <c r="L25" i="14"/>
  <c r="M25" i="14"/>
  <c r="D139" i="14" s="1"/>
  <c r="K26" i="14"/>
  <c r="L26" i="14"/>
  <c r="M26" i="14"/>
  <c r="D140" i="14" s="1"/>
  <c r="K27" i="14"/>
  <c r="B140" i="14" s="1"/>
  <c r="L27" i="14"/>
  <c r="C140" i="14"/>
  <c r="M27" i="14"/>
  <c r="K28" i="14"/>
  <c r="L28" i="14"/>
  <c r="M28" i="14"/>
  <c r="K29" i="14"/>
  <c r="L29" i="14"/>
  <c r="M29" i="14"/>
  <c r="N29" i="14" s="1"/>
  <c r="K30" i="14"/>
  <c r="N30" i="14" s="1"/>
  <c r="L30" i="14"/>
  <c r="M30" i="14"/>
  <c r="K31" i="14"/>
  <c r="L31" i="14"/>
  <c r="M31" i="14"/>
  <c r="D142" i="14"/>
  <c r="K32" i="14"/>
  <c r="B143" i="14"/>
  <c r="L32" i="14"/>
  <c r="C143" i="14" s="1"/>
  <c r="M32" i="14"/>
  <c r="D143" i="14" s="1"/>
  <c r="K33" i="14"/>
  <c r="L33" i="14"/>
  <c r="M33" i="14"/>
  <c r="N33" i="14" s="1"/>
  <c r="K34" i="14"/>
  <c r="L34" i="14"/>
  <c r="M34" i="14"/>
  <c r="K36" i="14"/>
  <c r="L36" i="14"/>
  <c r="M36" i="14"/>
  <c r="K37" i="14"/>
  <c r="L37" i="14"/>
  <c r="M37" i="14"/>
  <c r="K38" i="14"/>
  <c r="L38" i="14"/>
  <c r="M38" i="14"/>
  <c r="K39" i="14"/>
  <c r="L39" i="14"/>
  <c r="C146" i="14"/>
  <c r="M39" i="14"/>
  <c r="K40" i="14"/>
  <c r="L40" i="14"/>
  <c r="M40" i="14"/>
  <c r="K41" i="14"/>
  <c r="L41" i="14"/>
  <c r="M41" i="14"/>
  <c r="K42" i="14"/>
  <c r="L42" i="14"/>
  <c r="M42" i="14"/>
  <c r="K43" i="14"/>
  <c r="L43" i="14"/>
  <c r="M43" i="14"/>
  <c r="N43" i="14"/>
  <c r="K44" i="14"/>
  <c r="L44" i="14"/>
  <c r="M44" i="14"/>
  <c r="K45" i="14"/>
  <c r="N45" i="14" s="1"/>
  <c r="L45" i="14"/>
  <c r="M45" i="14"/>
  <c r="K46" i="14"/>
  <c r="L46" i="14"/>
  <c r="C149" i="14"/>
  <c r="M46" i="14"/>
  <c r="D149" i="14" s="1"/>
  <c r="K47" i="14"/>
  <c r="L47" i="14"/>
  <c r="M47" i="14"/>
  <c r="K48" i="14"/>
  <c r="B150" i="14"/>
  <c r="L48" i="14"/>
  <c r="M48" i="14"/>
  <c r="D150" i="14" s="1"/>
  <c r="K49" i="14"/>
  <c r="L49" i="14"/>
  <c r="M49" i="14"/>
  <c r="K50" i="14"/>
  <c r="B151" i="14" s="1"/>
  <c r="L50" i="14"/>
  <c r="M50" i="14"/>
  <c r="K51" i="14"/>
  <c r="L51" i="14"/>
  <c r="M51" i="14"/>
  <c r="K52" i="14"/>
  <c r="L52" i="14"/>
  <c r="N52" i="14" s="1"/>
  <c r="M52" i="14"/>
  <c r="K53" i="14"/>
  <c r="B153" i="14" s="1"/>
  <c r="L53" i="14"/>
  <c r="C153" i="14" s="1"/>
  <c r="M53" i="14"/>
  <c r="D153" i="14" s="1"/>
  <c r="K54" i="14"/>
  <c r="L54" i="14"/>
  <c r="M54" i="14"/>
  <c r="K55" i="14"/>
  <c r="L55" i="14"/>
  <c r="C154" i="14" s="1"/>
  <c r="M55" i="14"/>
  <c r="K56" i="14"/>
  <c r="L56" i="14"/>
  <c r="M56" i="14"/>
  <c r="K57" i="14"/>
  <c r="L57" i="14"/>
  <c r="M57" i="14"/>
  <c r="K58" i="14"/>
  <c r="L58" i="14"/>
  <c r="M58" i="14"/>
  <c r="K59" i="14"/>
  <c r="L59" i="14"/>
  <c r="M59" i="14"/>
  <c r="D155" i="14" s="1"/>
  <c r="K60" i="14"/>
  <c r="L60" i="14"/>
  <c r="C156" i="14" s="1"/>
  <c r="M60" i="14"/>
  <c r="K61" i="14"/>
  <c r="B156" i="14" s="1"/>
  <c r="L61" i="14"/>
  <c r="M61" i="14"/>
  <c r="K62" i="14"/>
  <c r="L62" i="14"/>
  <c r="C157" i="14" s="1"/>
  <c r="M62" i="14"/>
  <c r="K63" i="14"/>
  <c r="L63" i="14"/>
  <c r="M63" i="14"/>
  <c r="K64" i="14"/>
  <c r="L64" i="14"/>
  <c r="C158" i="14"/>
  <c r="M64" i="14"/>
  <c r="K65" i="14"/>
  <c r="L65" i="14"/>
  <c r="M65" i="14"/>
  <c r="K66" i="14"/>
  <c r="L66" i="14"/>
  <c r="M66" i="14"/>
  <c r="K67" i="14"/>
  <c r="L67" i="14"/>
  <c r="C159" i="14" s="1"/>
  <c r="M67" i="14"/>
  <c r="D159" i="14" s="1"/>
  <c r="K68" i="14"/>
  <c r="L68" i="14"/>
  <c r="M68" i="14"/>
  <c r="K69" i="14"/>
  <c r="L69" i="14"/>
  <c r="M69" i="14"/>
  <c r="R9" i="15"/>
  <c r="J140" i="15"/>
  <c r="R10" i="15"/>
  <c r="R11" i="15"/>
  <c r="R12" i="15"/>
  <c r="R13" i="15"/>
  <c r="R14" i="15"/>
  <c r="R15" i="15"/>
  <c r="L142" i="15"/>
  <c r="R16" i="15"/>
  <c r="H143" i="15" s="1"/>
  <c r="R17" i="15"/>
  <c r="R18" i="15"/>
  <c r="R19" i="15"/>
  <c r="L144" i="15" s="1"/>
  <c r="R20" i="15"/>
  <c r="R21" i="15"/>
  <c r="R22" i="15"/>
  <c r="R23" i="15"/>
  <c r="R24" i="15"/>
  <c r="R25" i="15"/>
  <c r="H147" i="15"/>
  <c r="R26" i="15"/>
  <c r="R27" i="15"/>
  <c r="R28" i="15"/>
  <c r="R29" i="15"/>
  <c r="R30" i="15"/>
  <c r="R31" i="15"/>
  <c r="R32" i="15"/>
  <c r="R33" i="15"/>
  <c r="J151" i="15"/>
  <c r="R34" i="15"/>
  <c r="R35" i="15"/>
  <c r="L152" i="15" s="1"/>
  <c r="R36" i="15"/>
  <c r="R37" i="15"/>
  <c r="R38" i="15"/>
  <c r="R39" i="15"/>
  <c r="R40" i="15"/>
  <c r="R41" i="15"/>
  <c r="R42" i="15"/>
  <c r="H155" i="15" s="1"/>
  <c r="R43" i="15"/>
  <c r="R44" i="15"/>
  <c r="H156" i="15" s="1"/>
  <c r="R45" i="15"/>
  <c r="R46" i="15"/>
  <c r="R47" i="15"/>
  <c r="R48" i="15"/>
  <c r="J158" i="15"/>
  <c r="R49" i="15"/>
  <c r="R50" i="15"/>
  <c r="J159" i="15" s="1"/>
  <c r="R51" i="15"/>
  <c r="R52" i="15"/>
  <c r="R53" i="15"/>
  <c r="R54" i="15"/>
  <c r="J161" i="15" s="1"/>
  <c r="R55" i="15"/>
  <c r="R56" i="15"/>
  <c r="R57" i="15"/>
  <c r="R58" i="15"/>
  <c r="R59" i="15"/>
  <c r="L163" i="15"/>
  <c r="R60" i="15"/>
  <c r="R61" i="15"/>
  <c r="L164" i="15" s="1"/>
  <c r="R62" i="15"/>
  <c r="R63" i="15"/>
  <c r="L165" i="15"/>
  <c r="R64" i="15"/>
  <c r="R65" i="15"/>
  <c r="R66" i="15"/>
  <c r="R67" i="15"/>
  <c r="R68" i="15"/>
  <c r="R69" i="15"/>
  <c r="R70" i="15"/>
  <c r="R71" i="15"/>
  <c r="R72" i="15"/>
  <c r="R73" i="15"/>
  <c r="R74" i="15"/>
  <c r="R75" i="15"/>
  <c r="R76" i="15"/>
  <c r="R77" i="15"/>
  <c r="R78" i="15"/>
  <c r="R79" i="15"/>
  <c r="R80" i="15"/>
  <c r="R81" i="15"/>
  <c r="R82" i="15"/>
  <c r="R83" i="15"/>
  <c r="R84" i="15"/>
  <c r="R86" i="15"/>
  <c r="R87" i="15"/>
  <c r="R88" i="15"/>
  <c r="R89" i="15"/>
  <c r="R90" i="15"/>
  <c r="R91" i="15"/>
  <c r="R92" i="15"/>
  <c r="R93" i="15"/>
  <c r="R94" i="15"/>
  <c r="R95" i="15"/>
  <c r="R96" i="15"/>
  <c r="R97" i="15"/>
  <c r="R98" i="15"/>
  <c r="R99" i="15"/>
  <c r="R101" i="15"/>
  <c r="J182" i="15" s="1"/>
  <c r="R102" i="15"/>
  <c r="R103" i="15"/>
  <c r="R104" i="15"/>
  <c r="R105" i="15"/>
  <c r="R106" i="15"/>
  <c r="R107" i="15"/>
  <c r="R108" i="15"/>
  <c r="L186" i="15"/>
  <c r="N186" i="15" s="1"/>
  <c r="R109" i="15"/>
  <c r="R110" i="15"/>
  <c r="R112" i="15"/>
  <c r="R113" i="15"/>
  <c r="R114" i="15"/>
  <c r="R115" i="15"/>
  <c r="R116" i="15"/>
  <c r="J189" i="15" s="1"/>
  <c r="R117" i="15"/>
  <c r="R118" i="15"/>
  <c r="R119" i="15"/>
  <c r="R120" i="15"/>
  <c r="R121" i="15"/>
  <c r="R122" i="15"/>
  <c r="R124" i="15"/>
  <c r="R8" i="15"/>
  <c r="K8" i="15"/>
  <c r="B140" i="15" s="1"/>
  <c r="L8" i="15"/>
  <c r="M8" i="15"/>
  <c r="K9" i="15"/>
  <c r="L9" i="15"/>
  <c r="M9" i="15"/>
  <c r="K10" i="15"/>
  <c r="L10" i="15"/>
  <c r="M10" i="15"/>
  <c r="K11" i="15"/>
  <c r="L11" i="15"/>
  <c r="C141" i="15"/>
  <c r="M11" i="15"/>
  <c r="K12" i="15"/>
  <c r="L12" i="15"/>
  <c r="M12" i="15"/>
  <c r="K13" i="15"/>
  <c r="L13" i="15"/>
  <c r="M13" i="15"/>
  <c r="K14" i="15"/>
  <c r="L14" i="15"/>
  <c r="M14" i="15"/>
  <c r="K15" i="15"/>
  <c r="L15" i="15"/>
  <c r="M15" i="15"/>
  <c r="K16" i="15"/>
  <c r="L16" i="15"/>
  <c r="M16" i="15"/>
  <c r="K17" i="15"/>
  <c r="L17" i="15"/>
  <c r="C143" i="15"/>
  <c r="M17" i="15"/>
  <c r="K18" i="15"/>
  <c r="L18" i="15"/>
  <c r="M18" i="15"/>
  <c r="K19" i="15"/>
  <c r="L19" i="15"/>
  <c r="M19" i="15"/>
  <c r="K20" i="15"/>
  <c r="B145" i="15" s="1"/>
  <c r="L20" i="15"/>
  <c r="M20" i="15"/>
  <c r="K21" i="15"/>
  <c r="L21" i="15"/>
  <c r="C145" i="15" s="1"/>
  <c r="M21" i="15"/>
  <c r="K22" i="15"/>
  <c r="N22" i="15" s="1"/>
  <c r="L22" i="15"/>
  <c r="M22" i="15"/>
  <c r="K23" i="15"/>
  <c r="L23" i="15"/>
  <c r="C146" i="15" s="1"/>
  <c r="E146" i="15" s="1"/>
  <c r="M23" i="15"/>
  <c r="K24" i="15"/>
  <c r="L24" i="15"/>
  <c r="M24" i="15"/>
  <c r="N24" i="15"/>
  <c r="K25" i="15"/>
  <c r="B147" i="15"/>
  <c r="L25" i="15"/>
  <c r="M25" i="15"/>
  <c r="K26" i="15"/>
  <c r="L26" i="15"/>
  <c r="M26" i="15"/>
  <c r="K27" i="15"/>
  <c r="L27" i="15"/>
  <c r="N27" i="15" s="1"/>
  <c r="M27" i="15"/>
  <c r="K28" i="15"/>
  <c r="L28" i="15"/>
  <c r="M28" i="15"/>
  <c r="K29" i="15"/>
  <c r="L29" i="15"/>
  <c r="M29" i="15"/>
  <c r="K30" i="15"/>
  <c r="N30" i="15" s="1"/>
  <c r="L30" i="15"/>
  <c r="M30" i="15"/>
  <c r="K31" i="15"/>
  <c r="L31" i="15"/>
  <c r="M31" i="15"/>
  <c r="K32" i="15"/>
  <c r="L32" i="15"/>
  <c r="C150" i="15"/>
  <c r="M32" i="15"/>
  <c r="K33" i="15"/>
  <c r="L33" i="15"/>
  <c r="C151" i="15" s="1"/>
  <c r="M33" i="15"/>
  <c r="K34" i="15"/>
  <c r="N34" i="15" s="1"/>
  <c r="L34" i="15"/>
  <c r="M34" i="15"/>
  <c r="K35" i="15"/>
  <c r="B152" i="15"/>
  <c r="L35" i="15"/>
  <c r="C152" i="15"/>
  <c r="M35" i="15"/>
  <c r="D152" i="15" s="1"/>
  <c r="K36" i="15"/>
  <c r="L36" i="15"/>
  <c r="M36" i="15"/>
  <c r="K37" i="15"/>
  <c r="B153" i="15" s="1"/>
  <c r="L37" i="15"/>
  <c r="M37" i="15"/>
  <c r="D153" i="15"/>
  <c r="K38" i="15"/>
  <c r="L38" i="15"/>
  <c r="M38" i="15"/>
  <c r="K39" i="15"/>
  <c r="B154" i="15" s="1"/>
  <c r="L39" i="15"/>
  <c r="M39" i="15"/>
  <c r="D154" i="15" s="1"/>
  <c r="K40" i="15"/>
  <c r="L40" i="15"/>
  <c r="M40" i="15"/>
  <c r="K41" i="15"/>
  <c r="L41" i="15"/>
  <c r="M41" i="15"/>
  <c r="K42" i="15"/>
  <c r="L42" i="15"/>
  <c r="M42" i="15"/>
  <c r="K43" i="15"/>
  <c r="B155" i="15" s="1"/>
  <c r="L43" i="15"/>
  <c r="M43" i="15"/>
  <c r="D155" i="15" s="1"/>
  <c r="K44" i="15"/>
  <c r="L44" i="15"/>
  <c r="M44" i="15"/>
  <c r="K45" i="15"/>
  <c r="L45" i="15"/>
  <c r="M45" i="15"/>
  <c r="K46" i="15"/>
  <c r="N46" i="15"/>
  <c r="L46" i="15"/>
  <c r="M46" i="15"/>
  <c r="K47" i="15"/>
  <c r="L47" i="15"/>
  <c r="M47" i="15"/>
  <c r="K48" i="15"/>
  <c r="L48" i="15"/>
  <c r="C158" i="15"/>
  <c r="M48" i="15"/>
  <c r="K49" i="15"/>
  <c r="L49" i="15"/>
  <c r="M49" i="15"/>
  <c r="K50" i="15"/>
  <c r="L50" i="15"/>
  <c r="C159" i="15"/>
  <c r="M50" i="15"/>
  <c r="K51" i="15"/>
  <c r="N51" i="15"/>
  <c r="L51" i="15"/>
  <c r="M51" i="15"/>
  <c r="K52" i="15"/>
  <c r="L52" i="15"/>
  <c r="M52" i="15"/>
  <c r="K53" i="15"/>
  <c r="L53" i="15"/>
  <c r="M53" i="15"/>
  <c r="K54" i="15"/>
  <c r="L54" i="15"/>
  <c r="N54" i="15" s="1"/>
  <c r="M54" i="15"/>
  <c r="K55" i="15"/>
  <c r="L55" i="15"/>
  <c r="M55" i="15"/>
  <c r="K56" i="15"/>
  <c r="L56" i="15"/>
  <c r="M56" i="15"/>
  <c r="K57" i="15"/>
  <c r="L57" i="15"/>
  <c r="M57" i="15"/>
  <c r="D162" i="15" s="1"/>
  <c r="K58" i="15"/>
  <c r="L58" i="15"/>
  <c r="C162" i="15" s="1"/>
  <c r="M58" i="15"/>
  <c r="K59" i="15"/>
  <c r="L59" i="15"/>
  <c r="M59" i="15"/>
  <c r="K60" i="15"/>
  <c r="L60" i="15"/>
  <c r="M60" i="15"/>
  <c r="K61" i="15"/>
  <c r="L61" i="15"/>
  <c r="M61" i="15"/>
  <c r="K62" i="15"/>
  <c r="L62" i="15"/>
  <c r="M62" i="15"/>
  <c r="K63" i="15"/>
  <c r="L63" i="15"/>
  <c r="M63" i="15"/>
  <c r="K64" i="15"/>
  <c r="L64" i="15"/>
  <c r="N64" i="15"/>
  <c r="M64" i="15"/>
  <c r="D165" i="15" s="1"/>
  <c r="M70" i="15"/>
  <c r="L70" i="15"/>
  <c r="K70" i="15"/>
  <c r="R9" i="8"/>
  <c r="R10" i="8"/>
  <c r="R11" i="8"/>
  <c r="R12" i="8"/>
  <c r="R13" i="8"/>
  <c r="R14" i="8"/>
  <c r="R15" i="8"/>
  <c r="R16" i="8"/>
  <c r="R1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52" i="8"/>
  <c r="R53" i="8"/>
  <c r="R54" i="8"/>
  <c r="R55" i="8"/>
  <c r="R56" i="8"/>
  <c r="R57" i="8"/>
  <c r="R58" i="8"/>
  <c r="R59" i="8"/>
  <c r="R60" i="8"/>
  <c r="R61" i="8"/>
  <c r="R62" i="8"/>
  <c r="R63" i="8"/>
  <c r="R64" i="8"/>
  <c r="R65" i="8"/>
  <c r="R66" i="8"/>
  <c r="R67" i="8"/>
  <c r="R68" i="8"/>
  <c r="R69" i="8"/>
  <c r="R70" i="8"/>
  <c r="R71" i="8"/>
  <c r="R72" i="8"/>
  <c r="R73" i="8"/>
  <c r="R74" i="8"/>
  <c r="R75" i="8"/>
  <c r="R76" i="8"/>
  <c r="R77" i="8"/>
  <c r="R78" i="8"/>
  <c r="R79" i="8"/>
  <c r="R80" i="8"/>
  <c r="R81" i="8"/>
  <c r="R82" i="8"/>
  <c r="R83" i="8"/>
  <c r="R84" i="8"/>
  <c r="R85" i="8"/>
  <c r="R86" i="8"/>
  <c r="R87" i="8"/>
  <c r="R88" i="8"/>
  <c r="R89" i="8"/>
  <c r="R90" i="8"/>
  <c r="R91" i="8"/>
  <c r="R92" i="8"/>
  <c r="R93" i="8"/>
  <c r="R94" i="8"/>
  <c r="R95" i="8"/>
  <c r="R96" i="8"/>
  <c r="R97" i="8"/>
  <c r="R98" i="8"/>
  <c r="R100" i="8"/>
  <c r="R101" i="8"/>
  <c r="R103" i="8"/>
  <c r="R104" i="8"/>
  <c r="R105" i="8"/>
  <c r="R106" i="8"/>
  <c r="R107" i="8"/>
  <c r="R108" i="8"/>
  <c r="R109" i="8"/>
  <c r="R110" i="8"/>
  <c r="R111" i="8"/>
  <c r="R112" i="8"/>
  <c r="R113" i="8"/>
  <c r="R114" i="8"/>
  <c r="R115" i="8"/>
  <c r="R116" i="8"/>
  <c r="R117" i="8"/>
  <c r="R118" i="8"/>
  <c r="R119" i="8"/>
  <c r="R120" i="8"/>
  <c r="R121" i="8"/>
  <c r="R8" i="8"/>
  <c r="M58" i="8"/>
  <c r="L58" i="8"/>
  <c r="K58" i="8"/>
  <c r="M43" i="8"/>
  <c r="N43" i="8" s="1"/>
  <c r="L43" i="8"/>
  <c r="K43" i="8"/>
  <c r="M36" i="8"/>
  <c r="L36" i="8"/>
  <c r="K36" i="8"/>
  <c r="N36" i="8" s="1"/>
  <c r="M33" i="8"/>
  <c r="L33" i="8"/>
  <c r="C149" i="8" s="1"/>
  <c r="K33" i="8"/>
  <c r="M30" i="8"/>
  <c r="L30" i="8"/>
  <c r="K30" i="8"/>
  <c r="M15" i="8"/>
  <c r="L15" i="8"/>
  <c r="K15" i="8"/>
  <c r="M39" i="8"/>
  <c r="D151" i="8" s="1"/>
  <c r="L39" i="8"/>
  <c r="K39" i="8"/>
  <c r="M38" i="8"/>
  <c r="L38" i="8"/>
  <c r="K38" i="8"/>
  <c r="B151" i="8"/>
  <c r="M37" i="8"/>
  <c r="D150" i="8" s="1"/>
  <c r="L37" i="8"/>
  <c r="K37" i="8"/>
  <c r="M35" i="8"/>
  <c r="L35" i="8"/>
  <c r="C150" i="8"/>
  <c r="K35" i="8"/>
  <c r="B150" i="8" s="1"/>
  <c r="E150" i="8" s="1"/>
  <c r="M34" i="8"/>
  <c r="L34" i="8"/>
  <c r="K34" i="8"/>
  <c r="M32" i="8"/>
  <c r="L32" i="8"/>
  <c r="K32" i="8"/>
  <c r="M31" i="8"/>
  <c r="L31" i="8"/>
  <c r="K31" i="8"/>
  <c r="M29" i="8"/>
  <c r="L29" i="8"/>
  <c r="C148" i="8" s="1"/>
  <c r="K29" i="8"/>
  <c r="B148" i="8" s="1"/>
  <c r="E148" i="8" s="1"/>
  <c r="M28" i="8"/>
  <c r="L28" i="8"/>
  <c r="K28" i="8"/>
  <c r="N28" i="8" s="1"/>
  <c r="M27" i="8"/>
  <c r="L27" i="8"/>
  <c r="K27" i="8"/>
  <c r="M26" i="8"/>
  <c r="D146" i="8" s="1"/>
  <c r="L26" i="8"/>
  <c r="C146" i="8" s="1"/>
  <c r="E146" i="8" s="1"/>
  <c r="K26" i="8"/>
  <c r="M25" i="8"/>
  <c r="L25" i="8"/>
  <c r="K25" i="8"/>
  <c r="M24" i="8"/>
  <c r="L24" i="8"/>
  <c r="K24" i="8"/>
  <c r="N24" i="8" s="1"/>
  <c r="M23" i="8"/>
  <c r="L23" i="8"/>
  <c r="K23" i="8"/>
  <c r="B145" i="8" s="1"/>
  <c r="M22" i="8"/>
  <c r="D144" i="8"/>
  <c r="L22" i="8"/>
  <c r="K22" i="8"/>
  <c r="M21" i="8"/>
  <c r="L21" i="8"/>
  <c r="K21" i="8"/>
  <c r="B144" i="8" s="1"/>
  <c r="M20" i="8"/>
  <c r="L20" i="8"/>
  <c r="K20" i="8"/>
  <c r="M19" i="8"/>
  <c r="L19" i="8"/>
  <c r="K19" i="8"/>
  <c r="M18" i="8"/>
  <c r="D142" i="8" s="1"/>
  <c r="E142" i="8" s="1"/>
  <c r="L18" i="8"/>
  <c r="K18" i="8"/>
  <c r="M17" i="8"/>
  <c r="L17" i="8"/>
  <c r="C142" i="8" s="1"/>
  <c r="K17" i="8"/>
  <c r="B142" i="8" s="1"/>
  <c r="M16" i="8"/>
  <c r="L16" i="8"/>
  <c r="K16" i="8"/>
  <c r="M14" i="8"/>
  <c r="L14" i="8"/>
  <c r="K14" i="8"/>
  <c r="B141" i="8" s="1"/>
  <c r="M13" i="8"/>
  <c r="D140" i="8" s="1"/>
  <c r="L13" i="8"/>
  <c r="K13" i="8"/>
  <c r="M12" i="8"/>
  <c r="L12" i="8"/>
  <c r="K12" i="8"/>
  <c r="M11" i="8"/>
  <c r="D139" i="8" s="1"/>
  <c r="L11" i="8"/>
  <c r="K11" i="8"/>
  <c r="M10" i="8"/>
  <c r="L10" i="8"/>
  <c r="K10" i="8"/>
  <c r="B139" i="8" s="1"/>
  <c r="M9" i="8"/>
  <c r="L9" i="8"/>
  <c r="K9" i="8"/>
  <c r="M8" i="8"/>
  <c r="L8" i="8"/>
  <c r="K8" i="8"/>
  <c r="B138" i="8" s="1"/>
  <c r="M69" i="8"/>
  <c r="L69" i="8"/>
  <c r="K69" i="8"/>
  <c r="M68" i="8"/>
  <c r="D165" i="8"/>
  <c r="L68" i="8"/>
  <c r="K68" i="8"/>
  <c r="M67" i="8"/>
  <c r="L67" i="8"/>
  <c r="C164" i="8" s="1"/>
  <c r="N67" i="8"/>
  <c r="K67" i="8"/>
  <c r="M66" i="8"/>
  <c r="L66" i="8"/>
  <c r="K66" i="8"/>
  <c r="B164" i="8"/>
  <c r="M65" i="8"/>
  <c r="L65" i="8"/>
  <c r="C163" i="8" s="1"/>
  <c r="K65" i="8"/>
  <c r="N65" i="8" s="1"/>
  <c r="M64" i="8"/>
  <c r="D163" i="8" s="1"/>
  <c r="L64" i="8"/>
  <c r="K64" i="8"/>
  <c r="N64" i="8" s="1"/>
  <c r="M63" i="8"/>
  <c r="D162" i="8" s="1"/>
  <c r="L63" i="8"/>
  <c r="K63" i="8"/>
  <c r="M62" i="8"/>
  <c r="L62" i="8"/>
  <c r="C162" i="8" s="1"/>
  <c r="K62" i="8"/>
  <c r="B162" i="8"/>
  <c r="M61" i="8"/>
  <c r="L61" i="8"/>
  <c r="K61" i="8"/>
  <c r="M60" i="8"/>
  <c r="L60" i="8"/>
  <c r="C161" i="8"/>
  <c r="E161" i="8" s="1"/>
  <c r="K60" i="8"/>
  <c r="B161" i="8" s="1"/>
  <c r="M59" i="8"/>
  <c r="L59" i="8"/>
  <c r="K59" i="8"/>
  <c r="M57" i="8"/>
  <c r="L57" i="8"/>
  <c r="K57" i="8"/>
  <c r="N57" i="8" s="1"/>
  <c r="B160" i="8"/>
  <c r="M56" i="8"/>
  <c r="L56" i="8"/>
  <c r="K56" i="8"/>
  <c r="N56" i="8" s="1"/>
  <c r="M55" i="8"/>
  <c r="D159" i="8" s="1"/>
  <c r="L55" i="8"/>
  <c r="C159" i="8" s="1"/>
  <c r="E159" i="8" s="1"/>
  <c r="K55" i="8"/>
  <c r="B159" i="8"/>
  <c r="M54" i="8"/>
  <c r="L54" i="8"/>
  <c r="K54" i="8"/>
  <c r="N54" i="8" s="1"/>
  <c r="M53" i="8"/>
  <c r="D158" i="8"/>
  <c r="L53" i="8"/>
  <c r="K53" i="8"/>
  <c r="M52" i="8"/>
  <c r="L52" i="8"/>
  <c r="K52" i="8"/>
  <c r="M51" i="8"/>
  <c r="D157" i="8"/>
  <c r="L51" i="8"/>
  <c r="C157" i="8" s="1"/>
  <c r="K51" i="8"/>
  <c r="B157" i="8" s="1"/>
  <c r="M50" i="8"/>
  <c r="L50" i="8"/>
  <c r="K50" i="8"/>
  <c r="M49" i="8"/>
  <c r="L49" i="8"/>
  <c r="K49" i="8"/>
  <c r="B156" i="8"/>
  <c r="M48" i="8"/>
  <c r="L48" i="8"/>
  <c r="K48" i="8"/>
  <c r="M47" i="8"/>
  <c r="D155" i="8" s="1"/>
  <c r="L47" i="8"/>
  <c r="C155" i="8" s="1"/>
  <c r="K47" i="8"/>
  <c r="M46" i="8"/>
  <c r="L46" i="8"/>
  <c r="K46" i="8"/>
  <c r="M45" i="8"/>
  <c r="L45" i="8"/>
  <c r="C154" i="8" s="1"/>
  <c r="E154" i="8" s="1"/>
  <c r="K45" i="8"/>
  <c r="B154" i="8" s="1"/>
  <c r="M44" i="8"/>
  <c r="L44" i="8"/>
  <c r="K44" i="8"/>
  <c r="M42" i="8"/>
  <c r="L42" i="8"/>
  <c r="K42" i="8"/>
  <c r="M41" i="8"/>
  <c r="L41" i="8"/>
  <c r="K41" i="8"/>
  <c r="N41" i="8"/>
  <c r="M40" i="8"/>
  <c r="D152" i="8"/>
  <c r="L40" i="8"/>
  <c r="C152" i="8" s="1"/>
  <c r="K40" i="8"/>
  <c r="N40" i="8" s="1"/>
  <c r="M71" i="8"/>
  <c r="L71" i="8"/>
  <c r="K71" i="8"/>
  <c r="N71" i="8"/>
  <c r="M70" i="8"/>
  <c r="D166" i="8" s="1"/>
  <c r="L70" i="8"/>
  <c r="K70" i="8"/>
  <c r="R9" i="7"/>
  <c r="R10" i="7"/>
  <c r="R11" i="7"/>
  <c r="R12" i="7"/>
  <c r="R13" i="7"/>
  <c r="R14" i="7"/>
  <c r="R15" i="7"/>
  <c r="R16" i="7"/>
  <c r="R17" i="7"/>
  <c r="R18" i="7"/>
  <c r="J134" i="7"/>
  <c r="R19" i="7"/>
  <c r="R20" i="7"/>
  <c r="R21" i="7"/>
  <c r="R22" i="7"/>
  <c r="R23" i="7"/>
  <c r="R24" i="7"/>
  <c r="R25" i="7"/>
  <c r="H138" i="7" s="1"/>
  <c r="R26" i="7"/>
  <c r="R27" i="7"/>
  <c r="R28" i="7"/>
  <c r="J139" i="7" s="1"/>
  <c r="R29" i="7"/>
  <c r="R30" i="7"/>
  <c r="W140" i="7" s="1"/>
  <c r="R31" i="7"/>
  <c r="R32" i="7"/>
  <c r="J141" i="7" s="1"/>
  <c r="R33" i="7"/>
  <c r="R34" i="7"/>
  <c r="R35" i="7"/>
  <c r="R36" i="7"/>
  <c r="J143" i="7" s="1"/>
  <c r="R37" i="7"/>
  <c r="L144" i="7" s="1"/>
  <c r="R38" i="7"/>
  <c r="R39" i="7"/>
  <c r="J145" i="7" s="1"/>
  <c r="R40" i="7"/>
  <c r="R41" i="7"/>
  <c r="R42" i="7"/>
  <c r="R43" i="7"/>
  <c r="R44" i="7"/>
  <c r="R45" i="7"/>
  <c r="W148" i="7" s="1"/>
  <c r="R46" i="7"/>
  <c r="R47" i="7"/>
  <c r="J149" i="7"/>
  <c r="R48" i="7"/>
  <c r="R49" i="7"/>
  <c r="R50" i="7"/>
  <c r="W150" i="7" s="1"/>
  <c r="R51" i="7"/>
  <c r="J151" i="7"/>
  <c r="W151" i="7"/>
  <c r="R52" i="7"/>
  <c r="L151" i="7"/>
  <c r="R53" i="7"/>
  <c r="H152" i="7" s="1"/>
  <c r="R54" i="7"/>
  <c r="J152" i="7" s="1"/>
  <c r="R55" i="7"/>
  <c r="R56" i="7"/>
  <c r="R57" i="7"/>
  <c r="J154" i="7" s="1"/>
  <c r="R58" i="7"/>
  <c r="R59" i="7"/>
  <c r="R60" i="7"/>
  <c r="R61" i="7"/>
  <c r="L156" i="7" s="1"/>
  <c r="R62" i="7"/>
  <c r="R63" i="7"/>
  <c r="H157" i="7" s="1"/>
  <c r="R64" i="7"/>
  <c r="R65" i="7"/>
  <c r="R66" i="7"/>
  <c r="R67" i="7"/>
  <c r="R68" i="7"/>
  <c r="R69" i="7"/>
  <c r="R70" i="7"/>
  <c r="R71" i="7"/>
  <c r="R72" i="7"/>
  <c r="R73" i="7"/>
  <c r="R74" i="7"/>
  <c r="R75" i="7"/>
  <c r="R76" i="7"/>
  <c r="R77" i="7"/>
  <c r="R78" i="7"/>
  <c r="R79" i="7"/>
  <c r="R80" i="7"/>
  <c r="R81" i="7"/>
  <c r="R82" i="7"/>
  <c r="J166" i="7"/>
  <c r="R83" i="7"/>
  <c r="R84" i="7"/>
  <c r="R85" i="7"/>
  <c r="R86" i="7"/>
  <c r="R87" i="7"/>
  <c r="R88" i="7"/>
  <c r="R89" i="7"/>
  <c r="J170" i="7" s="1"/>
  <c r="R90" i="7"/>
  <c r="R91" i="7"/>
  <c r="R92" i="7"/>
  <c r="R93" i="7"/>
  <c r="R94" i="7"/>
  <c r="R95" i="7"/>
  <c r="R96" i="7"/>
  <c r="R97" i="7"/>
  <c r="R98" i="7"/>
  <c r="R99" i="7"/>
  <c r="R100" i="7"/>
  <c r="R101" i="7"/>
  <c r="R102" i="7"/>
  <c r="L176" i="7"/>
  <c r="R103" i="7"/>
  <c r="J177" i="7" s="1"/>
  <c r="R104" i="7"/>
  <c r="R105" i="7"/>
  <c r="H178" i="7" s="1"/>
  <c r="R106" i="7"/>
  <c r="R107" i="7"/>
  <c r="H179" i="7" s="1"/>
  <c r="R108" i="7"/>
  <c r="R109" i="7"/>
  <c r="R110" i="7"/>
  <c r="R111" i="7"/>
  <c r="J181" i="7" s="1"/>
  <c r="R112" i="7"/>
  <c r="R113" i="7"/>
  <c r="H182" i="7" s="1"/>
  <c r="J182" i="7"/>
  <c r="W182" i="7"/>
  <c r="R114" i="7"/>
  <c r="R8" i="7"/>
  <c r="W130" i="7" s="1"/>
  <c r="M9" i="7"/>
  <c r="L9" i="7"/>
  <c r="K9" i="7"/>
  <c r="M17" i="7"/>
  <c r="L17" i="7"/>
  <c r="K17" i="7"/>
  <c r="M16" i="7"/>
  <c r="L16" i="7"/>
  <c r="K16" i="7"/>
  <c r="N16" i="7" s="1"/>
  <c r="M15" i="7"/>
  <c r="D133" i="7" s="1"/>
  <c r="E133" i="7" s="1"/>
  <c r="L15" i="7"/>
  <c r="K15" i="7"/>
  <c r="M14" i="7"/>
  <c r="L14" i="7"/>
  <c r="N14" i="7"/>
  <c r="K14" i="7"/>
  <c r="E14" i="7"/>
  <c r="M13" i="7"/>
  <c r="D132" i="7" s="1"/>
  <c r="E132" i="7" s="1"/>
  <c r="L13" i="7"/>
  <c r="K13" i="7"/>
  <c r="M12" i="7"/>
  <c r="L12" i="7"/>
  <c r="K12" i="7"/>
  <c r="N12" i="7" s="1"/>
  <c r="E12" i="7"/>
  <c r="M11" i="7"/>
  <c r="L11" i="7"/>
  <c r="K11" i="7"/>
  <c r="N11" i="7"/>
  <c r="M10" i="7"/>
  <c r="D130" i="7"/>
  <c r="L10" i="7"/>
  <c r="K10" i="7"/>
  <c r="M8" i="7"/>
  <c r="L8" i="7"/>
  <c r="K8" i="7"/>
  <c r="M45" i="7"/>
  <c r="L45" i="7"/>
  <c r="C148" i="7"/>
  <c r="K45" i="7"/>
  <c r="B148" i="7" s="1"/>
  <c r="E148" i="7" s="1"/>
  <c r="M44" i="7"/>
  <c r="L44" i="7"/>
  <c r="K44" i="7"/>
  <c r="M43" i="7"/>
  <c r="L43" i="7"/>
  <c r="C147" i="7" s="1"/>
  <c r="K43" i="7"/>
  <c r="M42" i="7"/>
  <c r="L42" i="7"/>
  <c r="K42" i="7"/>
  <c r="M41" i="7"/>
  <c r="L41" i="7"/>
  <c r="C146" i="7" s="1"/>
  <c r="E146" i="7" s="1"/>
  <c r="K41" i="7"/>
  <c r="M40" i="7"/>
  <c r="D145" i="7" s="1"/>
  <c r="L40" i="7"/>
  <c r="C145" i="7"/>
  <c r="K40" i="7"/>
  <c r="M39" i="7"/>
  <c r="L39" i="7"/>
  <c r="K39" i="7"/>
  <c r="B145" i="7"/>
  <c r="M38" i="7"/>
  <c r="L38" i="7"/>
  <c r="N38" i="7" s="1"/>
  <c r="K38" i="7"/>
  <c r="M37" i="7"/>
  <c r="D144" i="7" s="1"/>
  <c r="L37" i="7"/>
  <c r="C144" i="7"/>
  <c r="K37" i="7"/>
  <c r="M36" i="7"/>
  <c r="L36" i="7"/>
  <c r="K36" i="7"/>
  <c r="M35" i="7"/>
  <c r="D143" i="7"/>
  <c r="L35" i="7"/>
  <c r="C143" i="7"/>
  <c r="K35" i="7"/>
  <c r="M34" i="7"/>
  <c r="L34" i="7"/>
  <c r="K34" i="7"/>
  <c r="M33" i="7"/>
  <c r="L33" i="7"/>
  <c r="C142" i="7"/>
  <c r="K33" i="7"/>
  <c r="N33" i="7" s="1"/>
  <c r="M32" i="7"/>
  <c r="L32" i="7"/>
  <c r="K32" i="7"/>
  <c r="M31" i="7"/>
  <c r="D141" i="7"/>
  <c r="L31" i="7"/>
  <c r="K31" i="7"/>
  <c r="M30" i="7"/>
  <c r="L30" i="7"/>
  <c r="K30" i="7"/>
  <c r="N30" i="7"/>
  <c r="M29" i="7"/>
  <c r="L29" i="7"/>
  <c r="C140" i="7"/>
  <c r="K29" i="7"/>
  <c r="M28" i="7"/>
  <c r="L28" i="7"/>
  <c r="K28" i="7"/>
  <c r="N28" i="7"/>
  <c r="M27" i="7"/>
  <c r="D139" i="7"/>
  <c r="L27" i="7"/>
  <c r="C139" i="7" s="1"/>
  <c r="K27" i="7"/>
  <c r="N27" i="7" s="1"/>
  <c r="M26" i="7"/>
  <c r="L26" i="7"/>
  <c r="K26" i="7"/>
  <c r="M25" i="7"/>
  <c r="L25" i="7"/>
  <c r="C138" i="7" s="1"/>
  <c r="K25" i="7"/>
  <c r="B138" i="7"/>
  <c r="E138" i="7" s="1"/>
  <c r="M24" i="7"/>
  <c r="L24" i="7"/>
  <c r="K24" i="7"/>
  <c r="N24" i="7" s="1"/>
  <c r="M23" i="7"/>
  <c r="L23" i="7"/>
  <c r="C137" i="7" s="1"/>
  <c r="K23" i="7"/>
  <c r="B137" i="7" s="1"/>
  <c r="M22" i="7"/>
  <c r="D136" i="7" s="1"/>
  <c r="L22" i="7"/>
  <c r="K22" i="7"/>
  <c r="N22" i="7" s="1"/>
  <c r="M21" i="7"/>
  <c r="L21" i="7"/>
  <c r="K21" i="7"/>
  <c r="B136" i="7" s="1"/>
  <c r="M20" i="7"/>
  <c r="L20" i="7"/>
  <c r="K20" i="7"/>
  <c r="M19" i="7"/>
  <c r="L19" i="7"/>
  <c r="K19" i="7"/>
  <c r="M18" i="7"/>
  <c r="L18" i="7"/>
  <c r="N18" i="7" s="1"/>
  <c r="K18" i="7"/>
  <c r="M58" i="7"/>
  <c r="L58" i="7"/>
  <c r="K58" i="7"/>
  <c r="M57" i="7"/>
  <c r="D154" i="7" s="1"/>
  <c r="L57" i="7"/>
  <c r="C154" i="7" s="1"/>
  <c r="K57" i="7"/>
  <c r="M56" i="7"/>
  <c r="L56" i="7"/>
  <c r="K56" i="7"/>
  <c r="N56" i="7" s="1"/>
  <c r="M55" i="7"/>
  <c r="D153" i="7" s="1"/>
  <c r="L55" i="7"/>
  <c r="C153" i="7" s="1"/>
  <c r="K55" i="7"/>
  <c r="B153" i="7" s="1"/>
  <c r="M54" i="7"/>
  <c r="L54" i="7"/>
  <c r="K54" i="7"/>
  <c r="B152" i="7" s="1"/>
  <c r="M53" i="7"/>
  <c r="L53" i="7"/>
  <c r="C152" i="7"/>
  <c r="K53" i="7"/>
  <c r="M52" i="7"/>
  <c r="L52" i="7"/>
  <c r="C151" i="7"/>
  <c r="K52" i="7"/>
  <c r="M51" i="7"/>
  <c r="L51" i="7"/>
  <c r="N51" i="7" s="1"/>
  <c r="K51" i="7"/>
  <c r="M50" i="7"/>
  <c r="L50" i="7"/>
  <c r="K50" i="7"/>
  <c r="M49" i="7"/>
  <c r="L49" i="7"/>
  <c r="C150" i="7"/>
  <c r="K49" i="7"/>
  <c r="M48" i="7"/>
  <c r="L48" i="7"/>
  <c r="K48" i="7"/>
  <c r="M47" i="7"/>
  <c r="D149" i="7" s="1"/>
  <c r="L47" i="7"/>
  <c r="K47" i="7"/>
  <c r="B149" i="7" s="1"/>
  <c r="M46" i="7"/>
  <c r="D148" i="7"/>
  <c r="L46" i="7"/>
  <c r="K46" i="7"/>
  <c r="M65" i="7"/>
  <c r="L65" i="7"/>
  <c r="K65" i="7"/>
  <c r="M64" i="7"/>
  <c r="D157" i="7"/>
  <c r="L64" i="7"/>
  <c r="N64" i="7" s="1"/>
  <c r="K64" i="7"/>
  <c r="M63" i="7"/>
  <c r="L63" i="7"/>
  <c r="K63" i="7"/>
  <c r="B157" i="7" s="1"/>
  <c r="M62" i="7"/>
  <c r="D156" i="7" s="1"/>
  <c r="L62" i="7"/>
  <c r="C156" i="7"/>
  <c r="K62" i="7"/>
  <c r="M61" i="7"/>
  <c r="L61" i="7"/>
  <c r="K61" i="7"/>
  <c r="M60" i="7"/>
  <c r="D155" i="7" s="1"/>
  <c r="L60" i="7"/>
  <c r="K60" i="7"/>
  <c r="M59" i="7"/>
  <c r="L59" i="7"/>
  <c r="C155" i="7"/>
  <c r="K59" i="7"/>
  <c r="R67" i="5"/>
  <c r="R68" i="5"/>
  <c r="R69" i="5"/>
  <c r="R70" i="5"/>
  <c r="R71" i="5"/>
  <c r="R72" i="5"/>
  <c r="R73" i="5"/>
  <c r="R74" i="5"/>
  <c r="R76" i="5"/>
  <c r="R77" i="5"/>
  <c r="W163" i="5" s="1"/>
  <c r="R78" i="5"/>
  <c r="R79" i="5"/>
  <c r="R80" i="5"/>
  <c r="R81" i="5"/>
  <c r="R82" i="5"/>
  <c r="R83" i="5"/>
  <c r="R84" i="5"/>
  <c r="W167" i="5" s="1"/>
  <c r="R85" i="5"/>
  <c r="H167" i="5"/>
  <c r="R86" i="5"/>
  <c r="R87" i="5"/>
  <c r="L168" i="5" s="1"/>
  <c r="R88" i="5"/>
  <c r="R89" i="5"/>
  <c r="R90" i="5"/>
  <c r="R91" i="5"/>
  <c r="W170" i="5"/>
  <c r="R92" i="5"/>
  <c r="R93" i="5"/>
  <c r="W171" i="5"/>
  <c r="R94" i="5"/>
  <c r="R95" i="5"/>
  <c r="R96" i="5"/>
  <c r="R97" i="5"/>
  <c r="R98" i="5"/>
  <c r="R99" i="5"/>
  <c r="R100" i="5"/>
  <c r="R101" i="5"/>
  <c r="R102" i="5"/>
  <c r="R103" i="5"/>
  <c r="R104" i="5"/>
  <c r="R105" i="5"/>
  <c r="R106" i="5"/>
  <c r="L178" i="5" s="1"/>
  <c r="R107" i="5"/>
  <c r="R108" i="5"/>
  <c r="R109" i="5"/>
  <c r="W179" i="5" s="1"/>
  <c r="R110" i="5"/>
  <c r="L180" i="5"/>
  <c r="R111" i="5"/>
  <c r="R112" i="5"/>
  <c r="W181" i="5"/>
  <c r="R113" i="5"/>
  <c r="R114" i="5"/>
  <c r="H182" i="5"/>
  <c r="R115" i="5"/>
  <c r="R9" i="5"/>
  <c r="R10" i="5"/>
  <c r="R11" i="5"/>
  <c r="R12" i="5"/>
  <c r="H132" i="5" s="1"/>
  <c r="R13" i="5"/>
  <c r="R14" i="5"/>
  <c r="H133" i="5" s="1"/>
  <c r="R15" i="5"/>
  <c r="W133" i="5"/>
  <c r="R16" i="5"/>
  <c r="R17" i="5"/>
  <c r="R18" i="5"/>
  <c r="L135" i="5" s="1"/>
  <c r="R19" i="5"/>
  <c r="R20" i="5"/>
  <c r="R21" i="5"/>
  <c r="R22" i="5"/>
  <c r="L137" i="5" s="1"/>
  <c r="R23" i="5"/>
  <c r="R24" i="5"/>
  <c r="J138" i="5" s="1"/>
  <c r="R25" i="5"/>
  <c r="R26" i="5"/>
  <c r="R27" i="5"/>
  <c r="R28" i="5"/>
  <c r="R29" i="5"/>
  <c r="H140" i="5" s="1"/>
  <c r="R30" i="5"/>
  <c r="R31" i="5"/>
  <c r="R32" i="5"/>
  <c r="R33" i="5"/>
  <c r="R34" i="5"/>
  <c r="J142" i="5" s="1"/>
  <c r="R35" i="5"/>
  <c r="R36" i="5"/>
  <c r="W143" i="5" s="1"/>
  <c r="R37" i="5"/>
  <c r="J144" i="5"/>
  <c r="R38" i="5"/>
  <c r="R39" i="5"/>
  <c r="J145" i="5"/>
  <c r="R40" i="5"/>
  <c r="R41" i="5"/>
  <c r="H146" i="5" s="1"/>
  <c r="R42" i="5"/>
  <c r="R43" i="5"/>
  <c r="R44" i="5"/>
  <c r="R45" i="5"/>
  <c r="R46" i="5"/>
  <c r="R47" i="5"/>
  <c r="L149" i="5"/>
  <c r="R48" i="5"/>
  <c r="R49" i="5"/>
  <c r="H150" i="5"/>
  <c r="R50" i="5"/>
  <c r="R51" i="5"/>
  <c r="R52" i="5"/>
  <c r="R53" i="5"/>
  <c r="R54" i="5"/>
  <c r="R55" i="5"/>
  <c r="R56" i="5"/>
  <c r="W153" i="5" s="1"/>
  <c r="R57" i="5"/>
  <c r="R58" i="5"/>
  <c r="R59" i="5"/>
  <c r="W155" i="5" s="1"/>
  <c r="R60" i="5"/>
  <c r="R61" i="5"/>
  <c r="R62" i="5"/>
  <c r="R63" i="5"/>
  <c r="R64" i="5"/>
  <c r="R65" i="5"/>
  <c r="R66" i="5"/>
  <c r="R8" i="5"/>
  <c r="W130" i="5" s="1"/>
  <c r="M25" i="5"/>
  <c r="L25" i="5"/>
  <c r="K25" i="5"/>
  <c r="N25" i="5"/>
  <c r="M36" i="5"/>
  <c r="L36" i="5"/>
  <c r="K36" i="5"/>
  <c r="M35" i="5"/>
  <c r="L35" i="5"/>
  <c r="K35" i="5"/>
  <c r="N35" i="5"/>
  <c r="M34" i="5"/>
  <c r="L34" i="5"/>
  <c r="K34" i="5"/>
  <c r="M33" i="5"/>
  <c r="L33" i="5"/>
  <c r="C142" i="5"/>
  <c r="K33" i="5"/>
  <c r="M32" i="5"/>
  <c r="L32" i="5"/>
  <c r="K32" i="5"/>
  <c r="M31" i="5"/>
  <c r="L31" i="5"/>
  <c r="K31" i="5"/>
  <c r="N31" i="5"/>
  <c r="E31" i="5"/>
  <c r="M30" i="5"/>
  <c r="L30" i="5"/>
  <c r="K30" i="5"/>
  <c r="M29" i="5"/>
  <c r="L29" i="5"/>
  <c r="C140" i="5" s="1"/>
  <c r="K29" i="5"/>
  <c r="M28" i="5"/>
  <c r="L28" i="5"/>
  <c r="K28" i="5"/>
  <c r="E28" i="5"/>
  <c r="T139" i="5"/>
  <c r="M27" i="5"/>
  <c r="L27" i="5"/>
  <c r="K27" i="5"/>
  <c r="M26" i="5"/>
  <c r="L26" i="5"/>
  <c r="N26" i="5" s="1"/>
  <c r="K26" i="5"/>
  <c r="M24" i="5"/>
  <c r="L24" i="5"/>
  <c r="C138" i="5" s="1"/>
  <c r="E138" i="5" s="1"/>
  <c r="K24" i="5"/>
  <c r="M23" i="5"/>
  <c r="L23" i="5"/>
  <c r="N23" i="5" s="1"/>
  <c r="K23" i="5"/>
  <c r="E23" i="5"/>
  <c r="C137" i="5" s="1"/>
  <c r="M22" i="5"/>
  <c r="D137" i="5" s="1"/>
  <c r="L22" i="5"/>
  <c r="K22" i="5"/>
  <c r="M21" i="5"/>
  <c r="L21" i="5"/>
  <c r="K21" i="5"/>
  <c r="M20" i="5"/>
  <c r="D136" i="5"/>
  <c r="L20" i="5"/>
  <c r="K20" i="5"/>
  <c r="B136" i="5" s="1"/>
  <c r="M19" i="5"/>
  <c r="L19" i="5"/>
  <c r="C135" i="5"/>
  <c r="K19" i="5"/>
  <c r="N19" i="5" s="1"/>
  <c r="M18" i="5"/>
  <c r="L18" i="5"/>
  <c r="K18" i="5"/>
  <c r="M17" i="5"/>
  <c r="D134" i="5"/>
  <c r="L17" i="5"/>
  <c r="K17" i="5"/>
  <c r="N17" i="5" s="1"/>
  <c r="M16" i="5"/>
  <c r="L16" i="5"/>
  <c r="C134" i="5" s="1"/>
  <c r="K16" i="5"/>
  <c r="M15" i="5"/>
  <c r="D133" i="5" s="1"/>
  <c r="L15" i="5"/>
  <c r="K15" i="5"/>
  <c r="N15" i="5"/>
  <c r="M14" i="5"/>
  <c r="L14" i="5"/>
  <c r="K14" i="5"/>
  <c r="M13" i="5"/>
  <c r="L13" i="5"/>
  <c r="K13" i="5"/>
  <c r="E13" i="5"/>
  <c r="M12" i="5"/>
  <c r="D132" i="5" s="1"/>
  <c r="L12" i="5"/>
  <c r="K12" i="5"/>
  <c r="M11" i="5"/>
  <c r="D131" i="5" s="1"/>
  <c r="L11" i="5"/>
  <c r="K11" i="5"/>
  <c r="E11" i="5"/>
  <c r="M10" i="5"/>
  <c r="L10" i="5"/>
  <c r="K10" i="5"/>
  <c r="M9" i="5"/>
  <c r="L9" i="5"/>
  <c r="K9" i="5"/>
  <c r="M8" i="5"/>
  <c r="D130" i="5" s="1"/>
  <c r="L8" i="5"/>
  <c r="K8" i="5"/>
  <c r="B130" i="5" s="1"/>
  <c r="N8" i="5"/>
  <c r="M64" i="5"/>
  <c r="L64" i="5"/>
  <c r="K64" i="5"/>
  <c r="N64" i="5" s="1"/>
  <c r="M63" i="5"/>
  <c r="L63" i="5"/>
  <c r="K63" i="5"/>
  <c r="E63" i="5"/>
  <c r="U157" i="5"/>
  <c r="M62" i="5"/>
  <c r="L62" i="5"/>
  <c r="K62" i="5"/>
  <c r="M61" i="5"/>
  <c r="L61" i="5"/>
  <c r="K61" i="5"/>
  <c r="N61" i="5"/>
  <c r="E61" i="5"/>
  <c r="M60" i="5"/>
  <c r="L60" i="5"/>
  <c r="K60" i="5"/>
  <c r="M59" i="5"/>
  <c r="L59" i="5"/>
  <c r="K59" i="5"/>
  <c r="B155" i="5" s="1"/>
  <c r="M58" i="5"/>
  <c r="L58" i="5"/>
  <c r="K58" i="5"/>
  <c r="M57" i="5"/>
  <c r="D154" i="5" s="1"/>
  <c r="L57" i="5"/>
  <c r="C154" i="5" s="1"/>
  <c r="K57" i="5"/>
  <c r="M56" i="5"/>
  <c r="L56" i="5"/>
  <c r="K56" i="5"/>
  <c r="E56" i="5"/>
  <c r="U153" i="5"/>
  <c r="M55" i="5"/>
  <c r="L55" i="5"/>
  <c r="K55" i="5"/>
  <c r="N55" i="5"/>
  <c r="M54" i="5"/>
  <c r="L54" i="5"/>
  <c r="K54" i="5"/>
  <c r="N54" i="5"/>
  <c r="E54" i="5"/>
  <c r="M53" i="5"/>
  <c r="L53" i="5"/>
  <c r="K53" i="5"/>
  <c r="M52" i="5"/>
  <c r="L52" i="5"/>
  <c r="K52" i="5"/>
  <c r="N52" i="5"/>
  <c r="E52" i="5"/>
  <c r="C151" i="5" s="1"/>
  <c r="M51" i="5"/>
  <c r="D151" i="5" s="1"/>
  <c r="L51" i="5"/>
  <c r="K51" i="5"/>
  <c r="M50" i="5"/>
  <c r="L50" i="5"/>
  <c r="K50" i="5"/>
  <c r="N50" i="5"/>
  <c r="M49" i="5"/>
  <c r="D150" i="5" s="1"/>
  <c r="L49" i="5"/>
  <c r="K49" i="5"/>
  <c r="B150" i="5"/>
  <c r="M48" i="5"/>
  <c r="D149" i="5" s="1"/>
  <c r="L48" i="5"/>
  <c r="K48" i="5"/>
  <c r="N48" i="5"/>
  <c r="M47" i="5"/>
  <c r="L47" i="5"/>
  <c r="C149" i="5"/>
  <c r="K47" i="5"/>
  <c r="M46" i="5"/>
  <c r="L46" i="5"/>
  <c r="K46" i="5"/>
  <c r="B148" i="5" s="1"/>
  <c r="M45" i="5"/>
  <c r="L45" i="5"/>
  <c r="K45" i="5"/>
  <c r="N45" i="5"/>
  <c r="M44" i="5"/>
  <c r="L44" i="5"/>
  <c r="N44" i="5" s="1"/>
  <c r="C147" i="5"/>
  <c r="K44" i="5"/>
  <c r="M43" i="5"/>
  <c r="L43" i="5"/>
  <c r="K43" i="5"/>
  <c r="N43" i="5" s="1"/>
  <c r="M42" i="5"/>
  <c r="L42" i="5"/>
  <c r="K42" i="5"/>
  <c r="M41" i="5"/>
  <c r="L41" i="5"/>
  <c r="K41" i="5"/>
  <c r="M40" i="5"/>
  <c r="L40" i="5"/>
  <c r="K40" i="5"/>
  <c r="N40" i="5" s="1"/>
  <c r="E40" i="5"/>
  <c r="U145" i="5"/>
  <c r="M39" i="5"/>
  <c r="L39" i="5"/>
  <c r="K39" i="5"/>
  <c r="M38" i="5"/>
  <c r="L38" i="5"/>
  <c r="N38" i="5" s="1"/>
  <c r="K38" i="5"/>
  <c r="M37" i="5"/>
  <c r="L37" i="5"/>
  <c r="C144" i="5"/>
  <c r="K37" i="5"/>
  <c r="M66" i="5"/>
  <c r="L66" i="5"/>
  <c r="N66" i="5" s="1"/>
  <c r="K66" i="5"/>
  <c r="M65" i="5"/>
  <c r="D158" i="5" s="1"/>
  <c r="L65" i="5"/>
  <c r="K65" i="5"/>
  <c r="R9" i="3"/>
  <c r="H135" i="3" s="1"/>
  <c r="R10" i="3"/>
  <c r="R11" i="3"/>
  <c r="R12" i="3"/>
  <c r="R13" i="3"/>
  <c r="J137" i="3" s="1"/>
  <c r="H137" i="3"/>
  <c r="R14" i="3"/>
  <c r="R15" i="3"/>
  <c r="H138" i="3" s="1"/>
  <c r="R16" i="3"/>
  <c r="R17" i="3"/>
  <c r="R18" i="3"/>
  <c r="R19" i="3"/>
  <c r="J140" i="3" s="1"/>
  <c r="R20" i="3"/>
  <c r="L141" i="3" s="1"/>
  <c r="R21" i="3"/>
  <c r="R22" i="3"/>
  <c r="R23" i="3"/>
  <c r="W142" i="3" s="1"/>
  <c r="R24" i="3"/>
  <c r="R25" i="3"/>
  <c r="R26" i="3"/>
  <c r="R27" i="3"/>
  <c r="L144" i="3"/>
  <c r="R28" i="3"/>
  <c r="R29" i="3"/>
  <c r="H145" i="3" s="1"/>
  <c r="W145" i="3"/>
  <c r="R30" i="3"/>
  <c r="R31" i="3"/>
  <c r="R32" i="3"/>
  <c r="R33" i="3"/>
  <c r="L147" i="3"/>
  <c r="R34" i="3"/>
  <c r="R35" i="3"/>
  <c r="J148" i="3" s="1"/>
  <c r="R36" i="3"/>
  <c r="R37" i="3"/>
  <c r="L149" i="3" s="1"/>
  <c r="R38" i="3"/>
  <c r="R39" i="3"/>
  <c r="R40" i="3"/>
  <c r="W150" i="3" s="1"/>
  <c r="R41" i="3"/>
  <c r="R42" i="3"/>
  <c r="R43" i="3"/>
  <c r="R44" i="3"/>
  <c r="R45" i="3"/>
  <c r="R46" i="3"/>
  <c r="R47" i="3"/>
  <c r="R48" i="3"/>
  <c r="J154" i="3" s="1"/>
  <c r="R49" i="3"/>
  <c r="R50" i="3"/>
  <c r="R51" i="3"/>
  <c r="R52" i="3"/>
  <c r="L155" i="3" s="1"/>
  <c r="R53" i="3"/>
  <c r="R54" i="3"/>
  <c r="R55" i="3"/>
  <c r="R56" i="3"/>
  <c r="W157" i="3" s="1"/>
  <c r="R57" i="3"/>
  <c r="H157" i="3" s="1"/>
  <c r="R58" i="3"/>
  <c r="R59" i="3"/>
  <c r="R60" i="3"/>
  <c r="R61" i="3"/>
  <c r="R62" i="3"/>
  <c r="R63" i="3"/>
  <c r="H160" i="3"/>
  <c r="R64" i="3"/>
  <c r="R65" i="3"/>
  <c r="R66" i="3"/>
  <c r="R67" i="3"/>
  <c r="R68" i="3"/>
  <c r="R69" i="3"/>
  <c r="R70" i="3"/>
  <c r="R71" i="3"/>
  <c r="R72" i="3"/>
  <c r="W165" i="3" s="1"/>
  <c r="R73" i="3"/>
  <c r="R74" i="3"/>
  <c r="R75" i="3"/>
  <c r="R76" i="3"/>
  <c r="R77" i="3"/>
  <c r="R78" i="3"/>
  <c r="R79" i="3"/>
  <c r="R80" i="3"/>
  <c r="L169" i="3" s="1"/>
  <c r="R81" i="3"/>
  <c r="R82" i="3"/>
  <c r="R83" i="3"/>
  <c r="W170" i="3" s="1"/>
  <c r="R84" i="3"/>
  <c r="H171" i="3" s="1"/>
  <c r="R85" i="3"/>
  <c r="R86" i="3"/>
  <c r="R87" i="3"/>
  <c r="R88" i="3"/>
  <c r="L173" i="3" s="1"/>
  <c r="R89" i="3"/>
  <c r="R90" i="3"/>
  <c r="R91" i="3"/>
  <c r="R92" i="3"/>
  <c r="R93" i="3"/>
  <c r="L175" i="3"/>
  <c r="R94" i="3"/>
  <c r="R95" i="3"/>
  <c r="H176" i="3" s="1"/>
  <c r="R96" i="3"/>
  <c r="R97" i="3"/>
  <c r="R98" i="3"/>
  <c r="R99" i="3"/>
  <c r="R100" i="3"/>
  <c r="R101" i="3"/>
  <c r="H179" i="3" s="1"/>
  <c r="R102" i="3"/>
  <c r="J180" i="3" s="1"/>
  <c r="R103" i="3"/>
  <c r="L180" i="3" s="1"/>
  <c r="R104" i="3"/>
  <c r="R105" i="3"/>
  <c r="H181" i="3" s="1"/>
  <c r="R106" i="3"/>
  <c r="R107" i="3"/>
  <c r="R108" i="3"/>
  <c r="R109" i="3"/>
  <c r="R110" i="3"/>
  <c r="R111" i="3"/>
  <c r="R112" i="3"/>
  <c r="R113" i="3"/>
  <c r="R114" i="3"/>
  <c r="R115" i="3"/>
  <c r="R116" i="3"/>
  <c r="R117" i="3"/>
  <c r="W186" i="3" s="1"/>
  <c r="H186" i="3"/>
  <c r="R118" i="3"/>
  <c r="R119" i="3"/>
  <c r="R8" i="3"/>
  <c r="R67" i="2"/>
  <c r="R68" i="2"/>
  <c r="W158" i="2" s="1"/>
  <c r="R69" i="2"/>
  <c r="R70" i="2"/>
  <c r="R71" i="2"/>
  <c r="R72" i="2"/>
  <c r="W160" i="2" s="1"/>
  <c r="R73" i="2"/>
  <c r="R74" i="2"/>
  <c r="R75" i="2"/>
  <c r="R76" i="2"/>
  <c r="W162" i="2" s="1"/>
  <c r="R77" i="2"/>
  <c r="R78" i="2"/>
  <c r="R79" i="2"/>
  <c r="R80" i="2"/>
  <c r="W164" i="2"/>
  <c r="R81" i="2"/>
  <c r="R82" i="2"/>
  <c r="R83" i="2"/>
  <c r="R84" i="2"/>
  <c r="R85" i="2"/>
  <c r="R86" i="2"/>
  <c r="R87" i="2"/>
  <c r="R88" i="2"/>
  <c r="R89" i="2"/>
  <c r="R90" i="2"/>
  <c r="W169" i="2" s="1"/>
  <c r="R91" i="2"/>
  <c r="R92" i="2"/>
  <c r="W170" i="2" s="1"/>
  <c r="R93" i="2"/>
  <c r="R94" i="2"/>
  <c r="R95" i="2"/>
  <c r="R96" i="2"/>
  <c r="R97" i="2"/>
  <c r="R98" i="2"/>
  <c r="R99" i="2"/>
  <c r="R100" i="2"/>
  <c r="R101" i="2"/>
  <c r="W174" i="2" s="1"/>
  <c r="R102" i="2"/>
  <c r="R103" i="2"/>
  <c r="R104" i="2"/>
  <c r="R105" i="2"/>
  <c r="R106" i="2"/>
  <c r="R107" i="2"/>
  <c r="R108" i="2"/>
  <c r="R109" i="2"/>
  <c r="R110" i="2"/>
  <c r="R111" i="2"/>
  <c r="R112" i="2"/>
  <c r="R113" i="2"/>
  <c r="R9" i="2"/>
  <c r="R10" i="2"/>
  <c r="W129" i="2" s="1"/>
  <c r="R11" i="2"/>
  <c r="R12" i="2"/>
  <c r="R13" i="2"/>
  <c r="R14" i="2"/>
  <c r="R15" i="2"/>
  <c r="R16" i="2"/>
  <c r="W132" i="2" s="1"/>
  <c r="R17" i="2"/>
  <c r="R18" i="2"/>
  <c r="R19" i="2"/>
  <c r="R20" i="2"/>
  <c r="R21" i="2"/>
  <c r="R22" i="2"/>
  <c r="W135" i="2" s="1"/>
  <c r="R23" i="2"/>
  <c r="R24" i="2"/>
  <c r="R25" i="2"/>
  <c r="R26" i="2"/>
  <c r="R27" i="2"/>
  <c r="R28" i="2"/>
  <c r="R29" i="2"/>
  <c r="R30" i="2"/>
  <c r="R31" i="2"/>
  <c r="R32" i="2"/>
  <c r="W140" i="2"/>
  <c r="R33" i="2"/>
  <c r="R34" i="2"/>
  <c r="W141" i="2" s="1"/>
  <c r="R35" i="2"/>
  <c r="R36" i="2"/>
  <c r="R37" i="2"/>
  <c r="R38" i="2"/>
  <c r="W143" i="2"/>
  <c r="R39" i="2"/>
  <c r="R40" i="2"/>
  <c r="R41" i="2"/>
  <c r="R42" i="2"/>
  <c r="W145" i="2" s="1"/>
  <c r="R43" i="2"/>
  <c r="R44" i="2"/>
  <c r="R45" i="2"/>
  <c r="R46" i="2"/>
  <c r="W147" i="2" s="1"/>
  <c r="R47" i="2"/>
  <c r="R48" i="2"/>
  <c r="W148" i="2" s="1"/>
  <c r="R49" i="2"/>
  <c r="R50" i="2"/>
  <c r="R51" i="2"/>
  <c r="R52" i="2"/>
  <c r="R53" i="2"/>
  <c r="R54" i="2"/>
  <c r="R55" i="2"/>
  <c r="W151" i="2" s="1"/>
  <c r="R56" i="2"/>
  <c r="R57" i="2"/>
  <c r="R58" i="2"/>
  <c r="R59" i="2"/>
  <c r="W153" i="2"/>
  <c r="R60" i="2"/>
  <c r="R61" i="2"/>
  <c r="R62" i="2"/>
  <c r="W155" i="2" s="1"/>
  <c r="R63" i="2"/>
  <c r="R64" i="2"/>
  <c r="R65" i="2"/>
  <c r="W156" i="2"/>
  <c r="R66" i="2"/>
  <c r="W157" i="2"/>
  <c r="R8" i="2"/>
  <c r="W128" i="2" s="1"/>
  <c r="K29" i="1"/>
  <c r="R71" i="1"/>
  <c r="R72" i="1"/>
  <c r="R73" i="1"/>
  <c r="R74" i="1"/>
  <c r="R75" i="1"/>
  <c r="R76" i="1"/>
  <c r="R77" i="1"/>
  <c r="R78" i="1"/>
  <c r="R79" i="1"/>
  <c r="H168" i="1" s="1"/>
  <c r="R80" i="1"/>
  <c r="R81" i="1"/>
  <c r="R82" i="1"/>
  <c r="R83" i="1"/>
  <c r="H170" i="1" s="1"/>
  <c r="R84" i="1"/>
  <c r="R85" i="1"/>
  <c r="R86" i="1"/>
  <c r="H171" i="1" s="1"/>
  <c r="R87" i="1"/>
  <c r="R88" i="1"/>
  <c r="R89" i="1"/>
  <c r="R90" i="1"/>
  <c r="R91" i="1"/>
  <c r="R92" i="1"/>
  <c r="R93" i="1"/>
  <c r="R94" i="1"/>
  <c r="H175" i="1" s="1"/>
  <c r="R95" i="1"/>
  <c r="W176" i="1" s="1"/>
  <c r="R96" i="1"/>
  <c r="R97" i="1"/>
  <c r="R98" i="1"/>
  <c r="R99" i="1"/>
  <c r="R100" i="1"/>
  <c r="R101" i="1"/>
  <c r="R102" i="1"/>
  <c r="R103" i="1"/>
  <c r="J180" i="1" s="1"/>
  <c r="R104" i="1"/>
  <c r="R105" i="1"/>
  <c r="R106" i="1"/>
  <c r="R107" i="1"/>
  <c r="H182" i="1" s="1"/>
  <c r="R108" i="1"/>
  <c r="R109" i="1"/>
  <c r="R110" i="1"/>
  <c r="H183" i="1" s="1"/>
  <c r="R111" i="1"/>
  <c r="R112" i="1"/>
  <c r="R113" i="1"/>
  <c r="R114" i="1"/>
  <c r="R115" i="1"/>
  <c r="R116" i="1"/>
  <c r="R117" i="1"/>
  <c r="R41" i="1"/>
  <c r="H149" i="1" s="1"/>
  <c r="R42" i="1"/>
  <c r="R43" i="1"/>
  <c r="R44" i="1"/>
  <c r="R45" i="1"/>
  <c r="W151" i="1" s="1"/>
  <c r="R46" i="1"/>
  <c r="H151" i="1" s="1"/>
  <c r="R47" i="1"/>
  <c r="R48" i="1"/>
  <c r="R49" i="1"/>
  <c r="L153" i="1" s="1"/>
  <c r="R50" i="1"/>
  <c r="R51" i="1"/>
  <c r="R52" i="1"/>
  <c r="H154" i="1" s="1"/>
  <c r="R53" i="1"/>
  <c r="R54" i="1"/>
  <c r="R55" i="1"/>
  <c r="R56" i="1"/>
  <c r="R57" i="1"/>
  <c r="R58" i="1"/>
  <c r="R59" i="1"/>
  <c r="W158" i="1" s="1"/>
  <c r="R60" i="1"/>
  <c r="R61" i="1"/>
  <c r="R62" i="1"/>
  <c r="R63" i="1"/>
  <c r="R64" i="1"/>
  <c r="R65" i="1"/>
  <c r="R66" i="1"/>
  <c r="R67" i="1"/>
  <c r="R68" i="1"/>
  <c r="R69" i="1"/>
  <c r="R70" i="1"/>
  <c r="R9" i="1"/>
  <c r="R10" i="1"/>
  <c r="R11" i="1"/>
  <c r="H135" i="1" s="1"/>
  <c r="R12" i="1"/>
  <c r="R13" i="1"/>
  <c r="H136" i="1" s="1"/>
  <c r="R14" i="1"/>
  <c r="J137" i="1" s="1"/>
  <c r="R15" i="1"/>
  <c r="R16" i="1"/>
  <c r="W138" i="1" s="1"/>
  <c r="R17" i="1"/>
  <c r="R18" i="1"/>
  <c r="R19" i="1"/>
  <c r="R20" i="1"/>
  <c r="R21" i="1"/>
  <c r="R22" i="1"/>
  <c r="R23" i="1"/>
  <c r="J141" i="1" s="1"/>
  <c r="R24" i="1"/>
  <c r="R25" i="1"/>
  <c r="R26" i="1"/>
  <c r="H142" i="1" s="1"/>
  <c r="R27" i="1"/>
  <c r="R28" i="1"/>
  <c r="R29" i="1"/>
  <c r="R30" i="1"/>
  <c r="L144" i="1" s="1"/>
  <c r="R31" i="1"/>
  <c r="R32" i="1"/>
  <c r="R33" i="1"/>
  <c r="H145" i="1" s="1"/>
  <c r="R34" i="1"/>
  <c r="R35" i="1"/>
  <c r="R36" i="1"/>
  <c r="R37" i="1"/>
  <c r="R38" i="1"/>
  <c r="L148" i="1" s="1"/>
  <c r="R39" i="1"/>
  <c r="R40" i="1"/>
  <c r="R8" i="1"/>
  <c r="J134" i="1"/>
  <c r="M54" i="3"/>
  <c r="L54" i="3"/>
  <c r="K54" i="3"/>
  <c r="M51" i="3"/>
  <c r="L51" i="3"/>
  <c r="K51" i="3"/>
  <c r="N51" i="3" s="1"/>
  <c r="M50" i="3"/>
  <c r="L50" i="3"/>
  <c r="K50" i="3"/>
  <c r="N50" i="3" s="1"/>
  <c r="M37" i="3"/>
  <c r="L37" i="3"/>
  <c r="K37" i="3"/>
  <c r="N37" i="3"/>
  <c r="M35" i="3"/>
  <c r="D148" i="3" s="1"/>
  <c r="L35" i="3"/>
  <c r="K35" i="3"/>
  <c r="N35" i="3" s="1"/>
  <c r="M34" i="3"/>
  <c r="L34" i="3"/>
  <c r="K34" i="3"/>
  <c r="M33" i="3"/>
  <c r="L33" i="3"/>
  <c r="K33" i="3"/>
  <c r="B147" i="3" s="1"/>
  <c r="M32" i="3"/>
  <c r="D147" i="3" s="1"/>
  <c r="L32" i="3"/>
  <c r="K32" i="3"/>
  <c r="M31" i="3"/>
  <c r="L31" i="3"/>
  <c r="K31" i="3"/>
  <c r="M30" i="3"/>
  <c r="D146" i="3" s="1"/>
  <c r="L30" i="3"/>
  <c r="K30" i="3"/>
  <c r="M29" i="3"/>
  <c r="L29" i="3"/>
  <c r="K29" i="3"/>
  <c r="M28" i="3"/>
  <c r="D145" i="3" s="1"/>
  <c r="L28" i="3"/>
  <c r="C145" i="3" s="1"/>
  <c r="K28" i="3"/>
  <c r="M27" i="3"/>
  <c r="L27" i="3"/>
  <c r="C144" i="3" s="1"/>
  <c r="K27" i="3"/>
  <c r="M26" i="3"/>
  <c r="L26" i="3"/>
  <c r="K26" i="3"/>
  <c r="B144" i="3" s="1"/>
  <c r="M25" i="3"/>
  <c r="D143" i="3" s="1"/>
  <c r="L25" i="3"/>
  <c r="K25" i="3"/>
  <c r="M24" i="3"/>
  <c r="L24" i="3"/>
  <c r="K24" i="3"/>
  <c r="M23" i="3"/>
  <c r="L23" i="3"/>
  <c r="K23" i="3"/>
  <c r="M22" i="3"/>
  <c r="D142" i="3" s="1"/>
  <c r="L22" i="3"/>
  <c r="K22" i="3"/>
  <c r="M21" i="3"/>
  <c r="L21" i="3"/>
  <c r="K21" i="3"/>
  <c r="M20" i="3"/>
  <c r="D141" i="3" s="1"/>
  <c r="L20" i="3"/>
  <c r="K20" i="3"/>
  <c r="B141" i="3" s="1"/>
  <c r="M19" i="3"/>
  <c r="L19" i="3"/>
  <c r="K19" i="3"/>
  <c r="M18" i="3"/>
  <c r="D140" i="3"/>
  <c r="L18" i="3"/>
  <c r="C140" i="3" s="1"/>
  <c r="K18" i="3"/>
  <c r="M17" i="3"/>
  <c r="L17" i="3"/>
  <c r="K17" i="3"/>
  <c r="B139" i="3"/>
  <c r="M16" i="3"/>
  <c r="D139" i="3" s="1"/>
  <c r="L16" i="3"/>
  <c r="K16" i="3"/>
  <c r="M15" i="3"/>
  <c r="L15" i="3"/>
  <c r="K15" i="3"/>
  <c r="N15" i="3" s="1"/>
  <c r="M14" i="3"/>
  <c r="D138" i="3" s="1"/>
  <c r="L14" i="3"/>
  <c r="C138" i="3" s="1"/>
  <c r="K14" i="3"/>
  <c r="M13" i="3"/>
  <c r="L13" i="3"/>
  <c r="K13" i="3"/>
  <c r="M12" i="3"/>
  <c r="L12" i="3"/>
  <c r="C137" i="3" s="1"/>
  <c r="K12" i="3"/>
  <c r="B137" i="3" s="1"/>
  <c r="M11" i="3"/>
  <c r="N11" i="3" s="1"/>
  <c r="L11" i="3"/>
  <c r="K11" i="3"/>
  <c r="M10" i="3"/>
  <c r="L10" i="3"/>
  <c r="K10" i="3"/>
  <c r="B136" i="3" s="1"/>
  <c r="M9" i="3"/>
  <c r="L9" i="3"/>
  <c r="N9" i="3" s="1"/>
  <c r="K9" i="3"/>
  <c r="B135" i="3" s="1"/>
  <c r="M8" i="3"/>
  <c r="L8" i="3"/>
  <c r="K8" i="3"/>
  <c r="M63" i="3"/>
  <c r="L63" i="3"/>
  <c r="K63" i="3"/>
  <c r="M62" i="3"/>
  <c r="D160" i="3" s="1"/>
  <c r="L62" i="3"/>
  <c r="K62" i="3"/>
  <c r="M61" i="3"/>
  <c r="L61" i="3"/>
  <c r="K61" i="3"/>
  <c r="M60" i="3"/>
  <c r="L60" i="3"/>
  <c r="C159" i="3" s="1"/>
  <c r="K60" i="3"/>
  <c r="N60" i="3" s="1"/>
  <c r="M59" i="3"/>
  <c r="L59" i="3"/>
  <c r="K59" i="3"/>
  <c r="M58" i="3"/>
  <c r="L58" i="3"/>
  <c r="K58" i="3"/>
  <c r="M57" i="3"/>
  <c r="L57" i="3"/>
  <c r="K57" i="3"/>
  <c r="M56" i="3"/>
  <c r="L56" i="3"/>
  <c r="K56" i="3"/>
  <c r="B157" i="3" s="1"/>
  <c r="M55" i="3"/>
  <c r="L55" i="3"/>
  <c r="K55" i="3"/>
  <c r="M53" i="3"/>
  <c r="L53" i="3"/>
  <c r="K53" i="3"/>
  <c r="M52" i="3"/>
  <c r="L52" i="3"/>
  <c r="K52" i="3"/>
  <c r="M49" i="3"/>
  <c r="D155" i="3" s="1"/>
  <c r="L49" i="3"/>
  <c r="C155" i="3" s="1"/>
  <c r="K49" i="3"/>
  <c r="M48" i="3"/>
  <c r="L48" i="3"/>
  <c r="K48" i="3"/>
  <c r="M47" i="3"/>
  <c r="L47" i="3"/>
  <c r="C154" i="3" s="1"/>
  <c r="K47" i="3"/>
  <c r="M46" i="3"/>
  <c r="L46" i="3"/>
  <c r="K46" i="3"/>
  <c r="M45" i="3"/>
  <c r="L45" i="3"/>
  <c r="K45" i="3"/>
  <c r="M44" i="3"/>
  <c r="D152" i="3" s="1"/>
  <c r="L44" i="3"/>
  <c r="C152" i="3" s="1"/>
  <c r="K44" i="3"/>
  <c r="N44" i="3" s="1"/>
  <c r="M43" i="3"/>
  <c r="L43" i="3"/>
  <c r="K43" i="3"/>
  <c r="B152" i="3" s="1"/>
  <c r="M42" i="3"/>
  <c r="L42" i="3"/>
  <c r="K42" i="3"/>
  <c r="N42" i="3"/>
  <c r="M41" i="3"/>
  <c r="L41" i="3"/>
  <c r="K41" i="3"/>
  <c r="M40" i="3"/>
  <c r="L40" i="3"/>
  <c r="K40" i="3"/>
  <c r="M39" i="3"/>
  <c r="D150" i="3" s="1"/>
  <c r="L39" i="3"/>
  <c r="K39" i="3"/>
  <c r="M38" i="3"/>
  <c r="L38" i="3"/>
  <c r="K38" i="3"/>
  <c r="M36" i="3"/>
  <c r="L36" i="3"/>
  <c r="C149" i="3" s="1"/>
  <c r="K36" i="3"/>
  <c r="N36" i="3"/>
  <c r="M39" i="2"/>
  <c r="L39" i="2"/>
  <c r="K39" i="2"/>
  <c r="M38" i="2"/>
  <c r="L38" i="2"/>
  <c r="K38" i="2"/>
  <c r="N38" i="2" s="1"/>
  <c r="M37" i="2"/>
  <c r="L37" i="2"/>
  <c r="K37" i="2"/>
  <c r="M36" i="2"/>
  <c r="D142" i="2" s="1"/>
  <c r="L36" i="2"/>
  <c r="K36" i="2"/>
  <c r="M35" i="2"/>
  <c r="L35" i="2"/>
  <c r="K35" i="2"/>
  <c r="M34" i="2"/>
  <c r="D141" i="2" s="1"/>
  <c r="L34" i="2"/>
  <c r="K34" i="2"/>
  <c r="B141" i="2"/>
  <c r="M33" i="2"/>
  <c r="L33" i="2"/>
  <c r="K33" i="2"/>
  <c r="M32" i="2"/>
  <c r="L32" i="2"/>
  <c r="C140" i="2"/>
  <c r="K32" i="2"/>
  <c r="B140" i="2" s="1"/>
  <c r="M31" i="2"/>
  <c r="D139" i="2" s="1"/>
  <c r="L31" i="2"/>
  <c r="K31" i="2"/>
  <c r="M30" i="2"/>
  <c r="L30" i="2"/>
  <c r="K30" i="2"/>
  <c r="N30" i="2"/>
  <c r="M29" i="2"/>
  <c r="D138" i="2" s="1"/>
  <c r="L29" i="2"/>
  <c r="K29" i="2"/>
  <c r="M28" i="2"/>
  <c r="L28" i="2"/>
  <c r="K28" i="2"/>
  <c r="M27" i="2"/>
  <c r="D137" i="2" s="1"/>
  <c r="L27" i="2"/>
  <c r="N27" i="2" s="1"/>
  <c r="K27" i="2"/>
  <c r="M26" i="2"/>
  <c r="L26" i="2"/>
  <c r="K26" i="2"/>
  <c r="M25" i="2"/>
  <c r="L25" i="2"/>
  <c r="K25" i="2"/>
  <c r="M24" i="2"/>
  <c r="D136" i="2" s="1"/>
  <c r="L24" i="2"/>
  <c r="C136" i="2"/>
  <c r="K24" i="2"/>
  <c r="B136" i="2"/>
  <c r="M23" i="2"/>
  <c r="L23" i="2"/>
  <c r="K23" i="2"/>
  <c r="M22" i="2"/>
  <c r="L22" i="2"/>
  <c r="K22" i="2"/>
  <c r="N22" i="2"/>
  <c r="M21" i="2"/>
  <c r="D134" i="2" s="1"/>
  <c r="L21" i="2"/>
  <c r="K21" i="2"/>
  <c r="M20" i="2"/>
  <c r="L20" i="2"/>
  <c r="K20" i="2"/>
  <c r="N20" i="2"/>
  <c r="M19" i="2"/>
  <c r="D133" i="2" s="1"/>
  <c r="L19" i="2"/>
  <c r="K19" i="2"/>
  <c r="M18" i="2"/>
  <c r="L18" i="2"/>
  <c r="K18" i="2"/>
  <c r="B133" i="2"/>
  <c r="M17" i="2"/>
  <c r="L17" i="2"/>
  <c r="K17" i="2"/>
  <c r="N17" i="2"/>
  <c r="M16" i="2"/>
  <c r="L16" i="2"/>
  <c r="C132" i="2"/>
  <c r="K16" i="2"/>
  <c r="M15" i="2"/>
  <c r="L15" i="2"/>
  <c r="K15" i="2"/>
  <c r="B131" i="2"/>
  <c r="M14" i="2"/>
  <c r="D131" i="2" s="1"/>
  <c r="L14" i="2"/>
  <c r="N14" i="2" s="1"/>
  <c r="K14" i="2"/>
  <c r="M13" i="2"/>
  <c r="L13" i="2"/>
  <c r="K13" i="2"/>
  <c r="M12" i="2"/>
  <c r="L12" i="2"/>
  <c r="N12" i="2" s="1"/>
  <c r="K12" i="2"/>
  <c r="M11" i="2"/>
  <c r="L11" i="2"/>
  <c r="K11" i="2"/>
  <c r="M10" i="2"/>
  <c r="L10" i="2"/>
  <c r="C129" i="2"/>
  <c r="K10" i="2"/>
  <c r="M9" i="2"/>
  <c r="L9" i="2"/>
  <c r="K9" i="2"/>
  <c r="M8" i="2"/>
  <c r="L8" i="2"/>
  <c r="N8" i="2" s="1"/>
  <c r="M55" i="2"/>
  <c r="L55" i="2"/>
  <c r="K55" i="2"/>
  <c r="N55" i="2" s="1"/>
  <c r="M54" i="2"/>
  <c r="L54" i="2"/>
  <c r="C151" i="2" s="1"/>
  <c r="K54" i="2"/>
  <c r="M53" i="2"/>
  <c r="L53" i="2"/>
  <c r="K53" i="2"/>
  <c r="M52" i="2"/>
  <c r="L52" i="2"/>
  <c r="K52" i="2"/>
  <c r="N52" i="2"/>
  <c r="M51" i="2"/>
  <c r="L51" i="2"/>
  <c r="N51" i="2"/>
  <c r="K51" i="2"/>
  <c r="M50" i="2"/>
  <c r="L50" i="2"/>
  <c r="K50" i="2"/>
  <c r="N50" i="2" s="1"/>
  <c r="M49" i="2"/>
  <c r="L49" i="2"/>
  <c r="C148" i="2" s="1"/>
  <c r="K49" i="2"/>
  <c r="M48" i="2"/>
  <c r="D148" i="2" s="1"/>
  <c r="L48" i="2"/>
  <c r="K48" i="2"/>
  <c r="M47" i="2"/>
  <c r="L47" i="2"/>
  <c r="K47" i="2"/>
  <c r="M46" i="2"/>
  <c r="L46" i="2"/>
  <c r="K46" i="2"/>
  <c r="N46" i="2" s="1"/>
  <c r="M45" i="2"/>
  <c r="L45" i="2"/>
  <c r="C146" i="2" s="1"/>
  <c r="K45" i="2"/>
  <c r="M44" i="2"/>
  <c r="D146" i="2" s="1"/>
  <c r="L44" i="2"/>
  <c r="K44" i="2"/>
  <c r="M43" i="2"/>
  <c r="L43" i="2"/>
  <c r="N43" i="2" s="1"/>
  <c r="K43" i="2"/>
  <c r="M42" i="2"/>
  <c r="L42" i="2"/>
  <c r="C145" i="2"/>
  <c r="K42" i="2"/>
  <c r="M41" i="2"/>
  <c r="L41" i="2"/>
  <c r="K41" i="2"/>
  <c r="M40" i="2"/>
  <c r="D144" i="2" s="1"/>
  <c r="L40" i="2"/>
  <c r="C144" i="2"/>
  <c r="K40" i="2"/>
  <c r="M63" i="2"/>
  <c r="L63" i="2"/>
  <c r="N63" i="2" s="1"/>
  <c r="K63" i="2"/>
  <c r="M62" i="2"/>
  <c r="L62" i="2"/>
  <c r="K62" i="2"/>
  <c r="B155" i="2"/>
  <c r="M61" i="2"/>
  <c r="L61" i="2"/>
  <c r="K61" i="2"/>
  <c r="M60" i="2"/>
  <c r="L60" i="2"/>
  <c r="C154" i="2"/>
  <c r="K60" i="2"/>
  <c r="M59" i="2"/>
  <c r="L59" i="2"/>
  <c r="K59" i="2"/>
  <c r="B153" i="2"/>
  <c r="M58" i="2"/>
  <c r="L58" i="2"/>
  <c r="N58" i="2"/>
  <c r="K58" i="2"/>
  <c r="M57" i="2"/>
  <c r="L57" i="2"/>
  <c r="K57" i="2"/>
  <c r="M56" i="2"/>
  <c r="L56" i="2"/>
  <c r="C152" i="2"/>
  <c r="K56" i="2"/>
  <c r="E15" i="1"/>
  <c r="M41" i="1"/>
  <c r="L41" i="1"/>
  <c r="K41" i="1"/>
  <c r="M26" i="1"/>
  <c r="L26" i="1"/>
  <c r="K26" i="1"/>
  <c r="M21" i="1"/>
  <c r="L21" i="1"/>
  <c r="K21" i="1"/>
  <c r="K8" i="1"/>
  <c r="B134" i="1" s="1"/>
  <c r="L8" i="1"/>
  <c r="C134" i="1"/>
  <c r="M8" i="1"/>
  <c r="D134" i="1"/>
  <c r="K9" i="1"/>
  <c r="L9" i="1"/>
  <c r="M9" i="1"/>
  <c r="K10" i="1"/>
  <c r="B135" i="1" s="1"/>
  <c r="L10" i="1"/>
  <c r="M10" i="1"/>
  <c r="L11" i="1"/>
  <c r="N11" i="1" s="1"/>
  <c r="M11" i="1"/>
  <c r="K12" i="1"/>
  <c r="L12" i="1"/>
  <c r="M12" i="1"/>
  <c r="D136" i="1" s="1"/>
  <c r="K13" i="1"/>
  <c r="N13" i="1" s="1"/>
  <c r="L13" i="1"/>
  <c r="M13" i="1"/>
  <c r="K14" i="1"/>
  <c r="B137" i="1" s="1"/>
  <c r="L14" i="1"/>
  <c r="M14" i="1"/>
  <c r="K15" i="1"/>
  <c r="N15" i="1" s="1"/>
  <c r="L15" i="1"/>
  <c r="C137" i="1" s="1"/>
  <c r="M15" i="1"/>
  <c r="K16" i="1"/>
  <c r="L16" i="1"/>
  <c r="C138" i="1" s="1"/>
  <c r="M16" i="1"/>
  <c r="K17" i="1"/>
  <c r="L17" i="1"/>
  <c r="M17" i="1"/>
  <c r="K18" i="1"/>
  <c r="L18" i="1"/>
  <c r="M18" i="1"/>
  <c r="K19" i="1"/>
  <c r="N19" i="1" s="1"/>
  <c r="L19" i="1"/>
  <c r="M19" i="1"/>
  <c r="K20" i="1"/>
  <c r="L20" i="1"/>
  <c r="M20" i="1"/>
  <c r="K22" i="1"/>
  <c r="L22" i="1"/>
  <c r="M22" i="1"/>
  <c r="K23" i="1"/>
  <c r="N23" i="1" s="1"/>
  <c r="L23" i="1"/>
  <c r="M23" i="1"/>
  <c r="K24" i="1"/>
  <c r="L24" i="1"/>
  <c r="N24" i="1" s="1"/>
  <c r="M24" i="1"/>
  <c r="K25" i="1"/>
  <c r="L25" i="1"/>
  <c r="M25" i="1"/>
  <c r="K27" i="1"/>
  <c r="L27" i="1"/>
  <c r="M27" i="1"/>
  <c r="K28" i="1"/>
  <c r="B143" i="1" s="1"/>
  <c r="L28" i="1"/>
  <c r="M28" i="1"/>
  <c r="L29" i="1"/>
  <c r="M29" i="1"/>
  <c r="K30" i="1"/>
  <c r="L30" i="1"/>
  <c r="M30" i="1"/>
  <c r="K31" i="1"/>
  <c r="L31" i="1"/>
  <c r="M31" i="1"/>
  <c r="K32" i="1"/>
  <c r="B145" i="1" s="1"/>
  <c r="L32" i="1"/>
  <c r="C145" i="1" s="1"/>
  <c r="M32" i="1"/>
  <c r="K33" i="1"/>
  <c r="L33" i="1"/>
  <c r="M33" i="1"/>
  <c r="K34" i="1"/>
  <c r="L34" i="1"/>
  <c r="M34" i="1"/>
  <c r="K35" i="1"/>
  <c r="L35" i="1"/>
  <c r="M35" i="1"/>
  <c r="K36" i="1"/>
  <c r="N36" i="1" s="1"/>
  <c r="L36" i="1"/>
  <c r="M36" i="1"/>
  <c r="K37" i="1"/>
  <c r="L37" i="1"/>
  <c r="C147" i="1" s="1"/>
  <c r="M37" i="1"/>
  <c r="K38" i="1"/>
  <c r="L38" i="1"/>
  <c r="N38" i="1" s="1"/>
  <c r="M38" i="1"/>
  <c r="K39" i="1"/>
  <c r="L39" i="1"/>
  <c r="C148" i="1" s="1"/>
  <c r="M39" i="1"/>
  <c r="K40" i="1"/>
  <c r="L40" i="1"/>
  <c r="M40" i="1"/>
  <c r="K42" i="1"/>
  <c r="L42" i="1"/>
  <c r="M42" i="1"/>
  <c r="K43" i="1"/>
  <c r="B150" i="1" s="1"/>
  <c r="L43" i="1"/>
  <c r="M43" i="1"/>
  <c r="K44" i="1"/>
  <c r="N44" i="1" s="1"/>
  <c r="L44" i="1"/>
  <c r="M44" i="1"/>
  <c r="K45" i="1"/>
  <c r="L45" i="1"/>
  <c r="M45" i="1"/>
  <c r="K46" i="1"/>
  <c r="N46" i="1" s="1"/>
  <c r="L46" i="1"/>
  <c r="M46" i="1"/>
  <c r="K47" i="1"/>
  <c r="L47" i="1"/>
  <c r="M47" i="1"/>
  <c r="K48" i="1"/>
  <c r="L48" i="1"/>
  <c r="M48" i="1"/>
  <c r="N48" i="1" s="1"/>
  <c r="K49" i="1"/>
  <c r="L49" i="1"/>
  <c r="M49" i="1"/>
  <c r="K50" i="1"/>
  <c r="B153" i="1" s="1"/>
  <c r="L50" i="1"/>
  <c r="M50" i="1"/>
  <c r="K51" i="1"/>
  <c r="B154" i="1" s="1"/>
  <c r="L51" i="1"/>
  <c r="M51" i="1"/>
  <c r="K52" i="1"/>
  <c r="L52" i="1"/>
  <c r="M52" i="1"/>
  <c r="D154" i="1" s="1"/>
  <c r="K53" i="1"/>
  <c r="L53" i="1"/>
  <c r="M53" i="1"/>
  <c r="K54" i="1"/>
  <c r="L54" i="1"/>
  <c r="M54" i="1"/>
  <c r="K55" i="1"/>
  <c r="L55" i="1"/>
  <c r="N55" i="1" s="1"/>
  <c r="M55" i="1"/>
  <c r="K56" i="1"/>
  <c r="L56" i="1"/>
  <c r="M56" i="1"/>
  <c r="K57" i="1"/>
  <c r="L57" i="1"/>
  <c r="M57" i="1"/>
  <c r="K58" i="1"/>
  <c r="L58" i="1"/>
  <c r="C157" i="1"/>
  <c r="M58" i="1"/>
  <c r="K59" i="1"/>
  <c r="B158" i="1" s="1"/>
  <c r="L59" i="1"/>
  <c r="M59" i="1"/>
  <c r="K60" i="1"/>
  <c r="L60" i="1"/>
  <c r="C158" i="1" s="1"/>
  <c r="M60" i="1"/>
  <c r="K61" i="1"/>
  <c r="L61" i="1"/>
  <c r="C159" i="1" s="1"/>
  <c r="M61" i="1"/>
  <c r="K62" i="1"/>
  <c r="L62" i="1"/>
  <c r="M62" i="1"/>
  <c r="K63" i="1"/>
  <c r="L63" i="1"/>
  <c r="M63" i="1"/>
  <c r="K64" i="1"/>
  <c r="B160" i="1" s="1"/>
  <c r="L64" i="1"/>
  <c r="M64" i="1"/>
  <c r="K65" i="1"/>
  <c r="L65" i="1"/>
  <c r="M65" i="1"/>
  <c r="K66" i="1"/>
  <c r="L66" i="1"/>
  <c r="M66" i="1"/>
  <c r="K67" i="1"/>
  <c r="L67" i="1"/>
  <c r="M67" i="1"/>
  <c r="K68" i="1"/>
  <c r="L68" i="1"/>
  <c r="C162" i="1" s="1"/>
  <c r="M68" i="1"/>
  <c r="K69" i="1"/>
  <c r="L69" i="1"/>
  <c r="N69" i="1" s="1"/>
  <c r="M69" i="1"/>
  <c r="K70" i="1"/>
  <c r="L70" i="1"/>
  <c r="M70" i="1"/>
  <c r="E39" i="1"/>
  <c r="E37" i="1"/>
  <c r="S147" i="1" s="1"/>
  <c r="E31" i="1"/>
  <c r="S144" i="1"/>
  <c r="E29" i="1"/>
  <c r="E24" i="1"/>
  <c r="S141" i="1" s="1"/>
  <c r="E19" i="1"/>
  <c r="E13" i="1"/>
  <c r="S136" i="1" s="1"/>
  <c r="E11" i="1"/>
  <c r="S135" i="1" s="1"/>
  <c r="E70" i="1"/>
  <c r="T163" i="1" s="1"/>
  <c r="E66" i="1"/>
  <c r="E64" i="1"/>
  <c r="S160" i="1" s="1"/>
  <c r="E62" i="1"/>
  <c r="U159" i="1" s="1"/>
  <c r="E58" i="1"/>
  <c r="T157" i="1" s="1"/>
  <c r="E56" i="1"/>
  <c r="E54" i="1"/>
  <c r="E50" i="1"/>
  <c r="T153" i="1" s="1"/>
  <c r="E48" i="1"/>
  <c r="S152" i="1" s="1"/>
  <c r="J180" i="2"/>
  <c r="L180" i="2"/>
  <c r="H180" i="2"/>
  <c r="L127" i="13"/>
  <c r="C196" i="13" s="1"/>
  <c r="M127" i="13"/>
  <c r="K127" i="13"/>
  <c r="N127" i="13" s="1"/>
  <c r="K119" i="13"/>
  <c r="N119" i="13" s="1"/>
  <c r="H178" i="2"/>
  <c r="M116" i="14"/>
  <c r="D184" i="14" s="1"/>
  <c r="M117" i="14"/>
  <c r="L117" i="14"/>
  <c r="L116" i="14"/>
  <c r="C184" i="14"/>
  <c r="K116" i="14"/>
  <c r="N116" i="14" s="1"/>
  <c r="K117" i="14"/>
  <c r="M124" i="15"/>
  <c r="M122" i="15"/>
  <c r="D192" i="15" s="1"/>
  <c r="L124" i="15"/>
  <c r="K124" i="15"/>
  <c r="N124" i="15" s="1"/>
  <c r="K122" i="15"/>
  <c r="L122" i="15" s="1"/>
  <c r="M120" i="8"/>
  <c r="D190" i="8" s="1"/>
  <c r="M121" i="8"/>
  <c r="L120" i="8"/>
  <c r="L121" i="8"/>
  <c r="K120" i="8"/>
  <c r="K121" i="8"/>
  <c r="N121" i="8" s="1"/>
  <c r="L113" i="7"/>
  <c r="C182" i="7" s="1"/>
  <c r="M113" i="7"/>
  <c r="L114" i="7"/>
  <c r="M114" i="7"/>
  <c r="K113" i="7"/>
  <c r="K114" i="7"/>
  <c r="N114" i="7" s="1"/>
  <c r="K84" i="6"/>
  <c r="L84" i="6"/>
  <c r="M84" i="6"/>
  <c r="K83" i="6"/>
  <c r="L83" i="6"/>
  <c r="M83" i="6"/>
  <c r="K82" i="6"/>
  <c r="L82" i="6"/>
  <c r="M82" i="6"/>
  <c r="M115" i="5"/>
  <c r="L115" i="5"/>
  <c r="K115" i="5"/>
  <c r="M114" i="5"/>
  <c r="L114" i="5"/>
  <c r="K114" i="5"/>
  <c r="B182" i="5" s="1"/>
  <c r="M118" i="3"/>
  <c r="M119" i="3"/>
  <c r="L118" i="3"/>
  <c r="L119" i="3"/>
  <c r="K118" i="3"/>
  <c r="N118" i="3" s="1"/>
  <c r="K119" i="3"/>
  <c r="K112" i="2"/>
  <c r="B180" i="2" s="1"/>
  <c r="L112" i="2"/>
  <c r="M112" i="2"/>
  <c r="K113" i="2"/>
  <c r="L113" i="2"/>
  <c r="N113" i="2"/>
  <c r="M113" i="2"/>
  <c r="D180" i="2"/>
  <c r="L117" i="1"/>
  <c r="N117" i="1"/>
  <c r="M117" i="1"/>
  <c r="K116" i="1"/>
  <c r="L116" i="1"/>
  <c r="M116" i="1"/>
  <c r="D186" i="1" s="1"/>
  <c r="K113" i="3"/>
  <c r="K81" i="6"/>
  <c r="L81" i="6"/>
  <c r="M81" i="6"/>
  <c r="K79" i="6"/>
  <c r="L79" i="6"/>
  <c r="M79" i="6"/>
  <c r="M123" i="13"/>
  <c r="L123" i="13"/>
  <c r="C195" i="13"/>
  <c r="K123" i="13"/>
  <c r="B195" i="13"/>
  <c r="M115" i="14"/>
  <c r="L115" i="14"/>
  <c r="K115" i="14"/>
  <c r="M114" i="14"/>
  <c r="L114" i="14"/>
  <c r="C183" i="14"/>
  <c r="K114" i="14"/>
  <c r="M121" i="15"/>
  <c r="K121" i="15"/>
  <c r="L121" i="15" s="1"/>
  <c r="M120" i="15"/>
  <c r="K120" i="15"/>
  <c r="L120" i="15" s="1"/>
  <c r="K119" i="8"/>
  <c r="N119" i="8" s="1"/>
  <c r="L119" i="8"/>
  <c r="M119" i="8"/>
  <c r="M118" i="8"/>
  <c r="D189" i="8" s="1"/>
  <c r="L118" i="8"/>
  <c r="K118" i="8"/>
  <c r="K112" i="7"/>
  <c r="L112" i="7"/>
  <c r="M112" i="7"/>
  <c r="D181" i="7" s="1"/>
  <c r="M111" i="7"/>
  <c r="L111" i="7"/>
  <c r="K111" i="7"/>
  <c r="M113" i="5"/>
  <c r="D181" i="5" s="1"/>
  <c r="L113" i="5"/>
  <c r="C181" i="5" s="1"/>
  <c r="M112" i="5"/>
  <c r="L112" i="5"/>
  <c r="K113" i="5"/>
  <c r="K112" i="5"/>
  <c r="N112" i="5" s="1"/>
  <c r="K117" i="3"/>
  <c r="L117" i="3"/>
  <c r="M117" i="3"/>
  <c r="M116" i="3"/>
  <c r="L116" i="3"/>
  <c r="C186" i="3" s="1"/>
  <c r="K116" i="3"/>
  <c r="L179" i="2"/>
  <c r="J179" i="2"/>
  <c r="M111" i="2"/>
  <c r="M110" i="2"/>
  <c r="D179" i="2"/>
  <c r="L111" i="2"/>
  <c r="L110" i="2"/>
  <c r="K111" i="2"/>
  <c r="K110" i="2"/>
  <c r="M115" i="1"/>
  <c r="M114" i="1"/>
  <c r="D185" i="1" s="1"/>
  <c r="L115" i="1"/>
  <c r="L114" i="1"/>
  <c r="K115" i="1"/>
  <c r="K114" i="1"/>
  <c r="E122" i="13"/>
  <c r="U194" i="13"/>
  <c r="K122" i="13"/>
  <c r="B194" i="13" s="1"/>
  <c r="N122" i="13"/>
  <c r="L122" i="13"/>
  <c r="M122" i="13"/>
  <c r="K121" i="13"/>
  <c r="L121" i="13"/>
  <c r="C194" i="13"/>
  <c r="M121" i="13"/>
  <c r="D194" i="13" s="1"/>
  <c r="K113" i="14"/>
  <c r="N113" i="14" s="1"/>
  <c r="L113" i="14"/>
  <c r="M113" i="14"/>
  <c r="D182" i="14" s="1"/>
  <c r="K112" i="14"/>
  <c r="L112" i="14"/>
  <c r="N112" i="14" s="1"/>
  <c r="M112" i="14"/>
  <c r="E119" i="15"/>
  <c r="T190" i="15"/>
  <c r="K119" i="15"/>
  <c r="M119" i="15"/>
  <c r="K118" i="15"/>
  <c r="N118" i="15"/>
  <c r="L118" i="15"/>
  <c r="M118" i="15"/>
  <c r="E117" i="8"/>
  <c r="K117" i="8"/>
  <c r="L117" i="8"/>
  <c r="M117" i="8"/>
  <c r="K116" i="8"/>
  <c r="L116" i="8"/>
  <c r="C188" i="8" s="1"/>
  <c r="M116" i="8"/>
  <c r="K110" i="7"/>
  <c r="L110" i="7"/>
  <c r="M110" i="7"/>
  <c r="K109" i="7"/>
  <c r="B180" i="7" s="1"/>
  <c r="L109" i="7"/>
  <c r="N109" i="7" s="1"/>
  <c r="M109" i="7"/>
  <c r="K78" i="6"/>
  <c r="L78" i="6"/>
  <c r="M78" i="6"/>
  <c r="K77" i="6"/>
  <c r="L77" i="6"/>
  <c r="M77" i="6"/>
  <c r="E78" i="6"/>
  <c r="T132" i="6" s="1"/>
  <c r="K111" i="5"/>
  <c r="L111" i="5"/>
  <c r="M111" i="5"/>
  <c r="N111" i="5" s="1"/>
  <c r="K110" i="5"/>
  <c r="B180" i="5" s="1"/>
  <c r="L110" i="5"/>
  <c r="C180" i="5"/>
  <c r="M110" i="5"/>
  <c r="D180" i="5"/>
  <c r="K115" i="3"/>
  <c r="L115" i="3"/>
  <c r="C185" i="3" s="1"/>
  <c r="M115" i="3"/>
  <c r="D185" i="3" s="1"/>
  <c r="K114" i="3"/>
  <c r="L114" i="3"/>
  <c r="M114" i="3"/>
  <c r="N114" i="3" s="1"/>
  <c r="E115" i="3"/>
  <c r="L178" i="2"/>
  <c r="J178" i="2"/>
  <c r="H177" i="2"/>
  <c r="K109" i="2"/>
  <c r="L109" i="2"/>
  <c r="C178" i="2" s="1"/>
  <c r="M109" i="2"/>
  <c r="K108" i="2"/>
  <c r="L108" i="2"/>
  <c r="M108" i="2"/>
  <c r="L112" i="1"/>
  <c r="L113" i="1"/>
  <c r="E112" i="1"/>
  <c r="U184" i="1" s="1"/>
  <c r="L111" i="1"/>
  <c r="K113" i="1"/>
  <c r="K112" i="1"/>
  <c r="B184" i="1" s="1"/>
  <c r="K111" i="1"/>
  <c r="M113" i="1"/>
  <c r="M112" i="1"/>
  <c r="M111" i="1"/>
  <c r="K76" i="6"/>
  <c r="L76" i="6"/>
  <c r="M76" i="6"/>
  <c r="K75" i="6"/>
  <c r="L75" i="6"/>
  <c r="M75" i="6"/>
  <c r="K111" i="14"/>
  <c r="M120" i="13"/>
  <c r="L120" i="13"/>
  <c r="K120" i="13"/>
  <c r="N120" i="13"/>
  <c r="M111" i="14"/>
  <c r="L111" i="14"/>
  <c r="K116" i="15"/>
  <c r="N116" i="15" s="1"/>
  <c r="L116" i="15"/>
  <c r="M116" i="15"/>
  <c r="K109" i="5"/>
  <c r="K112" i="3"/>
  <c r="L177" i="2"/>
  <c r="J177" i="2"/>
  <c r="L119" i="13"/>
  <c r="C193" i="13"/>
  <c r="M119" i="13"/>
  <c r="K110" i="14"/>
  <c r="L110" i="14"/>
  <c r="M110" i="14"/>
  <c r="K117" i="15"/>
  <c r="L117" i="15"/>
  <c r="M117" i="15"/>
  <c r="K115" i="15"/>
  <c r="B189" i="15" s="1"/>
  <c r="L115" i="15"/>
  <c r="M115" i="15"/>
  <c r="K115" i="8"/>
  <c r="L115" i="8"/>
  <c r="M115" i="8"/>
  <c r="K114" i="8"/>
  <c r="L114" i="8"/>
  <c r="M114" i="8"/>
  <c r="K108" i="7"/>
  <c r="L108" i="7"/>
  <c r="M108" i="7"/>
  <c r="D179" i="7" s="1"/>
  <c r="K107" i="7"/>
  <c r="B179" i="7" s="1"/>
  <c r="E179" i="7" s="1"/>
  <c r="L107" i="7"/>
  <c r="M107" i="7"/>
  <c r="L109" i="5"/>
  <c r="M109" i="5"/>
  <c r="D179" i="5" s="1"/>
  <c r="K108" i="5"/>
  <c r="L108" i="5"/>
  <c r="C179" i="5" s="1"/>
  <c r="M108" i="5"/>
  <c r="L113" i="3"/>
  <c r="M113" i="3"/>
  <c r="N113" i="3" s="1"/>
  <c r="L112" i="3"/>
  <c r="M112" i="3"/>
  <c r="K111" i="3"/>
  <c r="B184" i="3" s="1"/>
  <c r="L111" i="3"/>
  <c r="M111" i="3"/>
  <c r="L106" i="2"/>
  <c r="K107" i="2"/>
  <c r="L107" i="2"/>
  <c r="M107" i="2"/>
  <c r="K106" i="2"/>
  <c r="M106" i="2"/>
  <c r="K110" i="1"/>
  <c r="L110" i="1"/>
  <c r="M110" i="1"/>
  <c r="M109" i="1"/>
  <c r="D183" i="1" s="1"/>
  <c r="L109" i="1"/>
  <c r="C183" i="1"/>
  <c r="K109" i="1"/>
  <c r="M108" i="1"/>
  <c r="L108" i="1"/>
  <c r="K108" i="1"/>
  <c r="K118" i="13"/>
  <c r="L118" i="13"/>
  <c r="N118" i="13" s="1"/>
  <c r="C192" i="13"/>
  <c r="M118" i="13"/>
  <c r="K117" i="13"/>
  <c r="L117" i="13"/>
  <c r="M117" i="13"/>
  <c r="D192" i="13"/>
  <c r="K109" i="14"/>
  <c r="L109" i="14"/>
  <c r="M109" i="14"/>
  <c r="D180" i="14" s="1"/>
  <c r="K108" i="14"/>
  <c r="L108" i="14"/>
  <c r="M108" i="14"/>
  <c r="K114" i="15"/>
  <c r="L114" i="15"/>
  <c r="M114" i="15"/>
  <c r="N114" i="15" s="1"/>
  <c r="K113" i="15"/>
  <c r="L113" i="15"/>
  <c r="M113" i="15"/>
  <c r="K113" i="8"/>
  <c r="L113" i="8"/>
  <c r="M113" i="8"/>
  <c r="K112" i="8"/>
  <c r="L112" i="8"/>
  <c r="C186" i="8" s="1"/>
  <c r="M112" i="8"/>
  <c r="K106" i="7"/>
  <c r="L106" i="7"/>
  <c r="M106" i="7"/>
  <c r="K105" i="7"/>
  <c r="B178" i="7" s="1"/>
  <c r="L105" i="7"/>
  <c r="M105" i="7"/>
  <c r="N105" i="7" s="1"/>
  <c r="D178" i="7"/>
  <c r="K74" i="6"/>
  <c r="L74" i="6"/>
  <c r="M74" i="6"/>
  <c r="K73" i="6"/>
  <c r="L73" i="6"/>
  <c r="M73" i="6"/>
  <c r="M106" i="5"/>
  <c r="M107" i="5"/>
  <c r="L106" i="5"/>
  <c r="L107" i="5"/>
  <c r="K106" i="5"/>
  <c r="B178" i="5"/>
  <c r="K107" i="5"/>
  <c r="M110" i="3"/>
  <c r="L110" i="3"/>
  <c r="K110" i="3"/>
  <c r="J109" i="3"/>
  <c r="M109" i="3"/>
  <c r="K108" i="3"/>
  <c r="L108" i="3"/>
  <c r="M108" i="3"/>
  <c r="K105" i="2"/>
  <c r="L105" i="2"/>
  <c r="M105" i="2"/>
  <c r="K104" i="2"/>
  <c r="L104" i="2"/>
  <c r="M104" i="2"/>
  <c r="D176" i="2" s="1"/>
  <c r="K107" i="1"/>
  <c r="L107" i="1"/>
  <c r="M107" i="1"/>
  <c r="D182" i="1" s="1"/>
  <c r="K72" i="6"/>
  <c r="L72" i="6"/>
  <c r="M72" i="6"/>
  <c r="K71" i="6"/>
  <c r="L71" i="6"/>
  <c r="M71" i="6"/>
  <c r="E103" i="7"/>
  <c r="J175" i="2"/>
  <c r="E115" i="13"/>
  <c r="K115" i="13"/>
  <c r="N115" i="13" s="1"/>
  <c r="B191" i="13"/>
  <c r="L115" i="13"/>
  <c r="M115" i="13"/>
  <c r="K116" i="13"/>
  <c r="L116" i="13"/>
  <c r="C191" i="13" s="1"/>
  <c r="M116" i="13"/>
  <c r="D191" i="13" s="1"/>
  <c r="K106" i="14"/>
  <c r="L106" i="14"/>
  <c r="M106" i="14"/>
  <c r="K107" i="14"/>
  <c r="L107" i="14"/>
  <c r="C179" i="14" s="1"/>
  <c r="M107" i="14"/>
  <c r="K110" i="15"/>
  <c r="L110" i="15"/>
  <c r="C187" i="15" s="1"/>
  <c r="M110" i="15"/>
  <c r="K112" i="15"/>
  <c r="L112" i="15"/>
  <c r="M112" i="15"/>
  <c r="E111" i="8"/>
  <c r="K110" i="8"/>
  <c r="L110" i="8"/>
  <c r="M110" i="8"/>
  <c r="K111" i="8"/>
  <c r="L111" i="8"/>
  <c r="M111" i="8"/>
  <c r="K103" i="7"/>
  <c r="B177" i="7" s="1"/>
  <c r="L103" i="7"/>
  <c r="M103" i="7"/>
  <c r="K104" i="7"/>
  <c r="L104" i="7"/>
  <c r="M104" i="7"/>
  <c r="K104" i="5"/>
  <c r="L104" i="5"/>
  <c r="M104" i="5"/>
  <c r="E105" i="5"/>
  <c r="T177" i="5"/>
  <c r="K105" i="5"/>
  <c r="L105" i="5"/>
  <c r="M105" i="5"/>
  <c r="K106" i="3"/>
  <c r="L106" i="3"/>
  <c r="M106" i="3"/>
  <c r="N106" i="3" s="1"/>
  <c r="K107" i="3"/>
  <c r="L107" i="3"/>
  <c r="N107" i="3"/>
  <c r="M107" i="3"/>
  <c r="L175" i="2"/>
  <c r="N175" i="2" s="1"/>
  <c r="K103" i="2"/>
  <c r="L103" i="2"/>
  <c r="M103" i="2"/>
  <c r="K102" i="2"/>
  <c r="L102" i="2"/>
  <c r="M102" i="2"/>
  <c r="E106" i="1"/>
  <c r="K105" i="1"/>
  <c r="N105" i="1" s="1"/>
  <c r="L105" i="1"/>
  <c r="M105" i="1"/>
  <c r="K106" i="1"/>
  <c r="L106" i="1"/>
  <c r="M106" i="1"/>
  <c r="E103" i="5"/>
  <c r="U176" i="5"/>
  <c r="K113" i="13"/>
  <c r="L113" i="13"/>
  <c r="M113" i="13"/>
  <c r="K114" i="13"/>
  <c r="N114" i="13" s="1"/>
  <c r="L114" i="13"/>
  <c r="C190" i="13" s="1"/>
  <c r="M114" i="13"/>
  <c r="D190" i="13"/>
  <c r="K104" i="14"/>
  <c r="L104" i="14"/>
  <c r="M104" i="14"/>
  <c r="K105" i="14"/>
  <c r="L105" i="14"/>
  <c r="C178" i="14" s="1"/>
  <c r="M105" i="14"/>
  <c r="K108" i="15"/>
  <c r="L108" i="15"/>
  <c r="M108" i="15"/>
  <c r="K109" i="15"/>
  <c r="L109" i="15"/>
  <c r="M109" i="15"/>
  <c r="K108" i="8"/>
  <c r="L108" i="8"/>
  <c r="M108" i="8"/>
  <c r="K109" i="8"/>
  <c r="L109" i="8"/>
  <c r="M109" i="8"/>
  <c r="K101" i="7"/>
  <c r="L101" i="7"/>
  <c r="M101" i="7"/>
  <c r="K102" i="7"/>
  <c r="L102" i="7"/>
  <c r="M102" i="7"/>
  <c r="K68" i="6"/>
  <c r="L68" i="6"/>
  <c r="M68" i="6"/>
  <c r="K70" i="6"/>
  <c r="L70" i="6"/>
  <c r="M70" i="6"/>
  <c r="K66" i="6"/>
  <c r="L66" i="6"/>
  <c r="M66" i="6"/>
  <c r="D127" i="6" s="1"/>
  <c r="M103" i="5"/>
  <c r="L103" i="5"/>
  <c r="K103" i="5"/>
  <c r="L104" i="3"/>
  <c r="C181" i="3" s="1"/>
  <c r="M104" i="3"/>
  <c r="K105" i="3"/>
  <c r="B181" i="3" s="1"/>
  <c r="L105" i="3"/>
  <c r="M105" i="3"/>
  <c r="E105" i="3"/>
  <c r="E107" i="3"/>
  <c r="J174" i="2"/>
  <c r="N174" i="2" s="1"/>
  <c r="L174" i="2"/>
  <c r="K100" i="2"/>
  <c r="N100" i="2" s="1"/>
  <c r="L100" i="2"/>
  <c r="M100" i="2"/>
  <c r="K101" i="2"/>
  <c r="B174" i="2" s="1"/>
  <c r="L101" i="2"/>
  <c r="M101" i="2"/>
  <c r="K99" i="1"/>
  <c r="L99" i="1"/>
  <c r="M99" i="1"/>
  <c r="D178" i="1" s="1"/>
  <c r="K100" i="1"/>
  <c r="L100" i="1"/>
  <c r="M100" i="1"/>
  <c r="N100" i="1" s="1"/>
  <c r="K101" i="1"/>
  <c r="N101" i="1" s="1"/>
  <c r="L101" i="1"/>
  <c r="M101" i="1"/>
  <c r="D179" i="1" s="1"/>
  <c r="K102" i="1"/>
  <c r="L102" i="1"/>
  <c r="M102" i="1"/>
  <c r="K103" i="1"/>
  <c r="L103" i="1"/>
  <c r="N103" i="1" s="1"/>
  <c r="M103" i="1"/>
  <c r="K104" i="1"/>
  <c r="L104" i="1"/>
  <c r="M104" i="1"/>
  <c r="K98" i="2"/>
  <c r="L98" i="2"/>
  <c r="N98" i="2" s="1"/>
  <c r="M98" i="2"/>
  <c r="K99" i="2"/>
  <c r="L99" i="2"/>
  <c r="M99" i="2"/>
  <c r="K111" i="13"/>
  <c r="L111" i="13"/>
  <c r="M111" i="13"/>
  <c r="K112" i="13"/>
  <c r="L112" i="13"/>
  <c r="C189" i="13" s="1"/>
  <c r="M112" i="13"/>
  <c r="D189" i="13" s="1"/>
  <c r="K102" i="14"/>
  <c r="L102" i="14"/>
  <c r="M102" i="14"/>
  <c r="D177" i="14"/>
  <c r="K103" i="14"/>
  <c r="B177" i="14" s="1"/>
  <c r="N103" i="14"/>
  <c r="L103" i="14"/>
  <c r="M103" i="14"/>
  <c r="K107" i="15"/>
  <c r="L107" i="15"/>
  <c r="M107" i="15"/>
  <c r="K106" i="15"/>
  <c r="B185" i="15" s="1"/>
  <c r="L106" i="15"/>
  <c r="M106" i="15"/>
  <c r="E107" i="15"/>
  <c r="J185" i="15" s="1"/>
  <c r="S185" i="15"/>
  <c r="K107" i="8"/>
  <c r="L107" i="8"/>
  <c r="M107" i="8"/>
  <c r="K106" i="8"/>
  <c r="L106" i="8"/>
  <c r="C183" i="8" s="1"/>
  <c r="M106" i="8"/>
  <c r="D183" i="8" s="1"/>
  <c r="E107" i="8"/>
  <c r="K100" i="7"/>
  <c r="N100" i="7" s="1"/>
  <c r="L100" i="7"/>
  <c r="M100" i="7"/>
  <c r="D175" i="7" s="1"/>
  <c r="K99" i="7"/>
  <c r="L99" i="7"/>
  <c r="C175" i="7" s="1"/>
  <c r="M99" i="7"/>
  <c r="E100" i="7"/>
  <c r="K100" i="5"/>
  <c r="L100" i="5"/>
  <c r="M100" i="5"/>
  <c r="D175" i="5"/>
  <c r="H173" i="2"/>
  <c r="N173" i="2" s="1"/>
  <c r="J173" i="2"/>
  <c r="L173" i="2"/>
  <c r="K102" i="3"/>
  <c r="L102" i="3"/>
  <c r="M102" i="3"/>
  <c r="K103" i="3"/>
  <c r="L103" i="3"/>
  <c r="M103" i="3"/>
  <c r="D180" i="3" s="1"/>
  <c r="E103" i="3"/>
  <c r="K91" i="3"/>
  <c r="E98" i="1"/>
  <c r="E96" i="1"/>
  <c r="S176" i="1" s="1"/>
  <c r="E94" i="1"/>
  <c r="E90" i="1"/>
  <c r="E88" i="1"/>
  <c r="S172" i="1" s="1"/>
  <c r="E86" i="1"/>
  <c r="W171" i="1" s="1"/>
  <c r="E82" i="1"/>
  <c r="E80" i="1"/>
  <c r="T168" i="1" s="1"/>
  <c r="E78" i="1"/>
  <c r="S167" i="1" s="1"/>
  <c r="E74" i="1"/>
  <c r="T165" i="1" s="1"/>
  <c r="E72" i="1"/>
  <c r="K89" i="1"/>
  <c r="K90" i="1"/>
  <c r="N90" i="1" s="1"/>
  <c r="L89" i="1"/>
  <c r="L90" i="1"/>
  <c r="M89" i="1"/>
  <c r="M90" i="1"/>
  <c r="K97" i="1"/>
  <c r="N97" i="1" s="1"/>
  <c r="K98" i="1"/>
  <c r="L97" i="1"/>
  <c r="L98" i="1"/>
  <c r="M97" i="1"/>
  <c r="M98" i="1"/>
  <c r="K95" i="1"/>
  <c r="K96" i="1"/>
  <c r="L95" i="1"/>
  <c r="C176" i="1" s="1"/>
  <c r="L96" i="1"/>
  <c r="M95" i="1"/>
  <c r="M96" i="1"/>
  <c r="K93" i="1"/>
  <c r="N93" i="1" s="1"/>
  <c r="K94" i="1"/>
  <c r="L93" i="1"/>
  <c r="L94" i="1"/>
  <c r="C175" i="1" s="1"/>
  <c r="M93" i="1"/>
  <c r="D175" i="1" s="1"/>
  <c r="M94" i="1"/>
  <c r="K91" i="1"/>
  <c r="K92" i="1"/>
  <c r="N92" i="1" s="1"/>
  <c r="L91" i="1"/>
  <c r="L92" i="1"/>
  <c r="M91" i="1"/>
  <c r="M92" i="1"/>
  <c r="D174" i="1" s="1"/>
  <c r="K87" i="1"/>
  <c r="K88" i="1"/>
  <c r="L87" i="1"/>
  <c r="L88" i="1"/>
  <c r="M87" i="1"/>
  <c r="M88" i="1"/>
  <c r="K85" i="1"/>
  <c r="K86" i="1"/>
  <c r="L85" i="1"/>
  <c r="L86" i="1"/>
  <c r="M85" i="1"/>
  <c r="M86" i="1"/>
  <c r="K83" i="1"/>
  <c r="K84" i="1"/>
  <c r="L83" i="1"/>
  <c r="C170" i="1" s="1"/>
  <c r="L84" i="1"/>
  <c r="M83" i="1"/>
  <c r="M84" i="1"/>
  <c r="K81" i="1"/>
  <c r="K82" i="1"/>
  <c r="N82" i="1" s="1"/>
  <c r="L81" i="1"/>
  <c r="L82" i="1"/>
  <c r="M81" i="1"/>
  <c r="M82" i="1"/>
  <c r="K79" i="1"/>
  <c r="K80" i="1"/>
  <c r="L79" i="1"/>
  <c r="L80" i="1"/>
  <c r="C168" i="1" s="1"/>
  <c r="M79" i="1"/>
  <c r="M80" i="1"/>
  <c r="K77" i="1"/>
  <c r="K78" i="1"/>
  <c r="L77" i="1"/>
  <c r="L78" i="1"/>
  <c r="M77" i="1"/>
  <c r="M78" i="1"/>
  <c r="K75" i="1"/>
  <c r="B166" i="1" s="1"/>
  <c r="K76" i="1"/>
  <c r="L75" i="1"/>
  <c r="L76" i="1"/>
  <c r="M75" i="1"/>
  <c r="M76" i="1"/>
  <c r="K73" i="1"/>
  <c r="K74" i="1"/>
  <c r="L73" i="1"/>
  <c r="L74" i="1"/>
  <c r="M73" i="1"/>
  <c r="D165" i="1" s="1"/>
  <c r="M74" i="1"/>
  <c r="K71" i="1"/>
  <c r="K72" i="1"/>
  <c r="M71" i="1"/>
  <c r="M72" i="1"/>
  <c r="L71" i="1"/>
  <c r="L72" i="1"/>
  <c r="K96" i="2"/>
  <c r="K97" i="2"/>
  <c r="L96" i="2"/>
  <c r="L97" i="2"/>
  <c r="M96" i="2"/>
  <c r="M97" i="2"/>
  <c r="L171" i="2"/>
  <c r="H171" i="2"/>
  <c r="K94" i="2"/>
  <c r="K95" i="2"/>
  <c r="L94" i="2"/>
  <c r="L95" i="2"/>
  <c r="N95" i="2" s="1"/>
  <c r="M94" i="2"/>
  <c r="D171" i="2"/>
  <c r="M95" i="2"/>
  <c r="H170" i="2"/>
  <c r="K92" i="2"/>
  <c r="K93" i="2"/>
  <c r="B170" i="2"/>
  <c r="L92" i="2"/>
  <c r="L93" i="2"/>
  <c r="M92" i="2"/>
  <c r="M93" i="2"/>
  <c r="L169" i="2"/>
  <c r="K90" i="2"/>
  <c r="K91" i="2"/>
  <c r="N91" i="2" s="1"/>
  <c r="L90" i="2"/>
  <c r="L91" i="2"/>
  <c r="M90" i="2"/>
  <c r="M91" i="2"/>
  <c r="K88" i="2"/>
  <c r="K89" i="2"/>
  <c r="L88" i="2"/>
  <c r="N88" i="2" s="1"/>
  <c r="L89" i="2"/>
  <c r="M88" i="2"/>
  <c r="M89" i="2"/>
  <c r="J167" i="2"/>
  <c r="K86" i="2"/>
  <c r="B167" i="2" s="1"/>
  <c r="K87" i="2"/>
  <c r="N87" i="2"/>
  <c r="L86" i="2"/>
  <c r="L87" i="2"/>
  <c r="M86" i="2"/>
  <c r="M87" i="2"/>
  <c r="L166" i="2"/>
  <c r="H166" i="2"/>
  <c r="K84" i="2"/>
  <c r="N84" i="2"/>
  <c r="K85" i="2"/>
  <c r="L84" i="2"/>
  <c r="C166" i="2" s="1"/>
  <c r="L85" i="2"/>
  <c r="M84" i="2"/>
  <c r="M85" i="2"/>
  <c r="N85" i="2"/>
  <c r="H165" i="2"/>
  <c r="J165" i="2"/>
  <c r="K82" i="2"/>
  <c r="N82" i="2" s="1"/>
  <c r="K83" i="2"/>
  <c r="L82" i="2"/>
  <c r="C165" i="2" s="1"/>
  <c r="E165" i="2" s="1"/>
  <c r="L83" i="2"/>
  <c r="N83" i="2"/>
  <c r="M82" i="2"/>
  <c r="M83" i="2"/>
  <c r="K80" i="2"/>
  <c r="N80" i="2"/>
  <c r="K81" i="2"/>
  <c r="L80" i="2"/>
  <c r="L81" i="2"/>
  <c r="C164" i="2"/>
  <c r="M80" i="2"/>
  <c r="M81" i="2"/>
  <c r="D164" i="2" s="1"/>
  <c r="L163" i="2"/>
  <c r="K78" i="2"/>
  <c r="K79" i="2"/>
  <c r="L78" i="2"/>
  <c r="C163" i="2" s="1"/>
  <c r="L79" i="2"/>
  <c r="M78" i="2"/>
  <c r="M79" i="2"/>
  <c r="J162" i="2"/>
  <c r="H162" i="2"/>
  <c r="K76" i="2"/>
  <c r="N76" i="2"/>
  <c r="K77" i="2"/>
  <c r="N77" i="2" s="1"/>
  <c r="L76" i="2"/>
  <c r="C162" i="2" s="1"/>
  <c r="L77" i="2"/>
  <c r="M76" i="2"/>
  <c r="M77" i="2"/>
  <c r="J161" i="2"/>
  <c r="K74" i="2"/>
  <c r="B161" i="2" s="1"/>
  <c r="K75" i="2"/>
  <c r="L74" i="2"/>
  <c r="C161" i="2" s="1"/>
  <c r="L75" i="2"/>
  <c r="M74" i="2"/>
  <c r="M75" i="2"/>
  <c r="K72" i="2"/>
  <c r="K73" i="2"/>
  <c r="B160" i="2" s="1"/>
  <c r="L72" i="2"/>
  <c r="L73" i="2"/>
  <c r="M72" i="2"/>
  <c r="M73" i="2"/>
  <c r="N73" i="2" s="1"/>
  <c r="H159" i="2"/>
  <c r="J159" i="2"/>
  <c r="K70" i="2"/>
  <c r="K71" i="2"/>
  <c r="L70" i="2"/>
  <c r="C159" i="2" s="1"/>
  <c r="L71" i="2"/>
  <c r="N71" i="2" s="1"/>
  <c r="M70" i="2"/>
  <c r="D159" i="2" s="1"/>
  <c r="M71" i="2"/>
  <c r="K69" i="2"/>
  <c r="B158" i="2"/>
  <c r="M69" i="2"/>
  <c r="D158" i="2" s="1"/>
  <c r="L69" i="2"/>
  <c r="C158" i="2"/>
  <c r="M67" i="2"/>
  <c r="L67" i="2"/>
  <c r="K67" i="2"/>
  <c r="N67" i="2"/>
  <c r="M66" i="2"/>
  <c r="L66" i="2"/>
  <c r="K66" i="2"/>
  <c r="M65" i="2"/>
  <c r="D156" i="2" s="1"/>
  <c r="L65" i="2"/>
  <c r="K65" i="2"/>
  <c r="N65" i="2" s="1"/>
  <c r="M64" i="2"/>
  <c r="L64" i="2"/>
  <c r="C156" i="2"/>
  <c r="E156" i="2" s="1"/>
  <c r="K64" i="2"/>
  <c r="K100" i="3"/>
  <c r="K101" i="3"/>
  <c r="L101" i="3"/>
  <c r="C179" i="3" s="1"/>
  <c r="M101" i="3"/>
  <c r="M100" i="3"/>
  <c r="L100" i="3"/>
  <c r="K98" i="3"/>
  <c r="N98" i="3" s="1"/>
  <c r="K99" i="3"/>
  <c r="B178" i="3" s="1"/>
  <c r="L99" i="3"/>
  <c r="M99" i="3"/>
  <c r="M98" i="3"/>
  <c r="D178" i="3" s="1"/>
  <c r="L98" i="3"/>
  <c r="E97" i="3"/>
  <c r="T177" i="3"/>
  <c r="K96" i="3"/>
  <c r="K97" i="3"/>
  <c r="N97" i="3" s="1"/>
  <c r="L96" i="3"/>
  <c r="L97" i="3"/>
  <c r="M96" i="3"/>
  <c r="M97" i="3"/>
  <c r="E95" i="3"/>
  <c r="K94" i="3"/>
  <c r="K95" i="3"/>
  <c r="N95" i="3" s="1"/>
  <c r="L94" i="3"/>
  <c r="L95" i="3"/>
  <c r="M94" i="3"/>
  <c r="M95" i="3"/>
  <c r="K92" i="3"/>
  <c r="K93" i="3"/>
  <c r="L92" i="3"/>
  <c r="N92" i="3"/>
  <c r="L93" i="3"/>
  <c r="N93" i="3" s="1"/>
  <c r="M92" i="3"/>
  <c r="M93" i="3"/>
  <c r="D175" i="3" s="1"/>
  <c r="E91" i="3"/>
  <c r="U174" i="3" s="1"/>
  <c r="K90" i="3"/>
  <c r="L91" i="3"/>
  <c r="M91" i="3"/>
  <c r="M90" i="3"/>
  <c r="D174" i="3" s="1"/>
  <c r="L90" i="3"/>
  <c r="E89" i="3"/>
  <c r="K88" i="3"/>
  <c r="K89" i="3"/>
  <c r="L88" i="3"/>
  <c r="L89" i="3"/>
  <c r="M88" i="3"/>
  <c r="N88" i="3" s="1"/>
  <c r="M89" i="3"/>
  <c r="E87" i="3"/>
  <c r="B172" i="3" s="1"/>
  <c r="K86" i="3"/>
  <c r="K87" i="3"/>
  <c r="L86" i="3"/>
  <c r="L87" i="3"/>
  <c r="M86" i="3"/>
  <c r="M87" i="3"/>
  <c r="K84" i="3"/>
  <c r="B171" i="3" s="1"/>
  <c r="K85" i="3"/>
  <c r="N85" i="3" s="1"/>
  <c r="L84" i="3"/>
  <c r="L85" i="3"/>
  <c r="M84" i="3"/>
  <c r="M85" i="3"/>
  <c r="E83" i="3"/>
  <c r="D170" i="3" s="1"/>
  <c r="T170" i="3"/>
  <c r="K82" i="3"/>
  <c r="N82" i="3" s="1"/>
  <c r="K83" i="3"/>
  <c r="L82" i="3"/>
  <c r="M82" i="3"/>
  <c r="M83" i="3"/>
  <c r="L83" i="3"/>
  <c r="E81" i="3"/>
  <c r="T169" i="3" s="1"/>
  <c r="K80" i="3"/>
  <c r="K81" i="3"/>
  <c r="N81" i="3" s="1"/>
  <c r="L80" i="3"/>
  <c r="C169" i="3" s="1"/>
  <c r="L81" i="3"/>
  <c r="M80" i="3"/>
  <c r="M81" i="3"/>
  <c r="E79" i="3"/>
  <c r="S168" i="3"/>
  <c r="T168" i="3"/>
  <c r="K78" i="3"/>
  <c r="K79" i="3"/>
  <c r="N79" i="3" s="1"/>
  <c r="L78" i="3"/>
  <c r="L79" i="3"/>
  <c r="M78" i="3"/>
  <c r="M79" i="3"/>
  <c r="D168" i="3" s="1"/>
  <c r="K76" i="3"/>
  <c r="N76" i="3" s="1"/>
  <c r="K77" i="3"/>
  <c r="L77" i="3"/>
  <c r="C167" i="3" s="1"/>
  <c r="M77" i="3"/>
  <c r="N77" i="3" s="1"/>
  <c r="M76" i="3"/>
  <c r="L76" i="3"/>
  <c r="E75" i="3"/>
  <c r="S166" i="3" s="1"/>
  <c r="K74" i="3"/>
  <c r="K75" i="3"/>
  <c r="L75" i="3"/>
  <c r="C166" i="3" s="1"/>
  <c r="M75" i="3"/>
  <c r="M74" i="3"/>
  <c r="L74" i="3"/>
  <c r="E73" i="3"/>
  <c r="K72" i="3"/>
  <c r="K73" i="3"/>
  <c r="L72" i="3"/>
  <c r="L73" i="3"/>
  <c r="N73" i="3" s="1"/>
  <c r="M72" i="3"/>
  <c r="D165" i="3" s="1"/>
  <c r="M73" i="3"/>
  <c r="E71" i="3"/>
  <c r="K70" i="3"/>
  <c r="K71" i="3"/>
  <c r="L70" i="3"/>
  <c r="L71" i="3"/>
  <c r="M70" i="3"/>
  <c r="N70" i="3" s="1"/>
  <c r="M71" i="3"/>
  <c r="K68" i="3"/>
  <c r="K69" i="3"/>
  <c r="B163" i="3"/>
  <c r="M68" i="3"/>
  <c r="D163" i="3" s="1"/>
  <c r="M69" i="3"/>
  <c r="L68" i="3"/>
  <c r="L69" i="3"/>
  <c r="M67" i="3"/>
  <c r="D162" i="3" s="1"/>
  <c r="L67" i="3"/>
  <c r="K67" i="3"/>
  <c r="M66" i="3"/>
  <c r="L66" i="3"/>
  <c r="C162" i="3" s="1"/>
  <c r="K66" i="3"/>
  <c r="B162" i="3" s="1"/>
  <c r="M65" i="3"/>
  <c r="D161" i="3" s="1"/>
  <c r="L65" i="3"/>
  <c r="K65" i="3"/>
  <c r="E65" i="3"/>
  <c r="U161" i="3" s="1"/>
  <c r="M64" i="3"/>
  <c r="L64" i="3"/>
  <c r="K64" i="3"/>
  <c r="B161" i="3" s="1"/>
  <c r="K98" i="5"/>
  <c r="B174" i="5" s="1"/>
  <c r="K99" i="5"/>
  <c r="L98" i="5"/>
  <c r="L99" i="5"/>
  <c r="M98" i="5"/>
  <c r="M99" i="5"/>
  <c r="E97" i="5"/>
  <c r="S173" i="5" s="1"/>
  <c r="K96" i="5"/>
  <c r="K97" i="5"/>
  <c r="L97" i="5"/>
  <c r="L96" i="5"/>
  <c r="N96" i="5" s="1"/>
  <c r="M97" i="5"/>
  <c r="M96" i="5"/>
  <c r="E95" i="5"/>
  <c r="T172" i="5" s="1"/>
  <c r="K94" i="5"/>
  <c r="K95" i="5"/>
  <c r="L94" i="5"/>
  <c r="L95" i="5"/>
  <c r="M94" i="5"/>
  <c r="D172" i="5" s="1"/>
  <c r="M95" i="5"/>
  <c r="E93" i="5"/>
  <c r="K92" i="5"/>
  <c r="K93" i="5"/>
  <c r="L92" i="5"/>
  <c r="N92" i="5"/>
  <c r="L93" i="5"/>
  <c r="M92" i="5"/>
  <c r="D171" i="5" s="1"/>
  <c r="M93" i="5"/>
  <c r="K90" i="5"/>
  <c r="K91" i="5"/>
  <c r="L91" i="5"/>
  <c r="C170" i="5" s="1"/>
  <c r="L90" i="5"/>
  <c r="M91" i="5"/>
  <c r="M90" i="5"/>
  <c r="D170" i="5"/>
  <c r="E89" i="5"/>
  <c r="W169" i="5"/>
  <c r="K88" i="5"/>
  <c r="B169" i="5" s="1"/>
  <c r="K89" i="5"/>
  <c r="L88" i="5"/>
  <c r="L89" i="5"/>
  <c r="C169" i="5" s="1"/>
  <c r="M88" i="5"/>
  <c r="D169" i="5"/>
  <c r="E169" i="5" s="1"/>
  <c r="M89" i="5"/>
  <c r="E87" i="5"/>
  <c r="T168" i="5" s="1"/>
  <c r="K86" i="5"/>
  <c r="K87" i="5"/>
  <c r="L87" i="5"/>
  <c r="L86" i="5"/>
  <c r="C168" i="5" s="1"/>
  <c r="M87" i="5"/>
  <c r="M86" i="5"/>
  <c r="K84" i="5"/>
  <c r="K85" i="5"/>
  <c r="L84" i="5"/>
  <c r="C167" i="5" s="1"/>
  <c r="L85" i="5"/>
  <c r="M84" i="5"/>
  <c r="M85" i="5"/>
  <c r="K82" i="5"/>
  <c r="K83" i="5"/>
  <c r="L82" i="5"/>
  <c r="L83" i="5"/>
  <c r="C166" i="5" s="1"/>
  <c r="M82" i="5"/>
  <c r="M83" i="5"/>
  <c r="E81" i="5"/>
  <c r="S165" i="5" s="1"/>
  <c r="K80" i="5"/>
  <c r="N80" i="5" s="1"/>
  <c r="K81" i="5"/>
  <c r="L81" i="5"/>
  <c r="L80" i="5"/>
  <c r="M81" i="5"/>
  <c r="M80" i="5"/>
  <c r="E79" i="5"/>
  <c r="T164" i="5"/>
  <c r="K78" i="5"/>
  <c r="B164" i="5"/>
  <c r="K79" i="5"/>
  <c r="L79" i="5"/>
  <c r="N79" i="5" s="1"/>
  <c r="L78" i="5"/>
  <c r="N78" i="5" s="1"/>
  <c r="M79" i="5"/>
  <c r="M78" i="5"/>
  <c r="D164" i="5" s="1"/>
  <c r="K76" i="5"/>
  <c r="K77" i="5"/>
  <c r="N77" i="5"/>
  <c r="L76" i="5"/>
  <c r="L77" i="5"/>
  <c r="M76" i="5"/>
  <c r="D163" i="5" s="1"/>
  <c r="M77" i="5"/>
  <c r="K73" i="5"/>
  <c r="B162" i="5"/>
  <c r="K74" i="5"/>
  <c r="L74" i="5"/>
  <c r="L73" i="5"/>
  <c r="M74" i="5"/>
  <c r="M73" i="5"/>
  <c r="E72" i="5"/>
  <c r="U161" i="5"/>
  <c r="K71" i="5"/>
  <c r="K72" i="5"/>
  <c r="N72" i="5" s="1"/>
  <c r="L71" i="5"/>
  <c r="L72" i="5"/>
  <c r="M71" i="5"/>
  <c r="M72" i="5"/>
  <c r="E70" i="5"/>
  <c r="D160" i="5"/>
  <c r="E68" i="5"/>
  <c r="K67" i="5"/>
  <c r="N67" i="5" s="1"/>
  <c r="K68" i="5"/>
  <c r="M67" i="5"/>
  <c r="M68" i="5"/>
  <c r="N68" i="5"/>
  <c r="L67" i="5"/>
  <c r="L68" i="5"/>
  <c r="K64" i="6"/>
  <c r="K65" i="6"/>
  <c r="L65" i="6"/>
  <c r="M65" i="6"/>
  <c r="M64" i="6"/>
  <c r="L64" i="6"/>
  <c r="E63" i="6"/>
  <c r="S125" i="6" s="1"/>
  <c r="K62" i="6"/>
  <c r="K63" i="6"/>
  <c r="L63" i="6"/>
  <c r="M63" i="6"/>
  <c r="M62" i="6"/>
  <c r="L62" i="6"/>
  <c r="E61" i="6"/>
  <c r="S124" i="6" s="1"/>
  <c r="K60" i="6"/>
  <c r="K61" i="6"/>
  <c r="L60" i="6"/>
  <c r="L61" i="6"/>
  <c r="M60" i="6"/>
  <c r="M61" i="6"/>
  <c r="E59" i="6"/>
  <c r="T123" i="6" s="1"/>
  <c r="K58" i="6"/>
  <c r="K59" i="6"/>
  <c r="L58" i="6"/>
  <c r="L59" i="6"/>
  <c r="M58" i="6"/>
  <c r="M59" i="6"/>
  <c r="K56" i="6"/>
  <c r="K57" i="6"/>
  <c r="L56" i="6"/>
  <c r="L57" i="6"/>
  <c r="M56" i="6"/>
  <c r="M57" i="6"/>
  <c r="E55" i="6"/>
  <c r="T121" i="6" s="1"/>
  <c r="K54" i="6"/>
  <c r="K55" i="6"/>
  <c r="L55" i="6"/>
  <c r="L54" i="6"/>
  <c r="M55" i="6"/>
  <c r="M54" i="6"/>
  <c r="E53" i="6"/>
  <c r="T120" i="6" s="1"/>
  <c r="K52" i="6"/>
  <c r="K53" i="6"/>
  <c r="L53" i="6"/>
  <c r="M53" i="6"/>
  <c r="M52" i="6"/>
  <c r="L52" i="6"/>
  <c r="E51" i="6"/>
  <c r="S119" i="6" s="1"/>
  <c r="K50" i="6"/>
  <c r="K51" i="6"/>
  <c r="L51" i="6"/>
  <c r="M51" i="6"/>
  <c r="M50" i="6"/>
  <c r="L50" i="6"/>
  <c r="K48" i="6"/>
  <c r="K49" i="6"/>
  <c r="L48" i="6"/>
  <c r="L49" i="6"/>
  <c r="M48" i="6"/>
  <c r="M49" i="6"/>
  <c r="E47" i="6"/>
  <c r="S117" i="6" s="1"/>
  <c r="K46" i="6"/>
  <c r="K47" i="6"/>
  <c r="L46" i="6"/>
  <c r="L47" i="6"/>
  <c r="M46" i="6"/>
  <c r="M47" i="6"/>
  <c r="E45" i="6"/>
  <c r="T116" i="6" s="1"/>
  <c r="K44" i="6"/>
  <c r="K45" i="6"/>
  <c r="L44" i="6"/>
  <c r="L45" i="6"/>
  <c r="M44" i="6"/>
  <c r="M45" i="6"/>
  <c r="E43" i="6"/>
  <c r="U115" i="6" s="1"/>
  <c r="K43" i="6"/>
  <c r="L43" i="6"/>
  <c r="M43" i="6"/>
  <c r="E39" i="6"/>
  <c r="T113" i="6" s="1"/>
  <c r="K38" i="6"/>
  <c r="B113" i="6" s="1"/>
  <c r="L38" i="6"/>
  <c r="M38" i="6"/>
  <c r="E37" i="6"/>
  <c r="K36" i="6"/>
  <c r="K37" i="6"/>
  <c r="L37" i="6"/>
  <c r="M37" i="6"/>
  <c r="M36" i="6"/>
  <c r="L36" i="6"/>
  <c r="E86" i="7"/>
  <c r="S168" i="7"/>
  <c r="E92" i="7"/>
  <c r="T171" i="7"/>
  <c r="K97" i="7"/>
  <c r="K98" i="7"/>
  <c r="L97" i="7"/>
  <c r="C174" i="7" s="1"/>
  <c r="L98" i="7"/>
  <c r="M97" i="7"/>
  <c r="M98" i="7"/>
  <c r="N98" i="7" s="1"/>
  <c r="E96" i="7"/>
  <c r="D173" i="7" s="1"/>
  <c r="K95" i="7"/>
  <c r="K96" i="7"/>
  <c r="L96" i="7"/>
  <c r="L95" i="7"/>
  <c r="M96" i="7"/>
  <c r="M95" i="7"/>
  <c r="N95" i="7" s="1"/>
  <c r="E94" i="7"/>
  <c r="J172" i="7" s="1"/>
  <c r="K93" i="7"/>
  <c r="K94" i="7"/>
  <c r="N94" i="7" s="1"/>
  <c r="L94" i="7"/>
  <c r="L93" i="7"/>
  <c r="M94" i="7"/>
  <c r="M93" i="7"/>
  <c r="K91" i="7"/>
  <c r="K92" i="7"/>
  <c r="L92" i="7"/>
  <c r="L91" i="7"/>
  <c r="C171" i="7" s="1"/>
  <c r="M92" i="7"/>
  <c r="M91" i="7"/>
  <c r="N91" i="7" s="1"/>
  <c r="K89" i="7"/>
  <c r="K90" i="7"/>
  <c r="N90" i="7" s="1"/>
  <c r="L90" i="7"/>
  <c r="L89" i="7"/>
  <c r="N89" i="7" s="1"/>
  <c r="C170" i="7"/>
  <c r="M90" i="7"/>
  <c r="D170" i="7" s="1"/>
  <c r="M89" i="7"/>
  <c r="E88" i="7"/>
  <c r="S169" i="7" s="1"/>
  <c r="K87" i="7"/>
  <c r="K88" i="7"/>
  <c r="L88" i="7"/>
  <c r="C169" i="7" s="1"/>
  <c r="L87" i="7"/>
  <c r="M88" i="7"/>
  <c r="M87" i="7"/>
  <c r="D169" i="7"/>
  <c r="K85" i="7"/>
  <c r="K86" i="7"/>
  <c r="L86" i="7"/>
  <c r="L85" i="7"/>
  <c r="M86" i="7"/>
  <c r="M85" i="7"/>
  <c r="E84" i="7"/>
  <c r="W167" i="7"/>
  <c r="K83" i="7"/>
  <c r="K84" i="7"/>
  <c r="L84" i="7"/>
  <c r="N84" i="7" s="1"/>
  <c r="L83" i="7"/>
  <c r="M84" i="7"/>
  <c r="M83" i="7"/>
  <c r="K81" i="7"/>
  <c r="K82" i="7"/>
  <c r="N82" i="7" s="1"/>
  <c r="L82" i="7"/>
  <c r="L81" i="7"/>
  <c r="C166" i="7" s="1"/>
  <c r="M82" i="7"/>
  <c r="M81" i="7"/>
  <c r="E80" i="7"/>
  <c r="W165" i="7" s="1"/>
  <c r="K79" i="7"/>
  <c r="K80" i="7"/>
  <c r="L80" i="7"/>
  <c r="L79" i="7"/>
  <c r="M80" i="7"/>
  <c r="M79" i="7"/>
  <c r="E78" i="7"/>
  <c r="T164" i="7"/>
  <c r="K77" i="7"/>
  <c r="K78" i="7"/>
  <c r="N78" i="7"/>
  <c r="L78" i="7"/>
  <c r="L77" i="7"/>
  <c r="C164" i="7"/>
  <c r="M78" i="7"/>
  <c r="M77" i="7"/>
  <c r="D164" i="7" s="1"/>
  <c r="E164" i="7" s="1"/>
  <c r="E76" i="7"/>
  <c r="K75" i="7"/>
  <c r="K76" i="7"/>
  <c r="L76" i="7"/>
  <c r="L75" i="7"/>
  <c r="M76" i="7"/>
  <c r="M75" i="7"/>
  <c r="K73" i="7"/>
  <c r="K74" i="7"/>
  <c r="L74" i="7"/>
  <c r="L73" i="7"/>
  <c r="M74" i="7"/>
  <c r="D162" i="7"/>
  <c r="M73" i="7"/>
  <c r="E72" i="7"/>
  <c r="C161" i="7" s="1"/>
  <c r="K71" i="7"/>
  <c r="K72" i="7"/>
  <c r="N72" i="7"/>
  <c r="L72" i="7"/>
  <c r="L71" i="7"/>
  <c r="M72" i="7"/>
  <c r="M71" i="7"/>
  <c r="D161" i="7"/>
  <c r="E70" i="7"/>
  <c r="L160" i="7"/>
  <c r="K70" i="7"/>
  <c r="M70" i="7"/>
  <c r="N70" i="7" s="1"/>
  <c r="L70" i="7"/>
  <c r="C160" i="7"/>
  <c r="K67" i="7"/>
  <c r="N67" i="7" s="1"/>
  <c r="K68" i="7"/>
  <c r="M67" i="7"/>
  <c r="M68" i="7"/>
  <c r="D159" i="7"/>
  <c r="L67" i="7"/>
  <c r="L68" i="7"/>
  <c r="C159" i="7"/>
  <c r="M66" i="7"/>
  <c r="L66" i="7"/>
  <c r="C158" i="7" s="1"/>
  <c r="K66" i="7"/>
  <c r="K104" i="8"/>
  <c r="K105" i="8"/>
  <c r="L105" i="8"/>
  <c r="L104" i="8"/>
  <c r="C182" i="8" s="1"/>
  <c r="M105" i="8"/>
  <c r="M104" i="8"/>
  <c r="K101" i="8"/>
  <c r="B181" i="8" s="1"/>
  <c r="K103" i="8"/>
  <c r="L103" i="8"/>
  <c r="L101" i="8"/>
  <c r="C181" i="8" s="1"/>
  <c r="M103" i="8"/>
  <c r="M101" i="8"/>
  <c r="K98" i="8"/>
  <c r="B180" i="8" s="1"/>
  <c r="K100" i="8"/>
  <c r="L98" i="8"/>
  <c r="L100" i="8"/>
  <c r="C180" i="8" s="1"/>
  <c r="N100" i="8"/>
  <c r="M98" i="8"/>
  <c r="M100" i="8"/>
  <c r="E97" i="8"/>
  <c r="K96" i="8"/>
  <c r="K97" i="8"/>
  <c r="L97" i="8"/>
  <c r="N97" i="8"/>
  <c r="L96" i="8"/>
  <c r="M97" i="8"/>
  <c r="M96" i="8"/>
  <c r="K94" i="8"/>
  <c r="K95" i="8"/>
  <c r="L95" i="8"/>
  <c r="N95" i="8"/>
  <c r="L94" i="8"/>
  <c r="C178" i="8" s="1"/>
  <c r="M95" i="8"/>
  <c r="M94" i="8"/>
  <c r="D178" i="8" s="1"/>
  <c r="E93" i="8"/>
  <c r="K92" i="8"/>
  <c r="K93" i="8"/>
  <c r="N93" i="8" s="1"/>
  <c r="L92" i="8"/>
  <c r="L93" i="8"/>
  <c r="M92" i="8"/>
  <c r="D177" i="8" s="1"/>
  <c r="M93" i="8"/>
  <c r="E91" i="8"/>
  <c r="K90" i="8"/>
  <c r="K91" i="8"/>
  <c r="L91" i="8"/>
  <c r="L90" i="8"/>
  <c r="M91" i="8"/>
  <c r="M90" i="8"/>
  <c r="D176" i="8" s="1"/>
  <c r="E89" i="8"/>
  <c r="K88" i="8"/>
  <c r="B175" i="8" s="1"/>
  <c r="K89" i="8"/>
  <c r="L88" i="8"/>
  <c r="L89" i="8"/>
  <c r="N89" i="8"/>
  <c r="M88" i="8"/>
  <c r="M89" i="8"/>
  <c r="K86" i="8"/>
  <c r="B174" i="8" s="1"/>
  <c r="K87" i="8"/>
  <c r="L87" i="8"/>
  <c r="N87" i="8"/>
  <c r="L86" i="8"/>
  <c r="C174" i="8"/>
  <c r="E174" i="8" s="1"/>
  <c r="M87" i="8"/>
  <c r="M86" i="8"/>
  <c r="D174" i="8" s="1"/>
  <c r="E85" i="8"/>
  <c r="K84" i="8"/>
  <c r="K85" i="8"/>
  <c r="L84" i="8"/>
  <c r="L85" i="8"/>
  <c r="N85" i="8" s="1"/>
  <c r="M84" i="8"/>
  <c r="D173" i="8"/>
  <c r="M85" i="8"/>
  <c r="E83" i="8"/>
  <c r="K82" i="8"/>
  <c r="B172" i="8" s="1"/>
  <c r="E172" i="8" s="1"/>
  <c r="K83" i="8"/>
  <c r="L82" i="8"/>
  <c r="C172" i="8" s="1"/>
  <c r="L83" i="8"/>
  <c r="N83" i="8" s="1"/>
  <c r="M82" i="8"/>
  <c r="D172" i="8"/>
  <c r="M83" i="8"/>
  <c r="E81" i="8"/>
  <c r="K80" i="8"/>
  <c r="K81" i="8"/>
  <c r="N81" i="8" s="1"/>
  <c r="L81" i="8"/>
  <c r="L80" i="8"/>
  <c r="C171" i="8" s="1"/>
  <c r="M81" i="8"/>
  <c r="M80" i="8"/>
  <c r="D171" i="8" s="1"/>
  <c r="K78" i="8"/>
  <c r="K79" i="8"/>
  <c r="N79" i="8" s="1"/>
  <c r="L79" i="8"/>
  <c r="L78" i="8"/>
  <c r="C170" i="8" s="1"/>
  <c r="M79" i="8"/>
  <c r="M78" i="8"/>
  <c r="D170" i="8" s="1"/>
  <c r="E77" i="8"/>
  <c r="K76" i="8"/>
  <c r="N76" i="8" s="1"/>
  <c r="K77" i="8"/>
  <c r="L76" i="8"/>
  <c r="L77" i="8"/>
  <c r="M76" i="8"/>
  <c r="D169" i="8" s="1"/>
  <c r="M77" i="8"/>
  <c r="E75" i="8"/>
  <c r="K75" i="8"/>
  <c r="B168" i="8" s="1"/>
  <c r="M75" i="8"/>
  <c r="D168" i="8" s="1"/>
  <c r="L75" i="8"/>
  <c r="C168" i="8"/>
  <c r="E168" i="8" s="1"/>
  <c r="E73" i="8"/>
  <c r="K72" i="8"/>
  <c r="K73" i="8"/>
  <c r="N73" i="8"/>
  <c r="M72" i="8"/>
  <c r="M73" i="8"/>
  <c r="L72" i="8"/>
  <c r="N72" i="8" s="1"/>
  <c r="L73" i="8"/>
  <c r="K104" i="15"/>
  <c r="K105" i="15"/>
  <c r="L104" i="15"/>
  <c r="C184" i="15"/>
  <c r="M104" i="15"/>
  <c r="D184" i="15"/>
  <c r="M105" i="15"/>
  <c r="L105" i="15"/>
  <c r="E103" i="15"/>
  <c r="T183" i="15" s="1"/>
  <c r="K102" i="15"/>
  <c r="K103" i="15"/>
  <c r="L102" i="15"/>
  <c r="L103" i="15"/>
  <c r="M102" i="15"/>
  <c r="M103" i="15"/>
  <c r="K99" i="15"/>
  <c r="K101" i="15"/>
  <c r="L101" i="15"/>
  <c r="M101" i="15"/>
  <c r="M99" i="15"/>
  <c r="L99" i="15"/>
  <c r="N99" i="15"/>
  <c r="E98" i="15"/>
  <c r="K97" i="15"/>
  <c r="K98" i="15"/>
  <c r="L97" i="15"/>
  <c r="L98" i="15"/>
  <c r="M97" i="15"/>
  <c r="M98" i="15"/>
  <c r="K95" i="15"/>
  <c r="K96" i="15"/>
  <c r="L95" i="15"/>
  <c r="C180" i="15" s="1"/>
  <c r="L96" i="15"/>
  <c r="M95" i="15"/>
  <c r="M96" i="15"/>
  <c r="E94" i="15"/>
  <c r="K93" i="15"/>
  <c r="K94" i="15"/>
  <c r="L93" i="15"/>
  <c r="L94" i="15"/>
  <c r="M93" i="15"/>
  <c r="M94" i="15"/>
  <c r="N94" i="15" s="1"/>
  <c r="E92" i="15"/>
  <c r="K91" i="15"/>
  <c r="K92" i="15"/>
  <c r="L91" i="15"/>
  <c r="L92" i="15"/>
  <c r="M91" i="15"/>
  <c r="M92" i="15"/>
  <c r="N92" i="15"/>
  <c r="E90" i="15"/>
  <c r="K89" i="15"/>
  <c r="K90" i="15"/>
  <c r="L89" i="15"/>
  <c r="M89" i="15"/>
  <c r="M90" i="15"/>
  <c r="D177" i="15" s="1"/>
  <c r="L90" i="15"/>
  <c r="K87" i="15"/>
  <c r="K88" i="15"/>
  <c r="L88" i="15"/>
  <c r="L87" i="15"/>
  <c r="C176" i="15" s="1"/>
  <c r="M88" i="15"/>
  <c r="M87" i="15"/>
  <c r="D176" i="15"/>
  <c r="K84" i="15"/>
  <c r="K86" i="15"/>
  <c r="B175" i="15" s="1"/>
  <c r="E175" i="15" s="1"/>
  <c r="L86" i="15"/>
  <c r="L84" i="15"/>
  <c r="M86" i="15"/>
  <c r="M84" i="15"/>
  <c r="E83" i="15"/>
  <c r="T174" i="15" s="1"/>
  <c r="K82" i="15"/>
  <c r="K83" i="15"/>
  <c r="L83" i="15"/>
  <c r="L82" i="15"/>
  <c r="M83" i="15"/>
  <c r="M82" i="15"/>
  <c r="E81" i="15"/>
  <c r="U173" i="15" s="1"/>
  <c r="K80" i="15"/>
  <c r="K81" i="15"/>
  <c r="L80" i="15"/>
  <c r="L81" i="15"/>
  <c r="M80" i="15"/>
  <c r="M81" i="15"/>
  <c r="K78" i="15"/>
  <c r="N78" i="15" s="1"/>
  <c r="K79" i="15"/>
  <c r="L79" i="15"/>
  <c r="M79" i="15"/>
  <c r="M78" i="15"/>
  <c r="D172" i="15"/>
  <c r="L78" i="15"/>
  <c r="E77" i="15"/>
  <c r="T171" i="15" s="1"/>
  <c r="K76" i="15"/>
  <c r="K77" i="15"/>
  <c r="L76" i="15"/>
  <c r="M76" i="15"/>
  <c r="M77" i="15"/>
  <c r="L77" i="15"/>
  <c r="N77" i="15" s="1"/>
  <c r="E75" i="15"/>
  <c r="K75" i="15"/>
  <c r="M75" i="15"/>
  <c r="L75" i="15"/>
  <c r="E73" i="15"/>
  <c r="T169" i="15"/>
  <c r="K72" i="15"/>
  <c r="K73" i="15"/>
  <c r="M72" i="15"/>
  <c r="M73" i="15"/>
  <c r="L72" i="15"/>
  <c r="L73" i="15"/>
  <c r="K69" i="15"/>
  <c r="K71" i="15"/>
  <c r="M69" i="15"/>
  <c r="M71" i="15"/>
  <c r="L69" i="15"/>
  <c r="L71" i="15"/>
  <c r="M68" i="15"/>
  <c r="L68" i="15"/>
  <c r="K68" i="15"/>
  <c r="M67" i="15"/>
  <c r="D167" i="15" s="1"/>
  <c r="L67" i="15"/>
  <c r="K67" i="15"/>
  <c r="B167" i="15"/>
  <c r="M66" i="15"/>
  <c r="L66" i="15"/>
  <c r="K66" i="15"/>
  <c r="M65" i="15"/>
  <c r="D166" i="15" s="1"/>
  <c r="L65" i="15"/>
  <c r="K65" i="15"/>
  <c r="K100" i="14"/>
  <c r="K101" i="14"/>
  <c r="L100" i="14"/>
  <c r="L101" i="14"/>
  <c r="N101" i="14" s="1"/>
  <c r="M100" i="14"/>
  <c r="D176" i="14" s="1"/>
  <c r="M101" i="14"/>
  <c r="E99" i="14"/>
  <c r="S175" i="14" s="1"/>
  <c r="U175" i="14"/>
  <c r="K98" i="14"/>
  <c r="K99" i="14"/>
  <c r="L98" i="14"/>
  <c r="N98" i="14" s="1"/>
  <c r="L99" i="14"/>
  <c r="M98" i="14"/>
  <c r="M99" i="14"/>
  <c r="E97" i="14"/>
  <c r="U174" i="14"/>
  <c r="K96" i="14"/>
  <c r="K97" i="14"/>
  <c r="L96" i="14"/>
  <c r="L97" i="14"/>
  <c r="M96" i="14"/>
  <c r="D174" i="14"/>
  <c r="M97" i="14"/>
  <c r="E95" i="14"/>
  <c r="K94" i="14"/>
  <c r="K95" i="14"/>
  <c r="L94" i="14"/>
  <c r="L95" i="14"/>
  <c r="M94" i="14"/>
  <c r="M95" i="14"/>
  <c r="K92" i="14"/>
  <c r="K93" i="14"/>
  <c r="L92" i="14"/>
  <c r="L93" i="14"/>
  <c r="N93" i="14" s="1"/>
  <c r="M92" i="14"/>
  <c r="D172" i="14" s="1"/>
  <c r="M93" i="14"/>
  <c r="E91" i="14"/>
  <c r="J171" i="14"/>
  <c r="K90" i="14"/>
  <c r="B171" i="14" s="1"/>
  <c r="K91" i="14"/>
  <c r="N91" i="14" s="1"/>
  <c r="L91" i="14"/>
  <c r="L90" i="14"/>
  <c r="M91" i="14"/>
  <c r="M90" i="14"/>
  <c r="E89" i="14"/>
  <c r="T170" i="14" s="1"/>
  <c r="K88" i="14"/>
  <c r="B170" i="14" s="1"/>
  <c r="E170" i="14" s="1"/>
  <c r="K89" i="14"/>
  <c r="L88" i="14"/>
  <c r="C170" i="14" s="1"/>
  <c r="L89" i="14"/>
  <c r="M88" i="14"/>
  <c r="M89" i="14"/>
  <c r="E87" i="14"/>
  <c r="H169" i="14" s="1"/>
  <c r="T169" i="14"/>
  <c r="K86" i="14"/>
  <c r="K87" i="14"/>
  <c r="L86" i="14"/>
  <c r="L87" i="14"/>
  <c r="M86" i="14"/>
  <c r="M87" i="14"/>
  <c r="K84" i="14"/>
  <c r="K85" i="14"/>
  <c r="L84" i="14"/>
  <c r="L85" i="14"/>
  <c r="M84" i="14"/>
  <c r="M85" i="14"/>
  <c r="E83" i="14"/>
  <c r="K82" i="14"/>
  <c r="K83" i="14"/>
  <c r="L82" i="14"/>
  <c r="L83" i="14"/>
  <c r="M82" i="14"/>
  <c r="M83" i="14"/>
  <c r="E81" i="14"/>
  <c r="T166" i="14" s="1"/>
  <c r="K80" i="14"/>
  <c r="N80" i="14" s="1"/>
  <c r="K81" i="14"/>
  <c r="L80" i="14"/>
  <c r="L81" i="14"/>
  <c r="M80" i="14"/>
  <c r="M81" i="14"/>
  <c r="E79" i="14"/>
  <c r="S165" i="14"/>
  <c r="K78" i="14"/>
  <c r="B165" i="14" s="1"/>
  <c r="K79" i="14"/>
  <c r="L78" i="14"/>
  <c r="L79" i="14"/>
  <c r="M78" i="14"/>
  <c r="M79" i="14"/>
  <c r="K76" i="14"/>
  <c r="K77" i="14"/>
  <c r="N77" i="14" s="1"/>
  <c r="L76" i="14"/>
  <c r="L77" i="14"/>
  <c r="M76" i="14"/>
  <c r="M77" i="14"/>
  <c r="E75" i="14"/>
  <c r="K74" i="14"/>
  <c r="K75" i="14"/>
  <c r="L75" i="14"/>
  <c r="L74" i="14"/>
  <c r="M75" i="14"/>
  <c r="M74" i="14"/>
  <c r="E73" i="14"/>
  <c r="U162" i="14" s="1"/>
  <c r="K72" i="14"/>
  <c r="K73" i="14"/>
  <c r="L72" i="14"/>
  <c r="L73" i="14"/>
  <c r="M72" i="14"/>
  <c r="M73" i="14"/>
  <c r="K70" i="14"/>
  <c r="K71" i="14"/>
  <c r="B161" i="14"/>
  <c r="E161" i="14" s="1"/>
  <c r="M70" i="14"/>
  <c r="M71" i="14"/>
  <c r="L70" i="14"/>
  <c r="L71" i="14"/>
  <c r="M92" i="13"/>
  <c r="M93" i="13"/>
  <c r="M94" i="13"/>
  <c r="L92" i="13"/>
  <c r="C180" i="13" s="1"/>
  <c r="E180" i="13" s="1"/>
  <c r="L93" i="13"/>
  <c r="L94" i="13"/>
  <c r="K92" i="13"/>
  <c r="K93" i="13"/>
  <c r="K94" i="13"/>
  <c r="N94" i="13" s="1"/>
  <c r="K109" i="13"/>
  <c r="B188" i="13" s="1"/>
  <c r="E188" i="13" s="1"/>
  <c r="K110" i="13"/>
  <c r="L110" i="13"/>
  <c r="N110" i="13" s="1"/>
  <c r="L109" i="13"/>
  <c r="M110" i="13"/>
  <c r="M109" i="13"/>
  <c r="E108" i="13"/>
  <c r="K107" i="13"/>
  <c r="K108" i="13"/>
  <c r="L107" i="13"/>
  <c r="L108" i="13"/>
  <c r="M107" i="13"/>
  <c r="M108" i="13"/>
  <c r="E106" i="13"/>
  <c r="U186" i="13" s="1"/>
  <c r="K105" i="13"/>
  <c r="K106" i="13"/>
  <c r="L105" i="13"/>
  <c r="L106" i="13"/>
  <c r="N106" i="13" s="1"/>
  <c r="M105" i="13"/>
  <c r="M106" i="13"/>
  <c r="E104" i="13"/>
  <c r="U185" i="13"/>
  <c r="K103" i="13"/>
  <c r="K104" i="13"/>
  <c r="N104" i="13" s="1"/>
  <c r="L103" i="13"/>
  <c r="L104" i="13"/>
  <c r="M103" i="13"/>
  <c r="M104" i="13"/>
  <c r="K101" i="13"/>
  <c r="K102" i="13"/>
  <c r="L101" i="13"/>
  <c r="L102" i="13"/>
  <c r="M101" i="13"/>
  <c r="M102" i="13"/>
  <c r="E100" i="13"/>
  <c r="J183" i="13"/>
  <c r="K99" i="13"/>
  <c r="K100" i="13"/>
  <c r="L100" i="13"/>
  <c r="L99" i="13"/>
  <c r="M100" i="13"/>
  <c r="M99" i="13"/>
  <c r="D183" i="13" s="1"/>
  <c r="E98" i="13"/>
  <c r="K97" i="13"/>
  <c r="K98" i="13"/>
  <c r="L97" i="13"/>
  <c r="L98" i="13"/>
  <c r="M97" i="13"/>
  <c r="M98" i="13"/>
  <c r="E96" i="13"/>
  <c r="T181" i="13" s="1"/>
  <c r="K95" i="13"/>
  <c r="K96" i="13"/>
  <c r="N96" i="13"/>
  <c r="L95" i="13"/>
  <c r="C181" i="13" s="1"/>
  <c r="L96" i="13"/>
  <c r="M95" i="13"/>
  <c r="M96" i="13"/>
  <c r="D181" i="13" s="1"/>
  <c r="E91" i="13"/>
  <c r="C179" i="13"/>
  <c r="T179" i="13"/>
  <c r="K90" i="13"/>
  <c r="B179" i="13"/>
  <c r="K91" i="13"/>
  <c r="L91" i="13"/>
  <c r="L90" i="13"/>
  <c r="M91" i="13"/>
  <c r="N91" i="13" s="1"/>
  <c r="M90" i="13"/>
  <c r="E89" i="13"/>
  <c r="T178" i="13"/>
  <c r="U178" i="13"/>
  <c r="K88" i="13"/>
  <c r="B178" i="13" s="1"/>
  <c r="E178" i="13" s="1"/>
  <c r="K89" i="13"/>
  <c r="L88" i="13"/>
  <c r="N88" i="13"/>
  <c r="L89" i="13"/>
  <c r="M88" i="13"/>
  <c r="M89" i="13"/>
  <c r="E87" i="13"/>
  <c r="U177" i="13"/>
  <c r="K86" i="13"/>
  <c r="K87" i="13"/>
  <c r="L87" i="13"/>
  <c r="L86" i="13"/>
  <c r="M87" i="13"/>
  <c r="M86" i="13"/>
  <c r="K84" i="13"/>
  <c r="K85" i="13"/>
  <c r="N85" i="13" s="1"/>
  <c r="L85" i="13"/>
  <c r="L84" i="13"/>
  <c r="C176" i="13"/>
  <c r="M85" i="13"/>
  <c r="D176" i="13"/>
  <c r="M84" i="13"/>
  <c r="E83" i="13"/>
  <c r="K82" i="13"/>
  <c r="K83" i="13"/>
  <c r="L83" i="13"/>
  <c r="L82" i="13"/>
  <c r="C175" i="13" s="1"/>
  <c r="M83" i="13"/>
  <c r="M82" i="13"/>
  <c r="K79" i="13"/>
  <c r="K81" i="13"/>
  <c r="M79" i="13"/>
  <c r="M81" i="13"/>
  <c r="N81" i="13" s="1"/>
  <c r="L79" i="13"/>
  <c r="C174" i="13" s="1"/>
  <c r="L81" i="13"/>
  <c r="K77" i="13"/>
  <c r="K78" i="13"/>
  <c r="M77" i="13"/>
  <c r="M78" i="13"/>
  <c r="L77" i="13"/>
  <c r="L78" i="13"/>
  <c r="N78" i="13"/>
  <c r="K73" i="13"/>
  <c r="K74" i="13"/>
  <c r="M73" i="13"/>
  <c r="M74" i="13"/>
  <c r="L73" i="13"/>
  <c r="L74" i="13"/>
  <c r="C172" i="13"/>
  <c r="M72" i="13"/>
  <c r="N72" i="13" s="1"/>
  <c r="L72" i="13"/>
  <c r="K72" i="13"/>
  <c r="M71" i="13"/>
  <c r="D171" i="13" s="1"/>
  <c r="L71" i="13"/>
  <c r="C171" i="13" s="1"/>
  <c r="K71" i="13"/>
  <c r="M64" i="13"/>
  <c r="D168" i="13" s="1"/>
  <c r="L64" i="13"/>
  <c r="K64" i="13"/>
  <c r="B168" i="13"/>
  <c r="E168" i="13"/>
  <c r="M63" i="13"/>
  <c r="L63" i="13"/>
  <c r="C167" i="13" s="1"/>
  <c r="K63" i="13"/>
  <c r="H161" i="2"/>
  <c r="L165" i="2"/>
  <c r="L167" i="2"/>
  <c r="N167" i="2" s="1"/>
  <c r="J170" i="2"/>
  <c r="L170" i="2"/>
  <c r="J169" i="2"/>
  <c r="N169" i="2"/>
  <c r="L162" i="2"/>
  <c r="N162" i="2" s="1"/>
  <c r="L161" i="2"/>
  <c r="N161" i="2" s="1"/>
  <c r="J158" i="2"/>
  <c r="L158" i="2"/>
  <c r="J166" i="2"/>
  <c r="J163" i="2"/>
  <c r="J171" i="2"/>
  <c r="N171" i="2"/>
  <c r="H163" i="2"/>
  <c r="N163" i="2"/>
  <c r="L159" i="2"/>
  <c r="H175" i="2"/>
  <c r="W176" i="7"/>
  <c r="W152" i="7"/>
  <c r="W144" i="7"/>
  <c r="W132" i="7"/>
  <c r="W139" i="7"/>
  <c r="W135" i="7"/>
  <c r="W134" i="7"/>
  <c r="W145" i="7"/>
  <c r="W158" i="5"/>
  <c r="W146" i="5"/>
  <c r="W142" i="5"/>
  <c r="W160" i="5"/>
  <c r="W149" i="5"/>
  <c r="W180" i="5"/>
  <c r="W172" i="5"/>
  <c r="W164" i="5"/>
  <c r="W173" i="5"/>
  <c r="E101" i="5"/>
  <c r="T175" i="5" s="1"/>
  <c r="D130" i="2"/>
  <c r="N132" i="2"/>
  <c r="N152" i="2"/>
  <c r="N136" i="2"/>
  <c r="W142" i="2"/>
  <c r="B146" i="2"/>
  <c r="N153" i="2"/>
  <c r="N144" i="2"/>
  <c r="D165" i="2"/>
  <c r="D167" i="2"/>
  <c r="N129" i="2"/>
  <c r="N133" i="2"/>
  <c r="B176" i="2"/>
  <c r="B157" i="2"/>
  <c r="N105" i="2"/>
  <c r="N160" i="2"/>
  <c r="C170" i="2"/>
  <c r="N172" i="2"/>
  <c r="N178" i="2"/>
  <c r="N143" i="2"/>
  <c r="N158" i="2"/>
  <c r="N150" i="2"/>
  <c r="N147" i="2"/>
  <c r="W178" i="2"/>
  <c r="N164" i="2"/>
  <c r="N131" i="2"/>
  <c r="W130" i="2"/>
  <c r="N139" i="2"/>
  <c r="B156" i="2"/>
  <c r="N108" i="2"/>
  <c r="B154" i="2"/>
  <c r="B172" i="2"/>
  <c r="B145" i="2"/>
  <c r="D157" i="2"/>
  <c r="E157" i="2" s="1"/>
  <c r="D173" i="2"/>
  <c r="D129" i="2"/>
  <c r="C143" i="2"/>
  <c r="W150" i="2"/>
  <c r="B134" i="2"/>
  <c r="D135" i="2"/>
  <c r="B142" i="2"/>
  <c r="E142" i="2" s="1"/>
  <c r="W138" i="2"/>
  <c r="D155" i="2"/>
  <c r="D147" i="2"/>
  <c r="D162" i="2"/>
  <c r="C177" i="2"/>
  <c r="W171" i="2"/>
  <c r="W167" i="2"/>
  <c r="C160" i="2"/>
  <c r="D178" i="2"/>
  <c r="C150" i="2"/>
  <c r="C134" i="2"/>
  <c r="W166" i="2"/>
  <c r="D174" i="2"/>
  <c r="D177" i="2"/>
  <c r="N29" i="2"/>
  <c r="N36" i="2"/>
  <c r="B144" i="2"/>
  <c r="D145" i="2"/>
  <c r="N13" i="2"/>
  <c r="W152" i="2"/>
  <c r="N60" i="2"/>
  <c r="N42" i="2"/>
  <c r="B138" i="2"/>
  <c r="D169" i="2"/>
  <c r="B150" i="2"/>
  <c r="D151" i="2"/>
  <c r="C142" i="2"/>
  <c r="N39" i="2"/>
  <c r="W159" i="2"/>
  <c r="B165" i="2"/>
  <c r="N37" i="2"/>
  <c r="W154" i="2"/>
  <c r="W146" i="2"/>
  <c r="W173" i="2"/>
  <c r="W161" i="2"/>
  <c r="D149" i="2"/>
  <c r="W134" i="2"/>
  <c r="W172" i="2"/>
  <c r="W168" i="2"/>
  <c r="C138" i="2"/>
  <c r="D166" i="2"/>
  <c r="W175" i="2"/>
  <c r="W163" i="2"/>
  <c r="D143" i="2"/>
  <c r="N18" i="2"/>
  <c r="B147" i="2"/>
  <c r="D150" i="2"/>
  <c r="N21" i="2"/>
  <c r="S157" i="1"/>
  <c r="H160" i="1"/>
  <c r="C172" i="1"/>
  <c r="U164" i="1"/>
  <c r="S164" i="1"/>
  <c r="S143" i="1"/>
  <c r="U143" i="1"/>
  <c r="U163" i="1"/>
  <c r="T181" i="1"/>
  <c r="T148" i="1"/>
  <c r="D145" i="1"/>
  <c r="T136" i="1"/>
  <c r="T143" i="1"/>
  <c r="T173" i="1"/>
  <c r="S159" i="1"/>
  <c r="T147" i="1"/>
  <c r="T137" i="1"/>
  <c r="U165" i="1"/>
  <c r="T155" i="1"/>
  <c r="U175" i="1"/>
  <c r="T175" i="1"/>
  <c r="S175" i="1"/>
  <c r="N52" i="1"/>
  <c r="N49" i="1"/>
  <c r="U157" i="1"/>
  <c r="W164" i="1"/>
  <c r="B159" i="7"/>
  <c r="B156" i="7"/>
  <c r="E156" i="7"/>
  <c r="N59" i="7"/>
  <c r="B155" i="7"/>
  <c r="E155" i="7"/>
  <c r="N63" i="7"/>
  <c r="N57" i="7"/>
  <c r="N54" i="7"/>
  <c r="N53" i="7"/>
  <c r="D152" i="7"/>
  <c r="D151" i="7"/>
  <c r="N48" i="7"/>
  <c r="B150" i="7"/>
  <c r="N45" i="7"/>
  <c r="N43" i="7"/>
  <c r="B147" i="7"/>
  <c r="D146" i="7"/>
  <c r="N42" i="7"/>
  <c r="N41" i="7"/>
  <c r="B146" i="7"/>
  <c r="N39" i="7"/>
  <c r="N37" i="7"/>
  <c r="B144" i="7"/>
  <c r="E144" i="7" s="1"/>
  <c r="N35" i="7"/>
  <c r="B143" i="7"/>
  <c r="E143" i="7" s="1"/>
  <c r="D142" i="7"/>
  <c r="N34" i="7"/>
  <c r="N32" i="7"/>
  <c r="B141" i="7"/>
  <c r="N29" i="7"/>
  <c r="B140" i="7"/>
  <c r="N26" i="7"/>
  <c r="N25" i="7"/>
  <c r="D138" i="7"/>
  <c r="N23" i="7"/>
  <c r="D137" i="7"/>
  <c r="N21" i="7"/>
  <c r="D134" i="7"/>
  <c r="C133" i="7"/>
  <c r="B134" i="7"/>
  <c r="N110" i="7"/>
  <c r="D176" i="7"/>
  <c r="N106" i="7"/>
  <c r="D177" i="7"/>
  <c r="D180" i="7"/>
  <c r="N87" i="7"/>
  <c r="C181" i="7"/>
  <c r="N107" i="7"/>
  <c r="C179" i="7"/>
  <c r="C178" i="7"/>
  <c r="C162" i="7"/>
  <c r="N74" i="7"/>
  <c r="B131" i="7"/>
  <c r="J175" i="7"/>
  <c r="B175" i="7"/>
  <c r="E175" i="7" s="1"/>
  <c r="S175" i="7"/>
  <c r="T175" i="7"/>
  <c r="U175" i="7"/>
  <c r="U171" i="7"/>
  <c r="C168" i="7"/>
  <c r="D168" i="7"/>
  <c r="U168" i="7"/>
  <c r="T168" i="7"/>
  <c r="T163" i="7"/>
  <c r="S163" i="7"/>
  <c r="L163" i="7"/>
  <c r="U163" i="7"/>
  <c r="J160" i="7"/>
  <c r="L175" i="7"/>
  <c r="W175" i="7"/>
  <c r="W171" i="7"/>
  <c r="B170" i="7"/>
  <c r="E170" i="7" s="1"/>
  <c r="J171" i="7"/>
  <c r="J169" i="7"/>
  <c r="W169" i="7"/>
  <c r="H167" i="7"/>
  <c r="W168" i="7"/>
  <c r="L167" i="7"/>
  <c r="H168" i="7"/>
  <c r="L166" i="7"/>
  <c r="W166" i="7"/>
  <c r="J164" i="7"/>
  <c r="J163" i="7"/>
  <c r="H164" i="7"/>
  <c r="W164" i="7"/>
  <c r="C160" i="22"/>
  <c r="S178" i="22"/>
  <c r="U178" i="22"/>
  <c r="U179" i="22"/>
  <c r="T179" i="22"/>
  <c r="S179" i="22"/>
  <c r="W179" i="22" s="1"/>
  <c r="B192" i="22"/>
  <c r="B164" i="22"/>
  <c r="S185" i="22"/>
  <c r="U141" i="22"/>
  <c r="S145" i="22"/>
  <c r="U157" i="22"/>
  <c r="S169" i="22"/>
  <c r="U145" i="22"/>
  <c r="U185" i="22"/>
  <c r="N16" i="23"/>
  <c r="B133" i="23"/>
  <c r="E133" i="23"/>
  <c r="L176" i="23"/>
  <c r="J176" i="23"/>
  <c r="H176" i="23"/>
  <c r="N31" i="23"/>
  <c r="N47" i="23"/>
  <c r="B148" i="23"/>
  <c r="E148" i="23"/>
  <c r="T162" i="23"/>
  <c r="S162" i="23"/>
  <c r="B164" i="23"/>
  <c r="N79" i="23"/>
  <c r="L166" i="23"/>
  <c r="J166" i="23"/>
  <c r="H166" i="23"/>
  <c r="N166" i="23"/>
  <c r="J167" i="23"/>
  <c r="N167" i="23" s="1"/>
  <c r="H167" i="23"/>
  <c r="E134" i="23"/>
  <c r="L138" i="23"/>
  <c r="J138" i="23"/>
  <c r="H138" i="23"/>
  <c r="N138" i="23" s="1"/>
  <c r="N28" i="23"/>
  <c r="B155" i="23"/>
  <c r="E155" i="23" s="1"/>
  <c r="N61" i="23"/>
  <c r="N97" i="23"/>
  <c r="B173" i="23"/>
  <c r="U162" i="23"/>
  <c r="U132" i="23"/>
  <c r="T132" i="23"/>
  <c r="W132" i="23" s="1"/>
  <c r="E141" i="23"/>
  <c r="L146" i="23"/>
  <c r="J146" i="23"/>
  <c r="N63" i="23"/>
  <c r="B156" i="23"/>
  <c r="E156" i="23" s="1"/>
  <c r="N99" i="23"/>
  <c r="B174" i="23"/>
  <c r="U179" i="23"/>
  <c r="T179" i="23"/>
  <c r="L180" i="23"/>
  <c r="J180" i="23"/>
  <c r="N180" i="23" s="1"/>
  <c r="H180" i="23"/>
  <c r="N113" i="23"/>
  <c r="L133" i="23"/>
  <c r="B140" i="23"/>
  <c r="E140" i="23" s="1"/>
  <c r="B150" i="23"/>
  <c r="E152" i="23"/>
  <c r="B159" i="23"/>
  <c r="B136" i="23"/>
  <c r="E136" i="23" s="1"/>
  <c r="N22" i="23"/>
  <c r="B143" i="23"/>
  <c r="E143" i="23" s="1"/>
  <c r="N44" i="23"/>
  <c r="J147" i="23"/>
  <c r="H147" i="23"/>
  <c r="C156" i="23"/>
  <c r="N94" i="23"/>
  <c r="L172" i="23"/>
  <c r="D173" i="23"/>
  <c r="C174" i="23"/>
  <c r="B180" i="23"/>
  <c r="E180" i="23"/>
  <c r="N112" i="23"/>
  <c r="C135" i="23"/>
  <c r="D164" i="23"/>
  <c r="B167" i="23"/>
  <c r="B142" i="23"/>
  <c r="E142" i="23"/>
  <c r="D148" i="23"/>
  <c r="B161" i="23"/>
  <c r="N73" i="23"/>
  <c r="B165" i="23"/>
  <c r="C168" i="23"/>
  <c r="B137" i="23"/>
  <c r="E137" i="23" s="1"/>
  <c r="N24" i="23"/>
  <c r="L154" i="23"/>
  <c r="J154" i="23"/>
  <c r="N154" i="23"/>
  <c r="J155" i="23"/>
  <c r="N155" i="23" s="1"/>
  <c r="D156" i="23"/>
  <c r="L160" i="23"/>
  <c r="J160" i="23"/>
  <c r="D161" i="23"/>
  <c r="N91" i="23"/>
  <c r="B170" i="23"/>
  <c r="U172" i="23"/>
  <c r="T172" i="23"/>
  <c r="S172" i="23"/>
  <c r="W172" i="23"/>
  <c r="J173" i="23"/>
  <c r="H146" i="23"/>
  <c r="N146" i="23" s="1"/>
  <c r="H153" i="23"/>
  <c r="D172" i="23"/>
  <c r="L157" i="23"/>
  <c r="J157" i="23"/>
  <c r="H157" i="23"/>
  <c r="N66" i="23"/>
  <c r="B157" i="23"/>
  <c r="N77" i="23"/>
  <c r="H133" i="23"/>
  <c r="N76" i="23"/>
  <c r="B162" i="23"/>
  <c r="J163" i="23"/>
  <c r="L163" i="23"/>
  <c r="H163" i="23"/>
  <c r="N163" i="23" s="1"/>
  <c r="N8" i="23"/>
  <c r="B132" i="23"/>
  <c r="E132" i="23" s="1"/>
  <c r="N19" i="23"/>
  <c r="J135" i="23"/>
  <c r="L135" i="23"/>
  <c r="B138" i="23"/>
  <c r="U143" i="23"/>
  <c r="T143" i="23"/>
  <c r="W143" i="23"/>
  <c r="N39" i="23"/>
  <c r="C145" i="23"/>
  <c r="N55" i="23"/>
  <c r="N56" i="23"/>
  <c r="T160" i="23"/>
  <c r="U160" i="23"/>
  <c r="S160" i="23"/>
  <c r="T168" i="23"/>
  <c r="U168" i="23"/>
  <c r="S168" i="23"/>
  <c r="N89" i="23"/>
  <c r="B172" i="23"/>
  <c r="E172" i="23"/>
  <c r="B177" i="23"/>
  <c r="E177" i="23" s="1"/>
  <c r="N105" i="23"/>
  <c r="B130" i="23"/>
  <c r="J132" i="23"/>
  <c r="N132" i="23" s="1"/>
  <c r="N134" i="23"/>
  <c r="H135" i="23"/>
  <c r="N135" i="23" s="1"/>
  <c r="E144" i="23"/>
  <c r="J153" i="23"/>
  <c r="D160" i="23"/>
  <c r="E160" i="23" s="1"/>
  <c r="H168" i="23"/>
  <c r="H172" i="23"/>
  <c r="N172" i="23" s="1"/>
  <c r="L179" i="23"/>
  <c r="B175" i="23"/>
  <c r="L139" i="23"/>
  <c r="J139" i="23"/>
  <c r="H139" i="23"/>
  <c r="N139" i="23"/>
  <c r="N45" i="23"/>
  <c r="C162" i="23"/>
  <c r="E162" i="23" s="1"/>
  <c r="L167" i="23"/>
  <c r="N177" i="23"/>
  <c r="D130" i="23"/>
  <c r="E130" i="23" s="1"/>
  <c r="C131" i="23"/>
  <c r="C132" i="23"/>
  <c r="U135" i="23"/>
  <c r="T135" i="23"/>
  <c r="S135" i="23"/>
  <c r="W135" i="23" s="1"/>
  <c r="N33" i="23"/>
  <c r="L142" i="23"/>
  <c r="N142" i="23" s="1"/>
  <c r="J142" i="23"/>
  <c r="N36" i="23"/>
  <c r="N50" i="23"/>
  <c r="L150" i="23"/>
  <c r="N150" i="23" s="1"/>
  <c r="J150" i="23"/>
  <c r="H150" i="23"/>
  <c r="N53" i="23"/>
  <c r="D162" i="23"/>
  <c r="J165" i="23"/>
  <c r="H165" i="23"/>
  <c r="N165" i="23"/>
  <c r="B168" i="23"/>
  <c r="E168" i="23" s="1"/>
  <c r="N88" i="23"/>
  <c r="J169" i="23"/>
  <c r="H169" i="23"/>
  <c r="L175" i="23"/>
  <c r="J175" i="23"/>
  <c r="H175" i="23"/>
  <c r="N175" i="23" s="1"/>
  <c r="W130" i="23"/>
  <c r="L132" i="23"/>
  <c r="H160" i="23"/>
  <c r="L169" i="23"/>
  <c r="S179" i="23"/>
  <c r="W179" i="23"/>
  <c r="C137" i="23"/>
  <c r="L144" i="23"/>
  <c r="J144" i="23"/>
  <c r="L158" i="23"/>
  <c r="J158" i="23"/>
  <c r="B131" i="23"/>
  <c r="E131" i="23"/>
  <c r="J181" i="23"/>
  <c r="N181" i="23" s="1"/>
  <c r="L136" i="23"/>
  <c r="J136" i="23"/>
  <c r="N136" i="23"/>
  <c r="D137" i="23"/>
  <c r="C141" i="23"/>
  <c r="L148" i="23"/>
  <c r="J148" i="23"/>
  <c r="N148" i="23" s="1"/>
  <c r="C149" i="23"/>
  <c r="D159" i="23"/>
  <c r="N90" i="23"/>
  <c r="L170" i="23"/>
  <c r="J170" i="23"/>
  <c r="C171" i="23"/>
  <c r="N104" i="23"/>
  <c r="C179" i="23"/>
  <c r="H129" i="23"/>
  <c r="T133" i="23"/>
  <c r="W133" i="23"/>
  <c r="W134" i="23"/>
  <c r="W140" i="23"/>
  <c r="H149" i="23"/>
  <c r="N149" i="23" s="1"/>
  <c r="L151" i="23"/>
  <c r="S152" i="23"/>
  <c r="D145" i="23"/>
  <c r="C159" i="23"/>
  <c r="E159" i="23" s="1"/>
  <c r="U163" i="23"/>
  <c r="T163" i="23"/>
  <c r="D167" i="23"/>
  <c r="B149" i="23"/>
  <c r="C166" i="23"/>
  <c r="L140" i="23"/>
  <c r="J140" i="23"/>
  <c r="N140" i="23"/>
  <c r="D141" i="23"/>
  <c r="D149" i="23"/>
  <c r="E149" i="23" s="1"/>
  <c r="L152" i="23"/>
  <c r="N152" i="23" s="1"/>
  <c r="J152" i="23"/>
  <c r="C153" i="23"/>
  <c r="U161" i="23"/>
  <c r="T161" i="23"/>
  <c r="W161" i="23" s="1"/>
  <c r="L164" i="23"/>
  <c r="J164" i="23"/>
  <c r="C165" i="23"/>
  <c r="U167" i="23"/>
  <c r="T167" i="23"/>
  <c r="D171" i="23"/>
  <c r="N107" i="23"/>
  <c r="D179" i="23"/>
  <c r="E179" i="23" s="1"/>
  <c r="J129" i="23"/>
  <c r="N129" i="23" s="1"/>
  <c r="H130" i="23"/>
  <c r="N130" i="23"/>
  <c r="H144" i="23"/>
  <c r="N144" i="23"/>
  <c r="J149" i="23"/>
  <c r="T152" i="23"/>
  <c r="H158" i="23"/>
  <c r="N158" i="23" s="1"/>
  <c r="S163" i="23"/>
  <c r="S167" i="23"/>
  <c r="H170" i="23"/>
  <c r="N170" i="23" s="1"/>
  <c r="B179" i="23"/>
  <c r="U139" i="23"/>
  <c r="T139" i="23"/>
  <c r="N18" i="23"/>
  <c r="N32" i="23"/>
  <c r="U145" i="23"/>
  <c r="T145" i="23"/>
  <c r="W145" i="23" s="1"/>
  <c r="D153" i="23"/>
  <c r="E153" i="23" s="1"/>
  <c r="L156" i="23"/>
  <c r="J156" i="23"/>
  <c r="C157" i="23"/>
  <c r="N96" i="23"/>
  <c r="N98" i="23"/>
  <c r="L174" i="23"/>
  <c r="J174" i="23"/>
  <c r="C175" i="23"/>
  <c r="L178" i="23"/>
  <c r="N111" i="23"/>
  <c r="J130" i="23"/>
  <c r="H131" i="23"/>
  <c r="H137" i="23"/>
  <c r="H143" i="23"/>
  <c r="W144" i="23"/>
  <c r="W150" i="23"/>
  <c r="H155" i="23"/>
  <c r="S158" i="23"/>
  <c r="H161" i="23"/>
  <c r="N161" i="23" s="1"/>
  <c r="S166" i="23"/>
  <c r="W166" i="23"/>
  <c r="S170" i="23"/>
  <c r="H173" i="23"/>
  <c r="S174" i="23"/>
  <c r="H179" i="23"/>
  <c r="N179" i="23"/>
  <c r="W180" i="23"/>
  <c r="C139" i="23"/>
  <c r="E139" i="23" s="1"/>
  <c r="U159" i="23"/>
  <c r="T159" i="23"/>
  <c r="L162" i="23"/>
  <c r="J162" i="23"/>
  <c r="N162" i="23" s="1"/>
  <c r="C163" i="23"/>
  <c r="L168" i="23"/>
  <c r="U171" i="23"/>
  <c r="T171" i="23"/>
  <c r="W171" i="23" s="1"/>
  <c r="N108" i="23"/>
  <c r="W129" i="23"/>
  <c r="S139" i="23"/>
  <c r="W139" i="23" s="1"/>
  <c r="H148" i="23"/>
  <c r="H156" i="23"/>
  <c r="T165" i="23"/>
  <c r="W165" i="23"/>
  <c r="J168" i="23"/>
  <c r="T169" i="23"/>
  <c r="J172" i="23"/>
  <c r="T173" i="23"/>
  <c r="W173" i="23" s="1"/>
  <c r="J178" i="23"/>
  <c r="N178" i="23" s="1"/>
  <c r="L142" i="24"/>
  <c r="H142" i="24"/>
  <c r="N14" i="24"/>
  <c r="C131" i="24"/>
  <c r="L132" i="24"/>
  <c r="J132" i="24"/>
  <c r="N132" i="24" s="1"/>
  <c r="L137" i="24"/>
  <c r="J137" i="24"/>
  <c r="H137" i="24"/>
  <c r="J140" i="24"/>
  <c r="N140" i="24" s="1"/>
  <c r="L140" i="24"/>
  <c r="H140" i="24"/>
  <c r="L131" i="24"/>
  <c r="J131" i="24"/>
  <c r="H131" i="24"/>
  <c r="C132" i="24"/>
  <c r="N16" i="24"/>
  <c r="B135" i="24"/>
  <c r="E135" i="24" s="1"/>
  <c r="N22" i="24"/>
  <c r="J142" i="24"/>
  <c r="L151" i="24"/>
  <c r="J151" i="24"/>
  <c r="H151" i="24"/>
  <c r="N107" i="24"/>
  <c r="B177" i="24"/>
  <c r="E177" i="24"/>
  <c r="C139" i="24"/>
  <c r="N31" i="24"/>
  <c r="H160" i="24"/>
  <c r="L160" i="24"/>
  <c r="N76" i="24"/>
  <c r="B162" i="24"/>
  <c r="E162" i="24"/>
  <c r="N79" i="24"/>
  <c r="B163" i="24"/>
  <c r="C149" i="24"/>
  <c r="E149" i="24"/>
  <c r="W169" i="24"/>
  <c r="B128" i="24"/>
  <c r="N8" i="24"/>
  <c r="L133" i="24"/>
  <c r="J133" i="24"/>
  <c r="H133" i="24"/>
  <c r="N100" i="24"/>
  <c r="B174" i="24"/>
  <c r="D135" i="24"/>
  <c r="N10" i="24"/>
  <c r="B129" i="24"/>
  <c r="E129" i="24"/>
  <c r="B133" i="24"/>
  <c r="E133" i="24"/>
  <c r="N19" i="24"/>
  <c r="B139" i="24"/>
  <c r="E139" i="24" s="1"/>
  <c r="N30" i="24"/>
  <c r="L144" i="24"/>
  <c r="J144" i="24"/>
  <c r="H144" i="24"/>
  <c r="N144" i="24" s="1"/>
  <c r="C158" i="24"/>
  <c r="E158" i="24" s="1"/>
  <c r="N68" i="24"/>
  <c r="L172" i="24"/>
  <c r="J172" i="24"/>
  <c r="C159" i="24"/>
  <c r="B171" i="24"/>
  <c r="E171" i="24" s="1"/>
  <c r="B142" i="24"/>
  <c r="E142" i="24"/>
  <c r="N36" i="24"/>
  <c r="B170" i="24"/>
  <c r="N92" i="24"/>
  <c r="N58" i="24"/>
  <c r="B153" i="24"/>
  <c r="N34" i="24"/>
  <c r="H150" i="24"/>
  <c r="N150" i="24"/>
  <c r="L150" i="24"/>
  <c r="D179" i="24"/>
  <c r="N110" i="24"/>
  <c r="L130" i="24"/>
  <c r="J130" i="24"/>
  <c r="H130" i="24"/>
  <c r="N130" i="24"/>
  <c r="D128" i="24"/>
  <c r="E128" i="24" s="1"/>
  <c r="N17" i="24"/>
  <c r="C138" i="24"/>
  <c r="N28" i="24"/>
  <c r="L157" i="24"/>
  <c r="J157" i="24"/>
  <c r="H157" i="24"/>
  <c r="L161" i="24"/>
  <c r="J161" i="24"/>
  <c r="N161" i="24" s="1"/>
  <c r="H161" i="24"/>
  <c r="N112" i="24"/>
  <c r="B180" i="24"/>
  <c r="E180" i="24"/>
  <c r="C147" i="24"/>
  <c r="J148" i="24"/>
  <c r="N148" i="24" s="1"/>
  <c r="B165" i="24"/>
  <c r="H166" i="24"/>
  <c r="T169" i="24"/>
  <c r="D173" i="24"/>
  <c r="H180" i="24"/>
  <c r="L141" i="24"/>
  <c r="J141" i="24"/>
  <c r="H141" i="24"/>
  <c r="E148" i="24"/>
  <c r="N70" i="24"/>
  <c r="D166" i="24"/>
  <c r="E166" i="24" s="1"/>
  <c r="L169" i="24"/>
  <c r="J169" i="24"/>
  <c r="H169" i="24"/>
  <c r="N169" i="24"/>
  <c r="D170" i="24"/>
  <c r="N109" i="24"/>
  <c r="L179" i="24"/>
  <c r="J179" i="24"/>
  <c r="H179" i="24"/>
  <c r="N179" i="24" s="1"/>
  <c r="H128" i="24"/>
  <c r="N128" i="24"/>
  <c r="S135" i="24"/>
  <c r="W135" i="24"/>
  <c r="D147" i="24"/>
  <c r="S151" i="24"/>
  <c r="H164" i="24"/>
  <c r="J166" i="24"/>
  <c r="U169" i="24"/>
  <c r="H178" i="24"/>
  <c r="J180" i="24"/>
  <c r="N180" i="24" s="1"/>
  <c r="B136" i="24"/>
  <c r="E136" i="24" s="1"/>
  <c r="B176" i="24"/>
  <c r="N104" i="24"/>
  <c r="J128" i="24"/>
  <c r="T135" i="24"/>
  <c r="B141" i="24"/>
  <c r="E141" i="24"/>
  <c r="C143" i="24"/>
  <c r="B157" i="24"/>
  <c r="E157" i="24" s="1"/>
  <c r="H158" i="24"/>
  <c r="J164" i="24"/>
  <c r="H176" i="24"/>
  <c r="J178" i="24"/>
  <c r="D132" i="24"/>
  <c r="E132" i="24" s="1"/>
  <c r="L135" i="24"/>
  <c r="J135" i="24"/>
  <c r="N135" i="24" s="1"/>
  <c r="H135" i="24"/>
  <c r="C136" i="24"/>
  <c r="B140" i="24"/>
  <c r="E140" i="24"/>
  <c r="L147" i="24"/>
  <c r="J147" i="24"/>
  <c r="H147" i="24"/>
  <c r="N50" i="24"/>
  <c r="B160" i="24"/>
  <c r="E160" i="24"/>
  <c r="E164" i="24"/>
  <c r="B172" i="24"/>
  <c r="U174" i="24"/>
  <c r="T174" i="24"/>
  <c r="S174" i="24"/>
  <c r="N102" i="24"/>
  <c r="S147" i="24"/>
  <c r="U151" i="24"/>
  <c r="H156" i="24"/>
  <c r="N156" i="24" s="1"/>
  <c r="J158" i="24"/>
  <c r="D163" i="24"/>
  <c r="E163" i="24" s="1"/>
  <c r="B169" i="24"/>
  <c r="H170" i="24"/>
  <c r="N170" i="24"/>
  <c r="S171" i="24"/>
  <c r="C175" i="24"/>
  <c r="E175" i="24" s="1"/>
  <c r="J176" i="24"/>
  <c r="N62" i="24"/>
  <c r="N86" i="24"/>
  <c r="L175" i="24"/>
  <c r="J175" i="24"/>
  <c r="H175" i="24"/>
  <c r="H154" i="24"/>
  <c r="J156" i="24"/>
  <c r="C130" i="24"/>
  <c r="E130" i="24"/>
  <c r="B134" i="24"/>
  <c r="E134" i="24"/>
  <c r="N24" i="24"/>
  <c r="D140" i="24"/>
  <c r="L143" i="24"/>
  <c r="J143" i="24"/>
  <c r="H143" i="24"/>
  <c r="N42" i="24"/>
  <c r="C150" i="24"/>
  <c r="L155" i="24"/>
  <c r="J155" i="24"/>
  <c r="H155" i="24"/>
  <c r="C156" i="24"/>
  <c r="L163" i="24"/>
  <c r="J163" i="24"/>
  <c r="H163" i="24"/>
  <c r="N163" i="24" s="1"/>
  <c r="C168" i="24"/>
  <c r="L171" i="24"/>
  <c r="C178" i="24"/>
  <c r="E178" i="24"/>
  <c r="H136" i="24"/>
  <c r="N136" i="24" s="1"/>
  <c r="J138" i="24"/>
  <c r="S143" i="24"/>
  <c r="U147" i="24"/>
  <c r="B151" i="24"/>
  <c r="H152" i="24"/>
  <c r="C153" i="24"/>
  <c r="J154" i="24"/>
  <c r="S163" i="24"/>
  <c r="W163" i="24"/>
  <c r="D169" i="24"/>
  <c r="L139" i="24"/>
  <c r="J139" i="24"/>
  <c r="N139" i="24" s="1"/>
  <c r="H139" i="24"/>
  <c r="N48" i="24"/>
  <c r="N64" i="24"/>
  <c r="B156" i="24"/>
  <c r="U166" i="24"/>
  <c r="T166" i="24"/>
  <c r="W166" i="24" s="1"/>
  <c r="S166" i="24"/>
  <c r="N88" i="24"/>
  <c r="B168" i="24"/>
  <c r="D176" i="24"/>
  <c r="E176" i="24" s="1"/>
  <c r="H138" i="24"/>
  <c r="N138" i="24" s="1"/>
  <c r="L129" i="24"/>
  <c r="J129" i="24"/>
  <c r="N129" i="24" s="1"/>
  <c r="H129" i="24"/>
  <c r="E138" i="24"/>
  <c r="N32" i="24"/>
  <c r="N44" i="24"/>
  <c r="B146" i="24"/>
  <c r="D150" i="24"/>
  <c r="E150" i="24" s="1"/>
  <c r="B152" i="24"/>
  <c r="E152" i="24" s="1"/>
  <c r="N56" i="24"/>
  <c r="D156" i="24"/>
  <c r="N80" i="24"/>
  <c r="D168" i="24"/>
  <c r="B159" i="24"/>
  <c r="E159" i="24" s="1"/>
  <c r="H145" i="24"/>
  <c r="N145" i="24" s="1"/>
  <c r="H149" i="24"/>
  <c r="B150" i="24"/>
  <c r="H153" i="24"/>
  <c r="S158" i="24"/>
  <c r="H159" i="24"/>
  <c r="S162" i="24"/>
  <c r="W162" i="24" s="1"/>
  <c r="H165" i="24"/>
  <c r="H167" i="24"/>
  <c r="N167" i="24"/>
  <c r="S170" i="24"/>
  <c r="H171" i="24"/>
  <c r="N171" i="24" s="1"/>
  <c r="H173" i="24"/>
  <c r="H177" i="24"/>
  <c r="J145" i="24"/>
  <c r="J149" i="24"/>
  <c r="J153" i="24"/>
  <c r="T158" i="24"/>
  <c r="J159" i="24"/>
  <c r="T162" i="24"/>
  <c r="J165" i="24"/>
  <c r="J167" i="24"/>
  <c r="T170" i="24"/>
  <c r="J171" i="24"/>
  <c r="J173" i="24"/>
  <c r="J177" i="24"/>
  <c r="B132" i="25"/>
  <c r="E132" i="25" s="1"/>
  <c r="L153" i="25"/>
  <c r="J153" i="25"/>
  <c r="H153" i="25"/>
  <c r="N14" i="25"/>
  <c r="L160" i="25"/>
  <c r="J160" i="25"/>
  <c r="H160" i="25"/>
  <c r="N160" i="25" s="1"/>
  <c r="N69" i="25"/>
  <c r="B153" i="25"/>
  <c r="S159" i="25"/>
  <c r="W159" i="25" s="1"/>
  <c r="B167" i="25"/>
  <c r="E167" i="25"/>
  <c r="T137" i="25"/>
  <c r="U137" i="25"/>
  <c r="L143" i="25"/>
  <c r="N143" i="25" s="1"/>
  <c r="J143" i="25"/>
  <c r="H143" i="25"/>
  <c r="T149" i="25"/>
  <c r="U149" i="25"/>
  <c r="N52" i="25"/>
  <c r="S137" i="25"/>
  <c r="D149" i="25"/>
  <c r="T159" i="25"/>
  <c r="N22" i="25"/>
  <c r="D139" i="25"/>
  <c r="N39" i="25"/>
  <c r="N42" i="25"/>
  <c r="B145" i="25"/>
  <c r="J150" i="25"/>
  <c r="H150" i="25"/>
  <c r="N150" i="25" s="1"/>
  <c r="N63" i="25"/>
  <c r="L156" i="25"/>
  <c r="J156" i="25"/>
  <c r="H156" i="25"/>
  <c r="D157" i="25"/>
  <c r="U162" i="25"/>
  <c r="T162" i="25"/>
  <c r="S162" i="25"/>
  <c r="N78" i="25"/>
  <c r="B164" i="25"/>
  <c r="N80" i="25"/>
  <c r="L166" i="25"/>
  <c r="N100" i="25"/>
  <c r="B177" i="25"/>
  <c r="E177" i="25"/>
  <c r="N107" i="25"/>
  <c r="L178" i="25"/>
  <c r="J178" i="25"/>
  <c r="H178" i="25"/>
  <c r="H130" i="25"/>
  <c r="N130" i="25"/>
  <c r="B157" i="25"/>
  <c r="H168" i="25"/>
  <c r="B136" i="25"/>
  <c r="N24" i="25"/>
  <c r="C145" i="25"/>
  <c r="D151" i="25"/>
  <c r="E151" i="25" s="1"/>
  <c r="U156" i="25"/>
  <c r="W156" i="25" s="1"/>
  <c r="T156" i="25"/>
  <c r="S156" i="25"/>
  <c r="L163" i="25"/>
  <c r="J163" i="25"/>
  <c r="H163" i="25"/>
  <c r="N163" i="25" s="1"/>
  <c r="C164" i="25"/>
  <c r="B129" i="25"/>
  <c r="E129" i="25" s="1"/>
  <c r="J130" i="25"/>
  <c r="H144" i="25"/>
  <c r="S149" i="25"/>
  <c r="W149" i="25" s="1"/>
  <c r="H154" i="25"/>
  <c r="J168" i="25"/>
  <c r="N168" i="25" s="1"/>
  <c r="J170" i="25"/>
  <c r="N28" i="25"/>
  <c r="N44" i="25"/>
  <c r="U153" i="25"/>
  <c r="T153" i="25"/>
  <c r="S153" i="25"/>
  <c r="D153" i="25"/>
  <c r="L137" i="25"/>
  <c r="J137" i="25"/>
  <c r="H137" i="25"/>
  <c r="N137" i="25"/>
  <c r="S146" i="25"/>
  <c r="R44" i="25"/>
  <c r="C159" i="25"/>
  <c r="L165" i="25"/>
  <c r="J165" i="25"/>
  <c r="H165" i="25"/>
  <c r="N165" i="25"/>
  <c r="B128" i="25"/>
  <c r="C133" i="25"/>
  <c r="E133" i="25" s="1"/>
  <c r="J138" i="25"/>
  <c r="R41" i="25"/>
  <c r="N84" i="25"/>
  <c r="L133" i="25"/>
  <c r="J133" i="25"/>
  <c r="H133" i="25"/>
  <c r="N133" i="25"/>
  <c r="N20" i="25"/>
  <c r="B137" i="25"/>
  <c r="N31" i="25"/>
  <c r="J140" i="25"/>
  <c r="N140" i="25"/>
  <c r="L140" i="25"/>
  <c r="N34" i="25"/>
  <c r="B142" i="25"/>
  <c r="E142" i="25" s="1"/>
  <c r="N36" i="25"/>
  <c r="D145" i="25"/>
  <c r="N47" i="25"/>
  <c r="N48" i="25"/>
  <c r="B149" i="25"/>
  <c r="E149" i="25" s="1"/>
  <c r="N50" i="25"/>
  <c r="B154" i="25"/>
  <c r="E154" i="25"/>
  <c r="N60" i="25"/>
  <c r="D159" i="25"/>
  <c r="N74" i="25"/>
  <c r="B161" i="25"/>
  <c r="E161" i="25"/>
  <c r="B165" i="25"/>
  <c r="E165" i="25"/>
  <c r="N95" i="25"/>
  <c r="B171" i="25"/>
  <c r="L172" i="25"/>
  <c r="J172" i="25"/>
  <c r="H172" i="25"/>
  <c r="N172" i="25" s="1"/>
  <c r="L173" i="25"/>
  <c r="J173" i="25"/>
  <c r="N173" i="25" s="1"/>
  <c r="H173" i="25"/>
  <c r="B139" i="25"/>
  <c r="J154" i="25"/>
  <c r="L170" i="25"/>
  <c r="N170" i="25" s="1"/>
  <c r="B179" i="25"/>
  <c r="N40" i="25"/>
  <c r="B133" i="25"/>
  <c r="N19" i="25"/>
  <c r="H134" i="25"/>
  <c r="L134" i="25"/>
  <c r="J134" i="25"/>
  <c r="C137" i="25"/>
  <c r="S148" i="25"/>
  <c r="W148" i="25"/>
  <c r="R48" i="25"/>
  <c r="H148" i="25"/>
  <c r="C149" i="25"/>
  <c r="C165" i="25"/>
  <c r="B170" i="25"/>
  <c r="E170" i="25"/>
  <c r="N92" i="25"/>
  <c r="T173" i="25"/>
  <c r="S173" i="25"/>
  <c r="C173" i="25"/>
  <c r="B173" i="25"/>
  <c r="E173" i="25"/>
  <c r="J174" i="25"/>
  <c r="N174" i="25"/>
  <c r="C175" i="25"/>
  <c r="E141" i="25"/>
  <c r="E143" i="25"/>
  <c r="H158" i="25"/>
  <c r="C136" i="25"/>
  <c r="E136" i="25" s="1"/>
  <c r="D164" i="25"/>
  <c r="B176" i="25"/>
  <c r="N104" i="25"/>
  <c r="L135" i="25"/>
  <c r="J135" i="25"/>
  <c r="H135" i="25"/>
  <c r="D136" i="25"/>
  <c r="D142" i="25"/>
  <c r="U146" i="25"/>
  <c r="W146" i="25" s="1"/>
  <c r="T146" i="25"/>
  <c r="C152" i="25"/>
  <c r="L157" i="25"/>
  <c r="J157" i="25"/>
  <c r="H157" i="25"/>
  <c r="L161" i="25"/>
  <c r="J161" i="25"/>
  <c r="N161" i="25" s="1"/>
  <c r="H161" i="25"/>
  <c r="C162" i="25"/>
  <c r="U166" i="25"/>
  <c r="T166" i="25"/>
  <c r="S166" i="25"/>
  <c r="W166" i="25" s="1"/>
  <c r="U174" i="25"/>
  <c r="T174" i="25"/>
  <c r="S174" i="25"/>
  <c r="C180" i="25"/>
  <c r="H128" i="25"/>
  <c r="H162" i="25"/>
  <c r="S163" i="25"/>
  <c r="W163" i="25" s="1"/>
  <c r="H166" i="25"/>
  <c r="N166" i="25" s="1"/>
  <c r="S167" i="25"/>
  <c r="L174" i="25"/>
  <c r="L131" i="25"/>
  <c r="J131" i="25"/>
  <c r="H131" i="25"/>
  <c r="U150" i="25"/>
  <c r="T150" i="25"/>
  <c r="S150" i="25"/>
  <c r="D170" i="25"/>
  <c r="N112" i="25"/>
  <c r="B180" i="25"/>
  <c r="E180" i="25" s="1"/>
  <c r="U128" i="25"/>
  <c r="W128" i="25" s="1"/>
  <c r="T128" i="25"/>
  <c r="S128" i="25"/>
  <c r="B130" i="25"/>
  <c r="T138" i="25"/>
  <c r="S138" i="25"/>
  <c r="B140" i="25"/>
  <c r="E140" i="25"/>
  <c r="L151" i="25"/>
  <c r="J151" i="25"/>
  <c r="H151" i="25"/>
  <c r="N151" i="25" s="1"/>
  <c r="D152" i="25"/>
  <c r="U154" i="25"/>
  <c r="T154" i="25"/>
  <c r="S154" i="25"/>
  <c r="W154" i="25" s="1"/>
  <c r="B156" i="25"/>
  <c r="U158" i="25"/>
  <c r="T158" i="25"/>
  <c r="S158" i="25"/>
  <c r="W158" i="25"/>
  <c r="D162" i="25"/>
  <c r="B168" i="25"/>
  <c r="E168" i="25" s="1"/>
  <c r="U170" i="25"/>
  <c r="T170" i="25"/>
  <c r="S170" i="25"/>
  <c r="N102" i="25"/>
  <c r="D176" i="25"/>
  <c r="L179" i="25"/>
  <c r="D180" i="25"/>
  <c r="J128" i="25"/>
  <c r="S141" i="25"/>
  <c r="T147" i="25"/>
  <c r="B155" i="25"/>
  <c r="S157" i="25"/>
  <c r="B159" i="25"/>
  <c r="E159" i="25" s="1"/>
  <c r="J162" i="25"/>
  <c r="N162" i="25" s="1"/>
  <c r="T163" i="25"/>
  <c r="J166" i="25"/>
  <c r="T167" i="25"/>
  <c r="L141" i="25"/>
  <c r="J141" i="25"/>
  <c r="H141" i="25"/>
  <c r="B152" i="25"/>
  <c r="E152" i="25" s="1"/>
  <c r="C130" i="25"/>
  <c r="U132" i="25"/>
  <c r="T132" i="25"/>
  <c r="S132" i="25"/>
  <c r="B134" i="25"/>
  <c r="E134" i="25"/>
  <c r="C140" i="25"/>
  <c r="B144" i="25"/>
  <c r="E144" i="25" s="1"/>
  <c r="H145" i="25"/>
  <c r="N145" i="25" s="1"/>
  <c r="E146" i="25"/>
  <c r="L147" i="25"/>
  <c r="J147" i="25"/>
  <c r="H147" i="25"/>
  <c r="H149" i="25"/>
  <c r="B150" i="25"/>
  <c r="N56" i="25"/>
  <c r="C156" i="25"/>
  <c r="B158" i="25"/>
  <c r="B160" i="25"/>
  <c r="E160" i="25" s="1"/>
  <c r="U164" i="25"/>
  <c r="T164" i="25"/>
  <c r="W164" i="25" s="1"/>
  <c r="S164" i="25"/>
  <c r="L167" i="25"/>
  <c r="J167" i="25"/>
  <c r="H167" i="25"/>
  <c r="N167" i="25"/>
  <c r="C168" i="25"/>
  <c r="L171" i="25"/>
  <c r="J171" i="25"/>
  <c r="N171" i="25" s="1"/>
  <c r="H171" i="25"/>
  <c r="C172" i="25"/>
  <c r="N98" i="25"/>
  <c r="L175" i="25"/>
  <c r="J175" i="25"/>
  <c r="H175" i="25"/>
  <c r="B178" i="25"/>
  <c r="T141" i="25"/>
  <c r="T157" i="25"/>
  <c r="H176" i="25"/>
  <c r="N176" i="25" s="1"/>
  <c r="C142" i="25"/>
  <c r="U144" i="25"/>
  <c r="W144" i="25" s="1"/>
  <c r="T144" i="25"/>
  <c r="B162" i="25"/>
  <c r="L169" i="25"/>
  <c r="J169" i="25"/>
  <c r="H169" i="25"/>
  <c r="U178" i="25"/>
  <c r="T178" i="25"/>
  <c r="S178" i="25"/>
  <c r="L129" i="25"/>
  <c r="J129" i="25"/>
  <c r="H129" i="25"/>
  <c r="N129" i="25" s="1"/>
  <c r="U136" i="25"/>
  <c r="T136" i="25"/>
  <c r="S136" i="25"/>
  <c r="W136" i="25" s="1"/>
  <c r="L139" i="25"/>
  <c r="J139" i="25"/>
  <c r="H139" i="25"/>
  <c r="N139" i="25"/>
  <c r="C144" i="25"/>
  <c r="L145" i="25"/>
  <c r="J145" i="25"/>
  <c r="L149" i="25"/>
  <c r="J149" i="25"/>
  <c r="C150" i="25"/>
  <c r="L155" i="25"/>
  <c r="J155" i="25"/>
  <c r="H155" i="25"/>
  <c r="D156" i="25"/>
  <c r="L159" i="25"/>
  <c r="N159" i="25" s="1"/>
  <c r="J159" i="25"/>
  <c r="H159" i="25"/>
  <c r="E166" i="25"/>
  <c r="N103" i="25"/>
  <c r="C178" i="25"/>
  <c r="B174" i="25"/>
  <c r="E174" i="25"/>
  <c r="H177" i="25"/>
  <c r="N177" i="25" s="1"/>
  <c r="H179" i="25"/>
  <c r="N179" i="25" s="1"/>
  <c r="J177" i="25"/>
  <c r="J179" i="25"/>
  <c r="N70" i="26"/>
  <c r="L125" i="26"/>
  <c r="U128" i="26"/>
  <c r="T128" i="26"/>
  <c r="U136" i="26"/>
  <c r="T136" i="26"/>
  <c r="J121" i="26"/>
  <c r="N121" i="26" s="1"/>
  <c r="N48" i="26"/>
  <c r="N64" i="26"/>
  <c r="U121" i="26"/>
  <c r="N75" i="26"/>
  <c r="S136" i="26"/>
  <c r="H125" i="26"/>
  <c r="D123" i="26"/>
  <c r="L130" i="26"/>
  <c r="S131" i="26"/>
  <c r="J132" i="26"/>
  <c r="H132" i="26"/>
  <c r="B141" i="26"/>
  <c r="U124" i="26"/>
  <c r="U132" i="26"/>
  <c r="T132" i="26"/>
  <c r="W132" i="26" s="1"/>
  <c r="N52" i="26"/>
  <c r="B131" i="26"/>
  <c r="C112" i="26"/>
  <c r="E112" i="26"/>
  <c r="N59" i="26"/>
  <c r="L135" i="26"/>
  <c r="B126" i="26"/>
  <c r="T125" i="26"/>
  <c r="T127" i="26"/>
  <c r="T142" i="16"/>
  <c r="T139" i="16"/>
  <c r="H175" i="17"/>
  <c r="N106" i="17"/>
  <c r="B178" i="17"/>
  <c r="E178" i="17"/>
  <c r="U139" i="17"/>
  <c r="N15" i="17"/>
  <c r="B133" i="17"/>
  <c r="R60" i="17"/>
  <c r="L155" i="17" s="1"/>
  <c r="J155" i="17"/>
  <c r="J160" i="17"/>
  <c r="H160" i="17"/>
  <c r="N160" i="17"/>
  <c r="N82" i="17"/>
  <c r="L176" i="17"/>
  <c r="N176" i="17"/>
  <c r="J176" i="17"/>
  <c r="H176" i="17"/>
  <c r="L160" i="17"/>
  <c r="T165" i="17"/>
  <c r="W165" i="17"/>
  <c r="N10" i="17"/>
  <c r="N21" i="17"/>
  <c r="N47" i="17"/>
  <c r="N81" i="17"/>
  <c r="B165" i="17"/>
  <c r="J166" i="17"/>
  <c r="H166" i="17"/>
  <c r="D141" i="17"/>
  <c r="B159" i="17"/>
  <c r="N68" i="17"/>
  <c r="N78" i="17"/>
  <c r="U171" i="17"/>
  <c r="T171" i="17"/>
  <c r="W171" i="17"/>
  <c r="S171" i="17"/>
  <c r="N8" i="17"/>
  <c r="D131" i="17"/>
  <c r="B134" i="17"/>
  <c r="N17" i="17"/>
  <c r="R25" i="17"/>
  <c r="J138" i="17"/>
  <c r="C139" i="17"/>
  <c r="N31" i="17"/>
  <c r="U156" i="17"/>
  <c r="W156" i="17" s="1"/>
  <c r="S156" i="17"/>
  <c r="C159" i="17"/>
  <c r="L162" i="17"/>
  <c r="C164" i="17"/>
  <c r="T137" i="17"/>
  <c r="B150" i="17"/>
  <c r="E150" i="17"/>
  <c r="N49" i="17"/>
  <c r="B156" i="17"/>
  <c r="N62" i="17"/>
  <c r="L165" i="17"/>
  <c r="U142" i="17"/>
  <c r="S142" i="17"/>
  <c r="N35" i="17"/>
  <c r="J150" i="17"/>
  <c r="B154" i="17"/>
  <c r="N58" i="17"/>
  <c r="B158" i="17"/>
  <c r="E158" i="17"/>
  <c r="N66" i="17"/>
  <c r="B147" i="17"/>
  <c r="C131" i="17"/>
  <c r="L130" i="17"/>
  <c r="C133" i="17"/>
  <c r="D139" i="17"/>
  <c r="S141" i="17"/>
  <c r="W141" i="17" s="1"/>
  <c r="R31" i="17"/>
  <c r="L141" i="17"/>
  <c r="N38" i="17"/>
  <c r="J145" i="17"/>
  <c r="N145" i="17" s="1"/>
  <c r="H145" i="17"/>
  <c r="N41" i="17"/>
  <c r="N52" i="17"/>
  <c r="N63" i="17"/>
  <c r="L157" i="17"/>
  <c r="N157" i="17" s="1"/>
  <c r="J157" i="17"/>
  <c r="H157" i="17"/>
  <c r="L163" i="17"/>
  <c r="N90" i="17"/>
  <c r="H148" i="17"/>
  <c r="B139" i="17"/>
  <c r="E139" i="17"/>
  <c r="N27" i="17"/>
  <c r="L153" i="17"/>
  <c r="J153" i="17"/>
  <c r="H153" i="17"/>
  <c r="N153" i="17" s="1"/>
  <c r="B167" i="17"/>
  <c r="C135" i="17"/>
  <c r="E135" i="17"/>
  <c r="B140" i="17"/>
  <c r="E140" i="17" s="1"/>
  <c r="N29" i="17"/>
  <c r="U168" i="17"/>
  <c r="T168" i="17"/>
  <c r="S168" i="17"/>
  <c r="W168" i="17" s="1"/>
  <c r="N115" i="17"/>
  <c r="S139" i="17"/>
  <c r="W139" i="17" s="1"/>
  <c r="J148" i="17"/>
  <c r="T155" i="17"/>
  <c r="H150" i="17"/>
  <c r="N150" i="17" s="1"/>
  <c r="C154" i="17"/>
  <c r="E154" i="17" s="1"/>
  <c r="J132" i="17"/>
  <c r="N132" i="17" s="1"/>
  <c r="H132" i="17"/>
  <c r="D135" i="17"/>
  <c r="H137" i="17"/>
  <c r="S137" i="17"/>
  <c r="W137" i="17" s="1"/>
  <c r="R23" i="17"/>
  <c r="J137" i="17"/>
  <c r="L137" i="17"/>
  <c r="C140" i="17"/>
  <c r="B153" i="17"/>
  <c r="E153" i="17" s="1"/>
  <c r="D165" i="17"/>
  <c r="N87" i="17"/>
  <c r="H169" i="17"/>
  <c r="S136" i="17"/>
  <c r="W136" i="17" s="1"/>
  <c r="D150" i="17"/>
  <c r="B152" i="17"/>
  <c r="B155" i="17"/>
  <c r="B132" i="17"/>
  <c r="E132" i="17" s="1"/>
  <c r="T136" i="17"/>
  <c r="C138" i="17"/>
  <c r="E138" i="17" s="1"/>
  <c r="S140" i="17"/>
  <c r="W140" i="17"/>
  <c r="C142" i="17"/>
  <c r="R35" i="17"/>
  <c r="J143" i="17"/>
  <c r="C144" i="17"/>
  <c r="U146" i="17"/>
  <c r="T146" i="17"/>
  <c r="W146" i="17" s="1"/>
  <c r="S146" i="17"/>
  <c r="C152" i="17"/>
  <c r="D156" i="17"/>
  <c r="L167" i="17"/>
  <c r="J167" i="17"/>
  <c r="C168" i="17"/>
  <c r="U172" i="17"/>
  <c r="T172" i="17"/>
  <c r="S172" i="17"/>
  <c r="N96" i="17"/>
  <c r="L179" i="17"/>
  <c r="H179" i="17"/>
  <c r="N179" i="17" s="1"/>
  <c r="N114" i="17"/>
  <c r="S147" i="17"/>
  <c r="W147" i="17" s="1"/>
  <c r="B138" i="17"/>
  <c r="B142" i="17"/>
  <c r="E142" i="17"/>
  <c r="L149" i="17"/>
  <c r="J149" i="17"/>
  <c r="H149" i="17"/>
  <c r="N149" i="17" s="1"/>
  <c r="D154" i="17"/>
  <c r="U160" i="17"/>
  <c r="T160" i="17"/>
  <c r="W160" i="17" s="1"/>
  <c r="S160" i="17"/>
  <c r="D164" i="17"/>
  <c r="U166" i="17"/>
  <c r="T166" i="17"/>
  <c r="W166" i="17" s="1"/>
  <c r="S166" i="17"/>
  <c r="D170" i="17"/>
  <c r="B174" i="17"/>
  <c r="E174" i="17" s="1"/>
  <c r="C132" i="17"/>
  <c r="R21" i="17"/>
  <c r="D142" i="17"/>
  <c r="T142" i="17"/>
  <c r="W142" i="17" s="1"/>
  <c r="D144" i="17"/>
  <c r="B148" i="17"/>
  <c r="E148" i="17"/>
  <c r="D152" i="17"/>
  <c r="T154" i="17"/>
  <c r="W154" i="17"/>
  <c r="L161" i="17"/>
  <c r="J161" i="17"/>
  <c r="N161" i="17" s="1"/>
  <c r="H161" i="17"/>
  <c r="L173" i="17"/>
  <c r="J173" i="17"/>
  <c r="H173" i="17"/>
  <c r="N173" i="17"/>
  <c r="B176" i="17"/>
  <c r="E176" i="17"/>
  <c r="N109" i="17"/>
  <c r="C182" i="17"/>
  <c r="H144" i="17"/>
  <c r="T147" i="17"/>
  <c r="S163" i="17"/>
  <c r="S167" i="17"/>
  <c r="W167" i="17" s="1"/>
  <c r="B173" i="17"/>
  <c r="E173" i="17" s="1"/>
  <c r="B144" i="17"/>
  <c r="E144" i="17" s="1"/>
  <c r="C156" i="17"/>
  <c r="B168" i="17"/>
  <c r="D132" i="17"/>
  <c r="R20" i="17"/>
  <c r="H135" i="17" s="1"/>
  <c r="N25" i="17"/>
  <c r="R29" i="17"/>
  <c r="J140" i="17"/>
  <c r="N140" i="17" s="1"/>
  <c r="N33" i="17"/>
  <c r="R34" i="17"/>
  <c r="J142" i="17" s="1"/>
  <c r="N37" i="17"/>
  <c r="L147" i="17"/>
  <c r="J147" i="17"/>
  <c r="H147" i="17"/>
  <c r="C148" i="17"/>
  <c r="N51" i="17"/>
  <c r="N54" i="17"/>
  <c r="T156" i="17"/>
  <c r="L159" i="17"/>
  <c r="J159" i="17"/>
  <c r="H159" i="17"/>
  <c r="N159" i="17"/>
  <c r="B160" i="17"/>
  <c r="D162" i="17"/>
  <c r="U164" i="17"/>
  <c r="W164" i="17" s="1"/>
  <c r="T164" i="17"/>
  <c r="S164" i="17"/>
  <c r="B166" i="17"/>
  <c r="N86" i="17"/>
  <c r="U170" i="17"/>
  <c r="T170" i="17"/>
  <c r="S170" i="17"/>
  <c r="W170" i="17" s="1"/>
  <c r="L181" i="17"/>
  <c r="D182" i="17"/>
  <c r="T141" i="17"/>
  <c r="J144" i="17"/>
  <c r="H152" i="17"/>
  <c r="S161" i="17"/>
  <c r="T163" i="17"/>
  <c r="T167" i="17"/>
  <c r="E130" i="17"/>
  <c r="N12" i="17"/>
  <c r="S138" i="17"/>
  <c r="W138" i="17"/>
  <c r="R27" i="17"/>
  <c r="B146" i="17"/>
  <c r="R62" i="17"/>
  <c r="J156" i="17" s="1"/>
  <c r="C160" i="17"/>
  <c r="E160" i="17" s="1"/>
  <c r="B172" i="17"/>
  <c r="H177" i="17"/>
  <c r="N177" i="17" s="1"/>
  <c r="J177" i="17"/>
  <c r="N16" i="18"/>
  <c r="H134" i="18"/>
  <c r="J141" i="18"/>
  <c r="J134" i="18"/>
  <c r="N134" i="18"/>
  <c r="N13" i="18"/>
  <c r="L149" i="18"/>
  <c r="C158" i="18"/>
  <c r="H149" i="18"/>
  <c r="N149" i="18"/>
  <c r="D182" i="18"/>
  <c r="N111" i="18"/>
  <c r="N48" i="18"/>
  <c r="J183" i="18"/>
  <c r="U166" i="18"/>
  <c r="T166" i="18"/>
  <c r="S166" i="18"/>
  <c r="W166" i="18"/>
  <c r="L138" i="18"/>
  <c r="H162" i="18"/>
  <c r="B182" i="18"/>
  <c r="B138" i="18"/>
  <c r="T159" i="18"/>
  <c r="H132" i="18"/>
  <c r="E149" i="18"/>
  <c r="N68" i="18"/>
  <c r="U162" i="18"/>
  <c r="T162" i="18"/>
  <c r="D147" i="18"/>
  <c r="B181" i="18"/>
  <c r="C144" i="18"/>
  <c r="J143" i="18"/>
  <c r="C162" i="18"/>
  <c r="S161" i="18"/>
  <c r="W161" i="18"/>
  <c r="L151" i="18"/>
  <c r="J151" i="18"/>
  <c r="J136" i="18"/>
  <c r="T161" i="18"/>
  <c r="U132" i="18"/>
  <c r="W132" i="18" s="1"/>
  <c r="T132" i="18"/>
  <c r="U150" i="18"/>
  <c r="T150" i="18"/>
  <c r="W150" i="18"/>
  <c r="L148" i="18"/>
  <c r="D149" i="18"/>
  <c r="L155" i="18"/>
  <c r="S138" i="18"/>
  <c r="J144" i="18"/>
  <c r="J165" i="18"/>
  <c r="J173" i="18"/>
  <c r="T180" i="18"/>
  <c r="W180" i="18" s="1"/>
  <c r="J135" i="19"/>
  <c r="L135" i="19"/>
  <c r="N16" i="19"/>
  <c r="D145" i="19"/>
  <c r="R37" i="19"/>
  <c r="R41" i="19"/>
  <c r="L150" i="19"/>
  <c r="U150" i="19"/>
  <c r="N57" i="19"/>
  <c r="B177" i="19"/>
  <c r="E177" i="19" s="1"/>
  <c r="N100" i="19"/>
  <c r="U148" i="19"/>
  <c r="N13" i="19"/>
  <c r="N14" i="19"/>
  <c r="S137" i="19"/>
  <c r="W137" i="19" s="1"/>
  <c r="H137" i="19"/>
  <c r="N137" i="19" s="1"/>
  <c r="R16" i="19"/>
  <c r="E138" i="19"/>
  <c r="N24" i="19"/>
  <c r="N30" i="19"/>
  <c r="N32" i="19"/>
  <c r="D154" i="19"/>
  <c r="T154" i="19"/>
  <c r="W154" i="19" s="1"/>
  <c r="R51" i="19"/>
  <c r="N55" i="19"/>
  <c r="B156" i="19"/>
  <c r="E156" i="19"/>
  <c r="D167" i="19"/>
  <c r="N84" i="19"/>
  <c r="U171" i="19"/>
  <c r="W171" i="19"/>
  <c r="T171" i="19"/>
  <c r="S171" i="19"/>
  <c r="C140" i="19"/>
  <c r="E140" i="19"/>
  <c r="B139" i="19"/>
  <c r="N20" i="19"/>
  <c r="T148" i="19"/>
  <c r="W148" i="19" s="1"/>
  <c r="T150" i="19"/>
  <c r="N23" i="19"/>
  <c r="C135" i="19"/>
  <c r="U139" i="19"/>
  <c r="S139" i="19"/>
  <c r="R23" i="19"/>
  <c r="S140" i="19"/>
  <c r="W140" i="19" s="1"/>
  <c r="U147" i="19"/>
  <c r="W147" i="19" s="1"/>
  <c r="U149" i="19"/>
  <c r="W149" i="19" s="1"/>
  <c r="S158" i="19"/>
  <c r="W158" i="19"/>
  <c r="B135" i="19"/>
  <c r="E135" i="19"/>
  <c r="N12" i="19"/>
  <c r="T149" i="19"/>
  <c r="C162" i="19"/>
  <c r="E162" i="19" s="1"/>
  <c r="U167" i="19"/>
  <c r="T167" i="19"/>
  <c r="S167" i="19"/>
  <c r="W167" i="19" s="1"/>
  <c r="L167" i="19"/>
  <c r="H135" i="19"/>
  <c r="N135" i="19"/>
  <c r="E172" i="19"/>
  <c r="N8" i="19"/>
  <c r="N21" i="19"/>
  <c r="N45" i="19"/>
  <c r="T155" i="19"/>
  <c r="N61" i="19"/>
  <c r="N71" i="19"/>
  <c r="E181" i="19"/>
  <c r="S138" i="19"/>
  <c r="W138" i="19" s="1"/>
  <c r="J167" i="19"/>
  <c r="T133" i="19"/>
  <c r="E164" i="19"/>
  <c r="H134" i="19"/>
  <c r="S134" i="19"/>
  <c r="S141" i="19"/>
  <c r="W141" i="19" s="1"/>
  <c r="R24" i="19"/>
  <c r="L141" i="19"/>
  <c r="J143" i="19"/>
  <c r="S147" i="19"/>
  <c r="R36" i="19"/>
  <c r="J147" i="19"/>
  <c r="S149" i="19"/>
  <c r="R40" i="19"/>
  <c r="J149" i="19"/>
  <c r="B162" i="19"/>
  <c r="T134" i="19"/>
  <c r="L143" i="19"/>
  <c r="N143" i="19" s="1"/>
  <c r="T147" i="19"/>
  <c r="N79" i="19"/>
  <c r="L169" i="19"/>
  <c r="S133" i="19"/>
  <c r="W133" i="19"/>
  <c r="R8" i="19"/>
  <c r="B143" i="19"/>
  <c r="E143" i="19"/>
  <c r="N28" i="19"/>
  <c r="S148" i="19"/>
  <c r="R38" i="19"/>
  <c r="H148" i="19" s="1"/>
  <c r="R42" i="19"/>
  <c r="J150" i="19"/>
  <c r="R59" i="19"/>
  <c r="H158" i="19"/>
  <c r="U162" i="19"/>
  <c r="T162" i="19"/>
  <c r="W162" i="19"/>
  <c r="N103" i="19"/>
  <c r="U179" i="19"/>
  <c r="T179" i="19"/>
  <c r="S179" i="19"/>
  <c r="W179" i="19" s="1"/>
  <c r="T138" i="19"/>
  <c r="B178" i="19"/>
  <c r="T157" i="19"/>
  <c r="H176" i="19"/>
  <c r="B158" i="19"/>
  <c r="D135" i="19"/>
  <c r="T137" i="19"/>
  <c r="C139" i="19"/>
  <c r="E139" i="19" s="1"/>
  <c r="D143" i="19"/>
  <c r="T145" i="19"/>
  <c r="W145" i="19" s="1"/>
  <c r="E149" i="19"/>
  <c r="R46" i="19"/>
  <c r="J152" i="19" s="1"/>
  <c r="R50" i="19"/>
  <c r="B155" i="19"/>
  <c r="D159" i="19"/>
  <c r="L164" i="19"/>
  <c r="J164" i="19"/>
  <c r="D169" i="19"/>
  <c r="B171" i="19"/>
  <c r="D177" i="19"/>
  <c r="B179" i="19"/>
  <c r="E179" i="19" s="1"/>
  <c r="N117" i="19"/>
  <c r="D134" i="19"/>
  <c r="E134" i="19" s="1"/>
  <c r="D148" i="19"/>
  <c r="B170" i="19"/>
  <c r="E170" i="19" s="1"/>
  <c r="T174" i="19"/>
  <c r="W174" i="19" s="1"/>
  <c r="J160" i="19"/>
  <c r="U163" i="19"/>
  <c r="T163" i="19"/>
  <c r="W163" i="19" s="1"/>
  <c r="S163" i="19"/>
  <c r="D181" i="19"/>
  <c r="D139" i="19"/>
  <c r="R32" i="19"/>
  <c r="L145" i="19" s="1"/>
  <c r="C155" i="19"/>
  <c r="S155" i="19"/>
  <c r="W155" i="19" s="1"/>
  <c r="N73" i="19"/>
  <c r="C171" i="19"/>
  <c r="N93" i="19"/>
  <c r="C179" i="19"/>
  <c r="D183" i="19"/>
  <c r="C185" i="19"/>
  <c r="H143" i="19"/>
  <c r="D158" i="19"/>
  <c r="U174" i="19"/>
  <c r="B182" i="19"/>
  <c r="E182" i="19" s="1"/>
  <c r="D161" i="19"/>
  <c r="D173" i="19"/>
  <c r="W143" i="19"/>
  <c r="D155" i="19"/>
  <c r="E157" i="19"/>
  <c r="S159" i="19"/>
  <c r="W159" i="19" s="1"/>
  <c r="N67" i="19"/>
  <c r="B163" i="19"/>
  <c r="N72" i="19"/>
  <c r="N77" i="19"/>
  <c r="B167" i="19"/>
  <c r="D171" i="19"/>
  <c r="N90" i="19"/>
  <c r="L174" i="19"/>
  <c r="J174" i="19"/>
  <c r="N174" i="19" s="1"/>
  <c r="H174" i="19"/>
  <c r="D179" i="19"/>
  <c r="N109" i="19"/>
  <c r="L182" i="19"/>
  <c r="J182" i="19"/>
  <c r="N182" i="19" s="1"/>
  <c r="H182" i="19"/>
  <c r="N112" i="19"/>
  <c r="D185" i="19"/>
  <c r="S164" i="19"/>
  <c r="S178" i="19"/>
  <c r="W178" i="19"/>
  <c r="H181" i="19"/>
  <c r="C159" i="19"/>
  <c r="C133" i="19"/>
  <c r="E133" i="19" s="1"/>
  <c r="T135" i="19"/>
  <c r="W135" i="19" s="1"/>
  <c r="B137" i="19"/>
  <c r="E137" i="19" s="1"/>
  <c r="C141" i="19"/>
  <c r="E141" i="19"/>
  <c r="N26" i="19"/>
  <c r="T143" i="19"/>
  <c r="B145" i="19"/>
  <c r="E145" i="19" s="1"/>
  <c r="N36" i="19"/>
  <c r="N40" i="19"/>
  <c r="N52" i="19"/>
  <c r="C157" i="19"/>
  <c r="T159" i="19"/>
  <c r="L162" i="19"/>
  <c r="J162" i="19"/>
  <c r="C163" i="19"/>
  <c r="C167" i="19"/>
  <c r="E167" i="19" s="1"/>
  <c r="N85" i="19"/>
  <c r="N87" i="19"/>
  <c r="N104" i="19"/>
  <c r="N106" i="19"/>
  <c r="H178" i="19"/>
  <c r="N178" i="19"/>
  <c r="H180" i="19"/>
  <c r="N180" i="19" s="1"/>
  <c r="S183" i="19"/>
  <c r="J170" i="19"/>
  <c r="J178" i="19"/>
  <c r="J180" i="19"/>
  <c r="T183" i="19"/>
  <c r="U132" i="21"/>
  <c r="T132" i="21"/>
  <c r="S132" i="21"/>
  <c r="W132" i="21" s="1"/>
  <c r="H132" i="21"/>
  <c r="C135" i="21"/>
  <c r="J154" i="21"/>
  <c r="B179" i="21"/>
  <c r="B128" i="21"/>
  <c r="B133" i="21"/>
  <c r="E133" i="21" s="1"/>
  <c r="N82" i="21"/>
  <c r="C165" i="21"/>
  <c r="E142" i="21"/>
  <c r="N32" i="21"/>
  <c r="N37" i="21"/>
  <c r="B140" i="21"/>
  <c r="W155" i="21"/>
  <c r="J132" i="21"/>
  <c r="D133" i="21"/>
  <c r="N18" i="21"/>
  <c r="N23" i="21"/>
  <c r="H138" i="21"/>
  <c r="N138" i="21"/>
  <c r="H139" i="21"/>
  <c r="C142" i="21"/>
  <c r="N36" i="21"/>
  <c r="T171" i="21"/>
  <c r="E173" i="21"/>
  <c r="L143" i="21"/>
  <c r="N143" i="21" s="1"/>
  <c r="J143" i="21"/>
  <c r="C149" i="21"/>
  <c r="T161" i="21"/>
  <c r="L133" i="21"/>
  <c r="D134" i="21"/>
  <c r="N26" i="21"/>
  <c r="L140" i="21"/>
  <c r="D141" i="21"/>
  <c r="D148" i="21"/>
  <c r="D152" i="21"/>
  <c r="L155" i="21"/>
  <c r="J155" i="21"/>
  <c r="L165" i="21"/>
  <c r="C166" i="21"/>
  <c r="N108" i="21"/>
  <c r="J140" i="21"/>
  <c r="H151" i="21"/>
  <c r="L169" i="21"/>
  <c r="B146" i="21"/>
  <c r="W170" i="21"/>
  <c r="L134" i="21"/>
  <c r="L148" i="21"/>
  <c r="L156" i="21"/>
  <c r="L131" i="21"/>
  <c r="U152" i="21"/>
  <c r="T152" i="21"/>
  <c r="L180" i="21"/>
  <c r="T172" i="21"/>
  <c r="C128" i="21"/>
  <c r="D180" i="21"/>
  <c r="L135" i="21"/>
  <c r="J135" i="21"/>
  <c r="C136" i="21"/>
  <c r="L138" i="21"/>
  <c r="L142" i="21"/>
  <c r="L149" i="21"/>
  <c r="D150" i="21"/>
  <c r="D154" i="21"/>
  <c r="N65" i="21"/>
  <c r="H134" i="21"/>
  <c r="N134" i="21" s="1"/>
  <c r="S157" i="21"/>
  <c r="J141" i="21"/>
  <c r="L157" i="21"/>
  <c r="J157" i="21"/>
  <c r="N157" i="21"/>
  <c r="H136" i="21"/>
  <c r="D129" i="21"/>
  <c r="L132" i="21"/>
  <c r="U142" i="21"/>
  <c r="T142" i="21"/>
  <c r="L146" i="21"/>
  <c r="D147" i="21"/>
  <c r="L159" i="21"/>
  <c r="L163" i="21"/>
  <c r="J163" i="21"/>
  <c r="N85" i="21"/>
  <c r="L167" i="21"/>
  <c r="J167" i="21"/>
  <c r="N167" i="21" s="1"/>
  <c r="C168" i="21"/>
  <c r="N99" i="21"/>
  <c r="D177" i="21"/>
  <c r="H143" i="21"/>
  <c r="H153" i="21"/>
  <c r="T157" i="21"/>
  <c r="W157" i="21"/>
  <c r="H175" i="21"/>
  <c r="J165" i="21"/>
  <c r="T166" i="21"/>
  <c r="T170" i="21"/>
  <c r="J173" i="21"/>
  <c r="L161" i="9"/>
  <c r="J161" i="9"/>
  <c r="N161" i="9"/>
  <c r="J185" i="9"/>
  <c r="S195" i="9"/>
  <c r="U195" i="9"/>
  <c r="T195" i="9"/>
  <c r="B144" i="9"/>
  <c r="N33" i="9"/>
  <c r="B159" i="9"/>
  <c r="J183" i="9"/>
  <c r="T185" i="9"/>
  <c r="W185" i="9" s="1"/>
  <c r="S185" i="9"/>
  <c r="B172" i="9"/>
  <c r="N13" i="9"/>
  <c r="L150" i="9"/>
  <c r="J156" i="9"/>
  <c r="J166" i="9"/>
  <c r="N59" i="9"/>
  <c r="U174" i="9"/>
  <c r="S174" i="9"/>
  <c r="N110" i="9"/>
  <c r="H172" i="9"/>
  <c r="N172" i="9"/>
  <c r="H176" i="9"/>
  <c r="B168" i="9"/>
  <c r="N79" i="9"/>
  <c r="B155" i="9"/>
  <c r="E155" i="9"/>
  <c r="N31" i="9"/>
  <c r="B165" i="9"/>
  <c r="S170" i="9"/>
  <c r="R62" i="9"/>
  <c r="L170" i="9"/>
  <c r="U176" i="9"/>
  <c r="U181" i="9"/>
  <c r="T181" i="9"/>
  <c r="B153" i="9"/>
  <c r="B154" i="9"/>
  <c r="S181" i="9"/>
  <c r="W181" i="9"/>
  <c r="U192" i="9"/>
  <c r="T192" i="9"/>
  <c r="S192" i="9"/>
  <c r="W192" i="9" s="1"/>
  <c r="L172" i="9"/>
  <c r="B174" i="9"/>
  <c r="L163" i="9"/>
  <c r="H167" i="9"/>
  <c r="C179" i="9"/>
  <c r="H161" i="9"/>
  <c r="N11" i="9"/>
  <c r="C149" i="9"/>
  <c r="J153" i="9"/>
  <c r="N47" i="9"/>
  <c r="H164" i="9"/>
  <c r="U170" i="9"/>
  <c r="T170" i="9"/>
  <c r="N64" i="9"/>
  <c r="U194" i="9"/>
  <c r="T194" i="9"/>
  <c r="S194" i="9"/>
  <c r="W145" i="9"/>
  <c r="R78" i="9"/>
  <c r="B146" i="9"/>
  <c r="U148" i="9"/>
  <c r="T148" i="9"/>
  <c r="S148" i="9"/>
  <c r="W148" i="9" s="1"/>
  <c r="T156" i="9"/>
  <c r="S156" i="9"/>
  <c r="C162" i="9"/>
  <c r="U173" i="9"/>
  <c r="T173" i="9"/>
  <c r="S173" i="9"/>
  <c r="N81" i="9"/>
  <c r="H156" i="9"/>
  <c r="L149" i="9"/>
  <c r="J149" i="9"/>
  <c r="L157" i="9"/>
  <c r="D158" i="9"/>
  <c r="U160" i="9"/>
  <c r="W160" i="9" s="1"/>
  <c r="T160" i="9"/>
  <c r="U166" i="9"/>
  <c r="U168" i="9"/>
  <c r="T168" i="9"/>
  <c r="N120" i="9"/>
  <c r="H149" i="9"/>
  <c r="D148" i="9"/>
  <c r="U158" i="9"/>
  <c r="T158" i="9"/>
  <c r="U164" i="9"/>
  <c r="T164" i="9"/>
  <c r="J175" i="9"/>
  <c r="N175" i="9" s="1"/>
  <c r="T175" i="9"/>
  <c r="W175" i="9" s="1"/>
  <c r="T144" i="9"/>
  <c r="C152" i="9"/>
  <c r="U154" i="9"/>
  <c r="T154" i="9"/>
  <c r="C160" i="9"/>
  <c r="D172" i="9"/>
  <c r="S154" i="9"/>
  <c r="W154" i="9" s="1"/>
  <c r="C146" i="9"/>
  <c r="E146" i="9" s="1"/>
  <c r="C156" i="9"/>
  <c r="L159" i="9"/>
  <c r="U162" i="9"/>
  <c r="T162" i="9"/>
  <c r="W162" i="9" s="1"/>
  <c r="J165" i="9"/>
  <c r="D166" i="9"/>
  <c r="T182" i="9"/>
  <c r="H150" i="10"/>
  <c r="C153" i="10"/>
  <c r="J162" i="10"/>
  <c r="J138" i="11"/>
  <c r="L138" i="11"/>
  <c r="H138" i="11"/>
  <c r="L145" i="11"/>
  <c r="J145" i="11"/>
  <c r="H145" i="11"/>
  <c r="L159" i="11"/>
  <c r="J159" i="11"/>
  <c r="H159" i="11"/>
  <c r="N67" i="11"/>
  <c r="B161" i="11"/>
  <c r="N83" i="11"/>
  <c r="B169" i="11"/>
  <c r="J172" i="11"/>
  <c r="H172" i="11"/>
  <c r="N172" i="11" s="1"/>
  <c r="J176" i="11"/>
  <c r="H176" i="11"/>
  <c r="L139" i="11"/>
  <c r="J139" i="11"/>
  <c r="H139" i="11"/>
  <c r="N139" i="11" s="1"/>
  <c r="B142" i="11"/>
  <c r="E142" i="11"/>
  <c r="N28" i="11"/>
  <c r="L146" i="11"/>
  <c r="J146" i="11"/>
  <c r="H146" i="11"/>
  <c r="N146" i="11"/>
  <c r="L151" i="11"/>
  <c r="J151" i="11"/>
  <c r="H151" i="11"/>
  <c r="S159" i="11"/>
  <c r="D159" i="11"/>
  <c r="U167" i="11"/>
  <c r="T167" i="11"/>
  <c r="S167" i="11"/>
  <c r="W167" i="11" s="1"/>
  <c r="U176" i="11"/>
  <c r="T176" i="11"/>
  <c r="S176" i="11"/>
  <c r="N103" i="11"/>
  <c r="L142" i="11"/>
  <c r="N142" i="11"/>
  <c r="C135" i="11"/>
  <c r="E135" i="11" s="1"/>
  <c r="B136" i="11"/>
  <c r="E136" i="11"/>
  <c r="N16" i="11"/>
  <c r="T151" i="11"/>
  <c r="S151" i="11"/>
  <c r="W151" i="11" s="1"/>
  <c r="N55" i="11"/>
  <c r="C155" i="11"/>
  <c r="B157" i="11"/>
  <c r="E157" i="11" s="1"/>
  <c r="N59" i="11"/>
  <c r="B159" i="11"/>
  <c r="E159" i="11" s="1"/>
  <c r="D161" i="11"/>
  <c r="N80" i="11"/>
  <c r="J168" i="11"/>
  <c r="N168" i="11" s="1"/>
  <c r="H168" i="11"/>
  <c r="D169" i="11"/>
  <c r="J170" i="11"/>
  <c r="N170" i="11" s="1"/>
  <c r="H170" i="11"/>
  <c r="L173" i="11"/>
  <c r="J173" i="11"/>
  <c r="H173" i="11"/>
  <c r="T137" i="11"/>
  <c r="L148" i="11"/>
  <c r="J148" i="11"/>
  <c r="N148" i="11" s="1"/>
  <c r="H148" i="11"/>
  <c r="E151" i="11"/>
  <c r="L161" i="11"/>
  <c r="J161" i="11"/>
  <c r="H161" i="11"/>
  <c r="N161" i="11"/>
  <c r="L169" i="11"/>
  <c r="J169" i="11"/>
  <c r="H169" i="11"/>
  <c r="N169" i="11" s="1"/>
  <c r="T173" i="11"/>
  <c r="S173" i="11"/>
  <c r="W173" i="11" s="1"/>
  <c r="E132" i="11"/>
  <c r="N8" i="11"/>
  <c r="N14" i="11"/>
  <c r="L152" i="11"/>
  <c r="C154" i="11"/>
  <c r="N52" i="11"/>
  <c r="B173" i="11"/>
  <c r="B175" i="11"/>
  <c r="T159" i="11"/>
  <c r="W159" i="11" s="1"/>
  <c r="L172" i="11"/>
  <c r="L176" i="11"/>
  <c r="B133" i="11"/>
  <c r="L136" i="11"/>
  <c r="J136" i="11"/>
  <c r="H136" i="11"/>
  <c r="N136" i="11" s="1"/>
  <c r="D137" i="11"/>
  <c r="N23" i="11"/>
  <c r="N27" i="11"/>
  <c r="C144" i="11"/>
  <c r="N32" i="11"/>
  <c r="C145" i="11"/>
  <c r="E145" i="11"/>
  <c r="B155" i="11"/>
  <c r="E155" i="11"/>
  <c r="N56" i="11"/>
  <c r="L156" i="11"/>
  <c r="J156" i="11"/>
  <c r="N156" i="11" s="1"/>
  <c r="H156" i="11"/>
  <c r="L162" i="11"/>
  <c r="J162" i="11"/>
  <c r="H162" i="11"/>
  <c r="N162" i="11" s="1"/>
  <c r="L165" i="11"/>
  <c r="N165" i="11" s="1"/>
  <c r="J165" i="11"/>
  <c r="H165" i="11"/>
  <c r="D166" i="11"/>
  <c r="B167" i="11"/>
  <c r="L170" i="11"/>
  <c r="B172" i="11"/>
  <c r="L174" i="11"/>
  <c r="N108" i="11"/>
  <c r="B181" i="11"/>
  <c r="L182" i="11"/>
  <c r="H182" i="11"/>
  <c r="J182" i="11"/>
  <c r="W157" i="11"/>
  <c r="U159" i="11"/>
  <c r="L155" i="11"/>
  <c r="J155" i="11"/>
  <c r="H155" i="11"/>
  <c r="N155" i="11"/>
  <c r="C133" i="11"/>
  <c r="N22" i="11"/>
  <c r="B146" i="11"/>
  <c r="E146" i="11" s="1"/>
  <c r="N36" i="11"/>
  <c r="N47" i="11"/>
  <c r="N58" i="11"/>
  <c r="N61" i="11"/>
  <c r="N63" i="11"/>
  <c r="C159" i="11"/>
  <c r="U162" i="11"/>
  <c r="T162" i="11"/>
  <c r="S162" i="11"/>
  <c r="T165" i="11"/>
  <c r="S165" i="11"/>
  <c r="W165" i="11"/>
  <c r="L166" i="11"/>
  <c r="U170" i="11"/>
  <c r="T170" i="11"/>
  <c r="W170" i="11" s="1"/>
  <c r="S170" i="11"/>
  <c r="U173" i="11"/>
  <c r="J134" i="11"/>
  <c r="H134" i="11"/>
  <c r="L141" i="11"/>
  <c r="J141" i="11"/>
  <c r="N141" i="11" s="1"/>
  <c r="H141" i="11"/>
  <c r="C143" i="11"/>
  <c r="D156" i="11"/>
  <c r="C162" i="11"/>
  <c r="E162" i="11" s="1"/>
  <c r="N69" i="11"/>
  <c r="B166" i="11"/>
  <c r="E166" i="11" s="1"/>
  <c r="N77" i="11"/>
  <c r="L134" i="11"/>
  <c r="U141" i="11"/>
  <c r="T141" i="11"/>
  <c r="S141" i="11"/>
  <c r="W141" i="11"/>
  <c r="N42" i="11"/>
  <c r="N75" i="11"/>
  <c r="H166" i="11"/>
  <c r="J166" i="11"/>
  <c r="H132" i="11"/>
  <c r="B134" i="11"/>
  <c r="B141" i="11"/>
  <c r="J144" i="11"/>
  <c r="N144" i="11" s="1"/>
  <c r="H144" i="11"/>
  <c r="N38" i="11"/>
  <c r="B148" i="11"/>
  <c r="E148" i="11" s="1"/>
  <c r="N46" i="11"/>
  <c r="C151" i="11"/>
  <c r="N53" i="11"/>
  <c r="N76" i="11"/>
  <c r="U166" i="11"/>
  <c r="T166" i="11"/>
  <c r="S166" i="11"/>
  <c r="W166" i="11" s="1"/>
  <c r="N86" i="11"/>
  <c r="L171" i="11"/>
  <c r="J171" i="11"/>
  <c r="H171" i="11"/>
  <c r="N171" i="11"/>
  <c r="W147" i="11"/>
  <c r="L135" i="11"/>
  <c r="J135" i="11"/>
  <c r="N135" i="11" s="1"/>
  <c r="H135" i="11"/>
  <c r="D136" i="11"/>
  <c r="U138" i="11"/>
  <c r="T138" i="11"/>
  <c r="S138" i="11"/>
  <c r="B140" i="11"/>
  <c r="E140" i="11"/>
  <c r="D146" i="11"/>
  <c r="L149" i="11"/>
  <c r="J149" i="11"/>
  <c r="H149" i="11"/>
  <c r="N149" i="11" s="1"/>
  <c r="C150" i="11"/>
  <c r="C158" i="11"/>
  <c r="L163" i="11"/>
  <c r="J163" i="11"/>
  <c r="H163" i="11"/>
  <c r="U168" i="11"/>
  <c r="T168" i="11"/>
  <c r="S168" i="11"/>
  <c r="D172" i="11"/>
  <c r="C180" i="11"/>
  <c r="E180" i="11" s="1"/>
  <c r="T133" i="11"/>
  <c r="W133" i="11"/>
  <c r="H150" i="11"/>
  <c r="J152" i="11"/>
  <c r="N152" i="11" s="1"/>
  <c r="H160" i="11"/>
  <c r="N160" i="11"/>
  <c r="T171" i="11"/>
  <c r="J174" i="11"/>
  <c r="N174" i="11" s="1"/>
  <c r="J178" i="11"/>
  <c r="B180" i="11"/>
  <c r="N105" i="11"/>
  <c r="C140" i="11"/>
  <c r="B144" i="11"/>
  <c r="E144" i="11"/>
  <c r="B154" i="11"/>
  <c r="L157" i="11"/>
  <c r="J157" i="11"/>
  <c r="H157" i="11"/>
  <c r="N157" i="11" s="1"/>
  <c r="D158" i="11"/>
  <c r="B162" i="11"/>
  <c r="B170" i="11"/>
  <c r="U174" i="11"/>
  <c r="T174" i="11"/>
  <c r="S174" i="11"/>
  <c r="B176" i="11"/>
  <c r="U178" i="11"/>
  <c r="T178" i="11"/>
  <c r="S178" i="11"/>
  <c r="D180" i="11"/>
  <c r="B182" i="11"/>
  <c r="B137" i="11"/>
  <c r="B147" i="11"/>
  <c r="E147" i="11"/>
  <c r="H158" i="11"/>
  <c r="U171" i="11"/>
  <c r="C176" i="11"/>
  <c r="E176" i="11"/>
  <c r="L179" i="11"/>
  <c r="J179" i="11"/>
  <c r="H179" i="11"/>
  <c r="L133" i="11"/>
  <c r="J133" i="11"/>
  <c r="H133" i="11"/>
  <c r="N133" i="11" s="1"/>
  <c r="C134" i="11"/>
  <c r="B138" i="11"/>
  <c r="E138" i="11" s="1"/>
  <c r="N24" i="11"/>
  <c r="L143" i="11"/>
  <c r="J143" i="11"/>
  <c r="H143" i="11"/>
  <c r="D144" i="11"/>
  <c r="C148" i="11"/>
  <c r="D154" i="11"/>
  <c r="U154" i="11"/>
  <c r="T154" i="11"/>
  <c r="S154" i="11"/>
  <c r="W154" i="11" s="1"/>
  <c r="B156" i="11"/>
  <c r="E156" i="11"/>
  <c r="D162" i="11"/>
  <c r="N79" i="11"/>
  <c r="D170" i="11"/>
  <c r="D176" i="11"/>
  <c r="N99" i="11"/>
  <c r="T153" i="11"/>
  <c r="S161" i="11"/>
  <c r="W161" i="11" s="1"/>
  <c r="H164" i="11"/>
  <c r="S169" i="11"/>
  <c r="W169" i="11"/>
  <c r="H180" i="11"/>
  <c r="N180" i="11" s="1"/>
  <c r="L137" i="11"/>
  <c r="J137" i="11"/>
  <c r="H137" i="11"/>
  <c r="N137" i="11" s="1"/>
  <c r="C138" i="11"/>
  <c r="L147" i="11"/>
  <c r="J147" i="11"/>
  <c r="H147" i="11"/>
  <c r="E152" i="11"/>
  <c r="U164" i="11"/>
  <c r="T164" i="11"/>
  <c r="S164" i="11"/>
  <c r="L167" i="11"/>
  <c r="J167" i="11"/>
  <c r="H167" i="11"/>
  <c r="C168" i="11"/>
  <c r="B174" i="11"/>
  <c r="E174" i="11" s="1"/>
  <c r="N97" i="11"/>
  <c r="L181" i="11"/>
  <c r="J181" i="11"/>
  <c r="H181" i="11"/>
  <c r="N113" i="11"/>
  <c r="C184" i="11"/>
  <c r="S172" i="11"/>
  <c r="H175" i="11"/>
  <c r="N175" i="11"/>
  <c r="H177" i="11"/>
  <c r="N177" i="11" s="1"/>
  <c r="B178" i="11"/>
  <c r="E178" i="11" s="1"/>
  <c r="S180" i="11"/>
  <c r="W180" i="11"/>
  <c r="H183" i="11"/>
  <c r="T172" i="11"/>
  <c r="W172" i="11" s="1"/>
  <c r="J175" i="11"/>
  <c r="J177" i="11"/>
  <c r="T180" i="11"/>
  <c r="N50" i="12"/>
  <c r="U157" i="12"/>
  <c r="T157" i="12"/>
  <c r="S157" i="12"/>
  <c r="H157" i="12"/>
  <c r="L157" i="12"/>
  <c r="J157" i="12"/>
  <c r="B181" i="12"/>
  <c r="C139" i="12"/>
  <c r="C142" i="12"/>
  <c r="S149" i="12"/>
  <c r="W149" i="12"/>
  <c r="L149" i="12"/>
  <c r="J149" i="12"/>
  <c r="H149" i="12"/>
  <c r="N149" i="12" s="1"/>
  <c r="U149" i="12"/>
  <c r="C152" i="12"/>
  <c r="L166" i="12"/>
  <c r="J166" i="12"/>
  <c r="H166" i="12"/>
  <c r="N166" i="12" s="1"/>
  <c r="B166" i="12"/>
  <c r="E166" i="12"/>
  <c r="U166" i="12"/>
  <c r="T166" i="12"/>
  <c r="W166" i="12"/>
  <c r="B175" i="12"/>
  <c r="N15" i="12"/>
  <c r="N12" i="12"/>
  <c r="D167" i="12"/>
  <c r="B170" i="12"/>
  <c r="E134" i="12"/>
  <c r="C143" i="12"/>
  <c r="N37" i="12"/>
  <c r="D148" i="12"/>
  <c r="B149" i="12"/>
  <c r="N78" i="12"/>
  <c r="D169" i="12"/>
  <c r="N26" i="12"/>
  <c r="N14" i="12"/>
  <c r="C149" i="12"/>
  <c r="B150" i="12"/>
  <c r="E150" i="12" s="1"/>
  <c r="T149" i="12"/>
  <c r="U159" i="12"/>
  <c r="W159" i="12" s="1"/>
  <c r="T159" i="12"/>
  <c r="N84" i="12"/>
  <c r="W135" i="12"/>
  <c r="N138" i="12"/>
  <c r="S143" i="12"/>
  <c r="W151" i="12"/>
  <c r="J159" i="12"/>
  <c r="T160" i="12"/>
  <c r="B163" i="12"/>
  <c r="E163" i="12" s="1"/>
  <c r="H170" i="12"/>
  <c r="N170" i="12" s="1"/>
  <c r="N18" i="12"/>
  <c r="N81" i="12"/>
  <c r="C167" i="12"/>
  <c r="N98" i="12"/>
  <c r="T143" i="12"/>
  <c r="S152" i="12"/>
  <c r="L159" i="12"/>
  <c r="H163" i="12"/>
  <c r="N163" i="12" s="1"/>
  <c r="S170" i="12"/>
  <c r="W170" i="12"/>
  <c r="H173" i="12"/>
  <c r="J160" i="12"/>
  <c r="B160" i="12"/>
  <c r="L173" i="12"/>
  <c r="T167" i="12"/>
  <c r="W131" i="12"/>
  <c r="N134" i="12"/>
  <c r="L140" i="12"/>
  <c r="N142" i="12"/>
  <c r="N150" i="12"/>
  <c r="H162" i="12"/>
  <c r="S163" i="12"/>
  <c r="B177" i="12"/>
  <c r="J179" i="12"/>
  <c r="D161" i="12"/>
  <c r="L170" i="12"/>
  <c r="J170" i="12"/>
  <c r="H179" i="12"/>
  <c r="L158" i="12"/>
  <c r="J158" i="12"/>
  <c r="N135" i="12"/>
  <c r="T139" i="12"/>
  <c r="H143" i="12"/>
  <c r="S148" i="12"/>
  <c r="N151" i="12"/>
  <c r="N153" i="12"/>
  <c r="N155" i="12"/>
  <c r="B174" i="12"/>
  <c r="E174" i="12" s="1"/>
  <c r="U163" i="12"/>
  <c r="W163" i="12"/>
  <c r="T163" i="12"/>
  <c r="U173" i="12"/>
  <c r="T173" i="12"/>
  <c r="U179" i="12"/>
  <c r="T179" i="12"/>
  <c r="C157" i="12"/>
  <c r="N68" i="12"/>
  <c r="L164" i="12"/>
  <c r="J164" i="12"/>
  <c r="W133" i="12"/>
  <c r="W141" i="12"/>
  <c r="T162" i="12"/>
  <c r="S179" i="12"/>
  <c r="J172" i="12"/>
  <c r="T175" i="12"/>
  <c r="J178" i="12"/>
  <c r="W167" i="23"/>
  <c r="E157" i="23"/>
  <c r="E165" i="23"/>
  <c r="W152" i="23"/>
  <c r="E175" i="23"/>
  <c r="N169" i="23"/>
  <c r="N156" i="23"/>
  <c r="N168" i="23"/>
  <c r="N173" i="23"/>
  <c r="W168" i="23"/>
  <c r="N177" i="24"/>
  <c r="W158" i="24"/>
  <c r="W147" i="24"/>
  <c r="E168" i="24"/>
  <c r="N147" i="24"/>
  <c r="N166" i="24"/>
  <c r="E153" i="24"/>
  <c r="N160" i="24"/>
  <c r="N175" i="24"/>
  <c r="W174" i="24"/>
  <c r="N164" i="24"/>
  <c r="N141" i="24"/>
  <c r="N133" i="24"/>
  <c r="N137" i="24"/>
  <c r="N142" i="24"/>
  <c r="N158" i="24"/>
  <c r="N149" i="24"/>
  <c r="N155" i="24"/>
  <c r="N176" i="24"/>
  <c r="W151" i="24"/>
  <c r="N151" i="24"/>
  <c r="N131" i="24"/>
  <c r="N147" i="25"/>
  <c r="W132" i="25"/>
  <c r="W141" i="25"/>
  <c r="N154" i="25"/>
  <c r="N178" i="25"/>
  <c r="N155" i="25"/>
  <c r="E162" i="25"/>
  <c r="E178" i="25"/>
  <c r="W167" i="25"/>
  <c r="N157" i="25"/>
  <c r="N135" i="25"/>
  <c r="W173" i="25"/>
  <c r="N134" i="25"/>
  <c r="N141" i="25"/>
  <c r="W157" i="25"/>
  <c r="N131" i="25"/>
  <c r="E176" i="25"/>
  <c r="E137" i="25"/>
  <c r="E145" i="25"/>
  <c r="N169" i="25"/>
  <c r="N149" i="25"/>
  <c r="L144" i="25"/>
  <c r="J144" i="25"/>
  <c r="N144" i="25"/>
  <c r="N156" i="25"/>
  <c r="H156" i="17"/>
  <c r="N156" i="17" s="1"/>
  <c r="E152" i="17"/>
  <c r="N148" i="17"/>
  <c r="W163" i="17"/>
  <c r="H140" i="17"/>
  <c r="E159" i="17"/>
  <c r="E133" i="17"/>
  <c r="J136" i="17"/>
  <c r="L136" i="17"/>
  <c r="H136" i="17"/>
  <c r="N136" i="17"/>
  <c r="W172" i="17"/>
  <c r="L142" i="17"/>
  <c r="N147" i="17"/>
  <c r="J141" i="19"/>
  <c r="E158" i="19"/>
  <c r="L152" i="19"/>
  <c r="H150" i="19"/>
  <c r="E163" i="19"/>
  <c r="E155" i="19"/>
  <c r="H152" i="19"/>
  <c r="N152" i="19" s="1"/>
  <c r="H141" i="19"/>
  <c r="N141" i="19" s="1"/>
  <c r="L137" i="19"/>
  <c r="J137" i="19"/>
  <c r="E159" i="9"/>
  <c r="W173" i="9"/>
  <c r="N149" i="9"/>
  <c r="W176" i="11"/>
  <c r="W164" i="11"/>
  <c r="N179" i="11"/>
  <c r="W168" i="11"/>
  <c r="E154" i="11"/>
  <c r="E134" i="11"/>
  <c r="N176" i="11"/>
  <c r="N163" i="11"/>
  <c r="N138" i="11"/>
  <c r="N134" i="11"/>
  <c r="E133" i="11"/>
  <c r="N159" i="11"/>
  <c r="N181" i="11"/>
  <c r="W174" i="11"/>
  <c r="W138" i="11"/>
  <c r="N182" i="11"/>
  <c r="N173" i="11"/>
  <c r="N151" i="11"/>
  <c r="N157" i="12"/>
  <c r="B167" i="8"/>
  <c r="D167" i="8"/>
  <c r="B166" i="8"/>
  <c r="E166" i="8" s="1"/>
  <c r="C166" i="8"/>
  <c r="N70" i="8"/>
  <c r="B165" i="8"/>
  <c r="N62" i="8"/>
  <c r="B163" i="8"/>
  <c r="E163" i="8" s="1"/>
  <c r="D164" i="8"/>
  <c r="N68" i="8"/>
  <c r="D161" i="8"/>
  <c r="N61" i="8"/>
  <c r="N60" i="8"/>
  <c r="N59" i="8"/>
  <c r="C160" i="8"/>
  <c r="N58" i="8"/>
  <c r="D160" i="8"/>
  <c r="B158" i="8"/>
  <c r="C158" i="8"/>
  <c r="N55" i="8"/>
  <c r="E158" i="8"/>
  <c r="N52" i="8"/>
  <c r="N53" i="8"/>
  <c r="D156" i="8"/>
  <c r="C156" i="8"/>
  <c r="E157" i="8"/>
  <c r="N51" i="8"/>
  <c r="N50" i="8"/>
  <c r="N49" i="8"/>
  <c r="B155" i="8"/>
  <c r="E155" i="8" s="1"/>
  <c r="N48" i="8"/>
  <c r="N47" i="8"/>
  <c r="D154" i="8"/>
  <c r="N46" i="8"/>
  <c r="N45" i="8"/>
  <c r="N44" i="8"/>
  <c r="C153" i="8"/>
  <c r="B152" i="8"/>
  <c r="E152" i="8"/>
  <c r="N38" i="8"/>
  <c r="N37" i="8"/>
  <c r="N35" i="8"/>
  <c r="N34" i="8"/>
  <c r="D149" i="8"/>
  <c r="N33" i="8"/>
  <c r="N31" i="8"/>
  <c r="N32" i="8"/>
  <c r="N30" i="8"/>
  <c r="D148" i="8"/>
  <c r="D147" i="8"/>
  <c r="B147" i="8"/>
  <c r="E147" i="8"/>
  <c r="N29" i="8"/>
  <c r="C147" i="8"/>
  <c r="N27" i="8"/>
  <c r="B146" i="8"/>
  <c r="D145" i="8"/>
  <c r="N22" i="8"/>
  <c r="N25" i="8"/>
  <c r="C145" i="8"/>
  <c r="N23" i="8"/>
  <c r="C144" i="8"/>
  <c r="E144" i="8"/>
  <c r="N21" i="8"/>
  <c r="B143" i="8"/>
  <c r="N19" i="8"/>
  <c r="C141" i="8"/>
  <c r="N15" i="8"/>
  <c r="N14" i="8"/>
  <c r="B140" i="8"/>
  <c r="E140" i="8"/>
  <c r="C140" i="8"/>
  <c r="N11" i="8"/>
  <c r="C139" i="8"/>
  <c r="N12" i="8"/>
  <c r="C138" i="8"/>
  <c r="N10" i="8"/>
  <c r="N8" i="8"/>
  <c r="N101" i="8"/>
  <c r="E160" i="8"/>
  <c r="E156" i="8"/>
  <c r="E145" i="8"/>
  <c r="B166" i="15"/>
  <c r="C153" i="15"/>
  <c r="N37" i="15"/>
  <c r="N36" i="15"/>
  <c r="C140" i="15"/>
  <c r="N30" i="18"/>
  <c r="C156" i="18"/>
  <c r="S156" i="18"/>
  <c r="U156" i="18"/>
  <c r="H157" i="18"/>
  <c r="L163" i="18"/>
  <c r="J169" i="18"/>
  <c r="T156" i="18"/>
  <c r="T138" i="18"/>
  <c r="W138" i="18"/>
  <c r="L140" i="18"/>
  <c r="J146" i="18"/>
  <c r="J164" i="18"/>
  <c r="J181" i="18"/>
  <c r="H181" i="18"/>
  <c r="N181" i="18"/>
  <c r="J137" i="18"/>
  <c r="L133" i="18"/>
  <c r="N38" i="18"/>
  <c r="N66" i="18"/>
  <c r="N81" i="18"/>
  <c r="L171" i="18"/>
  <c r="J171" i="18"/>
  <c r="H171" i="18"/>
  <c r="N171" i="18" s="1"/>
  <c r="U174" i="18"/>
  <c r="B184" i="18"/>
  <c r="N103" i="18"/>
  <c r="B178" i="18"/>
  <c r="E178" i="18" s="1"/>
  <c r="H144" i="18"/>
  <c r="N144" i="18"/>
  <c r="N62" i="18"/>
  <c r="H172" i="18"/>
  <c r="N172" i="18" s="1"/>
  <c r="N100" i="18"/>
  <c r="T177" i="18"/>
  <c r="W177" i="18" s="1"/>
  <c r="D174" i="18"/>
  <c r="S174" i="18"/>
  <c r="W174" i="18" s="1"/>
  <c r="T174" i="18"/>
  <c r="N113" i="18"/>
  <c r="C183" i="18"/>
  <c r="H152" i="18"/>
  <c r="N152" i="18" s="1"/>
  <c r="N14" i="18"/>
  <c r="D132" i="18"/>
  <c r="J139" i="18"/>
  <c r="D145" i="18"/>
  <c r="H147" i="18"/>
  <c r="N65" i="18"/>
  <c r="U138" i="18"/>
  <c r="J138" i="18"/>
  <c r="N138" i="18"/>
  <c r="L152" i="18"/>
  <c r="L145" i="18"/>
  <c r="B154" i="18"/>
  <c r="N57" i="18"/>
  <c r="U159" i="18"/>
  <c r="S159" i="18"/>
  <c r="W159" i="18"/>
  <c r="B161" i="18"/>
  <c r="E161" i="18" s="1"/>
  <c r="J166" i="18"/>
  <c r="N91" i="18"/>
  <c r="U175" i="18"/>
  <c r="N110" i="18"/>
  <c r="W133" i="18"/>
  <c r="H154" i="18"/>
  <c r="C171" i="18"/>
  <c r="L167" i="18"/>
  <c r="J178" i="18"/>
  <c r="N178" i="18" s="1"/>
  <c r="J147" i="18"/>
  <c r="N24" i="18"/>
  <c r="H138" i="18"/>
  <c r="B136" i="18"/>
  <c r="L142" i="18"/>
  <c r="J153" i="18"/>
  <c r="B155" i="18"/>
  <c r="N55" i="18"/>
  <c r="L156" i="18"/>
  <c r="N156" i="18"/>
  <c r="T165" i="18"/>
  <c r="H175" i="18"/>
  <c r="W178" i="18"/>
  <c r="S147" i="18"/>
  <c r="S171" i="18"/>
  <c r="W171" i="18" s="1"/>
  <c r="S173" i="18"/>
  <c r="N84" i="18"/>
  <c r="U173" i="18"/>
  <c r="T159" i="22"/>
  <c r="U161" i="22"/>
  <c r="L161" i="22"/>
  <c r="J161" i="22"/>
  <c r="H181" i="22"/>
  <c r="S141" i="22"/>
  <c r="W141" i="22" s="1"/>
  <c r="N92" i="22"/>
  <c r="T143" i="22"/>
  <c r="T165" i="22"/>
  <c r="H149" i="22"/>
  <c r="T149" i="22"/>
  <c r="T181" i="22"/>
  <c r="N39" i="22"/>
  <c r="B173" i="22"/>
  <c r="S173" i="22"/>
  <c r="U181" i="22"/>
  <c r="N14" i="22"/>
  <c r="S181" i="22"/>
  <c r="W181" i="22" s="1"/>
  <c r="D175" i="22"/>
  <c r="C181" i="22"/>
  <c r="N84" i="22"/>
  <c r="L175" i="22"/>
  <c r="N98" i="22"/>
  <c r="S175" i="22"/>
  <c r="S182" i="22"/>
  <c r="N147" i="18"/>
  <c r="L167" i="3"/>
  <c r="S174" i="3"/>
  <c r="J169" i="3"/>
  <c r="T161" i="14"/>
  <c r="W161" i="14"/>
  <c r="U161" i="14"/>
  <c r="S161" i="14"/>
  <c r="N108" i="14"/>
  <c r="B180" i="14"/>
  <c r="D162" i="14"/>
  <c r="N74" i="14"/>
  <c r="B160" i="14"/>
  <c r="N57" i="14"/>
  <c r="C151" i="14"/>
  <c r="D152" i="14"/>
  <c r="C152" i="14"/>
  <c r="N44" i="14"/>
  <c r="D146" i="14"/>
  <c r="N26" i="14"/>
  <c r="N24" i="14"/>
  <c r="C139" i="14"/>
  <c r="B135" i="14"/>
  <c r="B170" i="13"/>
  <c r="E170" i="13"/>
  <c r="U168" i="18"/>
  <c r="W162" i="13"/>
  <c r="C162" i="13"/>
  <c r="N68" i="13"/>
  <c r="B193" i="13"/>
  <c r="N65" i="13"/>
  <c r="N75" i="13"/>
  <c r="T194" i="13"/>
  <c r="L190" i="13"/>
  <c r="C161" i="13"/>
  <c r="D177" i="13"/>
  <c r="W193" i="13"/>
  <c r="D193" i="13"/>
  <c r="S185" i="13"/>
  <c r="T185" i="13"/>
  <c r="W185" i="13" s="1"/>
  <c r="H172" i="13"/>
  <c r="L191" i="13"/>
  <c r="H179" i="13"/>
  <c r="W165" i="13"/>
  <c r="L172" i="13"/>
  <c r="B163" i="13"/>
  <c r="E163" i="13"/>
  <c r="N77" i="13"/>
  <c r="T177" i="13"/>
  <c r="D167" i="13"/>
  <c r="N63" i="13"/>
  <c r="D188" i="13"/>
  <c r="D195" i="13"/>
  <c r="N124" i="13"/>
  <c r="L168" i="13"/>
  <c r="N45" i="13"/>
  <c r="C168" i="13"/>
  <c r="D196" i="13"/>
  <c r="L159" i="13"/>
  <c r="B162" i="13"/>
  <c r="E162" i="13" s="1"/>
  <c r="N53" i="13"/>
  <c r="B167" i="13"/>
  <c r="E167" i="13" s="1"/>
  <c r="J159" i="13"/>
  <c r="B165" i="13"/>
  <c r="N58" i="13"/>
  <c r="N55" i="13"/>
  <c r="N47" i="13"/>
  <c r="L170" i="13"/>
  <c r="B181" i="13"/>
  <c r="E181" i="13" s="1"/>
  <c r="S182" i="13"/>
  <c r="N95" i="13"/>
  <c r="J180" i="13"/>
  <c r="L180" i="13"/>
  <c r="L176" i="13"/>
  <c r="J166" i="13"/>
  <c r="H166" i="13"/>
  <c r="N166" i="13" s="1"/>
  <c r="L162" i="13"/>
  <c r="J162" i="13"/>
  <c r="N162" i="13" s="1"/>
  <c r="H162" i="13"/>
  <c r="N50" i="13"/>
  <c r="L163" i="13"/>
  <c r="H193" i="13"/>
  <c r="H174" i="13"/>
  <c r="L174" i="13"/>
  <c r="J174" i="13"/>
  <c r="N174" i="13" s="1"/>
  <c r="C166" i="13"/>
  <c r="D178" i="13"/>
  <c r="J177" i="13"/>
  <c r="H163" i="13"/>
  <c r="N163" i="13"/>
  <c r="T183" i="13"/>
  <c r="S183" i="13"/>
  <c r="U183" i="13"/>
  <c r="N64" i="13"/>
  <c r="S181" i="13"/>
  <c r="W181" i="13" s="1"/>
  <c r="U181" i="13"/>
  <c r="E195" i="13"/>
  <c r="H183" i="13"/>
  <c r="N183" i="13"/>
  <c r="L195" i="13"/>
  <c r="N195" i="13" s="1"/>
  <c r="J185" i="13"/>
  <c r="H185" i="13"/>
  <c r="J181" i="13"/>
  <c r="L181" i="13"/>
  <c r="H192" i="13"/>
  <c r="L175" i="13"/>
  <c r="N62" i="13"/>
  <c r="C170" i="13"/>
  <c r="N117" i="13"/>
  <c r="H175" i="13"/>
  <c r="J169" i="13"/>
  <c r="J165" i="13"/>
  <c r="L183" i="13"/>
  <c r="S178" i="13"/>
  <c r="W178" i="13" s="1"/>
  <c r="S194" i="13"/>
  <c r="W194" i="13" s="1"/>
  <c r="J168" i="13"/>
  <c r="J164" i="13"/>
  <c r="U191" i="13"/>
  <c r="U179" i="13"/>
  <c r="L177" i="13"/>
  <c r="L169" i="13"/>
  <c r="L165" i="13"/>
  <c r="L161" i="13"/>
  <c r="H165" i="13"/>
  <c r="N165" i="13"/>
  <c r="N17" i="8"/>
  <c r="N16" i="8"/>
  <c r="N75" i="15"/>
  <c r="U183" i="15"/>
  <c r="S183" i="15"/>
  <c r="T185" i="15"/>
  <c r="U185" i="15"/>
  <c r="N16" i="15"/>
  <c r="L156" i="15"/>
  <c r="B183" i="15"/>
  <c r="J148" i="15"/>
  <c r="L185" i="15"/>
  <c r="L145" i="15"/>
  <c r="C188" i="13"/>
  <c r="N89" i="13"/>
  <c r="C183" i="13"/>
  <c r="N82" i="13"/>
  <c r="D174" i="13"/>
  <c r="N64" i="19"/>
  <c r="C160" i="19"/>
  <c r="H155" i="19"/>
  <c r="L155" i="19"/>
  <c r="B144" i="19"/>
  <c r="E156" i="17"/>
  <c r="B141" i="22"/>
  <c r="E141" i="22" s="1"/>
  <c r="N9" i="22"/>
  <c r="N166" i="17"/>
  <c r="N135" i="17"/>
  <c r="J135" i="17"/>
  <c r="L156" i="17"/>
  <c r="H178" i="17"/>
  <c r="N178" i="17" s="1"/>
  <c r="H168" i="17"/>
  <c r="L168" i="17"/>
  <c r="N168" i="17" s="1"/>
  <c r="H163" i="17"/>
  <c r="N163" i="17"/>
  <c r="H138" i="17"/>
  <c r="L138" i="17"/>
  <c r="H139" i="17"/>
  <c r="J181" i="17"/>
  <c r="H171" i="17"/>
  <c r="J154" i="17"/>
  <c r="L140" i="17"/>
  <c r="H154" i="17"/>
  <c r="L178" i="17"/>
  <c r="L134" i="17"/>
  <c r="N134" i="17" s="1"/>
  <c r="H162" i="17"/>
  <c r="N162" i="17"/>
  <c r="H141" i="17"/>
  <c r="L158" i="17"/>
  <c r="J171" i="17"/>
  <c r="J174" i="17"/>
  <c r="J146" i="17"/>
  <c r="J169" i="17"/>
  <c r="N169" i="17" s="1"/>
  <c r="H155" i="17"/>
  <c r="N155" i="17"/>
  <c r="J170" i="17"/>
  <c r="L135" i="17"/>
  <c r="H131" i="17"/>
  <c r="N131" i="17" s="1"/>
  <c r="J134" i="17"/>
  <c r="J175" i="17"/>
  <c r="N175" i="17"/>
  <c r="H182" i="17"/>
  <c r="H146" i="17"/>
  <c r="N146" i="17"/>
  <c r="H142" i="17"/>
  <c r="N142" i="17"/>
  <c r="H143" i="17"/>
  <c r="N143" i="17" s="1"/>
  <c r="J131" i="17"/>
  <c r="H130" i="17"/>
  <c r="N130" i="17" s="1"/>
  <c r="H165" i="17"/>
  <c r="N165" i="17"/>
  <c r="J182" i="17"/>
  <c r="J141" i="17"/>
  <c r="L143" i="17"/>
  <c r="R15" i="17"/>
  <c r="L133" i="17"/>
  <c r="T133" i="17"/>
  <c r="W133" i="17"/>
  <c r="B177" i="17"/>
  <c r="B175" i="17"/>
  <c r="E175" i="17" s="1"/>
  <c r="N98" i="17"/>
  <c r="E171" i="17"/>
  <c r="B170" i="17"/>
  <c r="N92" i="17"/>
  <c r="E167" i="17"/>
  <c r="D169" i="17"/>
  <c r="C165" i="17"/>
  <c r="E165" i="17"/>
  <c r="C163" i="17"/>
  <c r="C162" i="17"/>
  <c r="B162" i="17"/>
  <c r="L132" i="18"/>
  <c r="N132" i="18"/>
  <c r="L185" i="19"/>
  <c r="N181" i="19"/>
  <c r="N165" i="19"/>
  <c r="H149" i="19"/>
  <c r="J166" i="19"/>
  <c r="H153" i="19"/>
  <c r="J176" i="19"/>
  <c r="H146" i="19"/>
  <c r="J163" i="19"/>
  <c r="N163" i="19"/>
  <c r="J155" i="19"/>
  <c r="N155" i="19"/>
  <c r="L165" i="19"/>
  <c r="H175" i="19"/>
  <c r="N175" i="19"/>
  <c r="H185" i="19"/>
  <c r="J161" i="19"/>
  <c r="H168" i="19"/>
  <c r="H160" i="19"/>
  <c r="L149" i="19"/>
  <c r="J146" i="19"/>
  <c r="L179" i="19"/>
  <c r="N179" i="19"/>
  <c r="J177" i="19"/>
  <c r="H171" i="19"/>
  <c r="L134" i="19"/>
  <c r="L138" i="19"/>
  <c r="J151" i="19"/>
  <c r="J158" i="19"/>
  <c r="J184" i="19"/>
  <c r="W139" i="19"/>
  <c r="J183" i="19"/>
  <c r="N183" i="19" s="1"/>
  <c r="L168" i="19"/>
  <c r="H169" i="19"/>
  <c r="N169" i="19"/>
  <c r="L147" i="19"/>
  <c r="L153" i="19"/>
  <c r="N153" i="19" s="1"/>
  <c r="H177" i="19"/>
  <c r="L171" i="19"/>
  <c r="J156" i="19"/>
  <c r="H147" i="19"/>
  <c r="H166" i="19"/>
  <c r="H142" i="19"/>
  <c r="N142" i="19" s="1"/>
  <c r="L142" i="19"/>
  <c r="W156" i="19"/>
  <c r="H159" i="19"/>
  <c r="N159" i="19" s="1"/>
  <c r="L159" i="19"/>
  <c r="J159" i="19"/>
  <c r="L157" i="19"/>
  <c r="H157" i="19"/>
  <c r="J157" i="19"/>
  <c r="N157" i="19" s="1"/>
  <c r="S157" i="19"/>
  <c r="W157" i="19" s="1"/>
  <c r="H156" i="19"/>
  <c r="L158" i="19"/>
  <c r="N158" i="19"/>
  <c r="L156" i="19"/>
  <c r="N156" i="19" s="1"/>
  <c r="H139" i="19"/>
  <c r="L139" i="19"/>
  <c r="J139" i="19"/>
  <c r="N139" i="19" s="1"/>
  <c r="R22" i="19"/>
  <c r="J138" i="19"/>
  <c r="N138" i="19"/>
  <c r="R15" i="19"/>
  <c r="N103" i="21"/>
  <c r="D171" i="21"/>
  <c r="D167" i="21"/>
  <c r="N92" i="9"/>
  <c r="H184" i="11"/>
  <c r="N184" i="11" s="1"/>
  <c r="J183" i="11"/>
  <c r="N183" i="11"/>
  <c r="N166" i="11"/>
  <c r="N114" i="11"/>
  <c r="N116" i="11"/>
  <c r="C182" i="11"/>
  <c r="C181" i="11"/>
  <c r="E175" i="11"/>
  <c r="N85" i="11"/>
  <c r="N95" i="11"/>
  <c r="N92" i="11"/>
  <c r="N93" i="11"/>
  <c r="C172" i="11"/>
  <c r="E172" i="11"/>
  <c r="C173" i="11"/>
  <c r="B168" i="11"/>
  <c r="E168" i="11" s="1"/>
  <c r="C165" i="11"/>
  <c r="E163" i="11"/>
  <c r="N68" i="11"/>
  <c r="C164" i="11"/>
  <c r="B179" i="12"/>
  <c r="N87" i="12"/>
  <c r="D173" i="12"/>
  <c r="C162" i="12"/>
  <c r="N171" i="17"/>
  <c r="H133" i="17"/>
  <c r="N133" i="17"/>
  <c r="N182" i="17"/>
  <c r="N154" i="17"/>
  <c r="N138" i="17"/>
  <c r="J133" i="17"/>
  <c r="N168" i="19"/>
  <c r="N149" i="19"/>
  <c r="N171" i="19"/>
  <c r="N147" i="19"/>
  <c r="L140" i="19"/>
  <c r="H140" i="19"/>
  <c r="J140" i="19"/>
  <c r="N140" i="19"/>
  <c r="L143" i="23"/>
  <c r="L148" i="25"/>
  <c r="N148" i="25" s="1"/>
  <c r="J148" i="25"/>
  <c r="N130" i="26"/>
  <c r="T117" i="26"/>
  <c r="N132" i="26"/>
  <c r="H129" i="26"/>
  <c r="N40" i="26"/>
  <c r="N41" i="26"/>
  <c r="N42" i="26"/>
  <c r="N47" i="26"/>
  <c r="N55" i="26"/>
  <c r="J116" i="26"/>
  <c r="N116" i="26"/>
  <c r="B116" i="26"/>
  <c r="B122" i="26"/>
  <c r="N69" i="26"/>
  <c r="E142" i="26"/>
  <c r="W142" i="26"/>
  <c r="C128" i="26"/>
  <c r="E128" i="26" s="1"/>
  <c r="N38" i="26"/>
  <c r="J139" i="26"/>
  <c r="D139" i="26"/>
  <c r="J130" i="26"/>
  <c r="B117" i="26"/>
  <c r="J123" i="26"/>
  <c r="N123" i="26"/>
  <c r="T139" i="26"/>
  <c r="D109" i="26"/>
  <c r="B130" i="26"/>
  <c r="D133" i="26"/>
  <c r="C135" i="26"/>
  <c r="J137" i="26"/>
  <c r="D138" i="26"/>
  <c r="C114" i="26"/>
  <c r="N35" i="26"/>
  <c r="N46" i="26"/>
  <c r="J128" i="26"/>
  <c r="H133" i="26"/>
  <c r="L123" i="26"/>
  <c r="W136" i="26"/>
  <c r="S121" i="26"/>
  <c r="W121" i="26"/>
  <c r="U139" i="26"/>
  <c r="W139" i="26"/>
  <c r="N8" i="26"/>
  <c r="N17" i="26"/>
  <c r="N27" i="26"/>
  <c r="D121" i="26"/>
  <c r="W125" i="26"/>
  <c r="C126" i="26"/>
  <c r="N43" i="26"/>
  <c r="N45" i="26"/>
  <c r="L128" i="26"/>
  <c r="N50" i="26"/>
  <c r="C134" i="26"/>
  <c r="E134" i="26" s="1"/>
  <c r="N60" i="26"/>
  <c r="L142" i="26"/>
  <c r="C132" i="26"/>
  <c r="J135" i="26"/>
  <c r="B143" i="26"/>
  <c r="H111" i="26"/>
  <c r="L114" i="26"/>
  <c r="N12" i="26"/>
  <c r="J117" i="26"/>
  <c r="C121" i="26"/>
  <c r="E121" i="26" s="1"/>
  <c r="U122" i="26"/>
  <c r="W122" i="26" s="1"/>
  <c r="L124" i="26"/>
  <c r="D130" i="26"/>
  <c r="N53" i="26"/>
  <c r="N65" i="26"/>
  <c r="D140" i="26"/>
  <c r="J143" i="26"/>
  <c r="W111" i="26"/>
  <c r="S117" i="26"/>
  <c r="W117" i="26" s="1"/>
  <c r="W123" i="26"/>
  <c r="D132" i="26"/>
  <c r="J141" i="26"/>
  <c r="H127" i="26"/>
  <c r="N127" i="26"/>
  <c r="T135" i="26"/>
  <c r="W135" i="26"/>
  <c r="E126" i="26"/>
  <c r="N34" i="26"/>
  <c r="D111" i="26"/>
  <c r="L117" i="26"/>
  <c r="B121" i="26"/>
  <c r="D122" i="26"/>
  <c r="N51" i="26"/>
  <c r="D137" i="26"/>
  <c r="E137" i="26"/>
  <c r="L139" i="26"/>
  <c r="W116" i="26"/>
  <c r="J112" i="26"/>
  <c r="E143" i="26"/>
  <c r="C110" i="26"/>
  <c r="T110" i="26"/>
  <c r="W110" i="26" s="1"/>
  <c r="D110" i="26"/>
  <c r="S110" i="26"/>
  <c r="J110" i="26"/>
  <c r="U110" i="26"/>
  <c r="H118" i="26"/>
  <c r="J118" i="26"/>
  <c r="L118" i="26"/>
  <c r="N36" i="26"/>
  <c r="B123" i="26"/>
  <c r="E123" i="26"/>
  <c r="C130" i="26"/>
  <c r="N62" i="26"/>
  <c r="H140" i="26"/>
  <c r="N140" i="26" s="1"/>
  <c r="L140" i="26"/>
  <c r="N16" i="26"/>
  <c r="B113" i="26"/>
  <c r="E113" i="26" s="1"/>
  <c r="D120" i="26"/>
  <c r="J122" i="26"/>
  <c r="L122" i="26"/>
  <c r="H122" i="26"/>
  <c r="N122" i="26" s="1"/>
  <c r="B124" i="26"/>
  <c r="D127" i="26"/>
  <c r="L127" i="26"/>
  <c r="S127" i="26"/>
  <c r="U127" i="26"/>
  <c r="H136" i="26"/>
  <c r="L136" i="26"/>
  <c r="J136" i="26"/>
  <c r="C140" i="26"/>
  <c r="U140" i="26"/>
  <c r="T140" i="26"/>
  <c r="W140" i="26" s="1"/>
  <c r="B140" i="26"/>
  <c r="N77" i="26"/>
  <c r="W115" i="26"/>
  <c r="W138" i="26"/>
  <c r="J129" i="26"/>
  <c r="L129" i="26"/>
  <c r="N129" i="26"/>
  <c r="N58" i="26"/>
  <c r="B134" i="26"/>
  <c r="J115" i="26"/>
  <c r="H115" i="26"/>
  <c r="L120" i="26"/>
  <c r="C120" i="26"/>
  <c r="E120" i="26" s="1"/>
  <c r="J120" i="26"/>
  <c r="S120" i="26"/>
  <c r="W120" i="26"/>
  <c r="B120" i="26"/>
  <c r="H120" i="26"/>
  <c r="N120" i="26" s="1"/>
  <c r="T129" i="26"/>
  <c r="B129" i="26"/>
  <c r="C129" i="26"/>
  <c r="E129" i="26" s="1"/>
  <c r="U129" i="26"/>
  <c r="D129" i="26"/>
  <c r="C138" i="26"/>
  <c r="E138" i="26" s="1"/>
  <c r="N66" i="26"/>
  <c r="B139" i="26"/>
  <c r="E139" i="26"/>
  <c r="N68" i="26"/>
  <c r="C125" i="26"/>
  <c r="E125" i="26" s="1"/>
  <c r="L126" i="26"/>
  <c r="J126" i="26"/>
  <c r="B135" i="26"/>
  <c r="E135" i="26"/>
  <c r="C139" i="26"/>
  <c r="S134" i="26"/>
  <c r="W134" i="26" s="1"/>
  <c r="D116" i="26"/>
  <c r="J140" i="26"/>
  <c r="S113" i="26"/>
  <c r="W113" i="26" s="1"/>
  <c r="D113" i="26"/>
  <c r="U113" i="26"/>
  <c r="T113" i="26"/>
  <c r="J113" i="26"/>
  <c r="H113" i="26"/>
  <c r="N113" i="26"/>
  <c r="L113" i="26"/>
  <c r="N28" i="26"/>
  <c r="C119" i="26"/>
  <c r="E119" i="26" s="1"/>
  <c r="H119" i="26"/>
  <c r="L119" i="26"/>
  <c r="J124" i="26"/>
  <c r="T124" i="26"/>
  <c r="C124" i="26"/>
  <c r="B132" i="26"/>
  <c r="N54" i="26"/>
  <c r="B133" i="26"/>
  <c r="E133" i="26" s="1"/>
  <c r="S133" i="26"/>
  <c r="J133" i="26"/>
  <c r="N133" i="26" s="1"/>
  <c r="L133" i="26"/>
  <c r="C133" i="26"/>
  <c r="T133" i="26"/>
  <c r="N63" i="26"/>
  <c r="T137" i="26"/>
  <c r="H137" i="26"/>
  <c r="L137" i="26"/>
  <c r="N137" i="26" s="1"/>
  <c r="S137" i="26"/>
  <c r="U137" i="26"/>
  <c r="W128" i="26"/>
  <c r="J138" i="26"/>
  <c r="L138" i="26"/>
  <c r="N138" i="26" s="1"/>
  <c r="H138" i="26"/>
  <c r="H114" i="26"/>
  <c r="N114" i="26" s="1"/>
  <c r="B110" i="26"/>
  <c r="E110" i="26" s="1"/>
  <c r="N10" i="26"/>
  <c r="B127" i="26"/>
  <c r="L110" i="26"/>
  <c r="W126" i="26"/>
  <c r="L131" i="26"/>
  <c r="N131" i="26" s="1"/>
  <c r="J131" i="26"/>
  <c r="L134" i="26"/>
  <c r="D134" i="26"/>
  <c r="J134" i="26"/>
  <c r="H134" i="26"/>
  <c r="N134" i="26"/>
  <c r="U134" i="26"/>
  <c r="W114" i="26"/>
  <c r="N135" i="26"/>
  <c r="H117" i="26"/>
  <c r="T122" i="26"/>
  <c r="T141" i="26"/>
  <c r="D131" i="26"/>
  <c r="H142" i="26"/>
  <c r="N142" i="26"/>
  <c r="B114" i="26"/>
  <c r="B136" i="26"/>
  <c r="J109" i="26"/>
  <c r="H141" i="26"/>
  <c r="N141" i="26" s="1"/>
  <c r="T131" i="26"/>
  <c r="C122" i="26"/>
  <c r="S141" i="26"/>
  <c r="W141" i="26" s="1"/>
  <c r="N56" i="26"/>
  <c r="H139" i="26"/>
  <c r="L141" i="26"/>
  <c r="S130" i="26"/>
  <c r="W130" i="26"/>
  <c r="H143" i="26"/>
  <c r="N30" i="26"/>
  <c r="J111" i="26"/>
  <c r="N111" i="26"/>
  <c r="N74" i="26"/>
  <c r="L143" i="26"/>
  <c r="L123" i="16"/>
  <c r="B134" i="16"/>
  <c r="E134" i="16" s="1"/>
  <c r="U139" i="16"/>
  <c r="N38" i="16"/>
  <c r="T132" i="16"/>
  <c r="U123" i="16"/>
  <c r="T146" i="16"/>
  <c r="T141" i="16"/>
  <c r="T136" i="16"/>
  <c r="L139" i="16"/>
  <c r="T135" i="16"/>
  <c r="L126" i="16"/>
  <c r="J136" i="16"/>
  <c r="S136" i="16"/>
  <c r="U136" i="16"/>
  <c r="W120" i="16"/>
  <c r="U127" i="16"/>
  <c r="T127" i="16"/>
  <c r="W127" i="16" s="1"/>
  <c r="S127" i="16"/>
  <c r="T116" i="16"/>
  <c r="J128" i="16"/>
  <c r="L148" i="16"/>
  <c r="D149" i="16"/>
  <c r="C125" i="16"/>
  <c r="T125" i="16"/>
  <c r="S143" i="16"/>
  <c r="S145" i="16"/>
  <c r="S146" i="16"/>
  <c r="B142" i="16"/>
  <c r="N118" i="26"/>
  <c r="E127" i="26"/>
  <c r="N139" i="26"/>
  <c r="W127" i="26"/>
  <c r="N117" i="26"/>
  <c r="W129" i="26"/>
  <c r="N110" i="26"/>
  <c r="N143" i="26"/>
  <c r="E140" i="26"/>
  <c r="N115" i="26"/>
  <c r="U178" i="10"/>
  <c r="S165" i="10"/>
  <c r="U165" i="10"/>
  <c r="W165" i="10"/>
  <c r="L165" i="10"/>
  <c r="H190" i="10"/>
  <c r="U153" i="10"/>
  <c r="T153" i="10"/>
  <c r="H179" i="10"/>
  <c r="B201" i="10"/>
  <c r="C196" i="10"/>
  <c r="L173" i="10"/>
  <c r="L167" i="10"/>
  <c r="U193" i="10"/>
  <c r="J193" i="10"/>
  <c r="N12" i="10"/>
  <c r="B168" i="10"/>
  <c r="B174" i="10"/>
  <c r="U189" i="10"/>
  <c r="C164" i="10"/>
  <c r="S191" i="10"/>
  <c r="S201" i="10"/>
  <c r="S157" i="10"/>
  <c r="S168" i="10"/>
  <c r="U175" i="5"/>
  <c r="S175" i="5"/>
  <c r="H179" i="9"/>
  <c r="J187" i="9"/>
  <c r="L189" i="9"/>
  <c r="J191" i="9"/>
  <c r="N115" i="9"/>
  <c r="N126" i="9"/>
  <c r="L187" i="9"/>
  <c r="H185" i="9"/>
  <c r="N185" i="9"/>
  <c r="N112" i="9"/>
  <c r="D195" i="9"/>
  <c r="J179" i="9"/>
  <c r="L192" i="9"/>
  <c r="J180" i="9"/>
  <c r="N114" i="9"/>
  <c r="N116" i="9"/>
  <c r="N118" i="9"/>
  <c r="L195" i="9"/>
  <c r="C193" i="9"/>
  <c r="E193" i="9" s="1"/>
  <c r="C194" i="9"/>
  <c r="N127" i="9"/>
  <c r="N129" i="9"/>
  <c r="L180" i="9"/>
  <c r="N123" i="9"/>
  <c r="N125" i="9"/>
  <c r="B190" i="9"/>
  <c r="U187" i="9"/>
  <c r="S144" i="9"/>
  <c r="W144" i="9" s="1"/>
  <c r="U144" i="9"/>
  <c r="D144" i="9"/>
  <c r="E144" i="9" s="1"/>
  <c r="N128" i="9"/>
  <c r="N150" i="9"/>
  <c r="N174" i="9"/>
  <c r="U182" i="9"/>
  <c r="L171" i="9"/>
  <c r="J182" i="9"/>
  <c r="H180" i="9"/>
  <c r="N180" i="9"/>
  <c r="S177" i="9"/>
  <c r="L167" i="9"/>
  <c r="N167" i="9" s="1"/>
  <c r="D147" i="9"/>
  <c r="U147" i="9"/>
  <c r="N23" i="9"/>
  <c r="N26" i="9"/>
  <c r="C154" i="9"/>
  <c r="E154" i="9" s="1"/>
  <c r="N40" i="9"/>
  <c r="D163" i="9"/>
  <c r="B164" i="9"/>
  <c r="E164" i="9"/>
  <c r="N50" i="9"/>
  <c r="N60" i="9"/>
  <c r="C169" i="9"/>
  <c r="C173" i="9"/>
  <c r="B181" i="9"/>
  <c r="E181" i="9" s="1"/>
  <c r="B186" i="9"/>
  <c r="U186" i="9"/>
  <c r="T186" i="9"/>
  <c r="W186" i="9"/>
  <c r="C188" i="9"/>
  <c r="C192" i="9"/>
  <c r="N113" i="9"/>
  <c r="L160" i="9"/>
  <c r="C165" i="9"/>
  <c r="E165" i="9" s="1"/>
  <c r="H182" i="9"/>
  <c r="N182" i="9"/>
  <c r="J154" i="9"/>
  <c r="H154" i="9"/>
  <c r="J195" i="9"/>
  <c r="L153" i="9"/>
  <c r="N153" i="9" s="1"/>
  <c r="H153" i="9"/>
  <c r="B160" i="9"/>
  <c r="E160" i="9"/>
  <c r="N43" i="9"/>
  <c r="B162" i="9"/>
  <c r="E162" i="9"/>
  <c r="C166" i="9"/>
  <c r="T166" i="9"/>
  <c r="W166" i="9" s="1"/>
  <c r="D173" i="9"/>
  <c r="E175" i="9"/>
  <c r="B188" i="9"/>
  <c r="E188" i="9" s="1"/>
  <c r="N76" i="9"/>
  <c r="J150" i="9"/>
  <c r="L154" i="9"/>
  <c r="S163" i="9"/>
  <c r="W163" i="9"/>
  <c r="U163" i="9"/>
  <c r="J163" i="9"/>
  <c r="H163" i="9"/>
  <c r="N163" i="9"/>
  <c r="N55" i="9"/>
  <c r="B166" i="9"/>
  <c r="E166" i="9" s="1"/>
  <c r="C170" i="9"/>
  <c r="E170" i="9" s="1"/>
  <c r="B171" i="9"/>
  <c r="E171" i="9" s="1"/>
  <c r="D171" i="9"/>
  <c r="L173" i="9"/>
  <c r="J173" i="9"/>
  <c r="N90" i="9"/>
  <c r="B182" i="9"/>
  <c r="L183" i="9"/>
  <c r="H183" i="9"/>
  <c r="N183" i="9" s="1"/>
  <c r="N96" i="9"/>
  <c r="B189" i="9"/>
  <c r="S167" i="9"/>
  <c r="H177" i="9"/>
  <c r="B192" i="9"/>
  <c r="N10" i="9"/>
  <c r="N12" i="9"/>
  <c r="B145" i="9"/>
  <c r="E145" i="9" s="1"/>
  <c r="B147" i="9"/>
  <c r="E147" i="9" s="1"/>
  <c r="B149" i="9"/>
  <c r="E149" i="9"/>
  <c r="L151" i="9"/>
  <c r="J151" i="9"/>
  <c r="N151" i="9"/>
  <c r="L155" i="9"/>
  <c r="J155" i="9"/>
  <c r="H155" i="9"/>
  <c r="N155" i="9" s="1"/>
  <c r="L156" i="9"/>
  <c r="N156" i="9"/>
  <c r="H157" i="9"/>
  <c r="J157" i="9"/>
  <c r="H165" i="9"/>
  <c r="N165" i="9" s="1"/>
  <c r="L165" i="9"/>
  <c r="R60" i="9"/>
  <c r="S169" i="9"/>
  <c r="W169" i="9"/>
  <c r="D170" i="9"/>
  <c r="C171" i="9"/>
  <c r="N67" i="9"/>
  <c r="C174" i="9"/>
  <c r="E174" i="9" s="1"/>
  <c r="T174" i="9"/>
  <c r="W174" i="9"/>
  <c r="L176" i="9"/>
  <c r="C177" i="9"/>
  <c r="L178" i="9"/>
  <c r="C182" i="9"/>
  <c r="B183" i="9"/>
  <c r="C189" i="9"/>
  <c r="L190" i="9"/>
  <c r="U190" i="9"/>
  <c r="J190" i="9"/>
  <c r="T190" i="9"/>
  <c r="W190" i="9" s="1"/>
  <c r="H190" i="9"/>
  <c r="N190" i="9" s="1"/>
  <c r="N119" i="9"/>
  <c r="J192" i="9"/>
  <c r="J177" i="9"/>
  <c r="W194" i="9"/>
  <c r="B177" i="9"/>
  <c r="L146" i="9"/>
  <c r="L148" i="9"/>
  <c r="S151" i="9"/>
  <c r="T151" i="9"/>
  <c r="U151" i="9"/>
  <c r="W151" i="9" s="1"/>
  <c r="N27" i="9"/>
  <c r="N30" i="9"/>
  <c r="B156" i="9"/>
  <c r="E156" i="9"/>
  <c r="U156" i="9"/>
  <c r="W156" i="9"/>
  <c r="D157" i="9"/>
  <c r="J159" i="9"/>
  <c r="N159" i="9" s="1"/>
  <c r="L164" i="9"/>
  <c r="N164" i="9" s="1"/>
  <c r="J164" i="9"/>
  <c r="H170" i="9"/>
  <c r="N72" i="9"/>
  <c r="N73" i="9"/>
  <c r="B176" i="9"/>
  <c r="T176" i="9"/>
  <c r="S176" i="9"/>
  <c r="W176" i="9" s="1"/>
  <c r="D176" i="9"/>
  <c r="H178" i="9"/>
  <c r="N178" i="9" s="1"/>
  <c r="J178" i="9"/>
  <c r="T179" i="9"/>
  <c r="U179" i="9"/>
  <c r="S179" i="9"/>
  <c r="N84" i="9"/>
  <c r="J181" i="9"/>
  <c r="H181" i="9"/>
  <c r="D182" i="9"/>
  <c r="N102" i="9"/>
  <c r="B187" i="9"/>
  <c r="N109" i="9"/>
  <c r="H158" i="9"/>
  <c r="N158" i="9" s="1"/>
  <c r="J152" i="9"/>
  <c r="H152" i="9"/>
  <c r="N152" i="9" s="1"/>
  <c r="E161" i="9"/>
  <c r="B163" i="9"/>
  <c r="E163" i="9" s="1"/>
  <c r="N48" i="9"/>
  <c r="H188" i="9"/>
  <c r="U188" i="9"/>
  <c r="T188" i="9"/>
  <c r="S188" i="9"/>
  <c r="W188" i="9"/>
  <c r="D186" i="9"/>
  <c r="B194" i="9"/>
  <c r="E194" i="9" s="1"/>
  <c r="J145" i="9"/>
  <c r="H145" i="9"/>
  <c r="N17" i="9"/>
  <c r="B148" i="9"/>
  <c r="E148" i="9" s="1"/>
  <c r="N19" i="9"/>
  <c r="E152" i="9"/>
  <c r="B167" i="9"/>
  <c r="J168" i="9"/>
  <c r="N68" i="9"/>
  <c r="B173" i="9"/>
  <c r="E173" i="9"/>
  <c r="D174" i="9"/>
  <c r="T183" i="9"/>
  <c r="S183" i="9"/>
  <c r="W183" i="9"/>
  <c r="J186" i="9"/>
  <c r="H186" i="9"/>
  <c r="H189" i="9"/>
  <c r="N82" i="9"/>
  <c r="L168" i="9"/>
  <c r="T147" i="9"/>
  <c r="L147" i="9"/>
  <c r="D178" i="9"/>
  <c r="W182" i="9"/>
  <c r="D188" i="9"/>
  <c r="T189" i="9"/>
  <c r="S189" i="9"/>
  <c r="H191" i="9"/>
  <c r="L191" i="9"/>
  <c r="H195" i="9"/>
  <c r="N195" i="9" s="1"/>
  <c r="S147" i="9"/>
  <c r="W147" i="9" s="1"/>
  <c r="B170" i="9"/>
  <c r="J188" i="9"/>
  <c r="U189" i="9"/>
  <c r="L166" i="9"/>
  <c r="N166" i="9" s="1"/>
  <c r="H144" i="9"/>
  <c r="N144" i="9" s="1"/>
  <c r="J170" i="9"/>
  <c r="N170" i="9" s="1"/>
  <c r="H162" i="9"/>
  <c r="T171" i="9"/>
  <c r="H173" i="9"/>
  <c r="N173" i="9"/>
  <c r="U177" i="9"/>
  <c r="E153" i="9"/>
  <c r="L177" i="9"/>
  <c r="N177" i="9" s="1"/>
  <c r="B193" i="9"/>
  <c r="C147" i="9"/>
  <c r="B150" i="9"/>
  <c r="E150" i="9"/>
  <c r="N44" i="9"/>
  <c r="J162" i="9"/>
  <c r="N162" i="9" s="1"/>
  <c r="D168" i="9"/>
  <c r="E168" i="9" s="1"/>
  <c r="N58" i="9"/>
  <c r="H171" i="9"/>
  <c r="J171" i="9"/>
  <c r="N171" i="9" s="1"/>
  <c r="N71" i="9"/>
  <c r="N80" i="9"/>
  <c r="C183" i="9"/>
  <c r="E183" i="9" s="1"/>
  <c r="C187" i="9"/>
  <c r="L188" i="9"/>
  <c r="D189" i="9"/>
  <c r="T191" i="9"/>
  <c r="S191" i="9"/>
  <c r="W191" i="9" s="1"/>
  <c r="U191" i="9"/>
  <c r="J194" i="9"/>
  <c r="H194" i="9"/>
  <c r="N194" i="9" s="1"/>
  <c r="N122" i="9"/>
  <c r="H146" i="9"/>
  <c r="N146" i="9" s="1"/>
  <c r="S166" i="9"/>
  <c r="H148" i="9"/>
  <c r="B151" i="9"/>
  <c r="E151" i="9"/>
  <c r="S178" i="12"/>
  <c r="U178" i="12"/>
  <c r="N181" i="9"/>
  <c r="N192" i="9"/>
  <c r="N188" i="9"/>
  <c r="N154" i="9"/>
  <c r="N148" i="9"/>
  <c r="E192" i="9"/>
  <c r="W189" i="9"/>
  <c r="W177" i="9"/>
  <c r="N191" i="9"/>
  <c r="N157" i="9"/>
  <c r="N145" i="9"/>
  <c r="B138" i="25"/>
  <c r="E138" i="25"/>
  <c r="H138" i="25"/>
  <c r="N138" i="25" s="1"/>
  <c r="U138" i="25"/>
  <c r="W138" i="25" s="1"/>
  <c r="U146" i="16"/>
  <c r="U151" i="17"/>
  <c r="H151" i="17"/>
  <c r="J151" i="17"/>
  <c r="N151" i="17" s="1"/>
  <c r="B151" i="17"/>
  <c r="E151" i="17" s="1"/>
  <c r="S151" i="17"/>
  <c r="W151" i="17"/>
  <c r="C151" i="17"/>
  <c r="L151" i="17"/>
  <c r="D151" i="17"/>
  <c r="E188" i="22"/>
  <c r="W178" i="22"/>
  <c r="C178" i="22"/>
  <c r="U165" i="22"/>
  <c r="W165" i="22"/>
  <c r="W150" i="22"/>
  <c r="T145" i="22"/>
  <c r="W140" i="22"/>
  <c r="N54" i="22"/>
  <c r="C170" i="22"/>
  <c r="E170" i="22" s="1"/>
  <c r="T170" i="22"/>
  <c r="W170" i="22" s="1"/>
  <c r="B170" i="22"/>
  <c r="U170" i="22"/>
  <c r="S170" i="22"/>
  <c r="B157" i="22"/>
  <c r="E157" i="22" s="1"/>
  <c r="N72" i="22"/>
  <c r="U175" i="22"/>
  <c r="T175" i="22"/>
  <c r="N91" i="22"/>
  <c r="H189" i="22"/>
  <c r="L173" i="22"/>
  <c r="J173" i="22"/>
  <c r="L151" i="22"/>
  <c r="H151" i="22"/>
  <c r="J141" i="22"/>
  <c r="H141" i="22"/>
  <c r="L141" i="22"/>
  <c r="B144" i="22"/>
  <c r="E144" i="22"/>
  <c r="N17" i="22"/>
  <c r="C167" i="22"/>
  <c r="N89" i="22"/>
  <c r="N109" i="22"/>
  <c r="N116" i="22"/>
  <c r="N122" i="22"/>
  <c r="S167" i="22"/>
  <c r="T167" i="22"/>
  <c r="J175" i="22"/>
  <c r="T189" i="22"/>
  <c r="W189" i="22" s="1"/>
  <c r="C163" i="22"/>
  <c r="N82" i="22"/>
  <c r="C174" i="22"/>
  <c r="E174" i="22" s="1"/>
  <c r="N90" i="22"/>
  <c r="D183" i="22"/>
  <c r="B191" i="22"/>
  <c r="E191" i="22"/>
  <c r="N104" i="22"/>
  <c r="N108" i="22"/>
  <c r="J169" i="22"/>
  <c r="N119" i="22"/>
  <c r="U167" i="22"/>
  <c r="W167" i="22" s="1"/>
  <c r="U174" i="22"/>
  <c r="N31" i="22"/>
  <c r="N43" i="22"/>
  <c r="T155" i="22"/>
  <c r="U155" i="22"/>
  <c r="S155" i="22"/>
  <c r="D174" i="22"/>
  <c r="C180" i="22"/>
  <c r="S183" i="22"/>
  <c r="T183" i="22"/>
  <c r="W144" i="22"/>
  <c r="J151" i="22"/>
  <c r="N70" i="22"/>
  <c r="B166" i="22"/>
  <c r="N100" i="22"/>
  <c r="H167" i="22"/>
  <c r="S174" i="22"/>
  <c r="W174" i="22"/>
  <c r="B180" i="22"/>
  <c r="E180" i="22" s="1"/>
  <c r="B184" i="22"/>
  <c r="E184" i="22"/>
  <c r="N10" i="22"/>
  <c r="C143" i="22"/>
  <c r="N28" i="22"/>
  <c r="N46" i="22"/>
  <c r="N50" i="22"/>
  <c r="N65" i="22"/>
  <c r="W185" i="22"/>
  <c r="W172" i="22"/>
  <c r="H168" i="22"/>
  <c r="H164" i="22"/>
  <c r="L160" i="22"/>
  <c r="W192" i="22"/>
  <c r="J155" i="22"/>
  <c r="B151" i="22"/>
  <c r="E151" i="22"/>
  <c r="W156" i="22"/>
  <c r="W158" i="22"/>
  <c r="W162" i="22"/>
  <c r="W168" i="22"/>
  <c r="H170" i="22"/>
  <c r="J166" i="22"/>
  <c r="N166" i="22" s="1"/>
  <c r="J162" i="22"/>
  <c r="L142" i="22"/>
  <c r="J149" i="22"/>
  <c r="W176" i="22"/>
  <c r="W190" i="22"/>
  <c r="N93" i="22"/>
  <c r="L192" i="22"/>
  <c r="L191" i="22"/>
  <c r="H190" i="22"/>
  <c r="J183" i="22"/>
  <c r="H182" i="22"/>
  <c r="L179" i="22"/>
  <c r="J179" i="22"/>
  <c r="H175" i="22"/>
  <c r="H176" i="22"/>
  <c r="N176" i="22" s="1"/>
  <c r="J174" i="22"/>
  <c r="H172" i="22"/>
  <c r="L167" i="22"/>
  <c r="J167" i="22"/>
  <c r="J168" i="22"/>
  <c r="L168" i="22"/>
  <c r="L163" i="22"/>
  <c r="J164" i="22"/>
  <c r="L164" i="22"/>
  <c r="J160" i="22"/>
  <c r="L157" i="22"/>
  <c r="L184" i="22"/>
  <c r="J182" i="22"/>
  <c r="H160" i="22"/>
  <c r="N160" i="22" s="1"/>
  <c r="J180" i="22"/>
  <c r="N180" i="22" s="1"/>
  <c r="L145" i="22"/>
  <c r="J152" i="22"/>
  <c r="J172" i="22"/>
  <c r="J176" i="22"/>
  <c r="H192" i="22"/>
  <c r="L154" i="22"/>
  <c r="H184" i="22"/>
  <c r="H188" i="22"/>
  <c r="J192" i="22"/>
  <c r="N151" i="22"/>
  <c r="D174" i="23"/>
  <c r="E174" i="23" s="1"/>
  <c r="T174" i="23"/>
  <c r="W174" i="23"/>
  <c r="D166" i="23"/>
  <c r="B166" i="23"/>
  <c r="H159" i="23"/>
  <c r="N159" i="23" s="1"/>
  <c r="C169" i="14"/>
  <c r="U169" i="14"/>
  <c r="J144" i="9"/>
  <c r="E166" i="23"/>
  <c r="U86" i="28"/>
  <c r="C83" i="28"/>
  <c r="B82" i="28"/>
  <c r="D83" i="28"/>
  <c r="S93" i="28"/>
  <c r="T93" i="28"/>
  <c r="N10" i="28"/>
  <c r="N43" i="28"/>
  <c r="N36" i="28"/>
  <c r="N30" i="28"/>
  <c r="N28" i="34"/>
  <c r="L74" i="37"/>
  <c r="J86" i="37"/>
  <c r="H82" i="37"/>
  <c r="H78" i="37"/>
  <c r="L81" i="37"/>
  <c r="H74" i="37"/>
  <c r="N74" i="37"/>
  <c r="C77" i="34"/>
  <c r="S77" i="34"/>
  <c r="S78" i="34"/>
  <c r="J77" i="34"/>
  <c r="S89" i="34"/>
  <c r="W89" i="34" s="1"/>
  <c r="J84" i="34"/>
  <c r="N84" i="34" s="1"/>
  <c r="U89" i="34"/>
  <c r="U85" i="34"/>
  <c r="H71" i="34"/>
  <c r="S90" i="36"/>
  <c r="T102" i="36"/>
  <c r="U102" i="36"/>
  <c r="B99" i="36"/>
  <c r="N20" i="37"/>
  <c r="L93" i="37"/>
  <c r="N93" i="37" s="1"/>
  <c r="C77" i="37"/>
  <c r="D77" i="37"/>
  <c r="J79" i="37"/>
  <c r="N48" i="37"/>
  <c r="N17" i="37"/>
  <c r="H85" i="37"/>
  <c r="J81" i="37"/>
  <c r="N27" i="37"/>
  <c r="N40" i="37"/>
  <c r="L92" i="37"/>
  <c r="S92" i="37"/>
  <c r="L79" i="37"/>
  <c r="S93" i="37"/>
  <c r="D92" i="37"/>
  <c r="D93" i="37"/>
  <c r="L82" i="37"/>
  <c r="L78" i="37"/>
  <c r="H81" i="37"/>
  <c r="N81" i="37" s="1"/>
  <c r="H92" i="37"/>
  <c r="N92" i="37" s="1"/>
  <c r="J90" i="37"/>
  <c r="J82" i="37"/>
  <c r="N82" i="37" s="1"/>
  <c r="J78" i="37"/>
  <c r="N78" i="37"/>
  <c r="U93" i="37"/>
  <c r="W93" i="37" s="1"/>
  <c r="U84" i="37"/>
  <c r="S84" i="37"/>
  <c r="W84" i="37" s="1"/>
  <c r="N11" i="37"/>
  <c r="N23" i="37"/>
  <c r="S90" i="38"/>
  <c r="W74" i="37"/>
  <c r="N52" i="29"/>
  <c r="N13" i="29"/>
  <c r="N35" i="29"/>
  <c r="N41" i="29"/>
  <c r="N10" i="29"/>
  <c r="N33" i="29"/>
  <c r="N24" i="29"/>
  <c r="N11" i="29"/>
  <c r="N36" i="29"/>
  <c r="N32" i="29"/>
  <c r="N27" i="29"/>
  <c r="N18" i="29"/>
  <c r="N16" i="29"/>
  <c r="N14" i="29"/>
  <c r="N12" i="29"/>
  <c r="N14" i="37"/>
  <c r="D78" i="37"/>
  <c r="D84" i="37"/>
  <c r="L94" i="37"/>
  <c r="N94" i="37" s="1"/>
  <c r="N16" i="37"/>
  <c r="L76" i="37"/>
  <c r="B89" i="37"/>
  <c r="B87" i="37"/>
  <c r="H84" i="37"/>
  <c r="L84" i="37"/>
  <c r="N84" i="37" s="1"/>
  <c r="C76" i="37"/>
  <c r="U76" i="37"/>
  <c r="N35" i="37"/>
  <c r="N13" i="33"/>
  <c r="B71" i="33"/>
  <c r="B72" i="33"/>
  <c r="E72" i="33" s="1"/>
  <c r="T66" i="30"/>
  <c r="U69" i="30"/>
  <c r="W69" i="30" s="1"/>
  <c r="H61" i="30"/>
  <c r="B63" i="30"/>
  <c r="E63" i="30" s="1"/>
  <c r="U72" i="30"/>
  <c r="U64" i="30"/>
  <c r="H63" i="30"/>
  <c r="N63" i="30" s="1"/>
  <c r="S64" i="30"/>
  <c r="W64" i="30"/>
  <c r="S61" i="30"/>
  <c r="W61" i="30" s="1"/>
  <c r="N15" i="33"/>
  <c r="N10" i="33"/>
  <c r="N9" i="33"/>
  <c r="N14" i="32"/>
  <c r="N28" i="31"/>
  <c r="N32" i="31"/>
  <c r="N40" i="31"/>
  <c r="N13" i="31"/>
  <c r="N24" i="31"/>
  <c r="N22" i="31"/>
  <c r="N27" i="31"/>
  <c r="N31" i="31"/>
  <c r="N29" i="31"/>
  <c r="B89" i="34"/>
  <c r="T88" i="34"/>
  <c r="W88" i="34" s="1"/>
  <c r="D88" i="34"/>
  <c r="H84" i="34"/>
  <c r="L84" i="34"/>
  <c r="T81" i="34"/>
  <c r="S81" i="34"/>
  <c r="N32" i="34"/>
  <c r="L70" i="34"/>
  <c r="H82" i="34"/>
  <c r="U77" i="34"/>
  <c r="W77" i="34" s="1"/>
  <c r="H87" i="34"/>
  <c r="D80" i="34"/>
  <c r="U80" i="34"/>
  <c r="S73" i="34"/>
  <c r="T69" i="34"/>
  <c r="D75" i="34"/>
  <c r="J72" i="34"/>
  <c r="N72" i="34" s="1"/>
  <c r="U83" i="34"/>
  <c r="L89" i="34"/>
  <c r="L74" i="34"/>
  <c r="L86" i="34"/>
  <c r="W76" i="34"/>
  <c r="J81" i="34"/>
  <c r="U88" i="36"/>
  <c r="S91" i="36"/>
  <c r="U91" i="36"/>
  <c r="U119" i="35"/>
  <c r="S119" i="35"/>
  <c r="N38" i="35"/>
  <c r="N74" i="35"/>
  <c r="T106" i="35"/>
  <c r="S81" i="38"/>
  <c r="U81" i="38"/>
  <c r="T81" i="38"/>
  <c r="S88" i="37"/>
  <c r="U88" i="37"/>
  <c r="D88" i="37"/>
  <c r="T88" i="37"/>
  <c r="J75" i="37"/>
  <c r="N46" i="7"/>
  <c r="J144" i="16"/>
  <c r="N144" i="16" s="1"/>
  <c r="N47" i="16"/>
  <c r="U144" i="16"/>
  <c r="L131" i="16"/>
  <c r="N65" i="16"/>
  <c r="C144" i="16"/>
  <c r="B118" i="16"/>
  <c r="S144" i="16"/>
  <c r="B123" i="16"/>
  <c r="E123" i="16" s="1"/>
  <c r="H130" i="16"/>
  <c r="D68" i="30"/>
  <c r="D69" i="30"/>
  <c r="L71" i="30"/>
  <c r="U61" i="30"/>
  <c r="U66" i="30"/>
  <c r="C64" i="30"/>
  <c r="E64" i="30" s="1"/>
  <c r="B62" i="30"/>
  <c r="E62" i="30" s="1"/>
  <c r="D63" i="30"/>
  <c r="D70" i="30"/>
  <c r="J66" i="30"/>
  <c r="N33" i="30"/>
  <c r="T63" i="30"/>
  <c r="W63" i="30"/>
  <c r="B73" i="30"/>
  <c r="D65" i="30"/>
  <c r="B70" i="30"/>
  <c r="C72" i="30"/>
  <c r="E72" i="30" s="1"/>
  <c r="B71" i="30"/>
  <c r="H71" i="30"/>
  <c r="N71" i="30"/>
  <c r="S69" i="30"/>
  <c r="J72" i="30"/>
  <c r="N72" i="30" s="1"/>
  <c r="L70" i="30"/>
  <c r="C70" i="30"/>
  <c r="E70" i="30" s="1"/>
  <c r="B69" i="30"/>
  <c r="E69" i="30" s="1"/>
  <c r="L63" i="30"/>
  <c r="N20" i="30"/>
  <c r="B68" i="30"/>
  <c r="C73" i="30"/>
  <c r="C71" i="30"/>
  <c r="H73" i="30"/>
  <c r="N73" i="30"/>
  <c r="S62" i="30"/>
  <c r="W62" i="30"/>
  <c r="W67" i="30"/>
  <c r="W65" i="30"/>
  <c r="B66" i="30"/>
  <c r="E66" i="30"/>
  <c r="N8" i="30"/>
  <c r="J65" i="30"/>
  <c r="L62" i="30"/>
  <c r="N29" i="30"/>
  <c r="N13" i="30"/>
  <c r="B67" i="30"/>
  <c r="H66" i="30"/>
  <c r="N66" i="30" s="1"/>
  <c r="J61" i="30"/>
  <c r="N61" i="30"/>
  <c r="L65" i="30"/>
  <c r="N65" i="30" s="1"/>
  <c r="U71" i="30"/>
  <c r="L72" i="30"/>
  <c r="B65" i="30"/>
  <c r="E65" i="30" s="1"/>
  <c r="N7" i="30"/>
  <c r="D62" i="30"/>
  <c r="L66" i="30"/>
  <c r="N22" i="30"/>
  <c r="H72" i="30"/>
  <c r="U62" i="30"/>
  <c r="N46" i="25"/>
  <c r="N8" i="25"/>
  <c r="N16" i="25"/>
  <c r="D131" i="25"/>
  <c r="E131" i="25" s="1"/>
  <c r="D130" i="25"/>
  <c r="E130" i="25"/>
  <c r="C111" i="26"/>
  <c r="E111" i="26" s="1"/>
  <c r="N7" i="26"/>
  <c r="N9" i="26"/>
  <c r="C121" i="16"/>
  <c r="B119" i="16"/>
  <c r="N98" i="19"/>
  <c r="B161" i="19"/>
  <c r="E161" i="19"/>
  <c r="N65" i="19"/>
  <c r="N63" i="19"/>
  <c r="N50" i="19"/>
  <c r="B153" i="19"/>
  <c r="N49" i="19"/>
  <c r="N46" i="19"/>
  <c r="B151" i="19"/>
  <c r="E151" i="19"/>
  <c r="B150" i="19"/>
  <c r="E150" i="19"/>
  <c r="C153" i="19"/>
  <c r="N48" i="19"/>
  <c r="C144" i="19"/>
  <c r="J144" i="19"/>
  <c r="D144" i="19"/>
  <c r="E144" i="19" s="1"/>
  <c r="L144" i="19"/>
  <c r="T144" i="19"/>
  <c r="W144" i="19" s="1"/>
  <c r="H144" i="19"/>
  <c r="N144" i="19" s="1"/>
  <c r="S144" i="19"/>
  <c r="C147" i="13"/>
  <c r="N15" i="13"/>
  <c r="D185" i="13"/>
  <c r="B147" i="13"/>
  <c r="N84" i="13"/>
  <c r="E165" i="13"/>
  <c r="T187" i="13"/>
  <c r="U187" i="13"/>
  <c r="J187" i="13"/>
  <c r="W160" i="13"/>
  <c r="N61" i="13"/>
  <c r="N20" i="13"/>
  <c r="B148" i="13"/>
  <c r="E148" i="13"/>
  <c r="L171" i="13"/>
  <c r="N171" i="13" s="1"/>
  <c r="H187" i="13"/>
  <c r="N172" i="13"/>
  <c r="B175" i="13"/>
  <c r="E175" i="13" s="1"/>
  <c r="B180" i="13"/>
  <c r="D180" i="13"/>
  <c r="C169" i="13"/>
  <c r="E169" i="13"/>
  <c r="N66" i="13"/>
  <c r="J191" i="13"/>
  <c r="H191" i="13"/>
  <c r="N191" i="13" s="1"/>
  <c r="L187" i="13"/>
  <c r="C145" i="13"/>
  <c r="B149" i="13"/>
  <c r="E149" i="13" s="1"/>
  <c r="N17" i="13"/>
  <c r="D151" i="13"/>
  <c r="W148" i="13"/>
  <c r="N144" i="13"/>
  <c r="W158" i="13"/>
  <c r="N86" i="13"/>
  <c r="N123" i="13"/>
  <c r="H184" i="13"/>
  <c r="J171" i="13"/>
  <c r="D172" i="13"/>
  <c r="N73" i="13"/>
  <c r="T175" i="13"/>
  <c r="S175" i="13"/>
  <c r="U175" i="13"/>
  <c r="C187" i="13"/>
  <c r="S191" i="13"/>
  <c r="T191" i="13"/>
  <c r="J194" i="13"/>
  <c r="H186" i="13"/>
  <c r="J186" i="13"/>
  <c r="H182" i="13"/>
  <c r="J182" i="13"/>
  <c r="L179" i="13"/>
  <c r="J179" i="13"/>
  <c r="N179" i="13"/>
  <c r="J175" i="13"/>
  <c r="N175" i="13" s="1"/>
  <c r="C158" i="13"/>
  <c r="N28" i="13"/>
  <c r="N59" i="13"/>
  <c r="L184" i="13"/>
  <c r="N184" i="13" s="1"/>
  <c r="N93" i="13"/>
  <c r="N112" i="13"/>
  <c r="E191" i="13"/>
  <c r="H176" i="13"/>
  <c r="J176" i="13"/>
  <c r="N164" i="13"/>
  <c r="L160" i="13"/>
  <c r="J160" i="13"/>
  <c r="N160" i="13" s="1"/>
  <c r="L192" i="13"/>
  <c r="N192" i="13"/>
  <c r="D184" i="13"/>
  <c r="S187" i="13"/>
  <c r="H160" i="13"/>
  <c r="B177" i="13"/>
  <c r="N74" i="13"/>
  <c r="N98" i="13"/>
  <c r="N100" i="13"/>
  <c r="B190" i="13"/>
  <c r="E190" i="13"/>
  <c r="B192" i="13"/>
  <c r="E192" i="13"/>
  <c r="J196" i="13"/>
  <c r="N196" i="13" s="1"/>
  <c r="L196" i="13"/>
  <c r="J178" i="13"/>
  <c r="W192" i="13"/>
  <c r="N125" i="13"/>
  <c r="N51" i="13"/>
  <c r="D160" i="13"/>
  <c r="N11" i="13"/>
  <c r="N105" i="13"/>
  <c r="E193" i="13"/>
  <c r="D187" i="13"/>
  <c r="C151" i="13"/>
  <c r="E151" i="13" s="1"/>
  <c r="N76" i="13"/>
  <c r="H194" i="13"/>
  <c r="W183" i="13"/>
  <c r="D175" i="13"/>
  <c r="N108" i="13"/>
  <c r="N111" i="13"/>
  <c r="B189" i="13"/>
  <c r="N121" i="13"/>
  <c r="J193" i="13"/>
  <c r="N193" i="13" s="1"/>
  <c r="L193" i="13"/>
  <c r="J189" i="13"/>
  <c r="L189" i="13"/>
  <c r="H189" i="13"/>
  <c r="N189" i="13" s="1"/>
  <c r="L185" i="13"/>
  <c r="N185" i="13"/>
  <c r="W184" i="13"/>
  <c r="B166" i="13"/>
  <c r="E166" i="13" s="1"/>
  <c r="N60" i="13"/>
  <c r="D161" i="13"/>
  <c r="W144" i="13"/>
  <c r="N29" i="13"/>
  <c r="H145" i="13"/>
  <c r="N145" i="13" s="1"/>
  <c r="J149" i="13"/>
  <c r="B158" i="13"/>
  <c r="E158" i="13" s="1"/>
  <c r="H170" i="13"/>
  <c r="N170" i="13"/>
  <c r="C178" i="13"/>
  <c r="D159" i="13"/>
  <c r="E159" i="13" s="1"/>
  <c r="S177" i="13"/>
  <c r="W177" i="13"/>
  <c r="H146" i="13"/>
  <c r="N92" i="13"/>
  <c r="H178" i="13"/>
  <c r="H188" i="13"/>
  <c r="H167" i="13"/>
  <c r="N167" i="13" s="1"/>
  <c r="H173" i="13"/>
  <c r="N113" i="13"/>
  <c r="H190" i="13"/>
  <c r="N190" i="13"/>
  <c r="B146" i="13"/>
  <c r="E146" i="13" s="1"/>
  <c r="L146" i="13"/>
  <c r="J148" i="13"/>
  <c r="H158" i="13"/>
  <c r="N158" i="13" s="1"/>
  <c r="C150" i="13"/>
  <c r="E150" i="13" s="1"/>
  <c r="H148" i="13"/>
  <c r="B172" i="13"/>
  <c r="E172" i="13" s="1"/>
  <c r="L188" i="13"/>
  <c r="L173" i="13"/>
  <c r="L178" i="13"/>
  <c r="S179" i="13"/>
  <c r="W179" i="13" s="1"/>
  <c r="H150" i="13"/>
  <c r="J158" i="13"/>
  <c r="N146" i="13"/>
  <c r="N148" i="13"/>
  <c r="W175" i="13"/>
  <c r="N188" i="13"/>
  <c r="N178" i="13"/>
  <c r="W191" i="13"/>
  <c r="D70" i="31"/>
  <c r="D69" i="31"/>
  <c r="B69" i="31"/>
  <c r="B70" i="31"/>
  <c r="E70" i="31"/>
  <c r="N16" i="31"/>
  <c r="L69" i="30"/>
  <c r="J68" i="30"/>
  <c r="H69" i="30"/>
  <c r="L68" i="30"/>
  <c r="J69" i="30"/>
  <c r="J67" i="30"/>
  <c r="H67" i="30"/>
  <c r="N6" i="8"/>
  <c r="E134" i="2"/>
  <c r="D172" i="2"/>
  <c r="B178" i="2"/>
  <c r="E178" i="2"/>
  <c r="N64" i="2"/>
  <c r="B128" i="2"/>
  <c r="D132" i="2"/>
  <c r="N70" i="2"/>
  <c r="B135" i="2"/>
  <c r="N34" i="2"/>
  <c r="C171" i="2"/>
  <c r="N32" i="2"/>
  <c r="B162" i="2"/>
  <c r="B149" i="2"/>
  <c r="E149" i="2" s="1"/>
  <c r="B143" i="2"/>
  <c r="E143" i="2" s="1"/>
  <c r="N86" i="2"/>
  <c r="C133" i="2"/>
  <c r="E133" i="2" s="1"/>
  <c r="N45" i="2"/>
  <c r="B139" i="2"/>
  <c r="D128" i="2"/>
  <c r="N24" i="2"/>
  <c r="B163" i="2"/>
  <c r="B166" i="2"/>
  <c r="N11" i="2"/>
  <c r="C137" i="2"/>
  <c r="N40" i="2"/>
  <c r="N6" i="24"/>
  <c r="E138" i="12"/>
  <c r="N147" i="12"/>
  <c r="T168" i="12"/>
  <c r="C132" i="12"/>
  <c r="B147" i="12"/>
  <c r="N16" i="12"/>
  <c r="N22" i="12"/>
  <c r="N34" i="12"/>
  <c r="N43" i="12"/>
  <c r="N51" i="12"/>
  <c r="C160" i="12"/>
  <c r="E160" i="12" s="1"/>
  <c r="H160" i="12"/>
  <c r="S160" i="12"/>
  <c r="W160" i="12" s="1"/>
  <c r="U160" i="12"/>
  <c r="L160" i="12"/>
  <c r="E165" i="12"/>
  <c r="D170" i="12"/>
  <c r="E170" i="12" s="1"/>
  <c r="N99" i="12"/>
  <c r="B158" i="12"/>
  <c r="N111" i="12"/>
  <c r="N44" i="12"/>
  <c r="B164" i="12"/>
  <c r="E164" i="12" s="1"/>
  <c r="H168" i="12"/>
  <c r="L168" i="12"/>
  <c r="J168" i="12"/>
  <c r="S168" i="12"/>
  <c r="D132" i="12"/>
  <c r="E132" i="12" s="1"/>
  <c r="L132" i="12"/>
  <c r="S132" i="12"/>
  <c r="W132" i="12"/>
  <c r="U132" i="12"/>
  <c r="C141" i="12"/>
  <c r="D152" i="12"/>
  <c r="D171" i="12"/>
  <c r="T171" i="12"/>
  <c r="S171" i="12"/>
  <c r="B171" i="12"/>
  <c r="N96" i="12"/>
  <c r="B173" i="12"/>
  <c r="D175" i="12"/>
  <c r="U171" i="12"/>
  <c r="S140" i="12"/>
  <c r="N10" i="12"/>
  <c r="C136" i="12"/>
  <c r="D138" i="12"/>
  <c r="N30" i="12"/>
  <c r="B140" i="12"/>
  <c r="D141" i="12"/>
  <c r="N36" i="12"/>
  <c r="J152" i="12"/>
  <c r="H152" i="12"/>
  <c r="U152" i="12"/>
  <c r="W152" i="12" s="1"/>
  <c r="D153" i="12"/>
  <c r="D162" i="12"/>
  <c r="N74" i="12"/>
  <c r="B168" i="12"/>
  <c r="D168" i="12"/>
  <c r="J140" i="12"/>
  <c r="N140" i="12" s="1"/>
  <c r="N158" i="12"/>
  <c r="J136" i="12"/>
  <c r="N136" i="12" s="1"/>
  <c r="U136" i="12"/>
  <c r="S136" i="12"/>
  <c r="W136" i="12" s="1"/>
  <c r="W148" i="12"/>
  <c r="N41" i="12"/>
  <c r="N54" i="12"/>
  <c r="B135" i="12"/>
  <c r="E135" i="12" s="1"/>
  <c r="N20" i="12"/>
  <c r="B142" i="12"/>
  <c r="E142" i="12" s="1"/>
  <c r="S147" i="12"/>
  <c r="L147" i="12"/>
  <c r="T147" i="12"/>
  <c r="U147" i="12"/>
  <c r="W147" i="12" s="1"/>
  <c r="C147" i="12"/>
  <c r="E147" i="12" s="1"/>
  <c r="B153" i="12"/>
  <c r="N56" i="12"/>
  <c r="T136" i="12"/>
  <c r="L136" i="12"/>
  <c r="W157" i="12"/>
  <c r="C131" i="12"/>
  <c r="E131" i="12" s="1"/>
  <c r="N17" i="12"/>
  <c r="C140" i="12"/>
  <c r="B144" i="12"/>
  <c r="E144" i="12"/>
  <c r="N39" i="12"/>
  <c r="N48" i="12"/>
  <c r="C177" i="12"/>
  <c r="E177" i="12" s="1"/>
  <c r="N104" i="12"/>
  <c r="B178" i="12"/>
  <c r="N106" i="12"/>
  <c r="C179" i="12"/>
  <c r="N109" i="12"/>
  <c r="U140" i="12"/>
  <c r="W145" i="12"/>
  <c r="N88" i="12"/>
  <c r="B169" i="12"/>
  <c r="E169" i="12"/>
  <c r="B172" i="12"/>
  <c r="E172" i="12"/>
  <c r="N94" i="12"/>
  <c r="B136" i="12"/>
  <c r="J171" i="12"/>
  <c r="H136" i="12"/>
  <c r="C137" i="12"/>
  <c r="E137" i="12" s="1"/>
  <c r="N27" i="12"/>
  <c r="H139" i="12"/>
  <c r="N139" i="12" s="1"/>
  <c r="L139" i="12"/>
  <c r="B139" i="12"/>
  <c r="E139" i="12" s="1"/>
  <c r="U139" i="12"/>
  <c r="S139" i="12"/>
  <c r="W139" i="12" s="1"/>
  <c r="D140" i="12"/>
  <c r="J148" i="12"/>
  <c r="H148" i="12"/>
  <c r="L148" i="12"/>
  <c r="D149" i="12"/>
  <c r="E149" i="12"/>
  <c r="B151" i="12"/>
  <c r="N55" i="12"/>
  <c r="N57" i="12"/>
  <c r="N60" i="12"/>
  <c r="C155" i="12"/>
  <c r="N62" i="12"/>
  <c r="J167" i="12"/>
  <c r="H167" i="12"/>
  <c r="U167" i="12"/>
  <c r="L167" i="12"/>
  <c r="S167" i="12"/>
  <c r="W167" i="12" s="1"/>
  <c r="C168" i="12"/>
  <c r="C171" i="12"/>
  <c r="E171" i="12" s="1"/>
  <c r="N92" i="12"/>
  <c r="C178" i="12"/>
  <c r="L152" i="12"/>
  <c r="N161" i="12"/>
  <c r="W174" i="12"/>
  <c r="S158" i="12"/>
  <c r="B162" i="12"/>
  <c r="E162" i="12"/>
  <c r="N72" i="12"/>
  <c r="B157" i="12"/>
  <c r="E157" i="12" s="1"/>
  <c r="J175" i="12"/>
  <c r="S172" i="12"/>
  <c r="S175" i="12"/>
  <c r="H178" i="12"/>
  <c r="S162" i="12"/>
  <c r="W162" i="12"/>
  <c r="J162" i="12"/>
  <c r="D158" i="12"/>
  <c r="T172" i="12"/>
  <c r="L162" i="12"/>
  <c r="N162" i="12" s="1"/>
  <c r="W168" i="12"/>
  <c r="E168" i="12"/>
  <c r="N168" i="12"/>
  <c r="N167" i="12"/>
  <c r="W171" i="12"/>
  <c r="J174" i="5"/>
  <c r="D165" i="5"/>
  <c r="N85" i="5"/>
  <c r="N86" i="5"/>
  <c r="N88" i="5"/>
  <c r="N108" i="5"/>
  <c r="E180" i="5"/>
  <c r="D145" i="5"/>
  <c r="B154" i="5"/>
  <c r="E154" i="5"/>
  <c r="C156" i="5"/>
  <c r="C157" i="5"/>
  <c r="E157" i="5" s="1"/>
  <c r="C130" i="5"/>
  <c r="E130" i="5" s="1"/>
  <c r="N21" i="5"/>
  <c r="C141" i="5"/>
  <c r="D142" i="5"/>
  <c r="J155" i="5"/>
  <c r="J151" i="5"/>
  <c r="N151" i="5" s="1"/>
  <c r="J143" i="5"/>
  <c r="J139" i="5"/>
  <c r="L136" i="5"/>
  <c r="W177" i="5"/>
  <c r="S164" i="5"/>
  <c r="T176" i="5"/>
  <c r="U169" i="5"/>
  <c r="T161" i="5"/>
  <c r="T137" i="5"/>
  <c r="H153" i="5"/>
  <c r="N153" i="5" s="1"/>
  <c r="H142" i="5"/>
  <c r="L155" i="5"/>
  <c r="J149" i="5"/>
  <c r="N106" i="5"/>
  <c r="N9" i="5"/>
  <c r="B138" i="5"/>
  <c r="L179" i="5"/>
  <c r="T145" i="5"/>
  <c r="J179" i="5"/>
  <c r="C145" i="5"/>
  <c r="J140" i="5"/>
  <c r="D166" i="5"/>
  <c r="N110" i="5"/>
  <c r="L133" i="5"/>
  <c r="H149" i="5"/>
  <c r="J173" i="5"/>
  <c r="L143" i="5"/>
  <c r="C165" i="5"/>
  <c r="B167" i="5"/>
  <c r="C148" i="5"/>
  <c r="E148" i="5" s="1"/>
  <c r="C150" i="5"/>
  <c r="C155" i="5"/>
  <c r="D156" i="5"/>
  <c r="D157" i="5"/>
  <c r="B134" i="5"/>
  <c r="D135" i="5"/>
  <c r="E135" i="5" s="1"/>
  <c r="N34" i="5"/>
  <c r="H154" i="5"/>
  <c r="W135" i="5"/>
  <c r="L173" i="5"/>
  <c r="L169" i="5"/>
  <c r="L165" i="5"/>
  <c r="W161" i="5"/>
  <c r="S139" i="5"/>
  <c r="U160" i="5"/>
  <c r="H155" i="5"/>
  <c r="J169" i="5"/>
  <c r="J153" i="5"/>
  <c r="J136" i="5"/>
  <c r="N136" i="5" s="1"/>
  <c r="C139" i="5"/>
  <c r="D167" i="5"/>
  <c r="E167" i="5" s="1"/>
  <c r="B153" i="5"/>
  <c r="E153" i="5" s="1"/>
  <c r="L156" i="5"/>
  <c r="U165" i="5"/>
  <c r="N84" i="5"/>
  <c r="J175" i="5"/>
  <c r="C178" i="5"/>
  <c r="H144" i="5"/>
  <c r="N144" i="5" s="1"/>
  <c r="B177" i="5"/>
  <c r="N28" i="5"/>
  <c r="H151" i="5"/>
  <c r="H178" i="5"/>
  <c r="J166" i="5"/>
  <c r="S176" i="5"/>
  <c r="J156" i="5"/>
  <c r="W178" i="5"/>
  <c r="D162" i="5"/>
  <c r="D176" i="5"/>
  <c r="N39" i="5"/>
  <c r="D148" i="5"/>
  <c r="D140" i="5"/>
  <c r="H138" i="5"/>
  <c r="L131" i="5"/>
  <c r="T153" i="5"/>
  <c r="H161" i="5"/>
  <c r="L151" i="5"/>
  <c r="L163" i="5"/>
  <c r="N16" i="5"/>
  <c r="H179" i="5"/>
  <c r="N179" i="5"/>
  <c r="B171" i="5"/>
  <c r="E171" i="5"/>
  <c r="B163" i="5"/>
  <c r="W151" i="5"/>
  <c r="D161" i="5"/>
  <c r="B165" i="5"/>
  <c r="E165" i="5" s="1"/>
  <c r="D168" i="5"/>
  <c r="E168" i="5" s="1"/>
  <c r="C173" i="5"/>
  <c r="D147" i="5"/>
  <c r="N46" i="5"/>
  <c r="N14" i="5"/>
  <c r="D139" i="5"/>
  <c r="E139" i="5" s="1"/>
  <c r="N30" i="5"/>
  <c r="W138" i="5"/>
  <c r="L176" i="5"/>
  <c r="H172" i="5"/>
  <c r="J168" i="5"/>
  <c r="H164" i="5"/>
  <c r="J160" i="5"/>
  <c r="U173" i="5"/>
  <c r="H165" i="5"/>
  <c r="J165" i="5"/>
  <c r="N165" i="5" s="1"/>
  <c r="J133" i="5"/>
  <c r="N133" i="5" s="1"/>
  <c r="N57" i="5"/>
  <c r="S152" i="5"/>
  <c r="T152" i="5"/>
  <c r="N10" i="5"/>
  <c r="B131" i="5"/>
  <c r="E131" i="5"/>
  <c r="W147" i="5"/>
  <c r="H147" i="5"/>
  <c r="J147" i="5"/>
  <c r="L170" i="5"/>
  <c r="H170" i="5"/>
  <c r="C174" i="5"/>
  <c r="N105" i="5"/>
  <c r="N18" i="5"/>
  <c r="B135" i="5"/>
  <c r="J150" i="5"/>
  <c r="N150" i="5"/>
  <c r="W150" i="5"/>
  <c r="L150" i="5"/>
  <c r="C161" i="5"/>
  <c r="H177" i="5"/>
  <c r="N103" i="5"/>
  <c r="C182" i="5"/>
  <c r="C158" i="5"/>
  <c r="D144" i="5"/>
  <c r="N42" i="5"/>
  <c r="D152" i="5"/>
  <c r="N60" i="5"/>
  <c r="C133" i="5"/>
  <c r="J130" i="5"/>
  <c r="L130" i="5"/>
  <c r="H139" i="5"/>
  <c r="W139" i="5"/>
  <c r="H137" i="5"/>
  <c r="W182" i="5"/>
  <c r="J182" i="5"/>
  <c r="N182" i="5" s="1"/>
  <c r="H175" i="5"/>
  <c r="J171" i="5"/>
  <c r="N171" i="5" s="1"/>
  <c r="J167" i="5"/>
  <c r="H159" i="5"/>
  <c r="N159" i="5" s="1"/>
  <c r="W159" i="5"/>
  <c r="J159" i="5"/>
  <c r="C171" i="5"/>
  <c r="D138" i="5"/>
  <c r="T141" i="5"/>
  <c r="L147" i="5"/>
  <c r="N107" i="5"/>
  <c r="N81" i="5"/>
  <c r="B157" i="5"/>
  <c r="N63" i="5"/>
  <c r="B143" i="5"/>
  <c r="T131" i="5"/>
  <c r="U131" i="5"/>
  <c r="C131" i="5"/>
  <c r="N95" i="5"/>
  <c r="D177" i="5"/>
  <c r="B144" i="5"/>
  <c r="E144" i="5" s="1"/>
  <c r="N37" i="5"/>
  <c r="E134" i="5"/>
  <c r="L145" i="5"/>
  <c r="W145" i="5"/>
  <c r="H145" i="5"/>
  <c r="N145" i="5" s="1"/>
  <c r="H141" i="5"/>
  <c r="L141" i="5"/>
  <c r="W141" i="5"/>
  <c r="J135" i="5"/>
  <c r="H135" i="5"/>
  <c r="N135" i="5" s="1"/>
  <c r="H131" i="5"/>
  <c r="S131" i="5"/>
  <c r="L182" i="5"/>
  <c r="J170" i="5"/>
  <c r="N83" i="5"/>
  <c r="B166" i="5"/>
  <c r="N100" i="5"/>
  <c r="B175" i="5"/>
  <c r="N47" i="5"/>
  <c r="B149" i="5"/>
  <c r="E149" i="5"/>
  <c r="N33" i="5"/>
  <c r="L166" i="5"/>
  <c r="H166" i="5"/>
  <c r="N166" i="5" s="1"/>
  <c r="W154" i="5"/>
  <c r="J154" i="5"/>
  <c r="N154" i="5"/>
  <c r="L154" i="5"/>
  <c r="L132" i="5"/>
  <c r="N132" i="5" s="1"/>
  <c r="W132" i="5"/>
  <c r="J132" i="5"/>
  <c r="N74" i="5"/>
  <c r="C172" i="5"/>
  <c r="B145" i="5"/>
  <c r="E145" i="5"/>
  <c r="H157" i="5"/>
  <c r="N90" i="5"/>
  <c r="N71" i="5"/>
  <c r="N87" i="5"/>
  <c r="B168" i="5"/>
  <c r="N91" i="5"/>
  <c r="N94" i="5"/>
  <c r="N51" i="5"/>
  <c r="B151" i="5"/>
  <c r="E151" i="5"/>
  <c r="N53" i="5"/>
  <c r="B152" i="5"/>
  <c r="N59" i="5"/>
  <c r="D155" i="5"/>
  <c r="N27" i="5"/>
  <c r="B139" i="5"/>
  <c r="U141" i="5"/>
  <c r="B141" i="5"/>
  <c r="L160" i="5"/>
  <c r="H160" i="5"/>
  <c r="N160" i="5" s="1"/>
  <c r="B133" i="5"/>
  <c r="E133" i="5" s="1"/>
  <c r="U152" i="5"/>
  <c r="L159" i="5"/>
  <c r="L139" i="5"/>
  <c r="N114" i="5"/>
  <c r="D159" i="5"/>
  <c r="N20" i="5"/>
  <c r="C136" i="5"/>
  <c r="J158" i="5"/>
  <c r="L158" i="5"/>
  <c r="H158" i="5"/>
  <c r="L174" i="5"/>
  <c r="W174" i="5"/>
  <c r="W162" i="5"/>
  <c r="J162" i="5"/>
  <c r="N162" i="5" s="1"/>
  <c r="L162" i="5"/>
  <c r="H162" i="5"/>
  <c r="N56" i="5"/>
  <c r="S132" i="5"/>
  <c r="T132" i="5"/>
  <c r="J181" i="5"/>
  <c r="L181" i="5"/>
  <c r="H181" i="5"/>
  <c r="H174" i="5"/>
  <c r="J152" i="5"/>
  <c r="N101" i="5"/>
  <c r="N99" i="5"/>
  <c r="W166" i="5"/>
  <c r="C164" i="5"/>
  <c r="E164" i="5" s="1"/>
  <c r="D146" i="5"/>
  <c r="E150" i="5"/>
  <c r="C152" i="5"/>
  <c r="D153" i="5"/>
  <c r="N58" i="5"/>
  <c r="B156" i="5"/>
  <c r="E156" i="5" s="1"/>
  <c r="N62" i="5"/>
  <c r="N22" i="5"/>
  <c r="B140" i="5"/>
  <c r="N29" i="5"/>
  <c r="B142" i="5"/>
  <c r="E142" i="5" s="1"/>
  <c r="C143" i="5"/>
  <c r="L152" i="5"/>
  <c r="L148" i="5"/>
  <c r="H148" i="5"/>
  <c r="W148" i="5"/>
  <c r="L144" i="5"/>
  <c r="W144" i="5"/>
  <c r="L140" i="5"/>
  <c r="W140" i="5"/>
  <c r="W137" i="5"/>
  <c r="J134" i="5"/>
  <c r="J148" i="5"/>
  <c r="J137" i="5"/>
  <c r="N137" i="5" s="1"/>
  <c r="N82" i="5"/>
  <c r="C176" i="5"/>
  <c r="W168" i="5"/>
  <c r="W134" i="5"/>
  <c r="W131" i="5"/>
  <c r="S151" i="5"/>
  <c r="S159" i="5"/>
  <c r="S168" i="5"/>
  <c r="S177" i="5"/>
  <c r="T173" i="5"/>
  <c r="T169" i="5"/>
  <c r="T165" i="5"/>
  <c r="T160" i="5"/>
  <c r="T156" i="5"/>
  <c r="H156" i="5"/>
  <c r="N156" i="5" s="1"/>
  <c r="H168" i="5"/>
  <c r="N168" i="5" s="1"/>
  <c r="J178" i="5"/>
  <c r="N178" i="5"/>
  <c r="J172" i="5"/>
  <c r="J164" i="5"/>
  <c r="J131" i="5"/>
  <c r="H176" i="5"/>
  <c r="B172" i="5"/>
  <c r="E172" i="5"/>
  <c r="B181" i="5"/>
  <c r="E181" i="5" s="1"/>
  <c r="S160" i="5"/>
  <c r="S169" i="5"/>
  <c r="U177" i="5"/>
  <c r="U172" i="5"/>
  <c r="U168" i="5"/>
  <c r="U164" i="5"/>
  <c r="U159" i="5"/>
  <c r="U151" i="5"/>
  <c r="U139" i="5"/>
  <c r="H136" i="5"/>
  <c r="H169" i="5"/>
  <c r="N169" i="5" s="1"/>
  <c r="L177" i="5"/>
  <c r="N177" i="5" s="1"/>
  <c r="L171" i="5"/>
  <c r="L167" i="5"/>
  <c r="L146" i="5"/>
  <c r="L142" i="5"/>
  <c r="N142" i="5"/>
  <c r="L138" i="5"/>
  <c r="N138" i="5" s="1"/>
  <c r="L134" i="5"/>
  <c r="J176" i="5"/>
  <c r="B176" i="5"/>
  <c r="E176" i="5" s="1"/>
  <c r="W152" i="5"/>
  <c r="W136" i="5"/>
  <c r="W176" i="5"/>
  <c r="S137" i="5"/>
  <c r="S145" i="5"/>
  <c r="S153" i="5"/>
  <c r="S161" i="5"/>
  <c r="H171" i="5"/>
  <c r="H134" i="5"/>
  <c r="J177" i="5"/>
  <c r="J146" i="5"/>
  <c r="N146" i="5"/>
  <c r="H163" i="5"/>
  <c r="L153" i="5"/>
  <c r="N12" i="5"/>
  <c r="J163" i="5"/>
  <c r="C153" i="5"/>
  <c r="B173" i="5"/>
  <c r="H152" i="5"/>
  <c r="N134" i="5"/>
  <c r="N158" i="5"/>
  <c r="E166" i="5"/>
  <c r="N149" i="5"/>
  <c r="E140" i="5"/>
  <c r="N139" i="5"/>
  <c r="N167" i="5"/>
  <c r="N155" i="5"/>
  <c r="N131" i="5"/>
  <c r="N174" i="5"/>
  <c r="N147" i="5"/>
  <c r="N163" i="5"/>
  <c r="N148" i="5"/>
  <c r="E152" i="5"/>
  <c r="N170" i="5"/>
  <c r="T180" i="3"/>
  <c r="S180" i="3"/>
  <c r="S176" i="3"/>
  <c r="N64" i="3"/>
  <c r="S161" i="3"/>
  <c r="D181" i="3"/>
  <c r="N52" i="3"/>
  <c r="B145" i="3"/>
  <c r="B156" i="3"/>
  <c r="B148" i="3"/>
  <c r="L160" i="3"/>
  <c r="W160" i="3"/>
  <c r="C151" i="3"/>
  <c r="S170" i="3"/>
  <c r="U170" i="3"/>
  <c r="J159" i="3"/>
  <c r="D171" i="3"/>
  <c r="L150" i="3"/>
  <c r="J150" i="3"/>
  <c r="N150" i="3" s="1"/>
  <c r="H150" i="3"/>
  <c r="N16" i="3"/>
  <c r="K109" i="3"/>
  <c r="T181" i="3"/>
  <c r="N34" i="3"/>
  <c r="D149" i="3"/>
  <c r="H185" i="3"/>
  <c r="U176" i="3"/>
  <c r="S164" i="3"/>
  <c r="T164" i="3"/>
  <c r="N117" i="5"/>
  <c r="J183" i="5"/>
  <c r="N183" i="5" s="1"/>
  <c r="L183" i="5"/>
  <c r="C191" i="15"/>
  <c r="N120" i="15"/>
  <c r="L189" i="15"/>
  <c r="B170" i="15"/>
  <c r="E170" i="15" s="1"/>
  <c r="C175" i="15"/>
  <c r="N88" i="15"/>
  <c r="N117" i="15"/>
  <c r="J144" i="15"/>
  <c r="N144" i="15" s="1"/>
  <c r="N68" i="15"/>
  <c r="C171" i="15"/>
  <c r="N48" i="15"/>
  <c r="J188" i="15"/>
  <c r="L184" i="15"/>
  <c r="L180" i="15"/>
  <c r="J176" i="15"/>
  <c r="W180" i="15"/>
  <c r="N84" i="15"/>
  <c r="D179" i="15"/>
  <c r="B188" i="15"/>
  <c r="E188" i="15" s="1"/>
  <c r="C165" i="15"/>
  <c r="W160" i="15"/>
  <c r="W140" i="15"/>
  <c r="H189" i="15"/>
  <c r="J156" i="15"/>
  <c r="U174" i="15"/>
  <c r="B168" i="15"/>
  <c r="B165" i="15"/>
  <c r="E165" i="15" s="1"/>
  <c r="D160" i="15"/>
  <c r="B159" i="15"/>
  <c r="E159" i="15" s="1"/>
  <c r="D144" i="15"/>
  <c r="B141" i="15"/>
  <c r="N8" i="15"/>
  <c r="J160" i="15"/>
  <c r="W147" i="15"/>
  <c r="H181" i="15"/>
  <c r="C179" i="15"/>
  <c r="D189" i="15"/>
  <c r="N122" i="15"/>
  <c r="D158" i="15"/>
  <c r="B157" i="15"/>
  <c r="E157" i="15"/>
  <c r="D146" i="15"/>
  <c r="N21" i="15"/>
  <c r="C144" i="15"/>
  <c r="C142" i="15"/>
  <c r="N10" i="15"/>
  <c r="H174" i="15"/>
  <c r="W148" i="15"/>
  <c r="W187" i="15"/>
  <c r="E153" i="15"/>
  <c r="S171" i="15"/>
  <c r="W171" i="15" s="1"/>
  <c r="D183" i="15"/>
  <c r="E183" i="15" s="1"/>
  <c r="D185" i="15"/>
  <c r="D188" i="15"/>
  <c r="C189" i="15"/>
  <c r="B191" i="15"/>
  <c r="B156" i="15"/>
  <c r="E156" i="15" s="1"/>
  <c r="N41" i="15"/>
  <c r="D151" i="15"/>
  <c r="C148" i="15"/>
  <c r="E148" i="15" s="1"/>
  <c r="L159" i="15"/>
  <c r="B171" i="15"/>
  <c r="N121" i="15"/>
  <c r="N35" i="15"/>
  <c r="C169" i="15"/>
  <c r="C182" i="15"/>
  <c r="C185" i="15"/>
  <c r="E185" i="15" s="1"/>
  <c r="D143" i="15"/>
  <c r="N6" i="15"/>
  <c r="H150" i="15"/>
  <c r="J184" i="15"/>
  <c r="N70" i="15"/>
  <c r="D142" i="15"/>
  <c r="E142" i="15" s="1"/>
  <c r="B180" i="15"/>
  <c r="N96" i="15"/>
  <c r="W146" i="15"/>
  <c r="W153" i="15"/>
  <c r="N58" i="15"/>
  <c r="N53" i="15"/>
  <c r="B160" i="15"/>
  <c r="L147" i="15"/>
  <c r="J147" i="15"/>
  <c r="N147" i="15" s="1"/>
  <c r="N66" i="15"/>
  <c r="C163" i="15"/>
  <c r="E163" i="15" s="1"/>
  <c r="N85" i="15"/>
  <c r="W154" i="15"/>
  <c r="W161" i="15"/>
  <c r="U170" i="15"/>
  <c r="D170" i="15"/>
  <c r="C173" i="15"/>
  <c r="T177" i="15"/>
  <c r="W177" i="15" s="1"/>
  <c r="U177" i="15"/>
  <c r="J177" i="15"/>
  <c r="S177" i="15"/>
  <c r="N45" i="15"/>
  <c r="S170" i="15"/>
  <c r="D171" i="15"/>
  <c r="E171" i="15"/>
  <c r="C177" i="15"/>
  <c r="E177" i="15" s="1"/>
  <c r="L191" i="15"/>
  <c r="L168" i="15"/>
  <c r="J168" i="15"/>
  <c r="H168" i="15"/>
  <c r="N168" i="15" s="1"/>
  <c r="H157" i="15"/>
  <c r="L157" i="15"/>
  <c r="J170" i="15"/>
  <c r="N43" i="15"/>
  <c r="N38" i="15"/>
  <c r="N15" i="15"/>
  <c r="B174" i="15"/>
  <c r="E174" i="15" s="1"/>
  <c r="B176" i="15"/>
  <c r="E176" i="15"/>
  <c r="N103" i="15"/>
  <c r="N110" i="15"/>
  <c r="N60" i="15"/>
  <c r="N28" i="15"/>
  <c r="N13" i="15"/>
  <c r="J187" i="15"/>
  <c r="J143" i="15"/>
  <c r="W149" i="15"/>
  <c r="W141" i="15"/>
  <c r="C172" i="15"/>
  <c r="D181" i="15"/>
  <c r="C183" i="15"/>
  <c r="N105" i="15"/>
  <c r="N107" i="15"/>
  <c r="N113" i="15"/>
  <c r="D163" i="15"/>
  <c r="N55" i="15"/>
  <c r="C160" i="15"/>
  <c r="E160" i="15" s="1"/>
  <c r="D156" i="15"/>
  <c r="L146" i="15"/>
  <c r="W156" i="15"/>
  <c r="W168" i="15"/>
  <c r="W164" i="15"/>
  <c r="U179" i="15"/>
  <c r="N44" i="15"/>
  <c r="N76" i="15"/>
  <c r="D180" i="15"/>
  <c r="N98" i="15"/>
  <c r="D191" i="15"/>
  <c r="N62" i="15"/>
  <c r="D157" i="15"/>
  <c r="N19" i="15"/>
  <c r="N17" i="15"/>
  <c r="N12" i="15"/>
  <c r="J186" i="15"/>
  <c r="L174" i="15"/>
  <c r="N174" i="15" s="1"/>
  <c r="H166" i="15"/>
  <c r="W142" i="15"/>
  <c r="W150" i="15"/>
  <c r="W157" i="15"/>
  <c r="L155" i="15"/>
  <c r="C139" i="15"/>
  <c r="C170" i="15"/>
  <c r="D174" i="15"/>
  <c r="D175" i="15"/>
  <c r="D190" i="15"/>
  <c r="D164" i="15"/>
  <c r="N59" i="15"/>
  <c r="B162" i="15"/>
  <c r="C161" i="15"/>
  <c r="C157" i="15"/>
  <c r="N39" i="15"/>
  <c r="D150" i="15"/>
  <c r="E150" i="15" s="1"/>
  <c r="D149" i="15"/>
  <c r="D147" i="15"/>
  <c r="B146" i="15"/>
  <c r="B143" i="15"/>
  <c r="E143" i="15"/>
  <c r="H169" i="15"/>
  <c r="H187" i="15"/>
  <c r="W165" i="15"/>
  <c r="W189" i="15"/>
  <c r="W167" i="15"/>
  <c r="W163" i="15"/>
  <c r="J155" i="15"/>
  <c r="N155" i="15" s="1"/>
  <c r="S139" i="15"/>
  <c r="N47" i="15"/>
  <c r="C178" i="15"/>
  <c r="B181" i="15"/>
  <c r="E181" i="15" s="1"/>
  <c r="C164" i="15"/>
  <c r="B163" i="15"/>
  <c r="D161" i="15"/>
  <c r="C149" i="15"/>
  <c r="D148" i="15"/>
  <c r="H185" i="15"/>
  <c r="N185" i="15"/>
  <c r="J181" i="15"/>
  <c r="J173" i="15"/>
  <c r="W144" i="15"/>
  <c r="W191" i="15"/>
  <c r="W166" i="15"/>
  <c r="H151" i="15"/>
  <c r="U139" i="15"/>
  <c r="W139" i="15" s="1"/>
  <c r="N87" i="15"/>
  <c r="W183" i="15"/>
  <c r="D173" i="15"/>
  <c r="N90" i="15"/>
  <c r="N106" i="15"/>
  <c r="N31" i="15"/>
  <c r="J180" i="15"/>
  <c r="H154" i="15"/>
  <c r="H159" i="15"/>
  <c r="N159" i="15"/>
  <c r="B139" i="15"/>
  <c r="J169" i="15"/>
  <c r="L169" i="15"/>
  <c r="N79" i="15"/>
  <c r="C188" i="15"/>
  <c r="H190" i="15"/>
  <c r="B173" i="15"/>
  <c r="B182" i="15"/>
  <c r="E182" i="15" s="1"/>
  <c r="N61" i="15"/>
  <c r="B164" i="15"/>
  <c r="E164" i="15" s="1"/>
  <c r="C155" i="15"/>
  <c r="E152" i="15"/>
  <c r="B142" i="15"/>
  <c r="L140" i="15"/>
  <c r="J162" i="15"/>
  <c r="N162" i="15" s="1"/>
  <c r="L162" i="15"/>
  <c r="H162" i="15"/>
  <c r="H152" i="15"/>
  <c r="J152" i="15"/>
  <c r="T170" i="15"/>
  <c r="W170" i="15" s="1"/>
  <c r="H186" i="15"/>
  <c r="L170" i="15"/>
  <c r="N170" i="15" s="1"/>
  <c r="E189" i="15"/>
  <c r="N52" i="15"/>
  <c r="L187" i="15"/>
  <c r="W152" i="15"/>
  <c r="N91" i="15"/>
  <c r="H173" i="15"/>
  <c r="J191" i="15"/>
  <c r="N42" i="15"/>
  <c r="U171" i="15"/>
  <c r="B172" i="15"/>
  <c r="E172" i="15"/>
  <c r="S173" i="15"/>
  <c r="W173" i="15" s="1"/>
  <c r="T173" i="15"/>
  <c r="N95" i="15"/>
  <c r="T181" i="15"/>
  <c r="S181" i="15"/>
  <c r="W181" i="15" s="1"/>
  <c r="U181" i="15"/>
  <c r="N63" i="15"/>
  <c r="N56" i="15"/>
  <c r="D159" i="15"/>
  <c r="N26" i="15"/>
  <c r="B148" i="15"/>
  <c r="N14" i="15"/>
  <c r="L178" i="15"/>
  <c r="H165" i="15"/>
  <c r="N165" i="15"/>
  <c r="J165" i="15"/>
  <c r="L158" i="15"/>
  <c r="H158" i="15"/>
  <c r="N158" i="15" s="1"/>
  <c r="H148" i="15"/>
  <c r="J142" i="15"/>
  <c r="N142" i="15" s="1"/>
  <c r="N102" i="15"/>
  <c r="H140" i="15"/>
  <c r="L166" i="15"/>
  <c r="L143" i="15"/>
  <c r="N143" i="15" s="1"/>
  <c r="C174" i="15"/>
  <c r="N82" i="15"/>
  <c r="C186" i="15"/>
  <c r="N108" i="15"/>
  <c r="N29" i="15"/>
  <c r="C181" i="15"/>
  <c r="H176" i="15"/>
  <c r="L176" i="15"/>
  <c r="L160" i="15"/>
  <c r="L153" i="15"/>
  <c r="H153" i="15"/>
  <c r="J153" i="15"/>
  <c r="N153" i="15" s="1"/>
  <c r="W185" i="15"/>
  <c r="N50" i="15"/>
  <c r="N104" i="15"/>
  <c r="B184" i="15"/>
  <c r="E184" i="15" s="1"/>
  <c r="H172" i="15"/>
  <c r="N172" i="15"/>
  <c r="H163" i="15"/>
  <c r="H146" i="15"/>
  <c r="N146" i="15" s="1"/>
  <c r="J146" i="15"/>
  <c r="W159" i="15"/>
  <c r="L139" i="15"/>
  <c r="J139" i="15"/>
  <c r="H139" i="15"/>
  <c r="N139" i="15" s="1"/>
  <c r="L173" i="15"/>
  <c r="U190" i="15"/>
  <c r="L190" i="15"/>
  <c r="S190" i="15"/>
  <c r="B161" i="15"/>
  <c r="E161" i="15"/>
  <c r="N49" i="15"/>
  <c r="N40" i="15"/>
  <c r="J145" i="15"/>
  <c r="H145" i="15"/>
  <c r="W188" i="15"/>
  <c r="J172" i="15"/>
  <c r="H191" i="15"/>
  <c r="N191" i="15" s="1"/>
  <c r="D141" i="15"/>
  <c r="E141" i="15" s="1"/>
  <c r="C156" i="15"/>
  <c r="N69" i="15"/>
  <c r="C168" i="15"/>
  <c r="B186" i="15"/>
  <c r="E186" i="15" s="1"/>
  <c r="N109" i="15"/>
  <c r="N32" i="15"/>
  <c r="B150" i="15"/>
  <c r="N20" i="15"/>
  <c r="D145" i="15"/>
  <c r="E145" i="15" s="1"/>
  <c r="N11" i="15"/>
  <c r="H177" i="15"/>
  <c r="L177" i="15"/>
  <c r="H170" i="15"/>
  <c r="L151" i="15"/>
  <c r="N151" i="15"/>
  <c r="N93" i="15"/>
  <c r="N111" i="15"/>
  <c r="W182" i="15"/>
  <c r="H144" i="15"/>
  <c r="J166" i="15"/>
  <c r="L150" i="15"/>
  <c r="J150" i="15"/>
  <c r="H141" i="15"/>
  <c r="L141" i="15"/>
  <c r="N141" i="15" s="1"/>
  <c r="E155" i="15"/>
  <c r="H160" i="15"/>
  <c r="N83" i="15"/>
  <c r="J149" i="15"/>
  <c r="L149" i="15"/>
  <c r="H149" i="15"/>
  <c r="N149" i="15" s="1"/>
  <c r="B187" i="15"/>
  <c r="N57" i="15"/>
  <c r="N81" i="15"/>
  <c r="N86" i="15"/>
  <c r="B177" i="15"/>
  <c r="N89" i="15"/>
  <c r="N101" i="15"/>
  <c r="N115" i="15"/>
  <c r="N33" i="15"/>
  <c r="N156" i="15"/>
  <c r="L172" i="15"/>
  <c r="H142" i="15"/>
  <c r="N97" i="15"/>
  <c r="B158" i="15"/>
  <c r="E158" i="15"/>
  <c r="N72" i="15"/>
  <c r="D169" i="15"/>
  <c r="D182" i="15"/>
  <c r="D186" i="15"/>
  <c r="B190" i="15"/>
  <c r="B151" i="15"/>
  <c r="E151" i="15"/>
  <c r="B144" i="15"/>
  <c r="E144" i="15" s="1"/>
  <c r="N18" i="15"/>
  <c r="N9" i="15"/>
  <c r="L188" i="15"/>
  <c r="H188" i="15"/>
  <c r="N188" i="15" s="1"/>
  <c r="H184" i="15"/>
  <c r="N184" i="15"/>
  <c r="J157" i="15"/>
  <c r="J154" i="15"/>
  <c r="J141" i="15"/>
  <c r="W172" i="15"/>
  <c r="H180" i="15"/>
  <c r="N180" i="15"/>
  <c r="N80" i="15"/>
  <c r="S174" i="15"/>
  <c r="W174" i="15" s="1"/>
  <c r="J174" i="15"/>
  <c r="L119" i="15"/>
  <c r="C190" i="15" s="1"/>
  <c r="E190" i="15" s="1"/>
  <c r="B192" i="15"/>
  <c r="E192" i="15" s="1"/>
  <c r="J163" i="15"/>
  <c r="N163" i="15" s="1"/>
  <c r="L148" i="15"/>
  <c r="U169" i="15"/>
  <c r="L154" i="15"/>
  <c r="C192" i="15"/>
  <c r="S169" i="15"/>
  <c r="W169" i="15" s="1"/>
  <c r="E183" i="5"/>
  <c r="N116" i="5"/>
  <c r="N154" i="15"/>
  <c r="N150" i="15"/>
  <c r="E139" i="15"/>
  <c r="N157" i="15"/>
  <c r="N166" i="15"/>
  <c r="N187" i="15"/>
  <c r="N189" i="15"/>
  <c r="E173" i="15"/>
  <c r="N177" i="15"/>
  <c r="E180" i="15"/>
  <c r="N119" i="15"/>
  <c r="W190" i="15"/>
  <c r="N176" i="15"/>
  <c r="N145" i="15"/>
  <c r="N152" i="15"/>
  <c r="N148" i="15"/>
  <c r="N160" i="15"/>
  <c r="N140" i="15"/>
  <c r="S173" i="14"/>
  <c r="W173" i="14" s="1"/>
  <c r="T173" i="14"/>
  <c r="U173" i="14"/>
  <c r="N59" i="14"/>
  <c r="E153" i="14"/>
  <c r="C167" i="14"/>
  <c r="E167" i="14" s="1"/>
  <c r="N12" i="14"/>
  <c r="B134" i="14"/>
  <c r="E134" i="14" s="1"/>
  <c r="L181" i="14"/>
  <c r="L173" i="14"/>
  <c r="H173" i="14"/>
  <c r="H161" i="14"/>
  <c r="J157" i="14"/>
  <c r="N157" i="14" s="1"/>
  <c r="H142" i="14"/>
  <c r="B168" i="14"/>
  <c r="N9" i="14"/>
  <c r="E143" i="14"/>
  <c r="W137" i="14"/>
  <c r="W153" i="14"/>
  <c r="B172" i="14"/>
  <c r="E172" i="14"/>
  <c r="D175" i="14"/>
  <c r="B158" i="14"/>
  <c r="N64" i="14"/>
  <c r="N61" i="14"/>
  <c r="B152" i="14"/>
  <c r="N51" i="14"/>
  <c r="N40" i="14"/>
  <c r="B144" i="14"/>
  <c r="E144" i="14" s="1"/>
  <c r="H163" i="14"/>
  <c r="J154" i="14"/>
  <c r="T163" i="14"/>
  <c r="J163" i="14"/>
  <c r="S163" i="14"/>
  <c r="C163" i="14"/>
  <c r="E163" i="14" s="1"/>
  <c r="L163" i="14"/>
  <c r="N163" i="14" s="1"/>
  <c r="J146" i="14"/>
  <c r="L146" i="14"/>
  <c r="N86" i="14"/>
  <c r="N69" i="14"/>
  <c r="E140" i="14"/>
  <c r="N35" i="14"/>
  <c r="H149" i="14"/>
  <c r="N149" i="14"/>
  <c r="L161" i="14"/>
  <c r="D161" i="14"/>
  <c r="B163" i="14"/>
  <c r="B164" i="14"/>
  <c r="N76" i="14"/>
  <c r="N82" i="14"/>
  <c r="U171" i="14"/>
  <c r="T171" i="14"/>
  <c r="L162" i="14"/>
  <c r="N48" i="14"/>
  <c r="N38" i="14"/>
  <c r="N34" i="14"/>
  <c r="H138" i="14"/>
  <c r="N138" i="14" s="1"/>
  <c r="W160" i="14"/>
  <c r="W152" i="14"/>
  <c r="W144" i="14"/>
  <c r="W136" i="14"/>
  <c r="W132" i="14"/>
  <c r="D173" i="14"/>
  <c r="C175" i="14"/>
  <c r="N102" i="14"/>
  <c r="N109" i="14"/>
  <c r="D160" i="14"/>
  <c r="D156" i="14"/>
  <c r="E156" i="14"/>
  <c r="C155" i="14"/>
  <c r="N53" i="14"/>
  <c r="D134" i="14"/>
  <c r="C132" i="14"/>
  <c r="L184" i="14"/>
  <c r="J176" i="14"/>
  <c r="J168" i="14"/>
  <c r="J164" i="14"/>
  <c r="H160" i="14"/>
  <c r="J141" i="14"/>
  <c r="J134" i="14"/>
  <c r="W151" i="14"/>
  <c r="W135" i="14"/>
  <c r="N75" i="14"/>
  <c r="D164" i="14"/>
  <c r="B167" i="14"/>
  <c r="D169" i="14"/>
  <c r="D171" i="14"/>
  <c r="B175" i="14"/>
  <c r="B176" i="14"/>
  <c r="N107" i="14"/>
  <c r="D181" i="14"/>
  <c r="B182" i="14"/>
  <c r="D183" i="14"/>
  <c r="C160" i="14"/>
  <c r="E160" i="14"/>
  <c r="B157" i="14"/>
  <c r="E157" i="14" s="1"/>
  <c r="C145" i="14"/>
  <c r="N31" i="14"/>
  <c r="C138" i="14"/>
  <c r="N16" i="14"/>
  <c r="C134" i="14"/>
  <c r="D133" i="14"/>
  <c r="E133" i="14" s="1"/>
  <c r="B132" i="14"/>
  <c r="E132" i="14" s="1"/>
  <c r="W138" i="14"/>
  <c r="W146" i="14"/>
  <c r="W154" i="14"/>
  <c r="T175" i="14"/>
  <c r="W168" i="14"/>
  <c r="L179" i="14"/>
  <c r="N7" i="14"/>
  <c r="J131" i="14"/>
  <c r="N131" i="14" s="1"/>
  <c r="D170" i="14"/>
  <c r="C173" i="14"/>
  <c r="B174" i="14"/>
  <c r="D179" i="14"/>
  <c r="C136" i="14"/>
  <c r="D135" i="14"/>
  <c r="H171" i="14"/>
  <c r="H167" i="14"/>
  <c r="W180" i="14"/>
  <c r="T174" i="14"/>
  <c r="J179" i="14"/>
  <c r="L159" i="14"/>
  <c r="N159" i="14" s="1"/>
  <c r="L138" i="14"/>
  <c r="W131" i="14"/>
  <c r="N73" i="14"/>
  <c r="N90" i="14"/>
  <c r="N92" i="14"/>
  <c r="N95" i="14"/>
  <c r="N47" i="14"/>
  <c r="C148" i="14"/>
  <c r="D147" i="14"/>
  <c r="E147" i="14" s="1"/>
  <c r="N39" i="14"/>
  <c r="B136" i="14"/>
  <c r="W172" i="14"/>
  <c r="L175" i="14"/>
  <c r="L155" i="14"/>
  <c r="J138" i="14"/>
  <c r="D131" i="14"/>
  <c r="E131" i="14"/>
  <c r="N84" i="14"/>
  <c r="N89" i="14"/>
  <c r="N94" i="14"/>
  <c r="B183" i="14"/>
  <c r="N54" i="14"/>
  <c r="N49" i="14"/>
  <c r="B148" i="14"/>
  <c r="E148" i="14" s="1"/>
  <c r="N28" i="14"/>
  <c r="N23" i="14"/>
  <c r="H170" i="14"/>
  <c r="J162" i="14"/>
  <c r="H158" i="14"/>
  <c r="J150" i="14"/>
  <c r="H146" i="14"/>
  <c r="L143" i="14"/>
  <c r="J139" i="14"/>
  <c r="L135" i="14"/>
  <c r="S174" i="14"/>
  <c r="W178" i="14"/>
  <c r="W145" i="14"/>
  <c r="H175" i="14"/>
  <c r="N175" i="14"/>
  <c r="L133" i="14"/>
  <c r="E175" i="14"/>
  <c r="N10" i="14"/>
  <c r="N18" i="14"/>
  <c r="D148" i="14"/>
  <c r="C161" i="14"/>
  <c r="N70" i="14"/>
  <c r="C165" i="14"/>
  <c r="E165" i="14" s="1"/>
  <c r="N96" i="14"/>
  <c r="C174" i="14"/>
  <c r="E174" i="14"/>
  <c r="N56" i="14"/>
  <c r="N36" i="14"/>
  <c r="D144" i="14"/>
  <c r="J132" i="14"/>
  <c r="L132" i="14"/>
  <c r="L177" i="14"/>
  <c r="H177" i="14"/>
  <c r="J169" i="14"/>
  <c r="L169" i="14"/>
  <c r="J165" i="14"/>
  <c r="L165" i="14"/>
  <c r="H165" i="14"/>
  <c r="N165" i="14"/>
  <c r="W140" i="14"/>
  <c r="W148" i="14"/>
  <c r="W156" i="14"/>
  <c r="S166" i="14"/>
  <c r="H141" i="14"/>
  <c r="L166" i="14"/>
  <c r="L157" i="14"/>
  <c r="L141" i="14"/>
  <c r="N141" i="14" s="1"/>
  <c r="N21" i="14"/>
  <c r="N32" i="14"/>
  <c r="N63" i="14"/>
  <c r="C150" i="14"/>
  <c r="E150" i="14" s="1"/>
  <c r="J161" i="14"/>
  <c r="C162" i="14"/>
  <c r="T167" i="14"/>
  <c r="U167" i="14"/>
  <c r="N97" i="14"/>
  <c r="N99" i="14"/>
  <c r="C177" i="14"/>
  <c r="E177" i="14"/>
  <c r="C147" i="14"/>
  <c r="N41" i="14"/>
  <c r="C141" i="14"/>
  <c r="N13" i="14"/>
  <c r="N11" i="14"/>
  <c r="J149" i="14"/>
  <c r="H145" i="14"/>
  <c r="N145" i="14" s="1"/>
  <c r="J145" i="14"/>
  <c r="W133" i="14"/>
  <c r="W141" i="14"/>
  <c r="W149" i="14"/>
  <c r="W157" i="14"/>
  <c r="S167" i="14"/>
  <c r="W167" i="14" s="1"/>
  <c r="J181" i="14"/>
  <c r="J173" i="14"/>
  <c r="L164" i="14"/>
  <c r="L139" i="14"/>
  <c r="H180" i="14"/>
  <c r="L180" i="14"/>
  <c r="H172" i="14"/>
  <c r="L172" i="14"/>
  <c r="N172" i="14" s="1"/>
  <c r="J156" i="14"/>
  <c r="N156" i="14" s="1"/>
  <c r="L156" i="14"/>
  <c r="H156" i="14"/>
  <c r="J172" i="14"/>
  <c r="B141" i="14"/>
  <c r="J148" i="14"/>
  <c r="B166" i="14"/>
  <c r="E166" i="14" s="1"/>
  <c r="D166" i="14"/>
  <c r="N58" i="14"/>
  <c r="N22" i="14"/>
  <c r="N179" i="14"/>
  <c r="J144" i="14"/>
  <c r="W174" i="14"/>
  <c r="U166" i="14"/>
  <c r="H168" i="14"/>
  <c r="C172" i="14"/>
  <c r="N83" i="14"/>
  <c r="C168" i="14"/>
  <c r="D178" i="14"/>
  <c r="N110" i="14"/>
  <c r="B181" i="14"/>
  <c r="N62" i="14"/>
  <c r="D157" i="14"/>
  <c r="N60" i="14"/>
  <c r="N27" i="14"/>
  <c r="D137" i="14"/>
  <c r="W175" i="14"/>
  <c r="W183" i="14"/>
  <c r="U165" i="14"/>
  <c r="H135" i="14"/>
  <c r="H157" i="14"/>
  <c r="H181" i="14"/>
  <c r="N181" i="14" s="1"/>
  <c r="H184" i="14"/>
  <c r="J177" i="14"/>
  <c r="N177" i="14" s="1"/>
  <c r="L168" i="14"/>
  <c r="H134" i="14"/>
  <c r="B155" i="14"/>
  <c r="E155" i="14"/>
  <c r="D167" i="14"/>
  <c r="C171" i="14"/>
  <c r="E171" i="14"/>
  <c r="D163" i="14"/>
  <c r="D165" i="14"/>
  <c r="N78" i="14"/>
  <c r="N81" i="14"/>
  <c r="N106" i="14"/>
  <c r="B179" i="14"/>
  <c r="E179" i="14" s="1"/>
  <c r="C137" i="14"/>
  <c r="J182" i="14"/>
  <c r="L182" i="14"/>
  <c r="H182" i="14"/>
  <c r="J178" i="14"/>
  <c r="H178" i="14"/>
  <c r="N178" i="14" s="1"/>
  <c r="L178" i="14"/>
  <c r="J174" i="14"/>
  <c r="N174" i="14" s="1"/>
  <c r="L174" i="14"/>
  <c r="J170" i="14"/>
  <c r="L170" i="14"/>
  <c r="H166" i="14"/>
  <c r="J166" i="14"/>
  <c r="H143" i="14"/>
  <c r="J143" i="14"/>
  <c r="N143" i="14" s="1"/>
  <c r="C142" i="14"/>
  <c r="T165" i="14"/>
  <c r="W165" i="14" s="1"/>
  <c r="J184" i="14"/>
  <c r="L167" i="14"/>
  <c r="L158" i="14"/>
  <c r="L150" i="14"/>
  <c r="N150" i="14"/>
  <c r="L142" i="14"/>
  <c r="L134" i="14"/>
  <c r="H176" i="14"/>
  <c r="L176" i="14"/>
  <c r="J160" i="14"/>
  <c r="L160" i="14"/>
  <c r="J180" i="14"/>
  <c r="N180" i="14" s="1"/>
  <c r="B138" i="14"/>
  <c r="E138" i="14"/>
  <c r="D168" i="14"/>
  <c r="N66" i="14"/>
  <c r="B159" i="14"/>
  <c r="E159" i="14" s="1"/>
  <c r="E152" i="14"/>
  <c r="N46" i="14"/>
  <c r="N15" i="14"/>
  <c r="C135" i="14"/>
  <c r="E135" i="14" s="1"/>
  <c r="J152" i="14"/>
  <c r="J137" i="14"/>
  <c r="H164" i="14"/>
  <c r="N164" i="14" s="1"/>
  <c r="B173" i="14"/>
  <c r="E173" i="14" s="1"/>
  <c r="N85" i="14"/>
  <c r="N105" i="14"/>
  <c r="N68" i="14"/>
  <c r="N55" i="14"/>
  <c r="D154" i="14"/>
  <c r="D151" i="14"/>
  <c r="E151" i="14"/>
  <c r="N50" i="14"/>
  <c r="N20" i="14"/>
  <c r="C144" i="14"/>
  <c r="N8" i="14"/>
  <c r="N17" i="14"/>
  <c r="B149" i="14"/>
  <c r="E149" i="14"/>
  <c r="N100" i="14"/>
  <c r="N71" i="14"/>
  <c r="N79" i="14"/>
  <c r="S169" i="14"/>
  <c r="B169" i="14"/>
  <c r="S170" i="14"/>
  <c r="U170" i="14"/>
  <c r="N104" i="14"/>
  <c r="B178" i="14"/>
  <c r="N42" i="14"/>
  <c r="B147" i="14"/>
  <c r="B145" i="14"/>
  <c r="N37" i="14"/>
  <c r="B139" i="14"/>
  <c r="E139" i="14" s="1"/>
  <c r="N19" i="14"/>
  <c r="B137" i="14"/>
  <c r="N14" i="14"/>
  <c r="H154" i="14"/>
  <c r="N154" i="14"/>
  <c r="J135" i="14"/>
  <c r="C166" i="14"/>
  <c r="H139" i="14"/>
  <c r="N139" i="14" s="1"/>
  <c r="H162" i="14"/>
  <c r="H132" i="14"/>
  <c r="J167" i="14"/>
  <c r="N167" i="14" s="1"/>
  <c r="J158" i="14"/>
  <c r="N158" i="14" s="1"/>
  <c r="J142" i="14"/>
  <c r="N142" i="14" s="1"/>
  <c r="T162" i="14"/>
  <c r="H137" i="14"/>
  <c r="H147" i="14"/>
  <c r="J155" i="14"/>
  <c r="N155" i="14"/>
  <c r="N117" i="14"/>
  <c r="H140" i="14"/>
  <c r="J133" i="14"/>
  <c r="L131" i="14"/>
  <c r="N115" i="14"/>
  <c r="U163" i="14"/>
  <c r="H144" i="14"/>
  <c r="N144" i="14" s="1"/>
  <c r="L152" i="14"/>
  <c r="N152" i="14" s="1"/>
  <c r="L148" i="14"/>
  <c r="L144" i="14"/>
  <c r="L140" i="14"/>
  <c r="L136" i="14"/>
  <c r="J185" i="14"/>
  <c r="S171" i="14"/>
  <c r="W171" i="14" s="1"/>
  <c r="H148" i="14"/>
  <c r="E183" i="14"/>
  <c r="N118" i="14"/>
  <c r="B184" i="14"/>
  <c r="E184" i="14"/>
  <c r="N114" i="14"/>
  <c r="B185" i="14"/>
  <c r="H185" i="14"/>
  <c r="N185" i="14" s="1"/>
  <c r="T185" i="14"/>
  <c r="S185" i="14"/>
  <c r="W185" i="14" s="1"/>
  <c r="U185" i="14"/>
  <c r="J192" i="15"/>
  <c r="L192" i="15"/>
  <c r="N192" i="15" s="1"/>
  <c r="H192" i="15"/>
  <c r="N161" i="14"/>
  <c r="E136" i="14"/>
  <c r="N133" i="14"/>
  <c r="E178" i="14"/>
  <c r="N166" i="14"/>
  <c r="N170" i="14"/>
  <c r="N169" i="14"/>
  <c r="N162" i="14"/>
  <c r="W170" i="14"/>
  <c r="W163" i="14"/>
  <c r="N146" i="14"/>
  <c r="N132" i="14"/>
  <c r="N134" i="14"/>
  <c r="N137" i="14"/>
  <c r="N176" i="14"/>
  <c r="N168" i="14"/>
  <c r="W166" i="14"/>
  <c r="N148" i="14"/>
  <c r="N182" i="14"/>
  <c r="E168" i="14"/>
  <c r="E184" i="11"/>
  <c r="N114" i="12"/>
  <c r="C181" i="12"/>
  <c r="D181" i="12"/>
  <c r="E181" i="12" s="1"/>
  <c r="N113" i="12"/>
  <c r="N112" i="12"/>
  <c r="W180" i="12"/>
  <c r="D180" i="12"/>
  <c r="B180" i="12"/>
  <c r="E180" i="12" s="1"/>
  <c r="E154" i="18"/>
  <c r="J160" i="18"/>
  <c r="H160" i="18"/>
  <c r="N160" i="18"/>
  <c r="L160" i="18"/>
  <c r="L159" i="18"/>
  <c r="J159" i="18"/>
  <c r="U165" i="18"/>
  <c r="W165" i="18" s="1"/>
  <c r="D157" i="18"/>
  <c r="C142" i="18"/>
  <c r="E142" i="18" s="1"/>
  <c r="B146" i="18"/>
  <c r="E146" i="18" s="1"/>
  <c r="L157" i="18"/>
  <c r="J157" i="18"/>
  <c r="N157" i="18" s="1"/>
  <c r="H164" i="18"/>
  <c r="L164" i="18"/>
  <c r="D141" i="18"/>
  <c r="B134" i="18"/>
  <c r="E134" i="18" s="1"/>
  <c r="H159" i="18"/>
  <c r="N159" i="18" s="1"/>
  <c r="J174" i="18"/>
  <c r="J161" i="18"/>
  <c r="H183" i="18"/>
  <c r="N183" i="18"/>
  <c r="N25" i="18"/>
  <c r="L135" i="18"/>
  <c r="H135" i="18"/>
  <c r="L139" i="18"/>
  <c r="H139" i="18"/>
  <c r="N139" i="18" s="1"/>
  <c r="J142" i="18"/>
  <c r="N142" i="18"/>
  <c r="B144" i="18"/>
  <c r="T144" i="18"/>
  <c r="S144" i="18"/>
  <c r="U144" i="18"/>
  <c r="N37" i="18"/>
  <c r="D146" i="18"/>
  <c r="D148" i="18"/>
  <c r="C152" i="18"/>
  <c r="D155" i="18"/>
  <c r="E155" i="18"/>
  <c r="W162" i="18"/>
  <c r="U170" i="18"/>
  <c r="J184" i="18"/>
  <c r="N184" i="18"/>
  <c r="C131" i="18"/>
  <c r="H131" i="18"/>
  <c r="J176" i="18"/>
  <c r="L176" i="18"/>
  <c r="H176" i="18"/>
  <c r="N176" i="18" s="1"/>
  <c r="J177" i="18"/>
  <c r="N177" i="18"/>
  <c r="L182" i="18"/>
  <c r="N182" i="18" s="1"/>
  <c r="D169" i="18"/>
  <c r="U153" i="18"/>
  <c r="S135" i="18"/>
  <c r="W135" i="18" s="1"/>
  <c r="T135" i="18"/>
  <c r="B135" i="18"/>
  <c r="N23" i="18"/>
  <c r="C146" i="18"/>
  <c r="N45" i="18"/>
  <c r="B150" i="18"/>
  <c r="E150" i="18" s="1"/>
  <c r="N51" i="18"/>
  <c r="C153" i="18"/>
  <c r="E153" i="18" s="1"/>
  <c r="N64" i="18"/>
  <c r="H161" i="18"/>
  <c r="N161" i="18"/>
  <c r="H165" i="18"/>
  <c r="N165" i="18"/>
  <c r="E183" i="18"/>
  <c r="W179" i="18"/>
  <c r="W173" i="18"/>
  <c r="H178" i="18"/>
  <c r="N35" i="18"/>
  <c r="H182" i="18"/>
  <c r="L146" i="18"/>
  <c r="N146" i="18" s="1"/>
  <c r="T168" i="18"/>
  <c r="W168" i="18" s="1"/>
  <c r="S141" i="18"/>
  <c r="N15" i="18"/>
  <c r="N17" i="18"/>
  <c r="B137" i="18"/>
  <c r="E137" i="18"/>
  <c r="N19" i="18"/>
  <c r="D144" i="18"/>
  <c r="B147" i="18"/>
  <c r="D163" i="18"/>
  <c r="L165" i="18"/>
  <c r="D166" i="18"/>
  <c r="N80" i="18"/>
  <c r="B167" i="18"/>
  <c r="L169" i="18"/>
  <c r="N169" i="18" s="1"/>
  <c r="N86" i="18"/>
  <c r="B170" i="18"/>
  <c r="E170" i="18" s="1"/>
  <c r="N87" i="18"/>
  <c r="N90" i="18"/>
  <c r="N96" i="18"/>
  <c r="C177" i="18"/>
  <c r="L177" i="18"/>
  <c r="W183" i="18"/>
  <c r="N82" i="18"/>
  <c r="U169" i="18"/>
  <c r="T169" i="18"/>
  <c r="C169" i="18"/>
  <c r="B173" i="18"/>
  <c r="E173" i="18" s="1"/>
  <c r="E181" i="18"/>
  <c r="T141" i="18"/>
  <c r="L141" i="18"/>
  <c r="U141" i="18"/>
  <c r="W141" i="18" s="1"/>
  <c r="T153" i="18"/>
  <c r="W153" i="18" s="1"/>
  <c r="S153" i="18"/>
  <c r="B153" i="18"/>
  <c r="E159" i="18"/>
  <c r="C167" i="18"/>
  <c r="N79" i="18"/>
  <c r="E158" i="18"/>
  <c r="B143" i="18"/>
  <c r="E143" i="18" s="1"/>
  <c r="J150" i="18"/>
  <c r="N8" i="18"/>
  <c r="B132" i="18"/>
  <c r="E132" i="18"/>
  <c r="H137" i="18"/>
  <c r="N137" i="18" s="1"/>
  <c r="E145" i="18"/>
  <c r="H158" i="18"/>
  <c r="N158" i="18" s="1"/>
  <c r="J158" i="18"/>
  <c r="D170" i="18"/>
  <c r="H180" i="18"/>
  <c r="J180" i="18"/>
  <c r="L180" i="18"/>
  <c r="N180" i="18" s="1"/>
  <c r="N67" i="18"/>
  <c r="B166" i="18"/>
  <c r="E166" i="18"/>
  <c r="U146" i="18"/>
  <c r="N77" i="18"/>
  <c r="D138" i="18"/>
  <c r="L150" i="18"/>
  <c r="D134" i="18"/>
  <c r="C135" i="18"/>
  <c r="N18" i="18"/>
  <c r="H140" i="18"/>
  <c r="N140" i="18" s="1"/>
  <c r="H143" i="18"/>
  <c r="N143" i="18" s="1"/>
  <c r="B148" i="18"/>
  <c r="N41" i="18"/>
  <c r="B157" i="18"/>
  <c r="E157" i="18"/>
  <c r="N60" i="18"/>
  <c r="D162" i="18"/>
  <c r="E162" i="18"/>
  <c r="N69" i="18"/>
  <c r="J163" i="18"/>
  <c r="T163" i="18"/>
  <c r="H163" i="18"/>
  <c r="N163" i="18" s="1"/>
  <c r="D165" i="18"/>
  <c r="N78" i="18"/>
  <c r="J168" i="18"/>
  <c r="L168" i="18"/>
  <c r="N168" i="18" s="1"/>
  <c r="N88" i="18"/>
  <c r="B171" i="18"/>
  <c r="E171" i="18"/>
  <c r="N89" i="18"/>
  <c r="L175" i="18"/>
  <c r="N175" i="18" s="1"/>
  <c r="J175" i="18"/>
  <c r="H179" i="18"/>
  <c r="L179" i="18"/>
  <c r="C182" i="18"/>
  <c r="E182" i="18"/>
  <c r="N112" i="18"/>
  <c r="W145" i="18"/>
  <c r="S170" i="18"/>
  <c r="W170" i="18"/>
  <c r="L153" i="18"/>
  <c r="H153" i="18"/>
  <c r="N153" i="18"/>
  <c r="S169" i="18"/>
  <c r="W169" i="18" s="1"/>
  <c r="B141" i="18"/>
  <c r="E141" i="18" s="1"/>
  <c r="B169" i="18"/>
  <c r="E169" i="18" s="1"/>
  <c r="N107" i="18"/>
  <c r="H141" i="18"/>
  <c r="N141" i="18"/>
  <c r="H174" i="18"/>
  <c r="N174" i="18" s="1"/>
  <c r="W156" i="18"/>
  <c r="T146" i="18"/>
  <c r="W146" i="18" s="1"/>
  <c r="E138" i="18"/>
  <c r="U135" i="18"/>
  <c r="B165" i="18"/>
  <c r="E165" i="18"/>
  <c r="D135" i="18"/>
  <c r="C136" i="18"/>
  <c r="E136" i="18"/>
  <c r="N20" i="18"/>
  <c r="C143" i="18"/>
  <c r="N46" i="18"/>
  <c r="B152" i="18"/>
  <c r="E152" i="18"/>
  <c r="L162" i="18"/>
  <c r="N162" i="18" s="1"/>
  <c r="J162" i="18"/>
  <c r="N72" i="18"/>
  <c r="C165" i="18"/>
  <c r="J167" i="18"/>
  <c r="N167" i="18" s="1"/>
  <c r="C168" i="18"/>
  <c r="E168" i="18"/>
  <c r="H170" i="18"/>
  <c r="N170" i="18" s="1"/>
  <c r="J170" i="18"/>
  <c r="L170" i="18"/>
  <c r="E172" i="18"/>
  <c r="S175" i="18"/>
  <c r="D175" i="18"/>
  <c r="E175" i="18"/>
  <c r="T175" i="18"/>
  <c r="W175" i="18" s="1"/>
  <c r="C176" i="18"/>
  <c r="E176" i="18"/>
  <c r="N109" i="18"/>
  <c r="W149" i="18"/>
  <c r="W172" i="18"/>
  <c r="B131" i="18"/>
  <c r="E131" i="18"/>
  <c r="N6" i="18"/>
  <c r="S167" i="18"/>
  <c r="W167" i="18" s="1"/>
  <c r="L173" i="18"/>
  <c r="N173" i="18"/>
  <c r="N105" i="18"/>
  <c r="N118" i="19"/>
  <c r="L144" i="21"/>
  <c r="J144" i="21"/>
  <c r="N48" i="21"/>
  <c r="B148" i="21"/>
  <c r="E148" i="21" s="1"/>
  <c r="J150" i="21"/>
  <c r="H150" i="21"/>
  <c r="J178" i="21"/>
  <c r="N178" i="21" s="1"/>
  <c r="H178" i="21"/>
  <c r="L178" i="21"/>
  <c r="U172" i="21"/>
  <c r="J130" i="21"/>
  <c r="H130" i="21"/>
  <c r="N130" i="21" s="1"/>
  <c r="L151" i="21"/>
  <c r="J151" i="21"/>
  <c r="N151" i="21" s="1"/>
  <c r="S158" i="21"/>
  <c r="L158" i="21"/>
  <c r="C158" i="21"/>
  <c r="T158" i="21"/>
  <c r="W158" i="21" s="1"/>
  <c r="N73" i="21"/>
  <c r="L150" i="21"/>
  <c r="C137" i="21"/>
  <c r="E137" i="21"/>
  <c r="D158" i="21"/>
  <c r="S174" i="21"/>
  <c r="D174" i="21"/>
  <c r="U174" i="21"/>
  <c r="B129" i="21"/>
  <c r="E129" i="21"/>
  <c r="B144" i="21"/>
  <c r="E144" i="21"/>
  <c r="H177" i="21"/>
  <c r="T174" i="21"/>
  <c r="L173" i="21"/>
  <c r="N173" i="21" s="1"/>
  <c r="B167" i="21"/>
  <c r="E167" i="21"/>
  <c r="N56" i="21"/>
  <c r="N28" i="21"/>
  <c r="N22" i="21"/>
  <c r="B132" i="21"/>
  <c r="E132" i="21"/>
  <c r="N17" i="21"/>
  <c r="J133" i="21"/>
  <c r="H133" i="21"/>
  <c r="D137" i="21"/>
  <c r="B143" i="21"/>
  <c r="N38" i="21"/>
  <c r="C147" i="21"/>
  <c r="N51" i="21"/>
  <c r="E152" i="21"/>
  <c r="N67" i="21"/>
  <c r="J158" i="21"/>
  <c r="C170" i="21"/>
  <c r="E170" i="21"/>
  <c r="N92" i="21"/>
  <c r="U171" i="21"/>
  <c r="S171" i="21"/>
  <c r="W171" i="21" s="1"/>
  <c r="D172" i="21"/>
  <c r="N96" i="21"/>
  <c r="L175" i="21"/>
  <c r="J175" i="21"/>
  <c r="N175" i="21" s="1"/>
  <c r="N106" i="21"/>
  <c r="N107" i="21"/>
  <c r="W129" i="21"/>
  <c r="J147" i="21"/>
  <c r="H147" i="21"/>
  <c r="N70" i="21"/>
  <c r="B159" i="21"/>
  <c r="E159" i="21" s="1"/>
  <c r="H161" i="21"/>
  <c r="L161" i="21"/>
  <c r="N94" i="21"/>
  <c r="B171" i="21"/>
  <c r="H128" i="21"/>
  <c r="N128" i="21" s="1"/>
  <c r="L147" i="21"/>
  <c r="N12" i="21"/>
  <c r="T162" i="21"/>
  <c r="S162" i="21"/>
  <c r="W162" i="21"/>
  <c r="C162" i="21"/>
  <c r="E162" i="21"/>
  <c r="L162" i="21"/>
  <c r="E168" i="21"/>
  <c r="D175" i="21"/>
  <c r="S177" i="21"/>
  <c r="U158" i="21"/>
  <c r="E128" i="21"/>
  <c r="B157" i="21"/>
  <c r="E157" i="21"/>
  <c r="L130" i="21"/>
  <c r="J137" i="21"/>
  <c r="B131" i="21"/>
  <c r="E131" i="21"/>
  <c r="N14" i="21"/>
  <c r="C143" i="21"/>
  <c r="N40" i="21"/>
  <c r="N45" i="21"/>
  <c r="N64" i="21"/>
  <c r="J156" i="21"/>
  <c r="N156" i="21" s="1"/>
  <c r="H156" i="21"/>
  <c r="H158" i="21"/>
  <c r="N158" i="21"/>
  <c r="N71" i="21"/>
  <c r="C159" i="21"/>
  <c r="N76" i="21"/>
  <c r="N80" i="21"/>
  <c r="B165" i="21"/>
  <c r="E165" i="21" s="1"/>
  <c r="S165" i="21"/>
  <c r="N84" i="21"/>
  <c r="N91" i="21"/>
  <c r="H172" i="21"/>
  <c r="N172" i="21" s="1"/>
  <c r="J172" i="21"/>
  <c r="L172" i="21"/>
  <c r="N101" i="21"/>
  <c r="C174" i="21"/>
  <c r="E179" i="21"/>
  <c r="L179" i="21"/>
  <c r="J179" i="21"/>
  <c r="N179" i="21"/>
  <c r="B149" i="21"/>
  <c r="E149" i="21"/>
  <c r="W156" i="21"/>
  <c r="W168" i="21"/>
  <c r="L129" i="21"/>
  <c r="H129" i="21"/>
  <c r="J129" i="21"/>
  <c r="N129" i="21" s="1"/>
  <c r="S172" i="21"/>
  <c r="W172" i="21"/>
  <c r="C172" i="21"/>
  <c r="E172" i="21" s="1"/>
  <c r="U135" i="21"/>
  <c r="S135" i="21"/>
  <c r="T135" i="21"/>
  <c r="B158" i="21"/>
  <c r="E158" i="21" s="1"/>
  <c r="C180" i="21"/>
  <c r="E180" i="21" s="1"/>
  <c r="N112" i="21"/>
  <c r="S137" i="21"/>
  <c r="B161" i="21"/>
  <c r="L145" i="21"/>
  <c r="N145" i="21" s="1"/>
  <c r="N131" i="21"/>
  <c r="B135" i="21"/>
  <c r="E135" i="21"/>
  <c r="N24" i="21"/>
  <c r="D145" i="21"/>
  <c r="E145" i="21"/>
  <c r="D153" i="21"/>
  <c r="H154" i="21"/>
  <c r="N154" i="21" s="1"/>
  <c r="L154" i="21"/>
  <c r="H159" i="21"/>
  <c r="J159" i="21"/>
  <c r="N159" i="21" s="1"/>
  <c r="B163" i="21"/>
  <c r="N78" i="21"/>
  <c r="N89" i="21"/>
  <c r="H171" i="21"/>
  <c r="L171" i="21"/>
  <c r="J171" i="21"/>
  <c r="L174" i="21"/>
  <c r="N104" i="21"/>
  <c r="B176" i="21"/>
  <c r="E176" i="21" s="1"/>
  <c r="J177" i="21"/>
  <c r="L177" i="21"/>
  <c r="J142" i="21"/>
  <c r="N142" i="21"/>
  <c r="W145" i="21"/>
  <c r="H152" i="21"/>
  <c r="J162" i="21"/>
  <c r="T165" i="21"/>
  <c r="W165" i="21" s="1"/>
  <c r="N100" i="21"/>
  <c r="B174" i="21"/>
  <c r="E174" i="21" s="1"/>
  <c r="B141" i="21"/>
  <c r="E141" i="21"/>
  <c r="N34" i="21"/>
  <c r="N54" i="21"/>
  <c r="H144" i="21"/>
  <c r="N144" i="21"/>
  <c r="H137" i="21"/>
  <c r="T137" i="21"/>
  <c r="L137" i="21"/>
  <c r="N60" i="21"/>
  <c r="B154" i="21"/>
  <c r="E154" i="21" s="1"/>
  <c r="W161" i="21"/>
  <c r="L166" i="21"/>
  <c r="N166" i="21" s="1"/>
  <c r="J166" i="21"/>
  <c r="C169" i="21"/>
  <c r="E169" i="21" s="1"/>
  <c r="J170" i="21"/>
  <c r="L128" i="21"/>
  <c r="B153" i="21"/>
  <c r="E146" i="21"/>
  <c r="D161" i="21"/>
  <c r="N42" i="21"/>
  <c r="N15" i="21"/>
  <c r="N20" i="21"/>
  <c r="L136" i="21"/>
  <c r="N136" i="21"/>
  <c r="N29" i="21"/>
  <c r="L139" i="21"/>
  <c r="J139" i="21"/>
  <c r="N139" i="21" s="1"/>
  <c r="H141" i="21"/>
  <c r="H145" i="21"/>
  <c r="B147" i="21"/>
  <c r="E147" i="21"/>
  <c r="L153" i="21"/>
  <c r="J153" i="21"/>
  <c r="N153" i="21"/>
  <c r="N62" i="21"/>
  <c r="N72" i="21"/>
  <c r="C161" i="21"/>
  <c r="U162" i="21"/>
  <c r="C163" i="21"/>
  <c r="L164" i="21"/>
  <c r="J164" i="21"/>
  <c r="N164" i="21"/>
  <c r="J169" i="21"/>
  <c r="H169" i="21"/>
  <c r="N169" i="21" s="1"/>
  <c r="J174" i="21"/>
  <c r="H174" i="21"/>
  <c r="C175" i="21"/>
  <c r="J152" i="21"/>
  <c r="N152" i="21" s="1"/>
  <c r="H170" i="21"/>
  <c r="N115" i="21"/>
  <c r="B134" i="21"/>
  <c r="E134" i="21" s="1"/>
  <c r="B156" i="21"/>
  <c r="E156" i="21"/>
  <c r="J168" i="21"/>
  <c r="U127" i="21"/>
  <c r="N90" i="21"/>
  <c r="B130" i="21"/>
  <c r="N114" i="21"/>
  <c r="H176" i="21"/>
  <c r="L127" i="21"/>
  <c r="W144" i="18"/>
  <c r="N164" i="18"/>
  <c r="E144" i="18"/>
  <c r="N179" i="18"/>
  <c r="E167" i="18"/>
  <c r="E148" i="18"/>
  <c r="N150" i="18"/>
  <c r="N137" i="21"/>
  <c r="W135" i="21"/>
  <c r="E161" i="21"/>
  <c r="W137" i="21"/>
  <c r="E143" i="21"/>
  <c r="N161" i="21"/>
  <c r="N174" i="21"/>
  <c r="N147" i="21"/>
  <c r="E153" i="21"/>
  <c r="N133" i="21"/>
  <c r="N149" i="22"/>
  <c r="D145" i="22"/>
  <c r="N53" i="22"/>
  <c r="B158" i="22"/>
  <c r="E158" i="22" s="1"/>
  <c r="J144" i="22"/>
  <c r="L144" i="22"/>
  <c r="N95" i="22"/>
  <c r="B152" i="22"/>
  <c r="E152" i="22" s="1"/>
  <c r="N38" i="22"/>
  <c r="E178" i="22"/>
  <c r="N96" i="22"/>
  <c r="B179" i="22"/>
  <c r="E179" i="22" s="1"/>
  <c r="J190" i="22"/>
  <c r="L150" i="22"/>
  <c r="D148" i="22"/>
  <c r="E148" i="22" s="1"/>
  <c r="B150" i="22"/>
  <c r="E150" i="22"/>
  <c r="N34" i="22"/>
  <c r="D166" i="22"/>
  <c r="E166" i="22"/>
  <c r="H177" i="22"/>
  <c r="J147" i="22"/>
  <c r="N147" i="22" s="1"/>
  <c r="H159" i="22"/>
  <c r="J156" i="22"/>
  <c r="N156" i="22" s="1"/>
  <c r="N167" i="22"/>
  <c r="N123" i="22"/>
  <c r="H150" i="22"/>
  <c r="N150" i="22" s="1"/>
  <c r="T153" i="22"/>
  <c r="W153" i="22" s="1"/>
  <c r="W145" i="22"/>
  <c r="W143" i="22"/>
  <c r="D147" i="22"/>
  <c r="E147" i="22" s="1"/>
  <c r="N26" i="22"/>
  <c r="B155" i="22"/>
  <c r="N48" i="22"/>
  <c r="S157" i="22"/>
  <c r="W157" i="22" s="1"/>
  <c r="J157" i="22"/>
  <c r="N157" i="22" s="1"/>
  <c r="H157" i="22"/>
  <c r="N56" i="22"/>
  <c r="N71" i="22"/>
  <c r="N77" i="22"/>
  <c r="N86" i="22"/>
  <c r="E185" i="22"/>
  <c r="E187" i="22"/>
  <c r="N117" i="22"/>
  <c r="E190" i="22"/>
  <c r="N121" i="22"/>
  <c r="W163" i="22"/>
  <c r="J178" i="22"/>
  <c r="H178" i="22"/>
  <c r="N178" i="22" s="1"/>
  <c r="L178" i="22"/>
  <c r="L174" i="22"/>
  <c r="N174" i="22" s="1"/>
  <c r="H174" i="22"/>
  <c r="J170" i="22"/>
  <c r="L170" i="22"/>
  <c r="H153" i="22"/>
  <c r="H143" i="22"/>
  <c r="N143" i="22" s="1"/>
  <c r="J177" i="22"/>
  <c r="S171" i="22"/>
  <c r="U171" i="22"/>
  <c r="T171" i="22"/>
  <c r="L171" i="22"/>
  <c r="N171" i="22" s="1"/>
  <c r="H171" i="22"/>
  <c r="L140" i="22"/>
  <c r="N140" i="22"/>
  <c r="J140" i="22"/>
  <c r="D171" i="22"/>
  <c r="L153" i="22"/>
  <c r="N175" i="22"/>
  <c r="N168" i="22"/>
  <c r="L147" i="22"/>
  <c r="B153" i="22"/>
  <c r="B160" i="22"/>
  <c r="E160" i="22" s="1"/>
  <c r="N58" i="22"/>
  <c r="C171" i="22"/>
  <c r="J163" i="22"/>
  <c r="H163" i="22"/>
  <c r="N163" i="22" s="1"/>
  <c r="B159" i="22"/>
  <c r="H144" i="22"/>
  <c r="C165" i="22"/>
  <c r="E165" i="22"/>
  <c r="D153" i="22"/>
  <c r="N27" i="22"/>
  <c r="N88" i="22"/>
  <c r="N110" i="22"/>
  <c r="N115" i="22"/>
  <c r="W160" i="22"/>
  <c r="H185" i="22"/>
  <c r="L185" i="22"/>
  <c r="J185" i="22"/>
  <c r="J181" i="22"/>
  <c r="N181" i="22" s="1"/>
  <c r="H166" i="22"/>
  <c r="L162" i="22"/>
  <c r="H155" i="22"/>
  <c r="B139" i="22"/>
  <c r="N170" i="22"/>
  <c r="N12" i="22"/>
  <c r="B142" i="22"/>
  <c r="E142" i="22"/>
  <c r="B149" i="22"/>
  <c r="C149" i="22"/>
  <c r="S149" i="22"/>
  <c r="U149" i="22"/>
  <c r="W149" i="22" s="1"/>
  <c r="B154" i="22"/>
  <c r="E154" i="22"/>
  <c r="N67" i="22"/>
  <c r="D164" i="22"/>
  <c r="B171" i="22"/>
  <c r="N99" i="22"/>
  <c r="H148" i="22"/>
  <c r="N172" i="22"/>
  <c r="C153" i="22"/>
  <c r="N8" i="22"/>
  <c r="E173" i="22"/>
  <c r="E140" i="22"/>
  <c r="N22" i="22"/>
  <c r="S159" i="22"/>
  <c r="W159" i="22" s="1"/>
  <c r="U159" i="22"/>
  <c r="E167" i="22"/>
  <c r="N74" i="22"/>
  <c r="T173" i="22"/>
  <c r="W173" i="22" s="1"/>
  <c r="U173" i="22"/>
  <c r="N97" i="22"/>
  <c r="L182" i="22"/>
  <c r="N182" i="22"/>
  <c r="T182" i="22"/>
  <c r="W182" i="22"/>
  <c r="D182" i="22"/>
  <c r="S189" i="22"/>
  <c r="U189" i="22"/>
  <c r="C189" i="22"/>
  <c r="E189" i="22" s="1"/>
  <c r="L189" i="22"/>
  <c r="N189" i="22" s="1"/>
  <c r="J189" i="22"/>
  <c r="D192" i="22"/>
  <c r="J184" i="22"/>
  <c r="N184" i="22" s="1"/>
  <c r="L165" i="22"/>
  <c r="N165" i="22" s="1"/>
  <c r="L148" i="22"/>
  <c r="H146" i="22"/>
  <c r="J150" i="22"/>
  <c r="N76" i="22"/>
  <c r="B169" i="22"/>
  <c r="E169" i="22"/>
  <c r="J188" i="22"/>
  <c r="L188" i="22"/>
  <c r="L156" i="22"/>
  <c r="J171" i="22"/>
  <c r="E192" i="22"/>
  <c r="E156" i="22"/>
  <c r="B172" i="22"/>
  <c r="E172" i="22"/>
  <c r="B182" i="22"/>
  <c r="N103" i="22"/>
  <c r="B183" i="22"/>
  <c r="E183" i="22"/>
  <c r="N105" i="22"/>
  <c r="D186" i="22"/>
  <c r="E186" i="22"/>
  <c r="N124" i="22"/>
  <c r="W147" i="22"/>
  <c r="N162" i="22"/>
  <c r="J191" i="22"/>
  <c r="H191" i="22"/>
  <c r="N191" i="22"/>
  <c r="H183" i="22"/>
  <c r="N183" i="22"/>
  <c r="W154" i="22"/>
  <c r="H180" i="22"/>
  <c r="L183" i="22"/>
  <c r="L187" i="22"/>
  <c r="N187" i="22" s="1"/>
  <c r="N80" i="22"/>
  <c r="S161" i="22"/>
  <c r="W161" i="22"/>
  <c r="B168" i="22"/>
  <c r="E168" i="22"/>
  <c r="J186" i="22"/>
  <c r="L155" i="22"/>
  <c r="L190" i="22"/>
  <c r="N190" i="22" s="1"/>
  <c r="J165" i="22"/>
  <c r="J143" i="22"/>
  <c r="B161" i="22"/>
  <c r="H145" i="22"/>
  <c r="N145" i="22" s="1"/>
  <c r="H154" i="22"/>
  <c r="N154" i="22" s="1"/>
  <c r="H165" i="22"/>
  <c r="H139" i="22"/>
  <c r="N139" i="22"/>
  <c r="N125" i="16"/>
  <c r="E126" i="16"/>
  <c r="L137" i="16"/>
  <c r="N137" i="16" s="1"/>
  <c r="S137" i="16"/>
  <c r="L142" i="16"/>
  <c r="H148" i="16"/>
  <c r="N148" i="16"/>
  <c r="N16" i="16"/>
  <c r="N26" i="16"/>
  <c r="W123" i="16"/>
  <c r="L125" i="16"/>
  <c r="N36" i="16"/>
  <c r="B131" i="16"/>
  <c r="U137" i="16"/>
  <c r="W137" i="16" s="1"/>
  <c r="N63" i="16"/>
  <c r="H131" i="16"/>
  <c r="N131" i="16"/>
  <c r="T145" i="16"/>
  <c r="W145" i="16"/>
  <c r="T131" i="16"/>
  <c r="W131" i="16" s="1"/>
  <c r="L147" i="16"/>
  <c r="L146" i="16"/>
  <c r="N28" i="16"/>
  <c r="N30" i="16"/>
  <c r="J125" i="16"/>
  <c r="B127" i="16"/>
  <c r="E127" i="16" s="1"/>
  <c r="L130" i="16"/>
  <c r="N130" i="16"/>
  <c r="D136" i="16"/>
  <c r="T137" i="16"/>
  <c r="J147" i="16"/>
  <c r="N147" i="16" s="1"/>
  <c r="H139" i="16"/>
  <c r="N139" i="16" s="1"/>
  <c r="T123" i="16"/>
  <c r="T117" i="16"/>
  <c r="W117" i="16"/>
  <c r="J115" i="16"/>
  <c r="B116" i="16"/>
  <c r="N15" i="16"/>
  <c r="N18" i="16"/>
  <c r="D121" i="16"/>
  <c r="N27" i="16"/>
  <c r="D127" i="16"/>
  <c r="N56" i="16"/>
  <c r="C140" i="16"/>
  <c r="W141" i="16"/>
  <c r="C145" i="16"/>
  <c r="N74" i="16"/>
  <c r="N76" i="16"/>
  <c r="D126" i="16"/>
  <c r="D132" i="16"/>
  <c r="H142" i="16"/>
  <c r="J123" i="16"/>
  <c r="N123" i="16" s="1"/>
  <c r="N13" i="16"/>
  <c r="C119" i="16"/>
  <c r="J121" i="16"/>
  <c r="J126" i="16"/>
  <c r="N126" i="16" s="1"/>
  <c r="C127" i="16"/>
  <c r="C139" i="16"/>
  <c r="E139" i="16"/>
  <c r="D145" i="16"/>
  <c r="L124" i="16"/>
  <c r="U131" i="16"/>
  <c r="H137" i="16"/>
  <c r="U117" i="16"/>
  <c r="D118" i="16"/>
  <c r="E118" i="16" s="1"/>
  <c r="D123" i="16"/>
  <c r="E124" i="16"/>
  <c r="D128" i="16"/>
  <c r="N39" i="16"/>
  <c r="N45" i="16"/>
  <c r="N48" i="16"/>
  <c r="C142" i="16"/>
  <c r="E142" i="16" s="1"/>
  <c r="H146" i="16"/>
  <c r="D141" i="16"/>
  <c r="J120" i="16"/>
  <c r="B128" i="16"/>
  <c r="E128" i="16"/>
  <c r="N44" i="16"/>
  <c r="C136" i="16"/>
  <c r="E136" i="16" s="1"/>
  <c r="J124" i="16"/>
  <c r="N124" i="16" s="1"/>
  <c r="B129" i="16"/>
  <c r="T119" i="16"/>
  <c r="W119" i="16" s="1"/>
  <c r="L119" i="16"/>
  <c r="J116" i="16"/>
  <c r="N116" i="16" s="1"/>
  <c r="N17" i="16"/>
  <c r="D120" i="16"/>
  <c r="C124" i="16"/>
  <c r="C129" i="16"/>
  <c r="E129" i="16" s="1"/>
  <c r="B130" i="16"/>
  <c r="E130" i="16" s="1"/>
  <c r="N42" i="16"/>
  <c r="C132" i="16"/>
  <c r="N50" i="16"/>
  <c r="N52" i="16"/>
  <c r="D137" i="16"/>
  <c r="E137" i="16" s="1"/>
  <c r="J139" i="16"/>
  <c r="N69" i="16"/>
  <c r="C146" i="16"/>
  <c r="W148" i="16"/>
  <c r="B125" i="16"/>
  <c r="E125" i="16" s="1"/>
  <c r="N31" i="16"/>
  <c r="N43" i="16"/>
  <c r="D131" i="16"/>
  <c r="D135" i="16"/>
  <c r="N51" i="16"/>
  <c r="H138" i="16"/>
  <c r="L138" i="16"/>
  <c r="J138" i="16"/>
  <c r="L141" i="16"/>
  <c r="J141" i="16"/>
  <c r="D142" i="16"/>
  <c r="N66" i="16"/>
  <c r="N68" i="16"/>
  <c r="C143" i="16"/>
  <c r="J149" i="16"/>
  <c r="L149" i="16"/>
  <c r="H149" i="16"/>
  <c r="H120" i="16"/>
  <c r="N120" i="16" s="1"/>
  <c r="L120" i="16"/>
  <c r="N8" i="16"/>
  <c r="B115" i="16"/>
  <c r="E115" i="16" s="1"/>
  <c r="L122" i="16"/>
  <c r="H122" i="16"/>
  <c r="J122" i="16"/>
  <c r="N122" i="16" s="1"/>
  <c r="L134" i="16"/>
  <c r="T138" i="16"/>
  <c r="U138" i="16"/>
  <c r="W138" i="16" s="1"/>
  <c r="S138" i="16"/>
  <c r="D138" i="16"/>
  <c r="D143" i="16"/>
  <c r="B141" i="16"/>
  <c r="E141" i="16" s="1"/>
  <c r="D119" i="16"/>
  <c r="E119" i="16" s="1"/>
  <c r="T114" i="16"/>
  <c r="U114" i="16"/>
  <c r="W114" i="16" s="1"/>
  <c r="S114" i="16"/>
  <c r="B114" i="16"/>
  <c r="E114" i="16"/>
  <c r="W116" i="16"/>
  <c r="N14" i="16"/>
  <c r="D117" i="16"/>
  <c r="N21" i="16"/>
  <c r="B120" i="16"/>
  <c r="D125" i="16"/>
  <c r="H132" i="16"/>
  <c r="J132" i="16"/>
  <c r="N132" i="16" s="1"/>
  <c r="L132" i="16"/>
  <c r="C135" i="16"/>
  <c r="E135" i="16" s="1"/>
  <c r="U135" i="16"/>
  <c r="W135" i="16" s="1"/>
  <c r="S135" i="16"/>
  <c r="C137" i="16"/>
  <c r="N55" i="16"/>
  <c r="N67" i="16"/>
  <c r="B143" i="16"/>
  <c r="E143" i="16" s="1"/>
  <c r="N83" i="16"/>
  <c r="N84" i="16"/>
  <c r="W144" i="16"/>
  <c r="W146" i="16"/>
  <c r="H141" i="16"/>
  <c r="N141" i="16" s="1"/>
  <c r="L129" i="16"/>
  <c r="B133" i="16"/>
  <c r="E144" i="16"/>
  <c r="H145" i="16"/>
  <c r="L145" i="16"/>
  <c r="W134" i="16"/>
  <c r="D114" i="16"/>
  <c r="W136" i="16"/>
  <c r="N10" i="16"/>
  <c r="C116" i="16"/>
  <c r="E116" i="16"/>
  <c r="U129" i="16"/>
  <c r="W129" i="16" s="1"/>
  <c r="S129" i="16"/>
  <c r="N54" i="16"/>
  <c r="W139" i="16"/>
  <c r="N70" i="16"/>
  <c r="H127" i="16"/>
  <c r="L127" i="16"/>
  <c r="J127" i="16"/>
  <c r="N127" i="16" s="1"/>
  <c r="N33" i="16"/>
  <c r="N59" i="16"/>
  <c r="L118" i="16"/>
  <c r="J118" i="16"/>
  <c r="U118" i="16"/>
  <c r="S118" i="16"/>
  <c r="H118" i="16"/>
  <c r="N118" i="16" s="1"/>
  <c r="T118" i="16"/>
  <c r="W118" i="16" s="1"/>
  <c r="N20" i="16"/>
  <c r="T121" i="16"/>
  <c r="U121" i="16"/>
  <c r="H121" i="16"/>
  <c r="N25" i="16"/>
  <c r="C122" i="16"/>
  <c r="E122" i="16"/>
  <c r="L135" i="16"/>
  <c r="N135" i="16" s="1"/>
  <c r="H135" i="16"/>
  <c r="J135" i="16"/>
  <c r="H143" i="16"/>
  <c r="U143" i="16"/>
  <c r="T143" i="16"/>
  <c r="W143" i="16" s="1"/>
  <c r="J143" i="16"/>
  <c r="N143" i="16" s="1"/>
  <c r="S121" i="16"/>
  <c r="W121" i="16" s="1"/>
  <c r="N37" i="16"/>
  <c r="C138" i="16"/>
  <c r="B132" i="16"/>
  <c r="E132" i="16" s="1"/>
  <c r="J114" i="16"/>
  <c r="B117" i="16"/>
  <c r="C120" i="16"/>
  <c r="N22" i="16"/>
  <c r="B121" i="16"/>
  <c r="N32" i="16"/>
  <c r="H128" i="16"/>
  <c r="L128" i="16"/>
  <c r="D129" i="16"/>
  <c r="N49" i="16"/>
  <c r="C134" i="16"/>
  <c r="N53" i="16"/>
  <c r="B140" i="16"/>
  <c r="E140" i="16" s="1"/>
  <c r="L140" i="16"/>
  <c r="N140" i="16" s="1"/>
  <c r="S140" i="16"/>
  <c r="W140" i="16" s="1"/>
  <c r="J140" i="16"/>
  <c r="D140" i="16"/>
  <c r="T140" i="16"/>
  <c r="U140" i="16"/>
  <c r="D146" i="16"/>
  <c r="H114" i="16"/>
  <c r="N29" i="16"/>
  <c r="B135" i="16"/>
  <c r="U132" i="16"/>
  <c r="W132" i="16" s="1"/>
  <c r="U142" i="16"/>
  <c r="W142" i="16"/>
  <c r="J129" i="16"/>
  <c r="N129" i="16"/>
  <c r="H134" i="16"/>
  <c r="N134" i="16" s="1"/>
  <c r="N75" i="16"/>
  <c r="N80" i="16"/>
  <c r="N82" i="16"/>
  <c r="L121" i="16"/>
  <c r="L144" i="16"/>
  <c r="L133" i="16"/>
  <c r="N133" i="16" s="1"/>
  <c r="D133" i="16"/>
  <c r="E133" i="16" s="1"/>
  <c r="J133" i="16"/>
  <c r="B145" i="16"/>
  <c r="E145" i="16" s="1"/>
  <c r="C147" i="16"/>
  <c r="J119" i="16"/>
  <c r="N119" i="16" s="1"/>
  <c r="C148" i="16"/>
  <c r="H115" i="16"/>
  <c r="N115" i="16"/>
  <c r="U128" i="16"/>
  <c r="S133" i="16"/>
  <c r="W133" i="16" s="1"/>
  <c r="B148" i="16"/>
  <c r="N79" i="16"/>
  <c r="B136" i="16"/>
  <c r="H136" i="16"/>
  <c r="N136" i="16" s="1"/>
  <c r="B146" i="16"/>
  <c r="N77" i="16"/>
  <c r="E147" i="16"/>
  <c r="B149" i="16"/>
  <c r="E149" i="16"/>
  <c r="N73" i="16"/>
  <c r="D148" i="16"/>
  <c r="E148" i="16" s="1"/>
  <c r="B150" i="16"/>
  <c r="E150" i="16" s="1"/>
  <c r="N85" i="16"/>
  <c r="E146" i="16"/>
  <c r="N81" i="16"/>
  <c r="N72" i="16"/>
  <c r="N185" i="22"/>
  <c r="E153" i="22"/>
  <c r="N144" i="22"/>
  <c r="W171" i="22"/>
  <c r="N177" i="22"/>
  <c r="E171" i="22"/>
  <c r="N138" i="16"/>
  <c r="E121" i="16"/>
  <c r="N121" i="16"/>
  <c r="N142" i="16"/>
  <c r="N149" i="16"/>
  <c r="N128" i="16"/>
  <c r="N114" i="16"/>
  <c r="E120" i="16"/>
  <c r="C78" i="32"/>
  <c r="H84" i="32"/>
  <c r="J75" i="32"/>
  <c r="J71" i="32"/>
  <c r="N19" i="32"/>
  <c r="N46" i="32"/>
  <c r="H75" i="32"/>
  <c r="H85" i="32"/>
  <c r="N85" i="32" s="1"/>
  <c r="J68" i="32"/>
  <c r="N35" i="32"/>
  <c r="H68" i="32"/>
  <c r="N9" i="32"/>
  <c r="L85" i="32"/>
  <c r="L81" i="32"/>
  <c r="L73" i="32"/>
  <c r="L79" i="32"/>
  <c r="N79" i="32" s="1"/>
  <c r="J69" i="32"/>
  <c r="H80" i="32"/>
  <c r="N80" i="32" s="1"/>
  <c r="J90" i="29"/>
  <c r="H82" i="29"/>
  <c r="H93" i="29"/>
  <c r="H74" i="29"/>
  <c r="N74" i="29" s="1"/>
  <c r="L93" i="29"/>
  <c r="J86" i="29"/>
  <c r="L76" i="29"/>
  <c r="J77" i="29"/>
  <c r="H88" i="29"/>
  <c r="T79" i="38"/>
  <c r="U79" i="38"/>
  <c r="W79" i="38" s="1"/>
  <c r="S79" i="38"/>
  <c r="H72" i="38"/>
  <c r="N72" i="38" s="1"/>
  <c r="L72" i="38"/>
  <c r="T75" i="38"/>
  <c r="U75" i="38"/>
  <c r="S85" i="38"/>
  <c r="C98" i="36"/>
  <c r="D100" i="36"/>
  <c r="N29" i="36"/>
  <c r="N15" i="36"/>
  <c r="B96" i="36"/>
  <c r="D90" i="36"/>
  <c r="L96" i="36"/>
  <c r="N24" i="36"/>
  <c r="N42" i="36"/>
  <c r="N25" i="36"/>
  <c r="S106" i="36"/>
  <c r="D91" i="36"/>
  <c r="U100" i="36"/>
  <c r="J103" i="36"/>
  <c r="D88" i="36"/>
  <c r="C89" i="36"/>
  <c r="J86" i="36"/>
  <c r="U104" i="36"/>
  <c r="U106" i="36"/>
  <c r="S88" i="36"/>
  <c r="H104" i="36"/>
  <c r="N104" i="36" s="1"/>
  <c r="T95" i="36"/>
  <c r="U95" i="36"/>
  <c r="H87" i="36"/>
  <c r="N52" i="35"/>
  <c r="H101" i="35"/>
  <c r="N101" i="35" s="1"/>
  <c r="N39" i="35"/>
  <c r="N28" i="35"/>
  <c r="C107" i="35"/>
  <c r="J106" i="35"/>
  <c r="D105" i="35"/>
  <c r="T109" i="35"/>
  <c r="L118" i="35"/>
  <c r="H112" i="35"/>
  <c r="J110" i="35"/>
  <c r="N110" i="35" s="1"/>
  <c r="T101" i="35"/>
  <c r="S101" i="35"/>
  <c r="W101" i="35" s="1"/>
  <c r="U101" i="35"/>
  <c r="L101" i="35"/>
  <c r="C108" i="35"/>
  <c r="N14" i="35"/>
  <c r="J116" i="35"/>
  <c r="N70" i="35"/>
  <c r="M11" i="35"/>
  <c r="D101" i="35"/>
  <c r="N17" i="35"/>
  <c r="N34" i="35"/>
  <c r="W108" i="35"/>
  <c r="S103" i="35"/>
  <c r="W103" i="35"/>
  <c r="C111" i="35"/>
  <c r="D106" i="35"/>
  <c r="L109" i="35"/>
  <c r="J115" i="35"/>
  <c r="D115" i="35"/>
  <c r="B100" i="35"/>
  <c r="W117" i="35"/>
  <c r="U106" i="35"/>
  <c r="W106" i="35" s="1"/>
  <c r="H105" i="35"/>
  <c r="L100" i="35"/>
  <c r="B107" i="35"/>
  <c r="B111" i="35"/>
  <c r="E111" i="35" s="1"/>
  <c r="N48" i="35"/>
  <c r="L103" i="35"/>
  <c r="N67" i="35"/>
  <c r="N50" i="35"/>
  <c r="J108" i="35"/>
  <c r="N81" i="35"/>
  <c r="T100" i="35"/>
  <c r="W100" i="35"/>
  <c r="N19" i="35"/>
  <c r="N25" i="35"/>
  <c r="C106" i="35"/>
  <c r="N44" i="35"/>
  <c r="J114" i="35"/>
  <c r="N73" i="35"/>
  <c r="N66" i="35"/>
  <c r="W114" i="35"/>
  <c r="B104" i="35"/>
  <c r="E104" i="35"/>
  <c r="N22" i="35"/>
  <c r="N33" i="35"/>
  <c r="L102" i="35"/>
  <c r="L119" i="35"/>
  <c r="B120" i="35"/>
  <c r="E120" i="35" s="1"/>
  <c r="N65" i="35"/>
  <c r="N57" i="35"/>
  <c r="C117" i="35"/>
  <c r="C114" i="35"/>
  <c r="D120" i="35"/>
  <c r="D117" i="35"/>
  <c r="W116" i="35"/>
  <c r="C101" i="35"/>
  <c r="E101" i="35" s="1"/>
  <c r="J99" i="35"/>
  <c r="N99" i="35"/>
  <c r="N83" i="35"/>
  <c r="N80" i="35"/>
  <c r="J112" i="35"/>
  <c r="B108" i="35"/>
  <c r="E108" i="35" s="1"/>
  <c r="L110" i="35"/>
  <c r="N71" i="35"/>
  <c r="N69" i="35"/>
  <c r="S113" i="35"/>
  <c r="W113" i="35"/>
  <c r="W118" i="35"/>
  <c r="N60" i="35"/>
  <c r="H100" i="35"/>
  <c r="N100" i="35" s="1"/>
  <c r="N29" i="35"/>
  <c r="N40" i="35"/>
  <c r="J118" i="35"/>
  <c r="N118" i="35"/>
  <c r="N63" i="35"/>
  <c r="N55" i="35"/>
  <c r="W105" i="35"/>
  <c r="W112" i="35"/>
  <c r="E182" i="12"/>
  <c r="N116" i="12"/>
  <c r="W91" i="32"/>
  <c r="N56" i="32"/>
  <c r="N53" i="32"/>
  <c r="N129" i="13"/>
  <c r="E74" i="30"/>
  <c r="H74" i="30"/>
  <c r="N74" i="30" s="1"/>
  <c r="N38" i="30"/>
  <c r="N52" i="32"/>
  <c r="W89" i="32"/>
  <c r="L89" i="32"/>
  <c r="N51" i="32"/>
  <c r="E69" i="32"/>
  <c r="E86" i="32"/>
  <c r="N15" i="32"/>
  <c r="B81" i="32"/>
  <c r="H76" i="32"/>
  <c r="L87" i="32"/>
  <c r="N87" i="32" s="1"/>
  <c r="J81" i="32"/>
  <c r="N81" i="32" s="1"/>
  <c r="J87" i="32"/>
  <c r="C88" i="32"/>
  <c r="E88" i="32"/>
  <c r="J83" i="32"/>
  <c r="N83" i="32" s="1"/>
  <c r="L80" i="32"/>
  <c r="J73" i="32"/>
  <c r="N55" i="32"/>
  <c r="N18" i="32"/>
  <c r="N47" i="32"/>
  <c r="J70" i="32"/>
  <c r="N70" i="32" s="1"/>
  <c r="L77" i="32"/>
  <c r="H77" i="32"/>
  <c r="N77" i="32" s="1"/>
  <c r="H82" i="32"/>
  <c r="B71" i="32"/>
  <c r="L82" i="32"/>
  <c r="N82" i="32" s="1"/>
  <c r="J74" i="32"/>
  <c r="N74" i="32" s="1"/>
  <c r="B68" i="32"/>
  <c r="E68" i="32"/>
  <c r="L83" i="32"/>
  <c r="N39" i="32"/>
  <c r="N16" i="35"/>
  <c r="B103" i="35"/>
  <c r="E103" i="35"/>
  <c r="N77" i="35"/>
  <c r="B119" i="35"/>
  <c r="B114" i="35"/>
  <c r="N54" i="35"/>
  <c r="J109" i="35"/>
  <c r="D116" i="35"/>
  <c r="E116" i="35" s="1"/>
  <c r="N68" i="35"/>
  <c r="D113" i="35"/>
  <c r="N51" i="35"/>
  <c r="B106" i="35"/>
  <c r="N23" i="35"/>
  <c r="C109" i="35"/>
  <c r="N32" i="35"/>
  <c r="N102" i="35"/>
  <c r="N10" i="35"/>
  <c r="M7" i="35"/>
  <c r="C99" i="35"/>
  <c r="D108" i="35"/>
  <c r="N116" i="35"/>
  <c r="N72" i="35"/>
  <c r="B117" i="35"/>
  <c r="N12" i="35"/>
  <c r="B101" i="35"/>
  <c r="D112" i="35"/>
  <c r="B109" i="35"/>
  <c r="E109" i="35"/>
  <c r="N35" i="35"/>
  <c r="D111" i="35"/>
  <c r="J104" i="35"/>
  <c r="H104" i="35"/>
  <c r="N104" i="35" s="1"/>
  <c r="N76" i="35"/>
  <c r="C119" i="35"/>
  <c r="C115" i="35"/>
  <c r="N26" i="35"/>
  <c r="H117" i="35"/>
  <c r="B115" i="35"/>
  <c r="N59" i="35"/>
  <c r="N20" i="35"/>
  <c r="B105" i="35"/>
  <c r="D102" i="35"/>
  <c r="E102" i="35" s="1"/>
  <c r="N13" i="35"/>
  <c r="C112" i="35"/>
  <c r="E112" i="35" s="1"/>
  <c r="N45" i="35"/>
  <c r="J111" i="35"/>
  <c r="L117" i="35"/>
  <c r="N11" i="35"/>
  <c r="H107" i="35"/>
  <c r="N107" i="35" s="1"/>
  <c r="H113" i="35"/>
  <c r="L114" i="35"/>
  <c r="J117" i="35"/>
  <c r="H109" i="35"/>
  <c r="N109" i="35"/>
  <c r="J113" i="35"/>
  <c r="J119" i="35"/>
  <c r="N119" i="35" s="1"/>
  <c r="L105" i="35"/>
  <c r="H108" i="35"/>
  <c r="L116" i="35"/>
  <c r="U100" i="35"/>
  <c r="L111" i="35"/>
  <c r="H111" i="35"/>
  <c r="N111" i="35" s="1"/>
  <c r="B118" i="35"/>
  <c r="H119" i="35"/>
  <c r="U113" i="35"/>
  <c r="J120" i="35"/>
  <c r="B113" i="35"/>
  <c r="H115" i="35"/>
  <c r="N115" i="35" s="1"/>
  <c r="J103" i="35"/>
  <c r="N103" i="35"/>
  <c r="U109" i="35"/>
  <c r="W109" i="35"/>
  <c r="H110" i="35"/>
  <c r="L115" i="35"/>
  <c r="L8" i="35"/>
  <c r="L107" i="35"/>
  <c r="L120" i="35"/>
  <c r="N120" i="35" s="1"/>
  <c r="L108" i="35"/>
  <c r="E117" i="35"/>
  <c r="E115" i="35"/>
  <c r="E106" i="35"/>
  <c r="M8" i="35"/>
  <c r="D100" i="35"/>
  <c r="C100" i="35"/>
  <c r="N8" i="35"/>
  <c r="N108" i="35"/>
  <c r="N117" i="35"/>
  <c r="N113" i="35"/>
  <c r="B92" i="29"/>
  <c r="E92" i="29" s="1"/>
  <c r="U188" i="10"/>
  <c r="U163" i="10"/>
  <c r="U201" i="10"/>
  <c r="T170" i="10"/>
  <c r="T190" i="10"/>
  <c r="S181" i="10"/>
  <c r="T184" i="10"/>
  <c r="T168" i="10"/>
  <c r="W168" i="10"/>
  <c r="T163" i="10"/>
  <c r="U168" i="10"/>
  <c r="S175" i="10"/>
  <c r="S184" i="10"/>
  <c r="S195" i="10"/>
  <c r="W195" i="10" s="1"/>
  <c r="U171" i="10"/>
  <c r="U167" i="10"/>
  <c r="B83" i="29"/>
  <c r="D82" i="29"/>
  <c r="B81" i="29"/>
  <c r="N51" i="29"/>
  <c r="B86" i="29"/>
  <c r="D85" i="29"/>
  <c r="B84" i="29"/>
  <c r="C73" i="29"/>
  <c r="N58" i="29"/>
  <c r="C89" i="29"/>
  <c r="N48" i="29"/>
  <c r="C91" i="29"/>
  <c r="L73" i="29"/>
  <c r="C83" i="29"/>
  <c r="C81" i="29"/>
  <c r="D74" i="29"/>
  <c r="B73" i="29"/>
  <c r="E73" i="29" s="1"/>
  <c r="H81" i="29"/>
  <c r="J73" i="29"/>
  <c r="N53" i="29"/>
  <c r="L79" i="29"/>
  <c r="E166" i="2"/>
  <c r="E150" i="2"/>
  <c r="E145" i="2"/>
  <c r="E146" i="2"/>
  <c r="C157" i="2"/>
  <c r="N72" i="2"/>
  <c r="N79" i="2"/>
  <c r="C167" i="2"/>
  <c r="E167" i="2"/>
  <c r="C168" i="2"/>
  <c r="D170" i="2"/>
  <c r="N97" i="2"/>
  <c r="N107" i="2"/>
  <c r="N179" i="2"/>
  <c r="C135" i="2"/>
  <c r="E135" i="2" s="1"/>
  <c r="B137" i="2"/>
  <c r="E137" i="2"/>
  <c r="C139" i="2"/>
  <c r="W144" i="2"/>
  <c r="W139" i="2"/>
  <c r="W179" i="2"/>
  <c r="W177" i="2"/>
  <c r="C127" i="2"/>
  <c r="E139" i="2"/>
  <c r="N81" i="2"/>
  <c r="N165" i="2"/>
  <c r="D168" i="2"/>
  <c r="N89" i="2"/>
  <c r="N90" i="2"/>
  <c r="N94" i="2"/>
  <c r="C173" i="2"/>
  <c r="D175" i="2"/>
  <c r="C175" i="2"/>
  <c r="C176" i="2"/>
  <c r="N109" i="2"/>
  <c r="N180" i="2"/>
  <c r="D152" i="2"/>
  <c r="N61" i="2"/>
  <c r="B148" i="2"/>
  <c r="N54" i="2"/>
  <c r="B129" i="2"/>
  <c r="E129" i="2" s="1"/>
  <c r="N19" i="2"/>
  <c r="N25" i="2"/>
  <c r="W149" i="2"/>
  <c r="W165" i="2"/>
  <c r="H127" i="2"/>
  <c r="N170" i="2"/>
  <c r="N177" i="2"/>
  <c r="C180" i="2"/>
  <c r="E180" i="2"/>
  <c r="E144" i="2"/>
  <c r="N41" i="2"/>
  <c r="N44" i="2"/>
  <c r="E138" i="2"/>
  <c r="W131" i="2"/>
  <c r="W180" i="2"/>
  <c r="W176" i="2"/>
  <c r="N7" i="2"/>
  <c r="J181" i="2"/>
  <c r="D163" i="2"/>
  <c r="N78" i="2"/>
  <c r="N166" i="2"/>
  <c r="E170" i="2"/>
  <c r="C172" i="2"/>
  <c r="E172" i="2" s="1"/>
  <c r="D154" i="2"/>
  <c r="E154" i="2" s="1"/>
  <c r="N62" i="2"/>
  <c r="N53" i="2"/>
  <c r="N9" i="2"/>
  <c r="B132" i="2"/>
  <c r="E132" i="2"/>
  <c r="N28" i="2"/>
  <c r="W136" i="2"/>
  <c r="N168" i="2"/>
  <c r="B127" i="2"/>
  <c r="E148" i="2"/>
  <c r="E136" i="2"/>
  <c r="N127" i="2"/>
  <c r="E158" i="2"/>
  <c r="N102" i="2"/>
  <c r="C153" i="2"/>
  <c r="C149" i="2"/>
  <c r="H181" i="2"/>
  <c r="N181" i="2" s="1"/>
  <c r="T181" i="2"/>
  <c r="N56" i="2"/>
  <c r="B169" i="2"/>
  <c r="N96" i="2"/>
  <c r="B152" i="2"/>
  <c r="E152" i="2"/>
  <c r="N66" i="2"/>
  <c r="B171" i="2"/>
  <c r="E171" i="2"/>
  <c r="N15" i="2"/>
  <c r="N92" i="2"/>
  <c r="C169" i="2"/>
  <c r="E169" i="2" s="1"/>
  <c r="C128" i="2"/>
  <c r="E128" i="2"/>
  <c r="N93" i="2"/>
  <c r="N16" i="2"/>
  <c r="D127" i="2"/>
  <c r="E127" i="2"/>
  <c r="J127" i="2"/>
  <c r="S127" i="2"/>
  <c r="C181" i="2"/>
  <c r="B130" i="2"/>
  <c r="B164" i="2"/>
  <c r="E164" i="2" s="1"/>
  <c r="N10" i="2"/>
  <c r="N6" i="2"/>
  <c r="L127" i="2"/>
  <c r="U127" i="2"/>
  <c r="W127" i="2" s="1"/>
  <c r="B159" i="2"/>
  <c r="B151" i="2"/>
  <c r="E151" i="2" s="1"/>
  <c r="N26" i="2"/>
  <c r="N69" i="2"/>
  <c r="N112" i="2"/>
  <c r="N48" i="2"/>
  <c r="E182" i="17"/>
  <c r="E183" i="17"/>
  <c r="N116" i="17"/>
  <c r="C173" i="8"/>
  <c r="N98" i="8"/>
  <c r="N94" i="8"/>
  <c r="N86" i="8"/>
  <c r="C179" i="8"/>
  <c r="C177" i="8"/>
  <c r="C175" i="8"/>
  <c r="N82" i="8"/>
  <c r="N78" i="8"/>
  <c r="N77" i="8"/>
  <c r="N84" i="8"/>
  <c r="C169" i="8"/>
  <c r="N75" i="8"/>
  <c r="L77" i="34"/>
  <c r="N77" i="34" s="1"/>
  <c r="H78" i="34"/>
  <c r="C197" i="13"/>
  <c r="N82" i="20"/>
  <c r="N94" i="20"/>
  <c r="N69" i="20"/>
  <c r="D153" i="1"/>
  <c r="S153" i="1"/>
  <c r="S137" i="1"/>
  <c r="J186" i="1"/>
  <c r="J175" i="1"/>
  <c r="N20" i="1"/>
  <c r="L151" i="1"/>
  <c r="L147" i="1"/>
  <c r="H133" i="1"/>
  <c r="N133" i="1" s="1"/>
  <c r="B168" i="1"/>
  <c r="U136" i="1"/>
  <c r="C136" i="1"/>
  <c r="N17" i="1"/>
  <c r="J133" i="1"/>
  <c r="D160" i="1"/>
  <c r="W177" i="1"/>
  <c r="U141" i="1"/>
  <c r="N84" i="1"/>
  <c r="T160" i="1"/>
  <c r="U160" i="1"/>
  <c r="L169" i="1"/>
  <c r="W165" i="1"/>
  <c r="S168" i="1"/>
  <c r="B136" i="1"/>
  <c r="C174" i="1"/>
  <c r="U137" i="1"/>
  <c r="N58" i="1"/>
  <c r="L160" i="1"/>
  <c r="T141" i="1"/>
  <c r="W145" i="1"/>
  <c r="W135" i="1"/>
  <c r="J160" i="1"/>
  <c r="H138" i="1"/>
  <c r="W162" i="1"/>
  <c r="N56" i="3"/>
  <c r="N19" i="3"/>
  <c r="J184" i="3"/>
  <c r="N48" i="3"/>
  <c r="B187" i="3"/>
  <c r="E145" i="3"/>
  <c r="C146" i="3"/>
  <c r="L161" i="3"/>
  <c r="D177" i="3"/>
  <c r="B166" i="3"/>
  <c r="J167" i="3"/>
  <c r="B175" i="3"/>
  <c r="L109" i="3"/>
  <c r="C183" i="3" s="1"/>
  <c r="C141" i="3"/>
  <c r="N23" i="3"/>
  <c r="W167" i="3"/>
  <c r="W147" i="3"/>
  <c r="D188" i="3"/>
  <c r="U177" i="3"/>
  <c r="D159" i="3"/>
  <c r="N31" i="3"/>
  <c r="W164" i="3"/>
  <c r="L137" i="3"/>
  <c r="S177" i="3"/>
  <c r="W175" i="3"/>
  <c r="N8" i="3"/>
  <c r="J171" i="3"/>
  <c r="H147" i="3"/>
  <c r="N147" i="3" s="1"/>
  <c r="H169" i="3"/>
  <c r="C160" i="3"/>
  <c r="C136" i="3"/>
  <c r="L163" i="3"/>
  <c r="C168" i="3"/>
  <c r="C187" i="3"/>
  <c r="B142" i="3"/>
  <c r="N119" i="3"/>
  <c r="L152" i="3"/>
  <c r="T161" i="3"/>
  <c r="B164" i="3"/>
  <c r="N116" i="3"/>
  <c r="C153" i="3"/>
  <c r="D154" i="3"/>
  <c r="N12" i="3"/>
  <c r="W168" i="3"/>
  <c r="N61" i="3"/>
  <c r="B159" i="3"/>
  <c r="N24" i="3"/>
  <c r="W162" i="3"/>
  <c r="W158" i="3"/>
  <c r="J158" i="3"/>
  <c r="H158" i="3"/>
  <c r="N17" i="3"/>
  <c r="B149" i="3"/>
  <c r="B169" i="3"/>
  <c r="L176" i="3"/>
  <c r="T176" i="3"/>
  <c r="L181" i="3"/>
  <c r="W177" i="3"/>
  <c r="L177" i="3"/>
  <c r="H177" i="3"/>
  <c r="N59" i="3"/>
  <c r="C158" i="3"/>
  <c r="L148" i="3"/>
  <c r="W148" i="3"/>
  <c r="J151" i="3"/>
  <c r="S181" i="3"/>
  <c r="U181" i="3"/>
  <c r="W181" i="3"/>
  <c r="H140" i="3"/>
  <c r="L140" i="3"/>
  <c r="S169" i="3"/>
  <c r="B134" i="3"/>
  <c r="N10" i="3"/>
  <c r="D158" i="3"/>
  <c r="D173" i="3"/>
  <c r="N41" i="3"/>
  <c r="J186" i="3"/>
  <c r="W183" i="3"/>
  <c r="W179" i="3"/>
  <c r="L179" i="3"/>
  <c r="J175" i="3"/>
  <c r="H154" i="3"/>
  <c r="D179" i="3"/>
  <c r="L187" i="3"/>
  <c r="L165" i="3"/>
  <c r="U165" i="3"/>
  <c r="T165" i="3"/>
  <c r="S165" i="3"/>
  <c r="B140" i="3"/>
  <c r="E140" i="3"/>
  <c r="L168" i="3"/>
  <c r="J144" i="3"/>
  <c r="D166" i="3"/>
  <c r="N105" i="3"/>
  <c r="N43" i="3"/>
  <c r="N21" i="3"/>
  <c r="J163" i="3"/>
  <c r="W163" i="3"/>
  <c r="H163" i="3"/>
  <c r="N163" i="3" s="1"/>
  <c r="J142" i="3"/>
  <c r="L142" i="3"/>
  <c r="H139" i="3"/>
  <c r="N120" i="3"/>
  <c r="H164" i="3"/>
  <c r="L157" i="3"/>
  <c r="J166" i="3"/>
  <c r="J183" i="3"/>
  <c r="J168" i="3"/>
  <c r="J147" i="3"/>
  <c r="W144" i="3"/>
  <c r="H175" i="3"/>
  <c r="N175" i="3"/>
  <c r="W171" i="3"/>
  <c r="H149" i="3"/>
  <c r="W184" i="3"/>
  <c r="L171" i="3"/>
  <c r="J145" i="3"/>
  <c r="L186" i="3"/>
  <c r="C82" i="28"/>
  <c r="H96" i="28"/>
  <c r="J82" i="28"/>
  <c r="H81" i="28"/>
  <c r="L96" i="28"/>
  <c r="L88" i="28"/>
  <c r="N11" i="28"/>
  <c r="N19" i="28"/>
  <c r="H80" i="28"/>
  <c r="L80" i="28"/>
  <c r="H97" i="28"/>
  <c r="L92" i="28"/>
  <c r="D74" i="28"/>
  <c r="H91" i="28"/>
  <c r="B74" i="28"/>
  <c r="B95" i="28"/>
  <c r="L191" i="8"/>
  <c r="N191" i="8"/>
  <c r="E68" i="31"/>
  <c r="E83" i="31"/>
  <c r="N73" i="31"/>
  <c r="E77" i="31"/>
  <c r="N75" i="31"/>
  <c r="E72" i="31"/>
  <c r="E84" i="31"/>
  <c r="B78" i="31"/>
  <c r="N44" i="31"/>
  <c r="C78" i="31"/>
  <c r="C74" i="31"/>
  <c r="E74" i="31"/>
  <c r="H78" i="31"/>
  <c r="H77" i="31"/>
  <c r="N77" i="31" s="1"/>
  <c r="L77" i="31"/>
  <c r="N21" i="31"/>
  <c r="N12" i="31"/>
  <c r="N41" i="31"/>
  <c r="B67" i="31"/>
  <c r="B80" i="31"/>
  <c r="E80" i="31"/>
  <c r="C65" i="31"/>
  <c r="E65" i="31"/>
  <c r="H68" i="31"/>
  <c r="H79" i="31"/>
  <c r="H81" i="31"/>
  <c r="J81" i="31"/>
  <c r="J69" i="31"/>
  <c r="D86" i="31"/>
  <c r="E86" i="31"/>
  <c r="N47" i="31"/>
  <c r="B79" i="31"/>
  <c r="E79" i="31"/>
  <c r="N39" i="31"/>
  <c r="C73" i="31"/>
  <c r="H70" i="31"/>
  <c r="N70" i="31"/>
  <c r="L72" i="31"/>
  <c r="L68" i="31"/>
  <c r="J86" i="31"/>
  <c r="N38" i="31"/>
  <c r="H71" i="31"/>
  <c r="N71" i="31" s="1"/>
  <c r="H82" i="31"/>
  <c r="J84" i="31"/>
  <c r="N84" i="31" s="1"/>
  <c r="N35" i="31"/>
  <c r="N45" i="31"/>
  <c r="H83" i="31"/>
  <c r="L75" i="31"/>
  <c r="L85" i="31"/>
  <c r="H85" i="31"/>
  <c r="B86" i="31"/>
  <c r="N43" i="31"/>
  <c r="H66" i="31"/>
  <c r="H86" i="31"/>
  <c r="E159" i="7"/>
  <c r="B162" i="7"/>
  <c r="E162" i="7" s="1"/>
  <c r="N73" i="7"/>
  <c r="S173" i="7"/>
  <c r="T173" i="7"/>
  <c r="H153" i="7"/>
  <c r="N153" i="7" s="1"/>
  <c r="W153" i="7"/>
  <c r="L173" i="7"/>
  <c r="B160" i="7"/>
  <c r="B161" i="7"/>
  <c r="E161" i="7" s="1"/>
  <c r="U172" i="7"/>
  <c r="N102" i="7"/>
  <c r="B176" i="7"/>
  <c r="C177" i="7"/>
  <c r="E177" i="7"/>
  <c r="N10" i="7"/>
  <c r="C130" i="7"/>
  <c r="H165" i="7"/>
  <c r="J165" i="7"/>
  <c r="L161" i="7"/>
  <c r="J161" i="7"/>
  <c r="W161" i="7"/>
  <c r="H161" i="7"/>
  <c r="N161" i="7"/>
  <c r="B173" i="7"/>
  <c r="N92" i="7"/>
  <c r="T169" i="7"/>
  <c r="U169" i="7"/>
  <c r="L169" i="7"/>
  <c r="H169" i="7"/>
  <c r="N169" i="7" s="1"/>
  <c r="N20" i="7"/>
  <c r="D135" i="7"/>
  <c r="W179" i="7"/>
  <c r="J179" i="7"/>
  <c r="N179" i="7" s="1"/>
  <c r="L179" i="7"/>
  <c r="W172" i="7"/>
  <c r="E178" i="7"/>
  <c r="J129" i="7"/>
  <c r="N129" i="7"/>
  <c r="L165" i="7"/>
  <c r="N71" i="7"/>
  <c r="C173" i="7"/>
  <c r="E173" i="7" s="1"/>
  <c r="N68" i="7"/>
  <c r="J155" i="7"/>
  <c r="W155" i="7"/>
  <c r="H155" i="7"/>
  <c r="N155" i="7" s="1"/>
  <c r="L155" i="7"/>
  <c r="T157" i="7"/>
  <c r="J157" i="7"/>
  <c r="N157" i="7" s="1"/>
  <c r="C167" i="7"/>
  <c r="E167" i="7" s="1"/>
  <c r="U160" i="7"/>
  <c r="H160" i="7"/>
  <c r="N160" i="7"/>
  <c r="D160" i="7"/>
  <c r="T160" i="7"/>
  <c r="W160" i="7"/>
  <c r="N65" i="7"/>
  <c r="B158" i="7"/>
  <c r="E158" i="7" s="1"/>
  <c r="J131" i="7"/>
  <c r="H131" i="7"/>
  <c r="L131" i="7"/>
  <c r="W131" i="7"/>
  <c r="B165" i="7"/>
  <c r="N79" i="7"/>
  <c r="N93" i="7"/>
  <c r="C172" i="7"/>
  <c r="N112" i="7"/>
  <c r="B181" i="7"/>
  <c r="E181" i="7"/>
  <c r="D182" i="7"/>
  <c r="N113" i="7"/>
  <c r="N66" i="7"/>
  <c r="N85" i="7"/>
  <c r="E152" i="7"/>
  <c r="N58" i="7"/>
  <c r="B154" i="7"/>
  <c r="E154" i="7"/>
  <c r="C135" i="7"/>
  <c r="E135" i="7" s="1"/>
  <c r="N19" i="7"/>
  <c r="E145" i="7"/>
  <c r="H170" i="7"/>
  <c r="C131" i="7"/>
  <c r="L148" i="7"/>
  <c r="N167" i="7"/>
  <c r="N81" i="7"/>
  <c r="S167" i="7"/>
  <c r="T167" i="7"/>
  <c r="U167" i="7"/>
  <c r="B167" i="7"/>
  <c r="C149" i="7"/>
  <c r="E149" i="7" s="1"/>
  <c r="N47" i="7"/>
  <c r="D150" i="7"/>
  <c r="E150" i="7"/>
  <c r="N49" i="7"/>
  <c r="B133" i="7"/>
  <c r="U173" i="7"/>
  <c r="W173" i="7"/>
  <c r="D167" i="7"/>
  <c r="N83" i="7"/>
  <c r="N13" i="7"/>
  <c r="C132" i="7"/>
  <c r="L183" i="7"/>
  <c r="H183" i="7"/>
  <c r="W183" i="7"/>
  <c r="J183" i="7"/>
  <c r="N183" i="7" s="1"/>
  <c r="S160" i="7"/>
  <c r="N55" i="7"/>
  <c r="W163" i="7"/>
  <c r="D163" i="7"/>
  <c r="D165" i="7"/>
  <c r="B174" i="7"/>
  <c r="N97" i="7"/>
  <c r="N104" i="7"/>
  <c r="H173" i="7"/>
  <c r="N173" i="7" s="1"/>
  <c r="H137" i="7"/>
  <c r="W137" i="7"/>
  <c r="J137" i="7"/>
  <c r="L137" i="7"/>
  <c r="N76" i="7"/>
  <c r="N77" i="7"/>
  <c r="T165" i="7"/>
  <c r="S165" i="7"/>
  <c r="N50" i="7"/>
  <c r="J180" i="7"/>
  <c r="J176" i="7"/>
  <c r="H166" i="7"/>
  <c r="N166" i="7"/>
  <c r="L162" i="7"/>
  <c r="W162" i="7"/>
  <c r="W158" i="7"/>
  <c r="J158" i="7"/>
  <c r="H158" i="7"/>
  <c r="J148" i="7"/>
  <c r="U165" i="7"/>
  <c r="S171" i="7"/>
  <c r="N61" i="7"/>
  <c r="N75" i="7"/>
  <c r="D166" i="7"/>
  <c r="D158" i="7"/>
  <c r="N36" i="7"/>
  <c r="J173" i="7"/>
  <c r="H154" i="7"/>
  <c r="N154" i="7" s="1"/>
  <c r="J144" i="7"/>
  <c r="H144" i="7"/>
  <c r="N144" i="7" s="1"/>
  <c r="B166" i="7"/>
  <c r="U164" i="7"/>
  <c r="H134" i="7"/>
  <c r="N134" i="7" s="1"/>
  <c r="L154" i="7"/>
  <c r="L130" i="7"/>
  <c r="D129" i="7"/>
  <c r="E129" i="7" s="1"/>
  <c r="B139" i="7"/>
  <c r="E139" i="7"/>
  <c r="B142" i="7"/>
  <c r="E142" i="7"/>
  <c r="S161" i="7"/>
  <c r="T161" i="7"/>
  <c r="U161" i="7"/>
  <c r="C165" i="7"/>
  <c r="N62" i="7"/>
  <c r="D147" i="7"/>
  <c r="E147" i="7" s="1"/>
  <c r="J178" i="7"/>
  <c r="L168" i="7"/>
  <c r="L164" i="7"/>
  <c r="N164" i="7"/>
  <c r="H140" i="7"/>
  <c r="W136" i="7"/>
  <c r="L178" i="7"/>
  <c r="N178" i="7" s="1"/>
  <c r="W178" i="7"/>
  <c r="J153" i="7"/>
  <c r="C180" i="7"/>
  <c r="E180" i="7" s="1"/>
  <c r="B151" i="7"/>
  <c r="E151" i="7" s="1"/>
  <c r="B182" i="7"/>
  <c r="N96" i="7"/>
  <c r="N44" i="7"/>
  <c r="T131" i="7"/>
  <c r="S131" i="7"/>
  <c r="T132" i="7"/>
  <c r="S132" i="7"/>
  <c r="U132" i="7"/>
  <c r="B132" i="7"/>
  <c r="L171" i="7"/>
  <c r="N171" i="7" s="1"/>
  <c r="L159" i="7"/>
  <c r="H159" i="7"/>
  <c r="N159" i="7" s="1"/>
  <c r="W159" i="7"/>
  <c r="W146" i="7"/>
  <c r="H146" i="7"/>
  <c r="J132" i="7"/>
  <c r="B164" i="7"/>
  <c r="S164" i="7"/>
  <c r="H162" i="7"/>
  <c r="N162" i="7" s="1"/>
  <c r="J159" i="7"/>
  <c r="L142" i="7"/>
  <c r="L134" i="7"/>
  <c r="N115" i="7"/>
  <c r="N116" i="7"/>
  <c r="N8" i="7"/>
  <c r="B130" i="7"/>
  <c r="E130" i="7" s="1"/>
  <c r="H172" i="7"/>
  <c r="L157" i="7"/>
  <c r="W133" i="7"/>
  <c r="J133" i="7"/>
  <c r="L133" i="7"/>
  <c r="H133" i="7"/>
  <c r="N133" i="7"/>
  <c r="J162" i="7"/>
  <c r="L129" i="7"/>
  <c r="B163" i="7"/>
  <c r="N111" i="7"/>
  <c r="C163" i="7"/>
  <c r="E163" i="7" s="1"/>
  <c r="N80" i="7"/>
  <c r="B171" i="7"/>
  <c r="T177" i="7"/>
  <c r="U177" i="7"/>
  <c r="S177" i="7"/>
  <c r="N52" i="7"/>
  <c r="J167" i="7"/>
  <c r="H163" i="7"/>
  <c r="N163" i="7" s="1"/>
  <c r="L158" i="7"/>
  <c r="D183" i="7"/>
  <c r="E183" i="7"/>
  <c r="H180" i="7"/>
  <c r="L182" i="7"/>
  <c r="N182" i="7"/>
  <c r="L153" i="7"/>
  <c r="L149" i="7"/>
  <c r="L145" i="7"/>
  <c r="L141" i="7"/>
  <c r="H171" i="7"/>
  <c r="W157" i="7"/>
  <c r="W138" i="7"/>
  <c r="W156" i="7"/>
  <c r="H145" i="7"/>
  <c r="H156" i="7"/>
  <c r="H181" i="7"/>
  <c r="H148" i="7"/>
  <c r="N148" i="7" s="1"/>
  <c r="J140" i="7"/>
  <c r="H151" i="7"/>
  <c r="N151" i="7"/>
  <c r="H176" i="7"/>
  <c r="N176" i="7" s="1"/>
  <c r="N86" i="31"/>
  <c r="N81" i="31"/>
  <c r="N85" i="31"/>
  <c r="N131" i="7"/>
  <c r="E160" i="7"/>
  <c r="N158" i="7"/>
  <c r="N137" i="7"/>
  <c r="E166" i="7"/>
  <c r="N165" i="7"/>
  <c r="E165" i="7"/>
  <c r="N145" i="7"/>
  <c r="N118" i="12"/>
  <c r="N58" i="32"/>
  <c r="N34" i="10"/>
  <c r="N101" i="10"/>
  <c r="T178" i="10"/>
  <c r="B160" i="10"/>
  <c r="N15" i="10"/>
  <c r="N17" i="10"/>
  <c r="N82" i="10"/>
  <c r="N116" i="10"/>
  <c r="N120" i="10"/>
  <c r="H148" i="10"/>
  <c r="S189" i="10"/>
  <c r="T159" i="10"/>
  <c r="U151" i="10"/>
  <c r="N73" i="10"/>
  <c r="B184" i="10"/>
  <c r="E184" i="10" s="1"/>
  <c r="C198" i="10"/>
  <c r="J198" i="10"/>
  <c r="W196" i="10"/>
  <c r="S190" i="10"/>
  <c r="N56" i="10"/>
  <c r="T193" i="10"/>
  <c r="L150" i="10"/>
  <c r="N150" i="10" s="1"/>
  <c r="N21" i="10"/>
  <c r="C155" i="10"/>
  <c r="U148" i="10"/>
  <c r="N88" i="10"/>
  <c r="J178" i="10"/>
  <c r="B173" i="10"/>
  <c r="C151" i="10"/>
  <c r="L154" i="10"/>
  <c r="C161" i="10"/>
  <c r="C194" i="10"/>
  <c r="H196" i="10"/>
  <c r="J160" i="10"/>
  <c r="N160" i="10" s="1"/>
  <c r="C189" i="10"/>
  <c r="D151" i="10"/>
  <c r="C169" i="10"/>
  <c r="N74" i="10"/>
  <c r="U177" i="10"/>
  <c r="W164" i="10"/>
  <c r="U149" i="10"/>
  <c r="S149" i="10"/>
  <c r="N26" i="10"/>
  <c r="N29" i="10"/>
  <c r="N83" i="10"/>
  <c r="S163" i="10"/>
  <c r="W163" i="10" s="1"/>
  <c r="T176" i="10"/>
  <c r="N46" i="10"/>
  <c r="D165" i="10"/>
  <c r="D175" i="10"/>
  <c r="N72" i="10"/>
  <c r="N8" i="10"/>
  <c r="H199" i="10"/>
  <c r="N199" i="10" s="1"/>
  <c r="L199" i="10"/>
  <c r="B165" i="10"/>
  <c r="L177" i="10"/>
  <c r="S161" i="10"/>
  <c r="T161" i="10"/>
  <c r="W161" i="10" s="1"/>
  <c r="U161" i="10"/>
  <c r="B153" i="10"/>
  <c r="J159" i="10"/>
  <c r="H159" i="10"/>
  <c r="N159" i="10" s="1"/>
  <c r="N60" i="10"/>
  <c r="N32" i="10"/>
  <c r="B159" i="10"/>
  <c r="H188" i="10"/>
  <c r="T149" i="10"/>
  <c r="W149" i="10"/>
  <c r="C167" i="10"/>
  <c r="N78" i="10"/>
  <c r="S186" i="10"/>
  <c r="B186" i="10"/>
  <c r="U186" i="10"/>
  <c r="T186" i="10"/>
  <c r="H186" i="10"/>
  <c r="N186" i="10" s="1"/>
  <c r="J187" i="10"/>
  <c r="N187" i="10" s="1"/>
  <c r="C188" i="10"/>
  <c r="C185" i="10"/>
  <c r="U185" i="10"/>
  <c r="T185" i="10"/>
  <c r="D185" i="10"/>
  <c r="S185" i="10"/>
  <c r="N53" i="10"/>
  <c r="U175" i="10"/>
  <c r="C175" i="10"/>
  <c r="W162" i="10"/>
  <c r="H191" i="10"/>
  <c r="N91" i="10"/>
  <c r="S151" i="10"/>
  <c r="T151" i="10"/>
  <c r="N22" i="10"/>
  <c r="T171" i="10"/>
  <c r="H176" i="10"/>
  <c r="J176" i="10"/>
  <c r="N79" i="10"/>
  <c r="B182" i="10"/>
  <c r="N89" i="10"/>
  <c r="T194" i="10"/>
  <c r="U194" i="10"/>
  <c r="W194" i="10" s="1"/>
  <c r="N118" i="10"/>
  <c r="B193" i="10"/>
  <c r="S193" i="10"/>
  <c r="W193" i="10"/>
  <c r="N24" i="10"/>
  <c r="B163" i="10"/>
  <c r="E163" i="10" s="1"/>
  <c r="J163" i="10"/>
  <c r="J186" i="10"/>
  <c r="T188" i="10"/>
  <c r="W188" i="10" s="1"/>
  <c r="S188" i="10"/>
  <c r="T191" i="10"/>
  <c r="W191" i="10"/>
  <c r="N123" i="10"/>
  <c r="J154" i="10"/>
  <c r="N50" i="10"/>
  <c r="J196" i="10"/>
  <c r="N196" i="10" s="1"/>
  <c r="H154" i="10"/>
  <c r="N154" i="10" s="1"/>
  <c r="N16" i="10"/>
  <c r="W153" i="10"/>
  <c r="D168" i="10"/>
  <c r="N63" i="10"/>
  <c r="T172" i="10"/>
  <c r="U172" i="10"/>
  <c r="W172" i="10"/>
  <c r="S172" i="10"/>
  <c r="N94" i="10"/>
  <c r="L189" i="10"/>
  <c r="N106" i="10"/>
  <c r="N111" i="10"/>
  <c r="R119" i="10"/>
  <c r="H197" i="10" s="1"/>
  <c r="J155" i="10"/>
  <c r="C159" i="10"/>
  <c r="B162" i="10"/>
  <c r="J168" i="10"/>
  <c r="L168" i="10"/>
  <c r="T175" i="10"/>
  <c r="W175" i="10" s="1"/>
  <c r="T177" i="10"/>
  <c r="W177" i="10"/>
  <c r="L162" i="10"/>
  <c r="H151" i="10"/>
  <c r="N151" i="10" s="1"/>
  <c r="T155" i="10"/>
  <c r="D155" i="10"/>
  <c r="U155" i="10"/>
  <c r="J175" i="10"/>
  <c r="U179" i="10"/>
  <c r="S179" i="10"/>
  <c r="W179" i="10" s="1"/>
  <c r="J189" i="10"/>
  <c r="N189" i="10" s="1"/>
  <c r="N108" i="10"/>
  <c r="B194" i="10"/>
  <c r="N110" i="10"/>
  <c r="W151" i="10"/>
  <c r="W185" i="10"/>
  <c r="J74" i="33"/>
  <c r="H76" i="33"/>
  <c r="L89" i="33"/>
  <c r="J73" i="33"/>
  <c r="N73" i="33" s="1"/>
  <c r="H78" i="33"/>
  <c r="L70" i="33"/>
  <c r="H74" i="33"/>
  <c r="J70" i="33"/>
  <c r="H86" i="33"/>
  <c r="C85" i="33"/>
  <c r="W84" i="33"/>
  <c r="E69" i="34"/>
  <c r="N87" i="34"/>
  <c r="N89" i="34"/>
  <c r="B72" i="34"/>
  <c r="E72" i="34"/>
  <c r="H90" i="34"/>
  <c r="J78" i="34"/>
  <c r="N78" i="34" s="1"/>
  <c r="B88" i="34"/>
  <c r="E88" i="34"/>
  <c r="N19" i="34"/>
  <c r="B86" i="34"/>
  <c r="E86" i="34" s="1"/>
  <c r="H85" i="34"/>
  <c r="B83" i="34"/>
  <c r="H81" i="34"/>
  <c r="N81" i="34" s="1"/>
  <c r="J83" i="34"/>
  <c r="B80" i="34"/>
  <c r="N37" i="34"/>
  <c r="N54" i="34"/>
  <c r="N14" i="34"/>
  <c r="B77" i="34"/>
  <c r="C84" i="34"/>
  <c r="H73" i="34"/>
  <c r="N73" i="34"/>
  <c r="S70" i="34"/>
  <c r="J76" i="34"/>
  <c r="N76" i="34" s="1"/>
  <c r="J69" i="34"/>
  <c r="L83" i="34"/>
  <c r="N10" i="34"/>
  <c r="H88" i="34"/>
  <c r="N8" i="34"/>
  <c r="C80" i="34"/>
  <c r="E80" i="34" s="1"/>
  <c r="D83" i="34"/>
  <c r="B85" i="34"/>
  <c r="J88" i="34"/>
  <c r="L79" i="34"/>
  <c r="U81" i="34"/>
  <c r="S69" i="34"/>
  <c r="W69" i="34"/>
  <c r="H79" i="34"/>
  <c r="H69" i="34"/>
  <c r="L75" i="34"/>
  <c r="N27" i="34"/>
  <c r="S83" i="34"/>
  <c r="W83" i="34"/>
  <c r="L90" i="34"/>
  <c r="N17" i="34"/>
  <c r="C78" i="34"/>
  <c r="E78" i="34" s="1"/>
  <c r="B78" i="34"/>
  <c r="L80" i="34"/>
  <c r="N69" i="34"/>
  <c r="N88" i="34"/>
  <c r="N136" i="10"/>
  <c r="B197" i="10"/>
  <c r="N119" i="10"/>
  <c r="E152" i="10"/>
  <c r="L156" i="10"/>
  <c r="N156" i="10" s="1"/>
  <c r="J156" i="10"/>
  <c r="B164" i="10"/>
  <c r="E164" i="10"/>
  <c r="N45" i="10"/>
  <c r="L192" i="10"/>
  <c r="J192" i="10"/>
  <c r="T192" i="10"/>
  <c r="W192" i="10" s="1"/>
  <c r="H192" i="10"/>
  <c r="N192" i="10" s="1"/>
  <c r="C187" i="10"/>
  <c r="J183" i="10"/>
  <c r="L183" i="10"/>
  <c r="D187" i="10"/>
  <c r="D195" i="10"/>
  <c r="B149" i="10"/>
  <c r="B166" i="10"/>
  <c r="E166" i="10"/>
  <c r="B157" i="10"/>
  <c r="N27" i="10"/>
  <c r="D190" i="10"/>
  <c r="E190" i="10" s="1"/>
  <c r="N102" i="10"/>
  <c r="E196" i="10"/>
  <c r="D200" i="10"/>
  <c r="E200" i="10" s="1"/>
  <c r="B187" i="10"/>
  <c r="E187" i="10"/>
  <c r="L158" i="10"/>
  <c r="D170" i="10"/>
  <c r="B170" i="10"/>
  <c r="W178" i="10"/>
  <c r="C180" i="10"/>
  <c r="C183" i="10"/>
  <c r="S183" i="10"/>
  <c r="D199" i="10"/>
  <c r="B185" i="10"/>
  <c r="E185" i="10" s="1"/>
  <c r="H181" i="10"/>
  <c r="N181" i="10" s="1"/>
  <c r="L148" i="10"/>
  <c r="N148" i="10" s="1"/>
  <c r="U182" i="10"/>
  <c r="N11" i="10"/>
  <c r="N37" i="10"/>
  <c r="B161" i="10"/>
  <c r="E161" i="10"/>
  <c r="L161" i="10"/>
  <c r="J161" i="10"/>
  <c r="H161" i="10"/>
  <c r="N161" i="10" s="1"/>
  <c r="L166" i="10"/>
  <c r="H167" i="10"/>
  <c r="J167" i="10"/>
  <c r="H169" i="10"/>
  <c r="J169" i="10"/>
  <c r="N169" i="10" s="1"/>
  <c r="L169" i="10"/>
  <c r="N75" i="10"/>
  <c r="B177" i="10"/>
  <c r="C178" i="10"/>
  <c r="H178" i="10"/>
  <c r="N178" i="10" s="1"/>
  <c r="L178" i="10"/>
  <c r="D179" i="10"/>
  <c r="E179" i="10" s="1"/>
  <c r="C181" i="10"/>
  <c r="C182" i="10"/>
  <c r="J182" i="10"/>
  <c r="J190" i="10"/>
  <c r="N190" i="10" s="1"/>
  <c r="D191" i="10"/>
  <c r="J199" i="10"/>
  <c r="B199" i="10"/>
  <c r="E199" i="10" s="1"/>
  <c r="C148" i="10"/>
  <c r="E148" i="10" s="1"/>
  <c r="D152" i="10"/>
  <c r="S152" i="10"/>
  <c r="W152" i="10" s="1"/>
  <c r="H182" i="10"/>
  <c r="T169" i="10"/>
  <c r="U169" i="10"/>
  <c r="S169" i="10"/>
  <c r="W169" i="10"/>
  <c r="N126" i="10"/>
  <c r="J149" i="10"/>
  <c r="S192" i="10"/>
  <c r="D181" i="10"/>
  <c r="N64" i="10"/>
  <c r="D172" i="10"/>
  <c r="H183" i="10"/>
  <c r="N183" i="10" s="1"/>
  <c r="L191" i="10"/>
  <c r="N191" i="10"/>
  <c r="L193" i="10"/>
  <c r="N193" i="10" s="1"/>
  <c r="L149" i="10"/>
  <c r="T183" i="10"/>
  <c r="N20" i="10"/>
  <c r="E186" i="10"/>
  <c r="J152" i="10"/>
  <c r="T181" i="10"/>
  <c r="W181" i="10"/>
  <c r="N77" i="10"/>
  <c r="N43" i="10"/>
  <c r="J153" i="10"/>
  <c r="T199" i="10"/>
  <c r="S187" i="10"/>
  <c r="L182" i="10"/>
  <c r="H195" i="10"/>
  <c r="N195" i="10" s="1"/>
  <c r="H155" i="10"/>
  <c r="N155" i="10" s="1"/>
  <c r="L155" i="10"/>
  <c r="J158" i="10"/>
  <c r="N39" i="10"/>
  <c r="N44" i="10"/>
  <c r="C165" i="10"/>
  <c r="E165" i="10" s="1"/>
  <c r="N48" i="10"/>
  <c r="S167" i="10"/>
  <c r="T167" i="10"/>
  <c r="B167" i="10"/>
  <c r="E167" i="10"/>
  <c r="N57" i="10"/>
  <c r="D176" i="10"/>
  <c r="E176" i="10" s="1"/>
  <c r="B178" i="10"/>
  <c r="E178" i="10"/>
  <c r="J179" i="10"/>
  <c r="N179" i="10"/>
  <c r="N81" i="10"/>
  <c r="B180" i="10"/>
  <c r="E180" i="10" s="1"/>
  <c r="J180" i="10"/>
  <c r="L180" i="10"/>
  <c r="N180" i="10" s="1"/>
  <c r="N98" i="10"/>
  <c r="B188" i="10"/>
  <c r="E188" i="10"/>
  <c r="U190" i="10"/>
  <c r="W190" i="10"/>
  <c r="B190" i="10"/>
  <c r="C190" i="10"/>
  <c r="J195" i="10"/>
  <c r="D197" i="10"/>
  <c r="N122" i="10"/>
  <c r="N130" i="10"/>
  <c r="W182" i="10"/>
  <c r="H187" i="10"/>
  <c r="H166" i="10"/>
  <c r="N166" i="10" s="1"/>
  <c r="E160" i="10"/>
  <c r="E150" i="10"/>
  <c r="L157" i="10"/>
  <c r="H157" i="10"/>
  <c r="N157" i="10" s="1"/>
  <c r="L172" i="10"/>
  <c r="J172" i="10"/>
  <c r="L174" i="10"/>
  <c r="J174" i="10"/>
  <c r="N174" i="10" s="1"/>
  <c r="T180" i="10"/>
  <c r="S180" i="10"/>
  <c r="W180" i="10" s="1"/>
  <c r="N90" i="10"/>
  <c r="C184" i="10"/>
  <c r="L185" i="10"/>
  <c r="J185" i="10"/>
  <c r="B195" i="10"/>
  <c r="E195" i="10" s="1"/>
  <c r="H171" i="10"/>
  <c r="H170" i="10"/>
  <c r="N170" i="10"/>
  <c r="N30" i="10"/>
  <c r="B158" i="10"/>
  <c r="L163" i="10"/>
  <c r="H163" i="10"/>
  <c r="N163" i="10" s="1"/>
  <c r="L194" i="10"/>
  <c r="L171" i="10"/>
  <c r="N171" i="10" s="1"/>
  <c r="B192" i="10"/>
  <c r="D180" i="10"/>
  <c r="T182" i="10"/>
  <c r="C157" i="10"/>
  <c r="D182" i="10"/>
  <c r="E182" i="10" s="1"/>
  <c r="J184" i="10"/>
  <c r="H184" i="10"/>
  <c r="N184" i="10" s="1"/>
  <c r="L184" i="10"/>
  <c r="C200" i="10"/>
  <c r="N128" i="10"/>
  <c r="T200" i="10"/>
  <c r="W200" i="10"/>
  <c r="B183" i="10"/>
  <c r="E183" i="10" s="1"/>
  <c r="H185" i="10"/>
  <c r="L181" i="10"/>
  <c r="U200" i="10"/>
  <c r="H174" i="10"/>
  <c r="U192" i="10"/>
  <c r="U180" i="10"/>
  <c r="C158" i="10"/>
  <c r="S170" i="10"/>
  <c r="W170" i="10"/>
  <c r="N41" i="10"/>
  <c r="S158" i="10"/>
  <c r="W158" i="10"/>
  <c r="L151" i="10"/>
  <c r="L152" i="10"/>
  <c r="H152" i="10"/>
  <c r="N152" i="10" s="1"/>
  <c r="N18" i="10"/>
  <c r="B155" i="10"/>
  <c r="E155" i="10"/>
  <c r="S155" i="10"/>
  <c r="W155" i="10" s="1"/>
  <c r="U157" i="10"/>
  <c r="T157" i="10"/>
  <c r="W157" i="10" s="1"/>
  <c r="H158" i="10"/>
  <c r="C162" i="10"/>
  <c r="E162" i="10" s="1"/>
  <c r="N168" i="10"/>
  <c r="N59" i="10"/>
  <c r="N62" i="10"/>
  <c r="H173" i="10"/>
  <c r="J173" i="10"/>
  <c r="B175" i="10"/>
  <c r="N70" i="10"/>
  <c r="L175" i="10"/>
  <c r="H175" i="10"/>
  <c r="N175" i="10" s="1"/>
  <c r="L176" i="10"/>
  <c r="N176" i="10" s="1"/>
  <c r="J177" i="10"/>
  <c r="H177" i="10"/>
  <c r="N177" i="10"/>
  <c r="L187" i="10"/>
  <c r="J188" i="10"/>
  <c r="L188" i="10"/>
  <c r="N188" i="10" s="1"/>
  <c r="N103" i="10"/>
  <c r="N115" i="10"/>
  <c r="D198" i="10"/>
  <c r="E198" i="10"/>
  <c r="B148" i="10"/>
  <c r="T148" i="10"/>
  <c r="W148" i="10"/>
  <c r="N194" i="10"/>
  <c r="B171" i="10"/>
  <c r="B191" i="10"/>
  <c r="E191" i="10" s="1"/>
  <c r="C173" i="10"/>
  <c r="E173" i="10"/>
  <c r="W189" i="10"/>
  <c r="T197" i="10"/>
  <c r="W197" i="10"/>
  <c r="U199" i="10"/>
  <c r="W199" i="10"/>
  <c r="T158" i="10"/>
  <c r="H156" i="10"/>
  <c r="U152" i="10"/>
  <c r="D156" i="10"/>
  <c r="E156" i="10" s="1"/>
  <c r="N31" i="10"/>
  <c r="L160" i="10"/>
  <c r="H160" i="10"/>
  <c r="H164" i="10"/>
  <c r="L164" i="10"/>
  <c r="J164" i="10"/>
  <c r="J165" i="10"/>
  <c r="H165" i="10"/>
  <c r="N165" i="10"/>
  <c r="N52" i="10"/>
  <c r="N54" i="10"/>
  <c r="C170" i="10"/>
  <c r="L170" i="10"/>
  <c r="D174" i="10"/>
  <c r="E174" i="10"/>
  <c r="S176" i="10"/>
  <c r="W176" i="10"/>
  <c r="C176" i="10"/>
  <c r="U176" i="10"/>
  <c r="D183" i="10"/>
  <c r="N95" i="10"/>
  <c r="U187" i="10"/>
  <c r="B189" i="10"/>
  <c r="E189" i="10"/>
  <c r="N100" i="10"/>
  <c r="N117" i="10"/>
  <c r="L198" i="10"/>
  <c r="H198" i="10"/>
  <c r="N198" i="10"/>
  <c r="C195" i="10"/>
  <c r="W166" i="10"/>
  <c r="U198" i="10"/>
  <c r="W198" i="10" s="1"/>
  <c r="T198" i="10"/>
  <c r="T201" i="10"/>
  <c r="W201" i="10"/>
  <c r="N164" i="10"/>
  <c r="E158" i="10"/>
  <c r="W167" i="10"/>
  <c r="E170" i="10"/>
  <c r="N173" i="10"/>
  <c r="N167" i="10"/>
  <c r="E197" i="10"/>
  <c r="N185" i="10"/>
  <c r="N182" i="10"/>
  <c r="D90" i="33"/>
  <c r="N34" i="33"/>
  <c r="D80" i="33"/>
  <c r="D91" i="33"/>
  <c r="N52" i="33"/>
  <c r="N41" i="33"/>
  <c r="N38" i="33"/>
  <c r="C87" i="33"/>
  <c r="C84" i="33"/>
  <c r="C80" i="33"/>
  <c r="J77" i="33"/>
  <c r="H71" i="33"/>
  <c r="N71" i="33" s="1"/>
  <c r="L73" i="33"/>
  <c r="J72" i="33"/>
  <c r="H72" i="33"/>
  <c r="J71" i="33"/>
  <c r="H83" i="33"/>
  <c r="W85" i="33"/>
  <c r="L83" i="33"/>
  <c r="L82" i="33"/>
  <c r="W81" i="33"/>
  <c r="N120" i="18"/>
  <c r="H122" i="35"/>
  <c r="L91" i="34"/>
  <c r="L203" i="10"/>
  <c r="N203" i="10"/>
  <c r="W198" i="13"/>
  <c r="J197" i="13"/>
  <c r="W197" i="13"/>
  <c r="H198" i="13"/>
  <c r="N198" i="13"/>
  <c r="H194" i="15"/>
  <c r="J194" i="15"/>
  <c r="N194" i="15" s="1"/>
  <c r="L87" i="31"/>
  <c r="H87" i="31"/>
  <c r="N87" i="31"/>
  <c r="J184" i="7"/>
  <c r="E110" i="36"/>
  <c r="N73" i="36"/>
  <c r="C95" i="37"/>
  <c r="N60" i="37"/>
  <c r="C93" i="37"/>
  <c r="E78" i="37"/>
  <c r="W76" i="37"/>
  <c r="E76" i="37"/>
  <c r="E90" i="37"/>
  <c r="E91" i="37"/>
  <c r="E85" i="37"/>
  <c r="N76" i="37"/>
  <c r="E79" i="37"/>
  <c r="E72" i="37"/>
  <c r="N30" i="37"/>
  <c r="J88" i="37"/>
  <c r="L77" i="37"/>
  <c r="N39" i="37"/>
  <c r="T75" i="37"/>
  <c r="N38" i="37"/>
  <c r="N33" i="37"/>
  <c r="L85" i="37"/>
  <c r="N85" i="37"/>
  <c r="N31" i="37"/>
  <c r="J76" i="37"/>
  <c r="B75" i="37"/>
  <c r="E75" i="37"/>
  <c r="H80" i="37"/>
  <c r="L72" i="37"/>
  <c r="L91" i="37"/>
  <c r="U94" i="37"/>
  <c r="N18" i="37"/>
  <c r="B80" i="37"/>
  <c r="C88" i="37"/>
  <c r="L83" i="37"/>
  <c r="J73" i="37"/>
  <c r="B88" i="37"/>
  <c r="E88" i="37"/>
  <c r="S91" i="37"/>
  <c r="H94" i="37"/>
  <c r="C92" i="37"/>
  <c r="E92" i="37"/>
  <c r="H72" i="37"/>
  <c r="L73" i="37"/>
  <c r="H88" i="37"/>
  <c r="N88" i="37" s="1"/>
  <c r="T91" i="37"/>
  <c r="H87" i="37"/>
  <c r="N87" i="37"/>
  <c r="H89" i="37"/>
  <c r="N89" i="37" s="1"/>
  <c r="D91" i="37"/>
  <c r="S75" i="37"/>
  <c r="W75" i="37" s="1"/>
  <c r="D87" i="37"/>
  <c r="E87" i="37"/>
  <c r="B94" i="37"/>
  <c r="J87" i="37"/>
  <c r="J80" i="37"/>
  <c r="N59" i="37"/>
  <c r="N36" i="37"/>
  <c r="H75" i="37"/>
  <c r="N21" i="37"/>
  <c r="N37" i="37"/>
  <c r="B73" i="37"/>
  <c r="J89" i="37"/>
  <c r="S94" i="37"/>
  <c r="W94" i="37" s="1"/>
  <c r="B93" i="37"/>
  <c r="E93" i="37"/>
  <c r="N57" i="37"/>
  <c r="C94" i="37"/>
  <c r="N7" i="37"/>
  <c r="B96" i="37"/>
  <c r="E96" i="37"/>
  <c r="E94" i="37"/>
  <c r="N55" i="37"/>
  <c r="B95" i="37"/>
  <c r="E95" i="37" s="1"/>
  <c r="T90" i="38"/>
  <c r="W90" i="38" s="1"/>
  <c r="T91" i="38"/>
  <c r="S92" i="38"/>
  <c r="H81" i="38"/>
  <c r="S73" i="38"/>
  <c r="H75" i="38"/>
  <c r="U73" i="38"/>
  <c r="W110" i="36"/>
  <c r="N110" i="36"/>
  <c r="W91" i="36"/>
  <c r="W97" i="36"/>
  <c r="N22" i="36"/>
  <c r="N37" i="36"/>
  <c r="J88" i="36"/>
  <c r="L98" i="36"/>
  <c r="N39" i="36"/>
  <c r="N44" i="36"/>
  <c r="N49" i="36"/>
  <c r="U101" i="36"/>
  <c r="S101" i="36"/>
  <c r="W101" i="36"/>
  <c r="T105" i="36"/>
  <c r="U105" i="36"/>
  <c r="W105" i="36" s="1"/>
  <c r="D93" i="36"/>
  <c r="D97" i="36"/>
  <c r="D101" i="36"/>
  <c r="N58" i="36"/>
  <c r="L101" i="36"/>
  <c r="L97" i="36"/>
  <c r="W99" i="36"/>
  <c r="L94" i="36"/>
  <c r="S100" i="36"/>
  <c r="W100" i="36"/>
  <c r="J97" i="36"/>
  <c r="N97" i="36" s="1"/>
  <c r="N8" i="36"/>
  <c r="B101" i="36"/>
  <c r="N59" i="36"/>
  <c r="J108" i="36"/>
  <c r="W98" i="36"/>
  <c r="N45" i="36"/>
  <c r="B90" i="36"/>
  <c r="E90" i="36" s="1"/>
  <c r="N30" i="36"/>
  <c r="W88" i="36"/>
  <c r="L100" i="36"/>
  <c r="N100" i="36" s="1"/>
  <c r="W89" i="36"/>
  <c r="B94" i="36"/>
  <c r="C103" i="36"/>
  <c r="J95" i="36"/>
  <c r="N95" i="36" s="1"/>
  <c r="H92" i="36"/>
  <c r="N92" i="36" s="1"/>
  <c r="D87" i="36"/>
  <c r="D95" i="36"/>
  <c r="E95" i="36" s="1"/>
  <c r="N55" i="36"/>
  <c r="H90" i="36"/>
  <c r="N90" i="36" s="1"/>
  <c r="B93" i="36"/>
  <c r="L103" i="36"/>
  <c r="N34" i="36"/>
  <c r="B103" i="36"/>
  <c r="E103" i="36" s="1"/>
  <c r="B100" i="36"/>
  <c r="E100" i="36" s="1"/>
  <c r="D99" i="36"/>
  <c r="E99" i="36" s="1"/>
  <c r="N52" i="36"/>
  <c r="N61" i="36"/>
  <c r="L95" i="36"/>
  <c r="L86" i="36"/>
  <c r="N86" i="36"/>
  <c r="N27" i="36"/>
  <c r="N20" i="36"/>
  <c r="N31" i="36"/>
  <c r="C94" i="36"/>
  <c r="N72" i="36"/>
  <c r="N74" i="36"/>
  <c r="N71" i="36"/>
  <c r="N68" i="36"/>
  <c r="N64" i="36"/>
  <c r="N57" i="36"/>
  <c r="N62" i="36"/>
  <c r="N65" i="36"/>
  <c r="N67" i="36"/>
  <c r="N69" i="36"/>
  <c r="N66" i="36"/>
  <c r="C86" i="36"/>
  <c r="E86" i="36"/>
  <c r="N7" i="36"/>
  <c r="L99" i="36"/>
  <c r="J99" i="36"/>
  <c r="H99" i="36"/>
  <c r="U109" i="36"/>
  <c r="T109" i="36"/>
  <c r="S109" i="36"/>
  <c r="W109" i="36" s="1"/>
  <c r="H109" i="36"/>
  <c r="N109" i="36" s="1"/>
  <c r="D102" i="36"/>
  <c r="B106" i="36"/>
  <c r="E106" i="36"/>
  <c r="N53" i="36"/>
  <c r="L107" i="36"/>
  <c r="J102" i="36"/>
  <c r="L102" i="36"/>
  <c r="B98" i="36"/>
  <c r="E98" i="36"/>
  <c r="N17" i="36"/>
  <c r="W106" i="36"/>
  <c r="H88" i="36"/>
  <c r="N10" i="36"/>
  <c r="B88" i="36"/>
  <c r="E88" i="36"/>
  <c r="C106" i="36"/>
  <c r="S87" i="36"/>
  <c r="U87" i="36"/>
  <c r="T87" i="36"/>
  <c r="W87" i="36" s="1"/>
  <c r="N28" i="36"/>
  <c r="N40" i="36"/>
  <c r="B102" i="36"/>
  <c r="L105" i="36"/>
  <c r="H105" i="36"/>
  <c r="J105" i="36"/>
  <c r="C109" i="36"/>
  <c r="E109" i="36" s="1"/>
  <c r="N70" i="36"/>
  <c r="C101" i="36"/>
  <c r="E101" i="36"/>
  <c r="T107" i="36"/>
  <c r="U107" i="36"/>
  <c r="S107" i="36"/>
  <c r="W107" i="36" s="1"/>
  <c r="B109" i="36"/>
  <c r="D104" i="36"/>
  <c r="C104" i="36"/>
  <c r="E104" i="36" s="1"/>
  <c r="N48" i="36"/>
  <c r="D108" i="36"/>
  <c r="N60" i="36"/>
  <c r="J106" i="36"/>
  <c r="W86" i="36"/>
  <c r="J109" i="36"/>
  <c r="B92" i="36"/>
  <c r="E92" i="36" s="1"/>
  <c r="C107" i="36"/>
  <c r="N56" i="36"/>
  <c r="B108" i="36"/>
  <c r="L108" i="36"/>
  <c r="H106" i="36"/>
  <c r="H102" i="36"/>
  <c r="J100" i="36"/>
  <c r="H96" i="36"/>
  <c r="H91" i="36"/>
  <c r="L91" i="36"/>
  <c r="J91" i="36"/>
  <c r="L93" i="36"/>
  <c r="H93" i="36"/>
  <c r="J93" i="36"/>
  <c r="N14" i="36"/>
  <c r="C90" i="36"/>
  <c r="E87" i="36"/>
  <c r="N16" i="36"/>
  <c r="C91" i="36"/>
  <c r="E91" i="36"/>
  <c r="N50" i="36"/>
  <c r="B105" i="36"/>
  <c r="D107" i="36"/>
  <c r="C108" i="36"/>
  <c r="E108" i="36" s="1"/>
  <c r="H108" i="36"/>
  <c r="N108" i="36" s="1"/>
  <c r="L87" i="36"/>
  <c r="J87" i="36"/>
  <c r="L109" i="36"/>
  <c r="H100" i="36"/>
  <c r="J94" i="36"/>
  <c r="N94" i="36"/>
  <c r="L92" i="36"/>
  <c r="U96" i="36"/>
  <c r="W96" i="36"/>
  <c r="H103" i="36"/>
  <c r="N103" i="36" s="1"/>
  <c r="J101" i="36"/>
  <c r="N101" i="36" s="1"/>
  <c r="H98" i="36"/>
  <c r="N98" i="36" s="1"/>
  <c r="J89" i="36"/>
  <c r="S94" i="36"/>
  <c r="W94" i="36" s="1"/>
  <c r="J90" i="36"/>
  <c r="L106" i="36"/>
  <c r="C93" i="36"/>
  <c r="E93" i="36"/>
  <c r="N38" i="36"/>
  <c r="T90" i="36"/>
  <c r="W90" i="36"/>
  <c r="T94" i="36"/>
  <c r="N32" i="36"/>
  <c r="T92" i="36"/>
  <c r="W92" i="36"/>
  <c r="J96" i="36"/>
  <c r="N96" i="36" s="1"/>
  <c r="J107" i="36"/>
  <c r="B95" i="36"/>
  <c r="H107" i="36"/>
  <c r="N107" i="36"/>
  <c r="S108" i="36"/>
  <c r="W108" i="36"/>
  <c r="W122" i="35"/>
  <c r="H121" i="35"/>
  <c r="L121" i="35"/>
  <c r="N121" i="35" s="1"/>
  <c r="S121" i="35"/>
  <c r="W121" i="35"/>
  <c r="W91" i="37"/>
  <c r="N72" i="37"/>
  <c r="N88" i="36"/>
  <c r="N87" i="36"/>
  <c r="N91" i="36"/>
  <c r="N99" i="36"/>
  <c r="N105" i="36"/>
  <c r="N102" i="36"/>
  <c r="N93" i="36"/>
  <c r="N106" i="36"/>
  <c r="E77" i="28" l="1"/>
  <c r="E93" i="28"/>
  <c r="N92" i="28"/>
  <c r="E90" i="28"/>
  <c r="N82" i="28"/>
  <c r="N17" i="28"/>
  <c r="N22" i="28"/>
  <c r="W90" i="28"/>
  <c r="C98" i="28"/>
  <c r="N44" i="28"/>
  <c r="H92" i="28"/>
  <c r="H89" i="28"/>
  <c r="C97" i="28"/>
  <c r="W84" i="28"/>
  <c r="N63" i="28"/>
  <c r="L84" i="28"/>
  <c r="N84" i="28" s="1"/>
  <c r="H76" i="28"/>
  <c r="N76" i="28" s="1"/>
  <c r="D84" i="28"/>
  <c r="J91" i="28"/>
  <c r="L86" i="28"/>
  <c r="L91" i="28"/>
  <c r="N91" i="28" s="1"/>
  <c r="N8" i="28"/>
  <c r="B90" i="28"/>
  <c r="B91" i="28"/>
  <c r="D92" i="28"/>
  <c r="J96" i="28"/>
  <c r="N96" i="28" s="1"/>
  <c r="H90" i="28"/>
  <c r="W81" i="28"/>
  <c r="W94" i="28"/>
  <c r="W88" i="28"/>
  <c r="E95" i="28"/>
  <c r="N20" i="28"/>
  <c r="D89" i="28"/>
  <c r="L89" i="28"/>
  <c r="E82" i="28"/>
  <c r="N9" i="28"/>
  <c r="W93" i="28"/>
  <c r="T89" i="28"/>
  <c r="W89" i="28" s="1"/>
  <c r="B83" i="28"/>
  <c r="E83" i="28" s="1"/>
  <c r="B76" i="28"/>
  <c r="E76" i="28" s="1"/>
  <c r="E92" i="28"/>
  <c r="N15" i="28"/>
  <c r="N33" i="28"/>
  <c r="S89" i="28"/>
  <c r="D81" i="28"/>
  <c r="H88" i="28"/>
  <c r="N88" i="28" s="1"/>
  <c r="H86" i="28"/>
  <c r="C75" i="28"/>
  <c r="E75" i="28" s="1"/>
  <c r="N13" i="28"/>
  <c r="C78" i="28"/>
  <c r="E78" i="28" s="1"/>
  <c r="C80" i="28"/>
  <c r="N28" i="28"/>
  <c r="N48" i="28"/>
  <c r="C94" i="28"/>
  <c r="E94" i="28" s="1"/>
  <c r="L93" i="28"/>
  <c r="W97" i="28"/>
  <c r="B88" i="28"/>
  <c r="E88" i="28" s="1"/>
  <c r="J94" i="28"/>
  <c r="H84" i="28"/>
  <c r="N32" i="28"/>
  <c r="L95" i="28"/>
  <c r="N45" i="28"/>
  <c r="N14" i="28"/>
  <c r="C77" i="28"/>
  <c r="D80" i="28"/>
  <c r="N23" i="28"/>
  <c r="D85" i="28"/>
  <c r="D87" i="28"/>
  <c r="C90" i="28"/>
  <c r="D91" i="28"/>
  <c r="C92" i="28"/>
  <c r="C89" i="28"/>
  <c r="J95" i="28"/>
  <c r="N95" i="28" s="1"/>
  <c r="J93" i="28"/>
  <c r="N93" i="28" s="1"/>
  <c r="J89" i="28"/>
  <c r="W80" i="28"/>
  <c r="N58" i="28"/>
  <c r="B98" i="28"/>
  <c r="E98" i="28" s="1"/>
  <c r="N9" i="38"/>
  <c r="N55" i="38"/>
  <c r="N35" i="38"/>
  <c r="H78" i="38"/>
  <c r="B78" i="38"/>
  <c r="C85" i="38"/>
  <c r="D75" i="38"/>
  <c r="N27" i="38"/>
  <c r="N46" i="38"/>
  <c r="H87" i="38"/>
  <c r="H85" i="38"/>
  <c r="L74" i="38"/>
  <c r="H91" i="38"/>
  <c r="N91" i="38" s="1"/>
  <c r="H84" i="38"/>
  <c r="C73" i="38"/>
  <c r="C77" i="38"/>
  <c r="N39" i="38"/>
  <c r="C88" i="38"/>
  <c r="B80" i="38"/>
  <c r="B87" i="38"/>
  <c r="B91" i="38"/>
  <c r="D92" i="38"/>
  <c r="E92" i="38" s="1"/>
  <c r="B89" i="38"/>
  <c r="J79" i="38"/>
  <c r="E82" i="33"/>
  <c r="N46" i="33"/>
  <c r="W71" i="33"/>
  <c r="N55" i="33"/>
  <c r="J75" i="33"/>
  <c r="N75" i="33" s="1"/>
  <c r="N76" i="33"/>
  <c r="N50" i="33"/>
  <c r="N12" i="33"/>
  <c r="N72" i="33"/>
  <c r="L90" i="33"/>
  <c r="N90" i="33" s="1"/>
  <c r="N48" i="33"/>
  <c r="N74" i="33"/>
  <c r="N45" i="33"/>
  <c r="L91" i="33"/>
  <c r="H90" i="33"/>
  <c r="D81" i="33"/>
  <c r="C82" i="33"/>
  <c r="W74" i="33"/>
  <c r="W82" i="33"/>
  <c r="N7" i="33"/>
  <c r="L75" i="33"/>
  <c r="L78" i="33"/>
  <c r="N14" i="33"/>
  <c r="B80" i="33"/>
  <c r="E80" i="33" s="1"/>
  <c r="B87" i="33"/>
  <c r="E87" i="33" s="1"/>
  <c r="B89" i="33"/>
  <c r="E89" i="33" s="1"/>
  <c r="D75" i="33"/>
  <c r="E75" i="33" s="1"/>
  <c r="N25" i="33"/>
  <c r="W76" i="33"/>
  <c r="W90" i="33"/>
  <c r="N54" i="33"/>
  <c r="N56" i="33"/>
  <c r="N78" i="33"/>
  <c r="L74" i="33"/>
  <c r="J83" i="33"/>
  <c r="N83" i="33" s="1"/>
  <c r="N42" i="33"/>
  <c r="N44" i="33"/>
  <c r="C88" i="33"/>
  <c r="L76" i="33"/>
  <c r="C76" i="33"/>
  <c r="D77" i="33"/>
  <c r="J91" i="33"/>
  <c r="N91" i="33" s="1"/>
  <c r="N129" i="15"/>
  <c r="N123" i="15"/>
  <c r="N76" i="29"/>
  <c r="N87" i="29"/>
  <c r="E75" i="29"/>
  <c r="N82" i="29"/>
  <c r="E84" i="29"/>
  <c r="N47" i="29"/>
  <c r="E83" i="29"/>
  <c r="H92" i="29"/>
  <c r="N92" i="29" s="1"/>
  <c r="J88" i="29"/>
  <c r="E81" i="29"/>
  <c r="L72" i="29"/>
  <c r="N25" i="29"/>
  <c r="N39" i="29"/>
  <c r="J84" i="29"/>
  <c r="N84" i="29" s="1"/>
  <c r="H78" i="29"/>
  <c r="N94" i="29"/>
  <c r="N29" i="29"/>
  <c r="N17" i="29"/>
  <c r="H87" i="29"/>
  <c r="L77" i="29"/>
  <c r="N77" i="29" s="1"/>
  <c r="B80" i="29"/>
  <c r="E80" i="29" s="1"/>
  <c r="D77" i="29"/>
  <c r="E77" i="29" s="1"/>
  <c r="B76" i="29"/>
  <c r="E76" i="29" s="1"/>
  <c r="W86" i="29"/>
  <c r="N61" i="29"/>
  <c r="N34" i="29"/>
  <c r="L78" i="29"/>
  <c r="N44" i="29"/>
  <c r="L75" i="29"/>
  <c r="N75" i="29" s="1"/>
  <c r="H85" i="29"/>
  <c r="N20" i="29"/>
  <c r="N30" i="29"/>
  <c r="W79" i="29"/>
  <c r="W87" i="29"/>
  <c r="T95" i="29"/>
  <c r="U95" i="29"/>
  <c r="L87" i="29"/>
  <c r="B94" i="29"/>
  <c r="E94" i="29" s="1"/>
  <c r="L88" i="29"/>
  <c r="N88" i="29" s="1"/>
  <c r="L91" i="29"/>
  <c r="N22" i="29"/>
  <c r="L86" i="29"/>
  <c r="J76" i="29"/>
  <c r="H73" i="29"/>
  <c r="N73" i="29" s="1"/>
  <c r="W73" i="29"/>
  <c r="E86" i="29"/>
  <c r="H72" i="29"/>
  <c r="B93" i="29"/>
  <c r="N45" i="29"/>
  <c r="J81" i="29"/>
  <c r="N81" i="29" s="1"/>
  <c r="N49" i="29"/>
  <c r="C78" i="29"/>
  <c r="L92" i="29"/>
  <c r="J78" i="29"/>
  <c r="B87" i="29"/>
  <c r="E87" i="29" s="1"/>
  <c r="B91" i="29"/>
  <c r="E91" i="29" s="1"/>
  <c r="D93" i="29"/>
  <c r="C84" i="29"/>
  <c r="W74" i="29"/>
  <c r="D95" i="29"/>
  <c r="J91" i="29"/>
  <c r="N91" i="29" s="1"/>
  <c r="L89" i="29"/>
  <c r="J89" i="29"/>
  <c r="N43" i="29"/>
  <c r="N7" i="29"/>
  <c r="N46" i="29"/>
  <c r="J93" i="29"/>
  <c r="N93" i="29" s="1"/>
  <c r="D79" i="29"/>
  <c r="E79" i="29" s="1"/>
  <c r="B78" i="29"/>
  <c r="W75" i="29"/>
  <c r="W82" i="29"/>
  <c r="W90" i="29"/>
  <c r="W92" i="29"/>
  <c r="W88" i="29"/>
  <c r="W84" i="29"/>
  <c r="W80" i="29"/>
  <c r="W76" i="29"/>
  <c r="C95" i="29"/>
  <c r="E95" i="29" s="1"/>
  <c r="C163" i="3"/>
  <c r="E163" i="3" s="1"/>
  <c r="J185" i="3"/>
  <c r="L185" i="3"/>
  <c r="J182" i="3"/>
  <c r="W182" i="3"/>
  <c r="L178" i="3"/>
  <c r="H178" i="3"/>
  <c r="J178" i="3"/>
  <c r="L159" i="3"/>
  <c r="N159" i="3" s="1"/>
  <c r="H159" i="3"/>
  <c r="W149" i="3"/>
  <c r="J149" i="3"/>
  <c r="N149" i="3" s="1"/>
  <c r="H134" i="3"/>
  <c r="N134" i="3" s="1"/>
  <c r="L134" i="3"/>
  <c r="J134" i="3"/>
  <c r="C165" i="3"/>
  <c r="W159" i="3"/>
  <c r="C180" i="3"/>
  <c r="H142" i="3"/>
  <c r="N142" i="3" s="1"/>
  <c r="N63" i="3"/>
  <c r="B160" i="3"/>
  <c r="N25" i="3"/>
  <c r="B143" i="3"/>
  <c r="E143" i="3" s="1"/>
  <c r="W155" i="3"/>
  <c r="N141" i="3"/>
  <c r="N139" i="3"/>
  <c r="E169" i="3"/>
  <c r="N90" i="3"/>
  <c r="C174" i="3"/>
  <c r="C176" i="3"/>
  <c r="N94" i="3"/>
  <c r="N154" i="3"/>
  <c r="B168" i="3"/>
  <c r="N78" i="3"/>
  <c r="B177" i="3"/>
  <c r="N103" i="3"/>
  <c r="H136" i="3"/>
  <c r="N136" i="3" s="1"/>
  <c r="L136" i="3"/>
  <c r="J136" i="3"/>
  <c r="D134" i="3"/>
  <c r="E134" i="3" s="1"/>
  <c r="N7" i="3"/>
  <c r="N121" i="3"/>
  <c r="B188" i="3"/>
  <c r="E188" i="3" s="1"/>
  <c r="E159" i="3"/>
  <c r="E149" i="3"/>
  <c r="N65" i="3"/>
  <c r="C161" i="3"/>
  <c r="E161" i="3" s="1"/>
  <c r="N80" i="3"/>
  <c r="B176" i="3"/>
  <c r="W156" i="3"/>
  <c r="H156" i="3"/>
  <c r="J156" i="3"/>
  <c r="L156" i="3"/>
  <c r="N156" i="3" s="1"/>
  <c r="L153" i="3"/>
  <c r="J153" i="3"/>
  <c r="W153" i="3"/>
  <c r="H153" i="3"/>
  <c r="L146" i="3"/>
  <c r="H146" i="3"/>
  <c r="W146" i="3"/>
  <c r="J146" i="3"/>
  <c r="L143" i="3"/>
  <c r="H143" i="3"/>
  <c r="J143" i="3"/>
  <c r="J139" i="3"/>
  <c r="L139" i="3"/>
  <c r="W139" i="3"/>
  <c r="J189" i="3"/>
  <c r="N99" i="3"/>
  <c r="E166" i="3"/>
  <c r="N72" i="3"/>
  <c r="S185" i="3"/>
  <c r="T185" i="3"/>
  <c r="U185" i="3"/>
  <c r="B155" i="3"/>
  <c r="E155" i="3" s="1"/>
  <c r="N49" i="3"/>
  <c r="D156" i="3"/>
  <c r="C157" i="3"/>
  <c r="N57" i="3"/>
  <c r="B146" i="3"/>
  <c r="E146" i="3" s="1"/>
  <c r="N30" i="3"/>
  <c r="W178" i="3"/>
  <c r="W136" i="3"/>
  <c r="N140" i="3"/>
  <c r="W185" i="3"/>
  <c r="E160" i="3"/>
  <c r="E141" i="3"/>
  <c r="B154" i="3"/>
  <c r="E154" i="3" s="1"/>
  <c r="N47" i="3"/>
  <c r="N55" i="3"/>
  <c r="B158" i="3"/>
  <c r="E158" i="3" s="1"/>
  <c r="N58" i="3"/>
  <c r="W172" i="3"/>
  <c r="N101" i="3"/>
  <c r="N111" i="3"/>
  <c r="N75" i="3"/>
  <c r="J135" i="3"/>
  <c r="N135" i="3" s="1"/>
  <c r="W174" i="3"/>
  <c r="L174" i="3"/>
  <c r="J170" i="3"/>
  <c r="L170" i="3"/>
  <c r="L166" i="3"/>
  <c r="H166" i="3"/>
  <c r="N166" i="3" s="1"/>
  <c r="W166" i="3"/>
  <c r="J162" i="3"/>
  <c r="L162" i="3"/>
  <c r="J155" i="3"/>
  <c r="J152" i="3"/>
  <c r="N152" i="3" s="1"/>
  <c r="W152" i="3"/>
  <c r="H152" i="3"/>
  <c r="W138" i="3"/>
  <c r="L138" i="3"/>
  <c r="J138" i="3"/>
  <c r="N138" i="3" s="1"/>
  <c r="J188" i="3"/>
  <c r="N123" i="3"/>
  <c r="U169" i="3"/>
  <c r="H162" i="3"/>
  <c r="T174" i="3"/>
  <c r="J174" i="3"/>
  <c r="E181" i="3"/>
  <c r="C164" i="3"/>
  <c r="H168" i="3"/>
  <c r="N168" i="3" s="1"/>
  <c r="C170" i="3"/>
  <c r="D186" i="3"/>
  <c r="D187" i="3"/>
  <c r="E187" i="3" s="1"/>
  <c r="N40" i="3"/>
  <c r="N45" i="3"/>
  <c r="N18" i="3"/>
  <c r="N28" i="3"/>
  <c r="J181" i="3"/>
  <c r="N181" i="3" s="1"/>
  <c r="J177" i="3"/>
  <c r="N177" i="3" s="1"/>
  <c r="L158" i="3"/>
  <c r="N158" i="3" s="1"/>
  <c r="H148" i="3"/>
  <c r="N148" i="3" s="1"/>
  <c r="L145" i="3"/>
  <c r="N145" i="3" s="1"/>
  <c r="N104" i="3"/>
  <c r="N71" i="3"/>
  <c r="N89" i="3"/>
  <c r="D183" i="3"/>
  <c r="J187" i="3"/>
  <c r="H187" i="3"/>
  <c r="N187" i="3" s="1"/>
  <c r="W187" i="3"/>
  <c r="H184" i="3"/>
  <c r="L184" i="3"/>
  <c r="N169" i="3"/>
  <c r="W161" i="3"/>
  <c r="H161" i="3"/>
  <c r="H151" i="3"/>
  <c r="N151" i="3" s="1"/>
  <c r="L151" i="3"/>
  <c r="J141" i="3"/>
  <c r="H141" i="3"/>
  <c r="W141" i="3"/>
  <c r="W151" i="3"/>
  <c r="J165" i="3"/>
  <c r="D169" i="3"/>
  <c r="W169" i="3"/>
  <c r="H174" i="3"/>
  <c r="N174" i="3" s="1"/>
  <c r="H170" i="3"/>
  <c r="W135" i="3"/>
  <c r="L135" i="3"/>
  <c r="D176" i="3"/>
  <c r="N91" i="3"/>
  <c r="B174" i="3"/>
  <c r="E174" i="3" s="1"/>
  <c r="N102" i="3"/>
  <c r="D184" i="3"/>
  <c r="E184" i="3" s="1"/>
  <c r="N115" i="3"/>
  <c r="D153" i="3"/>
  <c r="D137" i="3"/>
  <c r="E137" i="3" s="1"/>
  <c r="N13" i="3"/>
  <c r="N26" i="3"/>
  <c r="W180" i="3"/>
  <c r="H180" i="3"/>
  <c r="N180" i="3" s="1"/>
  <c r="U168" i="3"/>
  <c r="U166" i="3"/>
  <c r="N33" i="3"/>
  <c r="T166" i="3"/>
  <c r="N137" i="3"/>
  <c r="B150" i="3"/>
  <c r="D167" i="3"/>
  <c r="T173" i="3"/>
  <c r="U173" i="3"/>
  <c r="C177" i="3"/>
  <c r="E177" i="3" s="1"/>
  <c r="B179" i="3"/>
  <c r="E179" i="3" s="1"/>
  <c r="N100" i="3"/>
  <c r="B180" i="3"/>
  <c r="U180" i="3"/>
  <c r="N108" i="3"/>
  <c r="B183" i="3"/>
  <c r="E183" i="3" s="1"/>
  <c r="C184" i="3"/>
  <c r="N117" i="3"/>
  <c r="N46" i="3"/>
  <c r="N62" i="3"/>
  <c r="D135" i="3"/>
  <c r="N14" i="3"/>
  <c r="B138" i="3"/>
  <c r="E138" i="3" s="1"/>
  <c r="N179" i="3"/>
  <c r="N66" i="3"/>
  <c r="N38" i="3"/>
  <c r="B151" i="3"/>
  <c r="E151" i="3" s="1"/>
  <c r="C143" i="3"/>
  <c r="H183" i="3"/>
  <c r="N183" i="3" s="1"/>
  <c r="W137" i="3"/>
  <c r="W154" i="3"/>
  <c r="N67" i="3"/>
  <c r="N74" i="3"/>
  <c r="N110" i="3"/>
  <c r="B186" i="3"/>
  <c r="N53" i="3"/>
  <c r="D136" i="3"/>
  <c r="E136" i="3" s="1"/>
  <c r="C139" i="3"/>
  <c r="E139" i="3" s="1"/>
  <c r="J179" i="3"/>
  <c r="H144" i="3"/>
  <c r="N144" i="3" s="1"/>
  <c r="W140" i="3"/>
  <c r="C189" i="3"/>
  <c r="L154" i="3"/>
  <c r="L183" i="3"/>
  <c r="N68" i="3"/>
  <c r="N84" i="3"/>
  <c r="C178" i="3"/>
  <c r="E178" i="3" s="1"/>
  <c r="N39" i="3"/>
  <c r="D151" i="3"/>
  <c r="C142" i="3"/>
  <c r="E142" i="3" s="1"/>
  <c r="N32" i="3"/>
  <c r="H167" i="3"/>
  <c r="N167" i="3" s="1"/>
  <c r="N6" i="3"/>
  <c r="L189" i="3"/>
  <c r="H189" i="3"/>
  <c r="N189" i="3" s="1"/>
  <c r="E145" i="1"/>
  <c r="N14" i="1"/>
  <c r="N43" i="1"/>
  <c r="U147" i="1"/>
  <c r="J151" i="1"/>
  <c r="N151" i="1" s="1"/>
  <c r="N83" i="1"/>
  <c r="N94" i="1"/>
  <c r="D181" i="1"/>
  <c r="B182" i="1"/>
  <c r="N61" i="1"/>
  <c r="N59" i="1"/>
  <c r="N57" i="1"/>
  <c r="C155" i="1"/>
  <c r="C151" i="1"/>
  <c r="C149" i="1"/>
  <c r="N37" i="1"/>
  <c r="N35" i="1"/>
  <c r="N32" i="1"/>
  <c r="B144" i="1"/>
  <c r="B138" i="1"/>
  <c r="W141" i="1"/>
  <c r="W163" i="1"/>
  <c r="J159" i="1"/>
  <c r="L155" i="1"/>
  <c r="W152" i="1"/>
  <c r="W186" i="1"/>
  <c r="T185" i="1"/>
  <c r="W187" i="1"/>
  <c r="U171" i="1"/>
  <c r="N102" i="1"/>
  <c r="N99" i="1"/>
  <c r="C142" i="1"/>
  <c r="H185" i="1"/>
  <c r="W142" i="1"/>
  <c r="H148" i="1"/>
  <c r="N148" i="1" s="1"/>
  <c r="N80" i="1"/>
  <c r="B173" i="1"/>
  <c r="N66" i="1"/>
  <c r="N60" i="1"/>
  <c r="N56" i="1"/>
  <c r="D147" i="1"/>
  <c r="N34" i="1"/>
  <c r="D143" i="1"/>
  <c r="E143" i="1" s="1"/>
  <c r="N25" i="1"/>
  <c r="N16" i="1"/>
  <c r="D135" i="1"/>
  <c r="W147" i="1"/>
  <c r="W140" i="1"/>
  <c r="W136" i="1"/>
  <c r="W181" i="1"/>
  <c r="J165" i="1"/>
  <c r="D188" i="1"/>
  <c r="U153" i="1"/>
  <c r="N12" i="1"/>
  <c r="C141" i="1"/>
  <c r="S165" i="1"/>
  <c r="N98" i="1"/>
  <c r="C153" i="1"/>
  <c r="E153" i="1" s="1"/>
  <c r="D152" i="1"/>
  <c r="B151" i="1"/>
  <c r="E151" i="1" s="1"/>
  <c r="C143" i="1"/>
  <c r="N22" i="1"/>
  <c r="C135" i="1"/>
  <c r="N8" i="1"/>
  <c r="H146" i="1"/>
  <c r="J142" i="1"/>
  <c r="H157" i="1"/>
  <c r="W150" i="1"/>
  <c r="L180" i="1"/>
  <c r="W172" i="1"/>
  <c r="W168" i="1"/>
  <c r="C133" i="1"/>
  <c r="D133" i="1"/>
  <c r="B181" i="1"/>
  <c r="D163" i="1"/>
  <c r="W161" i="1"/>
  <c r="L176" i="1"/>
  <c r="H161" i="1"/>
  <c r="C166" i="1"/>
  <c r="B167" i="1"/>
  <c r="E167" i="1" s="1"/>
  <c r="N85" i="1"/>
  <c r="N96" i="1"/>
  <c r="C180" i="1"/>
  <c r="N108" i="1"/>
  <c r="N110" i="1"/>
  <c r="D184" i="1"/>
  <c r="B185" i="1"/>
  <c r="C186" i="1"/>
  <c r="N65" i="1"/>
  <c r="D157" i="1"/>
  <c r="L133" i="1"/>
  <c r="L181" i="1"/>
  <c r="B141" i="1"/>
  <c r="B147" i="1"/>
  <c r="E147" i="1" s="1"/>
  <c r="T187" i="1"/>
  <c r="C164" i="1"/>
  <c r="D172" i="1"/>
  <c r="N95" i="1"/>
  <c r="D173" i="1"/>
  <c r="N70" i="1"/>
  <c r="D151" i="1"/>
  <c r="D141" i="1"/>
  <c r="E141" i="1" s="1"/>
  <c r="C140" i="1"/>
  <c r="W160" i="1"/>
  <c r="J171" i="1"/>
  <c r="W167" i="1"/>
  <c r="U185" i="1"/>
  <c r="B133" i="1"/>
  <c r="E133" i="1" s="1"/>
  <c r="N122" i="1"/>
  <c r="D155" i="1"/>
  <c r="U155" i="1"/>
  <c r="S155" i="1"/>
  <c r="U148" i="1"/>
  <c r="S148" i="1"/>
  <c r="H143" i="1"/>
  <c r="J143" i="1"/>
  <c r="L143" i="1"/>
  <c r="W157" i="1"/>
  <c r="W155" i="1"/>
  <c r="T167" i="1"/>
  <c r="N75" i="1"/>
  <c r="B161" i="1"/>
  <c r="N91" i="1"/>
  <c r="U173" i="1"/>
  <c r="S173" i="1"/>
  <c r="U161" i="1"/>
  <c r="S161" i="1"/>
  <c r="T161" i="1"/>
  <c r="B162" i="1"/>
  <c r="N67" i="1"/>
  <c r="W148" i="1"/>
  <c r="W143" i="1"/>
  <c r="B174" i="1"/>
  <c r="E174" i="1" s="1"/>
  <c r="L163" i="1"/>
  <c r="J147" i="1"/>
  <c r="L157" i="1"/>
  <c r="N79" i="1"/>
  <c r="L164" i="1"/>
  <c r="T164" i="1"/>
  <c r="C184" i="1"/>
  <c r="T144" i="1"/>
  <c r="U144" i="1"/>
  <c r="N40" i="1"/>
  <c r="N26" i="1"/>
  <c r="J144" i="1"/>
  <c r="W144" i="1"/>
  <c r="H144" i="1"/>
  <c r="L141" i="1"/>
  <c r="H155" i="1"/>
  <c r="J182" i="1"/>
  <c r="N182" i="1" s="1"/>
  <c r="W182" i="1"/>
  <c r="L182" i="1"/>
  <c r="W174" i="1"/>
  <c r="L174" i="1"/>
  <c r="W170" i="1"/>
  <c r="L170" i="1"/>
  <c r="H166" i="1"/>
  <c r="J166" i="1"/>
  <c r="W166" i="1"/>
  <c r="J170" i="1"/>
  <c r="N170" i="1" s="1"/>
  <c r="E134" i="1"/>
  <c r="L171" i="1"/>
  <c r="N171" i="1" s="1"/>
  <c r="H172" i="1"/>
  <c r="J140" i="1"/>
  <c r="H141" i="1"/>
  <c r="N141" i="1" s="1"/>
  <c r="L138" i="1"/>
  <c r="N54" i="1"/>
  <c r="T159" i="1"/>
  <c r="J157" i="1"/>
  <c r="U176" i="1"/>
  <c r="T176" i="1"/>
  <c r="D180" i="1"/>
  <c r="T135" i="1"/>
  <c r="U135" i="1"/>
  <c r="L137" i="1"/>
  <c r="W137" i="1"/>
  <c r="J158" i="1"/>
  <c r="L158" i="1"/>
  <c r="B171" i="1"/>
  <c r="L165" i="1"/>
  <c r="L140" i="1"/>
  <c r="H147" i="1"/>
  <c r="N147" i="1" s="1"/>
  <c r="E135" i="1"/>
  <c r="U167" i="1"/>
  <c r="U156" i="1"/>
  <c r="T156" i="1"/>
  <c r="N68" i="1"/>
  <c r="B155" i="1"/>
  <c r="N39" i="1"/>
  <c r="H140" i="1"/>
  <c r="L150" i="1"/>
  <c r="J150" i="1"/>
  <c r="H150" i="1"/>
  <c r="N30" i="1"/>
  <c r="N114" i="1"/>
  <c r="N10" i="1"/>
  <c r="N45" i="1"/>
  <c r="C178" i="1"/>
  <c r="C156" i="1"/>
  <c r="N50" i="1"/>
  <c r="D148" i="1"/>
  <c r="N28" i="1"/>
  <c r="N18" i="1"/>
  <c r="J146" i="1"/>
  <c r="N146" i="1" s="1"/>
  <c r="J135" i="1"/>
  <c r="L135" i="1"/>
  <c r="L161" i="1"/>
  <c r="J161" i="1"/>
  <c r="J149" i="1"/>
  <c r="L149" i="1"/>
  <c r="W184" i="1"/>
  <c r="L172" i="1"/>
  <c r="J138" i="1"/>
  <c r="N138" i="1" s="1"/>
  <c r="H173" i="1"/>
  <c r="W149" i="1"/>
  <c r="N107" i="1"/>
  <c r="L184" i="1"/>
  <c r="N89" i="1"/>
  <c r="E136" i="1"/>
  <c r="N53" i="1"/>
  <c r="S156" i="1"/>
  <c r="D167" i="1"/>
  <c r="C173" i="1"/>
  <c r="S171" i="1"/>
  <c r="T171" i="1"/>
  <c r="B183" i="1"/>
  <c r="E183" i="1" s="1"/>
  <c r="N109" i="1"/>
  <c r="N115" i="1"/>
  <c r="N116" i="1"/>
  <c r="B186" i="1"/>
  <c r="D158" i="1"/>
  <c r="E158" i="1" s="1"/>
  <c r="B156" i="1"/>
  <c r="B152" i="1"/>
  <c r="N33" i="1"/>
  <c r="N27" i="1"/>
  <c r="J153" i="1"/>
  <c r="L179" i="1"/>
  <c r="W179" i="1"/>
  <c r="N175" i="1"/>
  <c r="N123" i="1"/>
  <c r="L156" i="1"/>
  <c r="B142" i="1"/>
  <c r="J184" i="1"/>
  <c r="D161" i="1"/>
  <c r="N111" i="1"/>
  <c r="B176" i="1"/>
  <c r="E176" i="1" s="1"/>
  <c r="B164" i="1"/>
  <c r="N72" i="1"/>
  <c r="N81" i="1"/>
  <c r="B169" i="1"/>
  <c r="T172" i="1"/>
  <c r="U172" i="1"/>
  <c r="B179" i="1"/>
  <c r="N112" i="1"/>
  <c r="B140" i="1"/>
  <c r="J145" i="1"/>
  <c r="N145" i="1" s="1"/>
  <c r="L145" i="1"/>
  <c r="W183" i="1"/>
  <c r="J183" i="1"/>
  <c r="L183" i="1"/>
  <c r="L167" i="1"/>
  <c r="D187" i="1"/>
  <c r="C167" i="1"/>
  <c r="B175" i="1"/>
  <c r="E175" i="1" s="1"/>
  <c r="D146" i="1"/>
  <c r="N29" i="1"/>
  <c r="H162" i="1"/>
  <c r="N6" i="1"/>
  <c r="W133" i="1"/>
  <c r="H187" i="1"/>
  <c r="N187" i="1" s="1"/>
  <c r="L175" i="1"/>
  <c r="L142" i="1"/>
  <c r="L187" i="1"/>
  <c r="J136" i="1"/>
  <c r="L136" i="1"/>
  <c r="N78" i="1"/>
  <c r="D170" i="1"/>
  <c r="N88" i="1"/>
  <c r="D176" i="1"/>
  <c r="B180" i="1"/>
  <c r="C161" i="1"/>
  <c r="D159" i="1"/>
  <c r="N9" i="1"/>
  <c r="H158" i="1"/>
  <c r="J185" i="1"/>
  <c r="H179" i="1"/>
  <c r="N119" i="1"/>
  <c r="N118" i="1"/>
  <c r="L146" i="1"/>
  <c r="J155" i="1"/>
  <c r="C179" i="1"/>
  <c r="C182" i="1"/>
  <c r="E182" i="1" s="1"/>
  <c r="C185" i="1"/>
  <c r="E185" i="1" s="1"/>
  <c r="N64" i="1"/>
  <c r="N47" i="1"/>
  <c r="D150" i="1"/>
  <c r="J148" i="1"/>
  <c r="N121" i="1"/>
  <c r="B188" i="1"/>
  <c r="B187" i="1"/>
  <c r="E187" i="1" s="1"/>
  <c r="W146" i="1"/>
  <c r="B148" i="1"/>
  <c r="E148" i="1" s="1"/>
  <c r="S163" i="1"/>
  <c r="N76" i="1"/>
  <c r="D171" i="1"/>
  <c r="B159" i="1"/>
  <c r="E159" i="1" s="1"/>
  <c r="H176" i="1"/>
  <c r="E176" i="7"/>
  <c r="E192" i="10"/>
  <c r="N122" i="35"/>
  <c r="E83" i="34"/>
  <c r="B87" i="28"/>
  <c r="E87" i="28" s="1"/>
  <c r="W73" i="38"/>
  <c r="W187" i="10"/>
  <c r="E175" i="10"/>
  <c r="L197" i="10"/>
  <c r="E182" i="7"/>
  <c r="N15" i="7"/>
  <c r="L170" i="7"/>
  <c r="N170" i="7" s="1"/>
  <c r="S172" i="7"/>
  <c r="C171" i="3"/>
  <c r="N112" i="3"/>
  <c r="N146" i="16"/>
  <c r="N150" i="21"/>
  <c r="N135" i="14"/>
  <c r="E145" i="14"/>
  <c r="W169" i="14"/>
  <c r="N173" i="14"/>
  <c r="N152" i="5"/>
  <c r="N167" i="11"/>
  <c r="N109" i="13"/>
  <c r="C162" i="5"/>
  <c r="E162" i="5" s="1"/>
  <c r="N73" i="5"/>
  <c r="N76" i="5"/>
  <c r="C163" i="5"/>
  <c r="N71" i="1"/>
  <c r="D164" i="1"/>
  <c r="E164" i="1" s="1"/>
  <c r="B165" i="1"/>
  <c r="N74" i="1"/>
  <c r="B179" i="2"/>
  <c r="N111" i="2"/>
  <c r="N97" i="13"/>
  <c r="D182" i="13"/>
  <c r="J175" i="15"/>
  <c r="L175" i="15"/>
  <c r="N160" i="14"/>
  <c r="L169" i="9"/>
  <c r="J169" i="9"/>
  <c r="H169" i="9"/>
  <c r="B176" i="13"/>
  <c r="E176" i="13" s="1"/>
  <c r="W157" i="5"/>
  <c r="L157" i="5"/>
  <c r="J157" i="5"/>
  <c r="N157" i="5" s="1"/>
  <c r="L172" i="7"/>
  <c r="N172" i="7" s="1"/>
  <c r="N68" i="31"/>
  <c r="B84" i="28"/>
  <c r="E84" i="28" s="1"/>
  <c r="N171" i="3"/>
  <c r="D160" i="2"/>
  <c r="E160" i="2" s="1"/>
  <c r="H86" i="32"/>
  <c r="N86" i="32" s="1"/>
  <c r="N169" i="15"/>
  <c r="J164" i="15"/>
  <c r="N176" i="5"/>
  <c r="E140" i="12"/>
  <c r="N61" i="12"/>
  <c r="N37" i="28"/>
  <c r="N192" i="22"/>
  <c r="N155" i="22"/>
  <c r="N139" i="17"/>
  <c r="E141" i="26"/>
  <c r="T179" i="15"/>
  <c r="B179" i="15"/>
  <c r="E179" i="15" s="1"/>
  <c r="S179" i="15"/>
  <c r="W179" i="15" s="1"/>
  <c r="N88" i="7"/>
  <c r="D172" i="7"/>
  <c r="B170" i="3"/>
  <c r="N83" i="3"/>
  <c r="U172" i="3"/>
  <c r="S172" i="3"/>
  <c r="T172" i="3"/>
  <c r="H172" i="3"/>
  <c r="J172" i="3"/>
  <c r="L172" i="3"/>
  <c r="H173" i="3"/>
  <c r="S173" i="3"/>
  <c r="J173" i="3"/>
  <c r="B173" i="3"/>
  <c r="W173" i="3"/>
  <c r="D182" i="3"/>
  <c r="T182" i="3"/>
  <c r="S182" i="3"/>
  <c r="L182" i="3"/>
  <c r="H182" i="3"/>
  <c r="C182" i="3"/>
  <c r="U182" i="3"/>
  <c r="B175" i="2"/>
  <c r="E175" i="2" s="1"/>
  <c r="N103" i="2"/>
  <c r="B182" i="3"/>
  <c r="C177" i="5"/>
  <c r="N104" i="5"/>
  <c r="E155" i="5"/>
  <c r="N13" i="5"/>
  <c r="B132" i="5"/>
  <c r="E136" i="5"/>
  <c r="J62" i="30"/>
  <c r="H62" i="30"/>
  <c r="N62" i="30" s="1"/>
  <c r="H83" i="29"/>
  <c r="J83" i="29"/>
  <c r="L83" i="29"/>
  <c r="J80" i="29"/>
  <c r="H80" i="29"/>
  <c r="L86" i="32"/>
  <c r="N103" i="7"/>
  <c r="E159" i="2"/>
  <c r="N184" i="14"/>
  <c r="N173" i="15"/>
  <c r="H164" i="15"/>
  <c r="N164" i="15" s="1"/>
  <c r="E163" i="2"/>
  <c r="W81" i="34"/>
  <c r="W66" i="30"/>
  <c r="N188" i="22"/>
  <c r="W178" i="12"/>
  <c r="W143" i="12"/>
  <c r="S178" i="15"/>
  <c r="U178" i="15"/>
  <c r="T178" i="15"/>
  <c r="B178" i="15"/>
  <c r="H178" i="15"/>
  <c r="N178" i="15" s="1"/>
  <c r="J178" i="15"/>
  <c r="N86" i="7"/>
  <c r="B168" i="7"/>
  <c r="E168" i="7" s="1"/>
  <c r="D177" i="1"/>
  <c r="C177" i="1"/>
  <c r="U177" i="1"/>
  <c r="H177" i="1"/>
  <c r="L177" i="1"/>
  <c r="S177" i="1"/>
  <c r="B173" i="2"/>
  <c r="E173" i="2" s="1"/>
  <c r="N99" i="2"/>
  <c r="N101" i="2"/>
  <c r="C174" i="2"/>
  <c r="E174" i="2" s="1"/>
  <c r="H156" i="1"/>
  <c r="J156" i="1"/>
  <c r="W156" i="1"/>
  <c r="H153" i="1"/>
  <c r="W153" i="1"/>
  <c r="N34" i="37"/>
  <c r="C83" i="37"/>
  <c r="H64" i="30"/>
  <c r="J64" i="30"/>
  <c r="L64" i="30"/>
  <c r="E177" i="5"/>
  <c r="W161" i="17"/>
  <c r="B187" i="13"/>
  <c r="E187" i="13" s="1"/>
  <c r="N107" i="13"/>
  <c r="B177" i="2"/>
  <c r="E177" i="2" s="1"/>
  <c r="N106" i="2"/>
  <c r="L179" i="15"/>
  <c r="J179" i="15"/>
  <c r="H161" i="15"/>
  <c r="L161" i="15"/>
  <c r="W170" i="7"/>
  <c r="N171" i="21"/>
  <c r="H175" i="15"/>
  <c r="D143" i="5"/>
  <c r="N36" i="5"/>
  <c r="L177" i="7"/>
  <c r="W177" i="7"/>
  <c r="H177" i="7"/>
  <c r="L182" i="15"/>
  <c r="H182" i="15"/>
  <c r="H188" i="3"/>
  <c r="E176" i="3"/>
  <c r="E152" i="3"/>
  <c r="N142" i="1"/>
  <c r="E117" i="16"/>
  <c r="E131" i="16"/>
  <c r="E135" i="18"/>
  <c r="E137" i="14"/>
  <c r="H179" i="15"/>
  <c r="N179" i="15" s="1"/>
  <c r="N23" i="15"/>
  <c r="E191" i="15"/>
  <c r="E143" i="5"/>
  <c r="E71" i="30"/>
  <c r="H154" i="19"/>
  <c r="L154" i="19"/>
  <c r="J154" i="19"/>
  <c r="N71" i="15"/>
  <c r="D168" i="15"/>
  <c r="E168" i="15" s="1"/>
  <c r="N73" i="15"/>
  <c r="B169" i="15"/>
  <c r="E169" i="15" s="1"/>
  <c r="B177" i="8"/>
  <c r="E177" i="8" s="1"/>
  <c r="N92" i="8"/>
  <c r="S169" i="1"/>
  <c r="T169" i="1"/>
  <c r="U169" i="1"/>
  <c r="D169" i="1"/>
  <c r="W169" i="1"/>
  <c r="C169" i="1"/>
  <c r="H169" i="1"/>
  <c r="J169" i="1"/>
  <c r="N115" i="5"/>
  <c r="D182" i="5"/>
  <c r="E182" i="5" s="1"/>
  <c r="H163" i="1"/>
  <c r="J163" i="1"/>
  <c r="L159" i="1"/>
  <c r="H159" i="1"/>
  <c r="W159" i="1"/>
  <c r="H152" i="1"/>
  <c r="L152" i="1"/>
  <c r="J152" i="1"/>
  <c r="N13" i="32"/>
  <c r="D71" i="32"/>
  <c r="E71" i="32" s="1"/>
  <c r="C105" i="35"/>
  <c r="E105" i="35" s="1"/>
  <c r="N21" i="35"/>
  <c r="L171" i="15"/>
  <c r="J171" i="15"/>
  <c r="H171" i="15"/>
  <c r="N171" i="15" s="1"/>
  <c r="U156" i="12"/>
  <c r="T156" i="12"/>
  <c r="S156" i="12"/>
  <c r="L156" i="12"/>
  <c r="D156" i="12"/>
  <c r="B156" i="12"/>
  <c r="J156" i="12"/>
  <c r="H156" i="12"/>
  <c r="N156" i="12" s="1"/>
  <c r="C176" i="12"/>
  <c r="E176" i="12" s="1"/>
  <c r="N102" i="12"/>
  <c r="T172" i="7"/>
  <c r="E100" i="35"/>
  <c r="L133" i="19"/>
  <c r="H133" i="19"/>
  <c r="J133" i="19"/>
  <c r="N71" i="13"/>
  <c r="B171" i="13"/>
  <c r="E171" i="13" s="1"/>
  <c r="C184" i="13"/>
  <c r="N101" i="13"/>
  <c r="N112" i="15"/>
  <c r="D187" i="15"/>
  <c r="L153" i="14"/>
  <c r="J153" i="14"/>
  <c r="H153" i="14"/>
  <c r="J197" i="10"/>
  <c r="N197" i="10" s="1"/>
  <c r="W186" i="10"/>
  <c r="B172" i="7"/>
  <c r="E172" i="7" s="1"/>
  <c r="L188" i="3"/>
  <c r="E168" i="3"/>
  <c r="W174" i="21"/>
  <c r="E162" i="15"/>
  <c r="N109" i="3"/>
  <c r="W119" i="35"/>
  <c r="N164" i="22"/>
  <c r="N141" i="22"/>
  <c r="E131" i="7"/>
  <c r="T177" i="1"/>
  <c r="N67" i="15"/>
  <c r="C167" i="15"/>
  <c r="E167" i="15" s="1"/>
  <c r="B176" i="8"/>
  <c r="N90" i="8"/>
  <c r="N98" i="5"/>
  <c r="D174" i="5"/>
  <c r="N87" i="1"/>
  <c r="B172" i="1"/>
  <c r="E172" i="1" s="1"/>
  <c r="D139" i="1"/>
  <c r="L139" i="1"/>
  <c r="H139" i="1"/>
  <c r="C139" i="1"/>
  <c r="S139" i="1"/>
  <c r="U139" i="1"/>
  <c r="J139" i="1"/>
  <c r="T139" i="1"/>
  <c r="W139" i="1"/>
  <c r="N63" i="1"/>
  <c r="C160" i="1"/>
  <c r="E160" i="1" s="1"/>
  <c r="C154" i="1"/>
  <c r="E154" i="1" s="1"/>
  <c r="N51" i="1"/>
  <c r="C147" i="2"/>
  <c r="E147" i="2" s="1"/>
  <c r="N47" i="2"/>
  <c r="N31" i="32"/>
  <c r="C80" i="32"/>
  <c r="E80" i="32" s="1"/>
  <c r="D99" i="35"/>
  <c r="E99" i="35" s="1"/>
  <c r="N7" i="35"/>
  <c r="N111" i="14"/>
  <c r="C181" i="14"/>
  <c r="E181" i="14" s="1"/>
  <c r="J174" i="7"/>
  <c r="W174" i="7"/>
  <c r="L174" i="7"/>
  <c r="H174" i="7"/>
  <c r="J183" i="15"/>
  <c r="L183" i="15"/>
  <c r="H183" i="15"/>
  <c r="J167" i="15"/>
  <c r="L167" i="15"/>
  <c r="H167" i="15"/>
  <c r="N167" i="15" s="1"/>
  <c r="N181" i="5"/>
  <c r="E156" i="25"/>
  <c r="B185" i="13"/>
  <c r="J80" i="31"/>
  <c r="L80" i="31"/>
  <c r="H80" i="31"/>
  <c r="N158" i="10"/>
  <c r="W183" i="10"/>
  <c r="N186" i="3"/>
  <c r="E171" i="3"/>
  <c r="N160" i="1"/>
  <c r="E176" i="2"/>
  <c r="N114" i="35"/>
  <c r="N105" i="35"/>
  <c r="E139" i="22"/>
  <c r="N177" i="21"/>
  <c r="E169" i="14"/>
  <c r="E187" i="15"/>
  <c r="E174" i="5"/>
  <c r="E163" i="5"/>
  <c r="N140" i="5"/>
  <c r="N152" i="12"/>
  <c r="W155" i="22"/>
  <c r="E165" i="8"/>
  <c r="J146" i="25"/>
  <c r="H146" i="25"/>
  <c r="N146" i="25" s="1"/>
  <c r="L146" i="25"/>
  <c r="B162" i="14"/>
  <c r="E162" i="14" s="1"/>
  <c r="N72" i="14"/>
  <c r="N88" i="14"/>
  <c r="N65" i="15"/>
  <c r="C166" i="15"/>
  <c r="E166" i="15" s="1"/>
  <c r="B171" i="8"/>
  <c r="E171" i="8" s="1"/>
  <c r="N80" i="8"/>
  <c r="D173" i="5"/>
  <c r="E173" i="5" s="1"/>
  <c r="N97" i="5"/>
  <c r="C165" i="1"/>
  <c r="N73" i="1"/>
  <c r="C182" i="14"/>
  <c r="E182" i="14" s="1"/>
  <c r="W184" i="10"/>
  <c r="E162" i="3"/>
  <c r="N148" i="12"/>
  <c r="E136" i="12"/>
  <c r="N69" i="30"/>
  <c r="N176" i="13"/>
  <c r="E153" i="19"/>
  <c r="E73" i="30"/>
  <c r="W88" i="37"/>
  <c r="E89" i="34"/>
  <c r="W179" i="9"/>
  <c r="E189" i="9"/>
  <c r="E122" i="26"/>
  <c r="W133" i="26"/>
  <c r="N119" i="26"/>
  <c r="L148" i="19"/>
  <c r="E162" i="17"/>
  <c r="N147" i="11"/>
  <c r="W178" i="11"/>
  <c r="N162" i="10"/>
  <c r="W170" i="9"/>
  <c r="N132" i="21"/>
  <c r="N125" i="26"/>
  <c r="W170" i="25"/>
  <c r="W153" i="25"/>
  <c r="W162" i="25"/>
  <c r="W137" i="25"/>
  <c r="N165" i="24"/>
  <c r="N83" i="13"/>
  <c r="N87" i="13"/>
  <c r="N90" i="13"/>
  <c r="N103" i="13"/>
  <c r="C185" i="13"/>
  <c r="C186" i="13"/>
  <c r="N87" i="14"/>
  <c r="N91" i="8"/>
  <c r="N96" i="8"/>
  <c r="B170" i="5"/>
  <c r="E170" i="5" s="1"/>
  <c r="N87" i="3"/>
  <c r="N159" i="2"/>
  <c r="N74" i="2"/>
  <c r="B168" i="2"/>
  <c r="E168" i="2" s="1"/>
  <c r="N77" i="1"/>
  <c r="L168" i="1"/>
  <c r="D168" i="1"/>
  <c r="E168" i="1" s="1"/>
  <c r="U168" i="1"/>
  <c r="N104" i="1"/>
  <c r="N101" i="7"/>
  <c r="C176" i="7"/>
  <c r="T185" i="8"/>
  <c r="U185" i="8"/>
  <c r="S185" i="8"/>
  <c r="W185" i="8" s="1"/>
  <c r="C180" i="14"/>
  <c r="E180" i="14" s="1"/>
  <c r="N108" i="7"/>
  <c r="N24" i="5"/>
  <c r="W175" i="5"/>
  <c r="L175" i="5"/>
  <c r="N175" i="5" s="1"/>
  <c r="H149" i="7"/>
  <c r="N149" i="7" s="1"/>
  <c r="W149" i="7"/>
  <c r="W141" i="7"/>
  <c r="D158" i="14"/>
  <c r="E158" i="14" s="1"/>
  <c r="N65" i="14"/>
  <c r="N13" i="36"/>
  <c r="B89" i="36"/>
  <c r="E89" i="36" s="1"/>
  <c r="N41" i="37"/>
  <c r="D150" i="11"/>
  <c r="E150" i="11" s="1"/>
  <c r="N44" i="11"/>
  <c r="N51" i="11"/>
  <c r="B153" i="11"/>
  <c r="E162" i="2"/>
  <c r="E189" i="13"/>
  <c r="N187" i="13"/>
  <c r="N79" i="37"/>
  <c r="W183" i="22"/>
  <c r="E132" i="26"/>
  <c r="N160" i="19"/>
  <c r="N146" i="19"/>
  <c r="N143" i="11"/>
  <c r="W162" i="11"/>
  <c r="E173" i="11"/>
  <c r="E169" i="11"/>
  <c r="N145" i="11"/>
  <c r="W195" i="9"/>
  <c r="N155" i="21"/>
  <c r="E171" i="19"/>
  <c r="J148" i="19"/>
  <c r="N148" i="19" s="1"/>
  <c r="N137" i="17"/>
  <c r="N175" i="25"/>
  <c r="N128" i="25"/>
  <c r="W174" i="25"/>
  <c r="N153" i="25"/>
  <c r="N157" i="24"/>
  <c r="W163" i="23"/>
  <c r="W160" i="23"/>
  <c r="N160" i="23"/>
  <c r="N176" i="23"/>
  <c r="N79" i="13"/>
  <c r="B184" i="13"/>
  <c r="E184" i="13" s="1"/>
  <c r="N102" i="13"/>
  <c r="S176" i="8"/>
  <c r="U176" i="8"/>
  <c r="T176" i="8"/>
  <c r="C176" i="8"/>
  <c r="B169" i="7"/>
  <c r="E169" i="7" s="1"/>
  <c r="D174" i="7"/>
  <c r="E174" i="7" s="1"/>
  <c r="B161" i="5"/>
  <c r="E161" i="5" s="1"/>
  <c r="B165" i="3"/>
  <c r="E165" i="3" s="1"/>
  <c r="B167" i="3"/>
  <c r="S181" i="1"/>
  <c r="J181" i="1"/>
  <c r="U181" i="1"/>
  <c r="N104" i="2"/>
  <c r="B188" i="8"/>
  <c r="N116" i="8"/>
  <c r="C179" i="2"/>
  <c r="N110" i="2"/>
  <c r="N113" i="5"/>
  <c r="N41" i="1"/>
  <c r="D149" i="1"/>
  <c r="N59" i="2"/>
  <c r="D153" i="2"/>
  <c r="E153" i="2" s="1"/>
  <c r="N20" i="3"/>
  <c r="N25" i="32"/>
  <c r="D77" i="32"/>
  <c r="E77" i="32" s="1"/>
  <c r="E82" i="34"/>
  <c r="N39" i="34"/>
  <c r="W81" i="38"/>
  <c r="E182" i="9"/>
  <c r="E117" i="26"/>
  <c r="N176" i="19"/>
  <c r="J145" i="19"/>
  <c r="H145" i="19"/>
  <c r="J139" i="17"/>
  <c r="L139" i="17"/>
  <c r="N178" i="24"/>
  <c r="N99" i="13"/>
  <c r="B183" i="13"/>
  <c r="E183" i="13" s="1"/>
  <c r="T186" i="13"/>
  <c r="B186" i="13"/>
  <c r="S186" i="13"/>
  <c r="W186" i="13" s="1"/>
  <c r="D178" i="15"/>
  <c r="B159" i="5"/>
  <c r="E159" i="5" s="1"/>
  <c r="T159" i="5"/>
  <c r="C141" i="2"/>
  <c r="E141" i="2" s="1"/>
  <c r="N35" i="2"/>
  <c r="N39" i="8"/>
  <c r="C151" i="8"/>
  <c r="E151" i="8" s="1"/>
  <c r="H189" i="8"/>
  <c r="J189" i="8"/>
  <c r="L189" i="8"/>
  <c r="H185" i="8"/>
  <c r="N185" i="8" s="1"/>
  <c r="J185" i="8"/>
  <c r="L185" i="8"/>
  <c r="L181" i="8"/>
  <c r="H181" i="8"/>
  <c r="N181" i="8" s="1"/>
  <c r="J181" i="8"/>
  <c r="H177" i="8"/>
  <c r="J177" i="8"/>
  <c r="L177" i="8"/>
  <c r="H173" i="8"/>
  <c r="J173" i="8"/>
  <c r="L173" i="8"/>
  <c r="J169" i="8"/>
  <c r="L169" i="8"/>
  <c r="H169" i="8"/>
  <c r="H165" i="8"/>
  <c r="L165" i="8"/>
  <c r="J165" i="8"/>
  <c r="H161" i="8"/>
  <c r="J161" i="8"/>
  <c r="L161" i="8"/>
  <c r="J140" i="8"/>
  <c r="L140" i="8"/>
  <c r="H140" i="8"/>
  <c r="N140" i="8" s="1"/>
  <c r="L83" i="28"/>
  <c r="J83" i="28"/>
  <c r="N83" i="28" s="1"/>
  <c r="N108" i="9"/>
  <c r="C190" i="9"/>
  <c r="E190" i="9" s="1"/>
  <c r="B169" i="19"/>
  <c r="E169" i="19" s="1"/>
  <c r="N81" i="19"/>
  <c r="J172" i="19"/>
  <c r="H172" i="19"/>
  <c r="L172" i="19"/>
  <c r="N160" i="12"/>
  <c r="E77" i="37"/>
  <c r="N168" i="9"/>
  <c r="E168" i="10"/>
  <c r="H136" i="19"/>
  <c r="N136" i="19" s="1"/>
  <c r="J136" i="19"/>
  <c r="L136" i="19"/>
  <c r="N168" i="13"/>
  <c r="E164" i="25"/>
  <c r="W158" i="23"/>
  <c r="W162" i="23"/>
  <c r="D171" i="7"/>
  <c r="E171" i="7" s="1"/>
  <c r="L164" i="3"/>
  <c r="J164" i="3"/>
  <c r="N164" i="3" s="1"/>
  <c r="U164" i="3"/>
  <c r="D172" i="3"/>
  <c r="C173" i="3"/>
  <c r="B177" i="1"/>
  <c r="D178" i="5"/>
  <c r="E178" i="5" s="1"/>
  <c r="N112" i="8"/>
  <c r="B186" i="8"/>
  <c r="E186" i="8" s="1"/>
  <c r="U152" i="1"/>
  <c r="C152" i="1"/>
  <c r="T152" i="1"/>
  <c r="C141" i="7"/>
  <c r="E141" i="7" s="1"/>
  <c r="N31" i="7"/>
  <c r="C165" i="8"/>
  <c r="N69" i="8"/>
  <c r="E139" i="8"/>
  <c r="N10" i="31"/>
  <c r="D67" i="31"/>
  <c r="E67" i="31" s="1"/>
  <c r="E83" i="37"/>
  <c r="C186" i="9"/>
  <c r="E186" i="9" s="1"/>
  <c r="N99" i="9"/>
  <c r="W172" i="12"/>
  <c r="E69" i="31"/>
  <c r="N182" i="13"/>
  <c r="E114" i="26"/>
  <c r="W137" i="26"/>
  <c r="E116" i="26"/>
  <c r="N150" i="19"/>
  <c r="W179" i="12"/>
  <c r="W158" i="9"/>
  <c r="W178" i="25"/>
  <c r="W150" i="25"/>
  <c r="E156" i="24"/>
  <c r="N143" i="24"/>
  <c r="E174" i="24"/>
  <c r="N157" i="23"/>
  <c r="C177" i="13"/>
  <c r="E177" i="13" s="1"/>
  <c r="D179" i="13"/>
  <c r="E179" i="13" s="1"/>
  <c r="C182" i="13"/>
  <c r="U182" i="13"/>
  <c r="T182" i="13"/>
  <c r="W182" i="13" s="1"/>
  <c r="B182" i="13"/>
  <c r="L182" i="13"/>
  <c r="D186" i="13"/>
  <c r="C176" i="14"/>
  <c r="E176" i="14" s="1"/>
  <c r="C167" i="8"/>
  <c r="E167" i="8" s="1"/>
  <c r="D175" i="8"/>
  <c r="E175" i="8" s="1"/>
  <c r="N88" i="8"/>
  <c r="N93" i="5"/>
  <c r="N96" i="3"/>
  <c r="N99" i="7"/>
  <c r="C181" i="1"/>
  <c r="E181" i="1" s="1"/>
  <c r="T184" i="1"/>
  <c r="S184" i="1"/>
  <c r="E194" i="13"/>
  <c r="B189" i="8"/>
  <c r="E189" i="8" s="1"/>
  <c r="N118" i="8"/>
  <c r="N31" i="1"/>
  <c r="C144" i="1"/>
  <c r="N31" i="2"/>
  <c r="D140" i="2"/>
  <c r="E140" i="2" s="1"/>
  <c r="N33" i="2"/>
  <c r="E164" i="8"/>
  <c r="N21" i="30"/>
  <c r="N32" i="30"/>
  <c r="N21" i="32"/>
  <c r="D75" i="32"/>
  <c r="E75" i="32" s="1"/>
  <c r="L78" i="32"/>
  <c r="J78" i="32"/>
  <c r="H78" i="32"/>
  <c r="W187" i="13"/>
  <c r="W167" i="9"/>
  <c r="N136" i="26"/>
  <c r="N128" i="26"/>
  <c r="E130" i="26"/>
  <c r="N141" i="17"/>
  <c r="W175" i="22"/>
  <c r="N69" i="3"/>
  <c r="D164" i="3"/>
  <c r="N86" i="3"/>
  <c r="C172" i="3"/>
  <c r="E172" i="3" s="1"/>
  <c r="C175" i="3"/>
  <c r="E175" i="3" s="1"/>
  <c r="N75" i="2"/>
  <c r="D161" i="2"/>
  <c r="E161" i="2" s="1"/>
  <c r="N86" i="1"/>
  <c r="B184" i="8"/>
  <c r="E184" i="8" s="1"/>
  <c r="N108" i="8"/>
  <c r="N106" i="1"/>
  <c r="N116" i="13"/>
  <c r="N113" i="1"/>
  <c r="B149" i="1"/>
  <c r="N42" i="1"/>
  <c r="J178" i="1"/>
  <c r="W178" i="1"/>
  <c r="H178" i="1"/>
  <c r="L178" i="1"/>
  <c r="W165" i="5"/>
  <c r="N42" i="8"/>
  <c r="B153" i="8"/>
  <c r="E75" i="34"/>
  <c r="S153" i="11"/>
  <c r="U153" i="11"/>
  <c r="C153" i="11"/>
  <c r="J153" i="11"/>
  <c r="D153" i="11"/>
  <c r="H153" i="11"/>
  <c r="L153" i="11"/>
  <c r="H154" i="11"/>
  <c r="L154" i="11"/>
  <c r="J154" i="11"/>
  <c r="B160" i="11"/>
  <c r="E160" i="11" s="1"/>
  <c r="N65" i="11"/>
  <c r="N180" i="13"/>
  <c r="W183" i="19"/>
  <c r="C164" i="14"/>
  <c r="E164" i="14" s="1"/>
  <c r="S167" i="8"/>
  <c r="T167" i="8"/>
  <c r="U167" i="8"/>
  <c r="B170" i="8"/>
  <c r="E170" i="8" s="1"/>
  <c r="S175" i="8"/>
  <c r="T175" i="8"/>
  <c r="U175" i="8"/>
  <c r="D180" i="8"/>
  <c r="E180" i="8" s="1"/>
  <c r="D181" i="8"/>
  <c r="E181" i="8" s="1"/>
  <c r="D182" i="8"/>
  <c r="C159" i="5"/>
  <c r="B170" i="1"/>
  <c r="S183" i="8"/>
  <c r="T183" i="8"/>
  <c r="U183" i="8"/>
  <c r="C184" i="8"/>
  <c r="B185" i="8"/>
  <c r="E185" i="8" s="1"/>
  <c r="N110" i="8"/>
  <c r="D186" i="8"/>
  <c r="B187" i="8"/>
  <c r="N114" i="8"/>
  <c r="D188" i="8"/>
  <c r="D156" i="1"/>
  <c r="E156" i="1" s="1"/>
  <c r="D137" i="1"/>
  <c r="E137" i="1" s="1"/>
  <c r="N21" i="1"/>
  <c r="N57" i="2"/>
  <c r="N49" i="2"/>
  <c r="C150" i="3"/>
  <c r="H164" i="1"/>
  <c r="W137" i="2"/>
  <c r="W133" i="2"/>
  <c r="H165" i="3"/>
  <c r="N165" i="3" s="1"/>
  <c r="J161" i="3"/>
  <c r="B158" i="5"/>
  <c r="E158" i="5" s="1"/>
  <c r="N65" i="5"/>
  <c r="T157" i="5"/>
  <c r="S157" i="5"/>
  <c r="C132" i="5"/>
  <c r="U132" i="5"/>
  <c r="L146" i="7"/>
  <c r="H142" i="7"/>
  <c r="J142" i="7"/>
  <c r="W142" i="7"/>
  <c r="D141" i="8"/>
  <c r="E141" i="8" s="1"/>
  <c r="N26" i="8"/>
  <c r="L158" i="8"/>
  <c r="H158" i="8"/>
  <c r="J158" i="8"/>
  <c r="L154" i="8"/>
  <c r="H154" i="8"/>
  <c r="N154" i="8" s="1"/>
  <c r="J154" i="8"/>
  <c r="L148" i="8"/>
  <c r="J148" i="8"/>
  <c r="H148" i="8"/>
  <c r="N148" i="8" s="1"/>
  <c r="J144" i="8"/>
  <c r="L144" i="8"/>
  <c r="H144" i="8"/>
  <c r="N144" i="8" s="1"/>
  <c r="J190" i="15"/>
  <c r="N190" i="15" s="1"/>
  <c r="B146" i="14"/>
  <c r="E146" i="14" s="1"/>
  <c r="D141" i="14"/>
  <c r="E141" i="14" s="1"/>
  <c r="J140" i="14"/>
  <c r="N140" i="14" s="1"/>
  <c r="N155" i="2"/>
  <c r="N70" i="13"/>
  <c r="B85" i="28"/>
  <c r="E85" i="28" s="1"/>
  <c r="N53" i="28"/>
  <c r="N55" i="28"/>
  <c r="C96" i="28"/>
  <c r="E96" i="28" s="1"/>
  <c r="D88" i="29"/>
  <c r="E88" i="29" s="1"/>
  <c r="N30" i="31"/>
  <c r="C76" i="31"/>
  <c r="E76" i="31" s="1"/>
  <c r="N37" i="31"/>
  <c r="B70" i="32"/>
  <c r="E70" i="32" s="1"/>
  <c r="D73" i="32"/>
  <c r="E73" i="32" s="1"/>
  <c r="C76" i="32"/>
  <c r="C81" i="32"/>
  <c r="E81" i="32" s="1"/>
  <c r="N30" i="34"/>
  <c r="D82" i="34"/>
  <c r="N29" i="37"/>
  <c r="D81" i="37"/>
  <c r="E81" i="37" s="1"/>
  <c r="D89" i="37"/>
  <c r="E89" i="37" s="1"/>
  <c r="N39" i="28"/>
  <c r="L75" i="32"/>
  <c r="N75" i="32" s="1"/>
  <c r="J71" i="34"/>
  <c r="L71" i="34"/>
  <c r="E161" i="12"/>
  <c r="N172" i="12"/>
  <c r="H153" i="10"/>
  <c r="L153" i="10"/>
  <c r="D153" i="10"/>
  <c r="E153" i="10" s="1"/>
  <c r="W165" i="9"/>
  <c r="E161" i="11"/>
  <c r="W134" i="19"/>
  <c r="N152" i="17"/>
  <c r="E128" i="25"/>
  <c r="S162" i="14"/>
  <c r="W162" i="14" s="1"/>
  <c r="T171" i="8"/>
  <c r="S171" i="8"/>
  <c r="U171" i="8"/>
  <c r="B112" i="6"/>
  <c r="B160" i="5"/>
  <c r="C160" i="5"/>
  <c r="N89" i="5"/>
  <c r="N106" i="8"/>
  <c r="B183" i="8"/>
  <c r="E183" i="8" s="1"/>
  <c r="B179" i="5"/>
  <c r="E179" i="5" s="1"/>
  <c r="N115" i="8"/>
  <c r="B185" i="3"/>
  <c r="E185" i="3" s="1"/>
  <c r="C189" i="8"/>
  <c r="N120" i="8"/>
  <c r="B190" i="8"/>
  <c r="E190" i="8" s="1"/>
  <c r="C155" i="2"/>
  <c r="E155" i="2" s="1"/>
  <c r="C131" i="2"/>
  <c r="E131" i="2" s="1"/>
  <c r="B153" i="3"/>
  <c r="E153" i="3" s="1"/>
  <c r="H137" i="1"/>
  <c r="N137" i="1" s="1"/>
  <c r="H180" i="1"/>
  <c r="N180" i="1" s="1"/>
  <c r="W180" i="1"/>
  <c r="L166" i="1"/>
  <c r="J160" i="3"/>
  <c r="N160" i="3" s="1"/>
  <c r="N11" i="5"/>
  <c r="N32" i="5"/>
  <c r="N60" i="7"/>
  <c r="U131" i="7"/>
  <c r="D131" i="7"/>
  <c r="W180" i="7"/>
  <c r="L180" i="7"/>
  <c r="N180" i="7" s="1"/>
  <c r="N63" i="8"/>
  <c r="N25" i="15"/>
  <c r="B154" i="14"/>
  <c r="E154" i="14" s="1"/>
  <c r="N46" i="31"/>
  <c r="N34" i="32"/>
  <c r="E84" i="32"/>
  <c r="B85" i="32"/>
  <c r="E85" i="32" s="1"/>
  <c r="E87" i="32"/>
  <c r="N50" i="32"/>
  <c r="E71" i="34"/>
  <c r="E74" i="34"/>
  <c r="E76" i="34"/>
  <c r="N36" i="34"/>
  <c r="C87" i="34"/>
  <c r="E87" i="34" s="1"/>
  <c r="N22" i="37"/>
  <c r="E84" i="37"/>
  <c r="L67" i="30"/>
  <c r="N67" i="30" s="1"/>
  <c r="L85" i="29"/>
  <c r="J79" i="29"/>
  <c r="N79" i="29" s="1"/>
  <c r="L82" i="31"/>
  <c r="N82" i="31" s="1"/>
  <c r="L79" i="31"/>
  <c r="H89" i="32"/>
  <c r="N89" i="32" s="1"/>
  <c r="J89" i="32"/>
  <c r="H71" i="32"/>
  <c r="L71" i="32"/>
  <c r="U175" i="12"/>
  <c r="W175" i="12" s="1"/>
  <c r="L175" i="12"/>
  <c r="H175" i="12"/>
  <c r="D177" i="10"/>
  <c r="E177" i="10" s="1"/>
  <c r="J193" i="9"/>
  <c r="H193" i="9"/>
  <c r="L193" i="9"/>
  <c r="N179" i="12"/>
  <c r="T177" i="8"/>
  <c r="U177" i="8"/>
  <c r="S177" i="8"/>
  <c r="N105" i="8"/>
  <c r="J176" i="3"/>
  <c r="N176" i="3" s="1"/>
  <c r="W176" i="3"/>
  <c r="C175" i="5"/>
  <c r="E175" i="5" s="1"/>
  <c r="N109" i="5"/>
  <c r="D162" i="1"/>
  <c r="E162" i="1" s="1"/>
  <c r="D140" i="1"/>
  <c r="E140" i="1" s="1"/>
  <c r="J173" i="1"/>
  <c r="W173" i="1"/>
  <c r="L173" i="1"/>
  <c r="L164" i="5"/>
  <c r="N164" i="5" s="1"/>
  <c r="E137" i="7"/>
  <c r="D153" i="8"/>
  <c r="L181" i="15"/>
  <c r="N181" i="15" s="1"/>
  <c r="D145" i="14"/>
  <c r="N25" i="14"/>
  <c r="J70" i="30"/>
  <c r="H70" i="30"/>
  <c r="E167" i="12"/>
  <c r="D179" i="12"/>
  <c r="E179" i="12" s="1"/>
  <c r="E166" i="17"/>
  <c r="U172" i="8"/>
  <c r="S172" i="8"/>
  <c r="W172" i="8" s="1"/>
  <c r="T172" i="8"/>
  <c r="B173" i="8"/>
  <c r="E173" i="8" s="1"/>
  <c r="B178" i="8"/>
  <c r="E178" i="8" s="1"/>
  <c r="B179" i="8"/>
  <c r="N104" i="8"/>
  <c r="B182" i="8"/>
  <c r="E182" i="8" s="1"/>
  <c r="D166" i="1"/>
  <c r="E166" i="1" s="1"/>
  <c r="C171" i="1"/>
  <c r="E171" i="1" s="1"/>
  <c r="N111" i="8"/>
  <c r="N113" i="8"/>
  <c r="N117" i="8"/>
  <c r="C190" i="8"/>
  <c r="N23" i="2"/>
  <c r="N29" i="3"/>
  <c r="B146" i="5"/>
  <c r="N41" i="5"/>
  <c r="J141" i="5"/>
  <c r="N141" i="5" s="1"/>
  <c r="D141" i="5"/>
  <c r="E141" i="5" s="1"/>
  <c r="S141" i="5"/>
  <c r="N17" i="7"/>
  <c r="J168" i="7"/>
  <c r="N168" i="7" s="1"/>
  <c r="J136" i="7"/>
  <c r="B149" i="15"/>
  <c r="E149" i="15" s="1"/>
  <c r="B74" i="32"/>
  <c r="E74" i="32" s="1"/>
  <c r="N51" i="34"/>
  <c r="N51" i="36"/>
  <c r="D105" i="36"/>
  <c r="E82" i="37"/>
  <c r="N53" i="37"/>
  <c r="L85" i="28"/>
  <c r="H85" i="28"/>
  <c r="J85" i="28"/>
  <c r="N88" i="32"/>
  <c r="N161" i="13"/>
  <c r="U180" i="9"/>
  <c r="S180" i="9"/>
  <c r="T180" i="9"/>
  <c r="N140" i="21"/>
  <c r="E172" i="9"/>
  <c r="S168" i="8"/>
  <c r="U168" i="8"/>
  <c r="T168" i="8"/>
  <c r="B169" i="8"/>
  <c r="E169" i="8" s="1"/>
  <c r="T173" i="8"/>
  <c r="U173" i="8"/>
  <c r="S173" i="8"/>
  <c r="D179" i="8"/>
  <c r="T179" i="8"/>
  <c r="S179" i="8"/>
  <c r="U179" i="8"/>
  <c r="N103" i="8"/>
  <c r="T171" i="5"/>
  <c r="U171" i="5"/>
  <c r="S171" i="5"/>
  <c r="N107" i="8"/>
  <c r="N109" i="8"/>
  <c r="D185" i="8"/>
  <c r="D187" i="8"/>
  <c r="U188" i="8"/>
  <c r="S188" i="8"/>
  <c r="T188" i="8"/>
  <c r="C163" i="1"/>
  <c r="N62" i="1"/>
  <c r="B139" i="1"/>
  <c r="D157" i="3"/>
  <c r="N22" i="3"/>
  <c r="D144" i="3"/>
  <c r="E144" i="3" s="1"/>
  <c r="C148" i="3"/>
  <c r="E148" i="3" s="1"/>
  <c r="N54" i="3"/>
  <c r="W185" i="1"/>
  <c r="J172" i="1"/>
  <c r="N172" i="1" s="1"/>
  <c r="J168" i="1"/>
  <c r="W143" i="3"/>
  <c r="C146" i="5"/>
  <c r="C157" i="7"/>
  <c r="E157" i="7" s="1"/>
  <c r="N40" i="7"/>
  <c r="C134" i="7"/>
  <c r="E134" i="7" s="1"/>
  <c r="H175" i="7"/>
  <c r="N175" i="7" s="1"/>
  <c r="J156" i="7"/>
  <c r="N156" i="7" s="1"/>
  <c r="L147" i="7"/>
  <c r="H147" i="7"/>
  <c r="W147" i="7"/>
  <c r="J147" i="7"/>
  <c r="W143" i="7"/>
  <c r="H132" i="7"/>
  <c r="N132" i="7" s="1"/>
  <c r="L132" i="7"/>
  <c r="N9" i="8"/>
  <c r="N20" i="8"/>
  <c r="C143" i="8"/>
  <c r="C147" i="15"/>
  <c r="E147" i="15" s="1"/>
  <c r="N67" i="14"/>
  <c r="N135" i="2"/>
  <c r="N46" i="28"/>
  <c r="D89" i="29"/>
  <c r="E89" i="29" s="1"/>
  <c r="C67" i="30"/>
  <c r="E67" i="30" s="1"/>
  <c r="B66" i="31"/>
  <c r="E66" i="31" s="1"/>
  <c r="E71" i="31"/>
  <c r="N25" i="31"/>
  <c r="N23" i="32"/>
  <c r="B76" i="32"/>
  <c r="B78" i="32"/>
  <c r="E78" i="32" s="1"/>
  <c r="N27" i="32"/>
  <c r="N37" i="32"/>
  <c r="D83" i="32"/>
  <c r="E83" i="32" s="1"/>
  <c r="D89" i="32"/>
  <c r="E89" i="32" s="1"/>
  <c r="E70" i="34"/>
  <c r="N33" i="34"/>
  <c r="C82" i="34"/>
  <c r="N49" i="34"/>
  <c r="N36" i="35"/>
  <c r="B110" i="35"/>
  <c r="E110" i="35" s="1"/>
  <c r="N50" i="28"/>
  <c r="L76" i="32"/>
  <c r="J76" i="32"/>
  <c r="N76" i="32" s="1"/>
  <c r="L164" i="11"/>
  <c r="J164" i="11"/>
  <c r="N164" i="11" s="1"/>
  <c r="N115" i="11"/>
  <c r="D194" i="10"/>
  <c r="E194" i="10" s="1"/>
  <c r="C180" i="9"/>
  <c r="U163" i="21"/>
  <c r="S163" i="21"/>
  <c r="T163" i="21"/>
  <c r="H163" i="21"/>
  <c r="N163" i="21" s="1"/>
  <c r="N133" i="18"/>
  <c r="E170" i="11"/>
  <c r="E168" i="17"/>
  <c r="B174" i="13"/>
  <c r="E174" i="13" s="1"/>
  <c r="T169" i="8"/>
  <c r="U169" i="8"/>
  <c r="S169" i="8"/>
  <c r="W169" i="8" s="1"/>
  <c r="L172" i="5"/>
  <c r="N172" i="5" s="1"/>
  <c r="S172" i="5"/>
  <c r="B178" i="1"/>
  <c r="E178" i="1" s="1"/>
  <c r="D184" i="8"/>
  <c r="C185" i="8"/>
  <c r="C187" i="8"/>
  <c r="B163" i="1"/>
  <c r="B157" i="1"/>
  <c r="D142" i="1"/>
  <c r="C130" i="2"/>
  <c r="E130" i="2" s="1"/>
  <c r="C135" i="3"/>
  <c r="E135" i="3" s="1"/>
  <c r="N27" i="3"/>
  <c r="C156" i="3"/>
  <c r="E156" i="3" s="1"/>
  <c r="W175" i="1"/>
  <c r="W156" i="5"/>
  <c r="U156" i="5"/>
  <c r="S156" i="5"/>
  <c r="E153" i="7"/>
  <c r="C136" i="7"/>
  <c r="E136" i="7" s="1"/>
  <c r="L135" i="7"/>
  <c r="J135" i="7"/>
  <c r="H135" i="7"/>
  <c r="N135" i="7" s="1"/>
  <c r="E162" i="8"/>
  <c r="B149" i="8"/>
  <c r="E149" i="8" s="1"/>
  <c r="C154" i="15"/>
  <c r="E154" i="15" s="1"/>
  <c r="D140" i="15"/>
  <c r="E140" i="15" s="1"/>
  <c r="N23" i="30"/>
  <c r="C68" i="30"/>
  <c r="E68" i="30" s="1"/>
  <c r="D75" i="31"/>
  <c r="E75" i="31" s="1"/>
  <c r="N40" i="32"/>
  <c r="E73" i="34"/>
  <c r="N20" i="34"/>
  <c r="D82" i="37"/>
  <c r="D80" i="38"/>
  <c r="C84" i="38"/>
  <c r="N37" i="38"/>
  <c r="B85" i="38"/>
  <c r="H94" i="28"/>
  <c r="L94" i="28"/>
  <c r="H75" i="28"/>
  <c r="L75" i="28"/>
  <c r="C83" i="34"/>
  <c r="H181" i="13"/>
  <c r="N181" i="13" s="1"/>
  <c r="E145" i="12"/>
  <c r="N159" i="12"/>
  <c r="E151" i="10"/>
  <c r="W178" i="9"/>
  <c r="C150" i="1"/>
  <c r="D138" i="1"/>
  <c r="C147" i="3"/>
  <c r="E147" i="3" s="1"/>
  <c r="H167" i="1"/>
  <c r="H143" i="5"/>
  <c r="N143" i="5" s="1"/>
  <c r="L140" i="7"/>
  <c r="N140" i="7" s="1"/>
  <c r="L190" i="8"/>
  <c r="H190" i="8"/>
  <c r="J190" i="8"/>
  <c r="L186" i="8"/>
  <c r="H186" i="8"/>
  <c r="N186" i="8" s="1"/>
  <c r="J186" i="8"/>
  <c r="L182" i="8"/>
  <c r="H182" i="8"/>
  <c r="J182" i="8"/>
  <c r="L178" i="8"/>
  <c r="H178" i="8"/>
  <c r="N178" i="8" s="1"/>
  <c r="J178" i="8"/>
  <c r="L174" i="8"/>
  <c r="J174" i="8"/>
  <c r="H174" i="8"/>
  <c r="L170" i="8"/>
  <c r="J170" i="8"/>
  <c r="H170" i="8"/>
  <c r="L166" i="8"/>
  <c r="J166" i="8"/>
  <c r="H166" i="8"/>
  <c r="N166" i="8" s="1"/>
  <c r="L162" i="8"/>
  <c r="H162" i="8"/>
  <c r="J162" i="8"/>
  <c r="J151" i="8"/>
  <c r="H151" i="8"/>
  <c r="L151" i="8"/>
  <c r="J141" i="8"/>
  <c r="L141" i="8"/>
  <c r="H141" i="8"/>
  <c r="L171" i="14"/>
  <c r="N171" i="14" s="1"/>
  <c r="H151" i="14"/>
  <c r="L151" i="14"/>
  <c r="B80" i="28"/>
  <c r="N7" i="31"/>
  <c r="B73" i="31"/>
  <c r="E73" i="31" s="1"/>
  <c r="D78" i="31"/>
  <c r="E78" i="31" s="1"/>
  <c r="N48" i="32"/>
  <c r="C79" i="34"/>
  <c r="E79" i="34" s="1"/>
  <c r="N7" i="38"/>
  <c r="C75" i="38"/>
  <c r="N15" i="38"/>
  <c r="C83" i="38"/>
  <c r="D89" i="38"/>
  <c r="J90" i="28"/>
  <c r="N90" i="28" s="1"/>
  <c r="L90" i="28"/>
  <c r="L81" i="28"/>
  <c r="N81" i="28" s="1"/>
  <c r="J72" i="32"/>
  <c r="N72" i="32" s="1"/>
  <c r="C102" i="36"/>
  <c r="E102" i="36" s="1"/>
  <c r="H91" i="37"/>
  <c r="N91" i="37" s="1"/>
  <c r="N159" i="13"/>
  <c r="B130" i="12"/>
  <c r="E130" i="12" s="1"/>
  <c r="N32" i="12"/>
  <c r="N42" i="12"/>
  <c r="N45" i="12"/>
  <c r="B152" i="12"/>
  <c r="E152" i="12" s="1"/>
  <c r="N110" i="12"/>
  <c r="N131" i="12"/>
  <c r="N165" i="12"/>
  <c r="N17" i="11"/>
  <c r="S137" i="11"/>
  <c r="W137" i="11" s="1"/>
  <c r="C137" i="11"/>
  <c r="E137" i="11" s="1"/>
  <c r="U137" i="11"/>
  <c r="N29" i="11"/>
  <c r="D143" i="11"/>
  <c r="E143" i="11" s="1"/>
  <c r="U149" i="11"/>
  <c r="C149" i="11"/>
  <c r="E149" i="11" s="1"/>
  <c r="T149" i="11"/>
  <c r="W149" i="11" s="1"/>
  <c r="B158" i="11"/>
  <c r="E158" i="11" s="1"/>
  <c r="D165" i="11"/>
  <c r="E165" i="11" s="1"/>
  <c r="D182" i="11"/>
  <c r="E182" i="11" s="1"/>
  <c r="D183" i="11"/>
  <c r="W144" i="11"/>
  <c r="B169" i="10"/>
  <c r="E169" i="10" s="1"/>
  <c r="C171" i="10"/>
  <c r="E171" i="10" s="1"/>
  <c r="W171" i="10"/>
  <c r="H172" i="10"/>
  <c r="N172" i="10" s="1"/>
  <c r="N124" i="10"/>
  <c r="N16" i="9"/>
  <c r="D177" i="9"/>
  <c r="E177" i="9" s="1"/>
  <c r="B179" i="9"/>
  <c r="E179" i="9" s="1"/>
  <c r="L179" i="9"/>
  <c r="N179" i="9" s="1"/>
  <c r="H187" i="9"/>
  <c r="N187" i="9" s="1"/>
  <c r="D187" i="9"/>
  <c r="E187" i="9" s="1"/>
  <c r="J189" i="9"/>
  <c r="N189" i="9" s="1"/>
  <c r="N117" i="9"/>
  <c r="W150" i="9"/>
  <c r="W164" i="9"/>
  <c r="N9" i="21"/>
  <c r="N16" i="21"/>
  <c r="N31" i="21"/>
  <c r="B139" i="21"/>
  <c r="J146" i="21"/>
  <c r="H146" i="21"/>
  <c r="W150" i="19"/>
  <c r="E109" i="26"/>
  <c r="L185" i="1"/>
  <c r="J164" i="1"/>
  <c r="J157" i="3"/>
  <c r="N157" i="3" s="1"/>
  <c r="B147" i="5"/>
  <c r="E147" i="5" s="1"/>
  <c r="T151" i="5"/>
  <c r="U137" i="5"/>
  <c r="H180" i="5"/>
  <c r="J180" i="5"/>
  <c r="D140" i="7"/>
  <c r="E140" i="7" s="1"/>
  <c r="N9" i="7"/>
  <c r="L139" i="7"/>
  <c r="H139" i="7"/>
  <c r="H157" i="8"/>
  <c r="N157" i="8" s="1"/>
  <c r="J157" i="8"/>
  <c r="L157" i="8"/>
  <c r="J150" i="8"/>
  <c r="L150" i="8"/>
  <c r="H150" i="8"/>
  <c r="J147" i="8"/>
  <c r="L147" i="8"/>
  <c r="H147" i="8"/>
  <c r="N147" i="8" s="1"/>
  <c r="L143" i="8"/>
  <c r="J143" i="8"/>
  <c r="H143" i="8"/>
  <c r="N143" i="8" s="1"/>
  <c r="L147" i="14"/>
  <c r="N147" i="14" s="1"/>
  <c r="C81" i="28"/>
  <c r="N40" i="28"/>
  <c r="N15" i="30"/>
  <c r="D82" i="31"/>
  <c r="E82" i="31" s="1"/>
  <c r="B85" i="31"/>
  <c r="E85" i="31" s="1"/>
  <c r="B84" i="34"/>
  <c r="E84" i="34" s="1"/>
  <c r="N23" i="36"/>
  <c r="D94" i="36"/>
  <c r="E94" i="36" s="1"/>
  <c r="C78" i="38"/>
  <c r="N26" i="38"/>
  <c r="C87" i="38"/>
  <c r="E87" i="38" s="1"/>
  <c r="C91" i="38"/>
  <c r="H90" i="29"/>
  <c r="N90" i="29" s="1"/>
  <c r="N16" i="32"/>
  <c r="H80" i="34"/>
  <c r="J80" i="34"/>
  <c r="B107" i="36"/>
  <c r="E107" i="36" s="1"/>
  <c r="H89" i="36"/>
  <c r="N89" i="36" s="1"/>
  <c r="L89" i="36"/>
  <c r="N90" i="37"/>
  <c r="D173" i="13"/>
  <c r="N38" i="12"/>
  <c r="N52" i="12"/>
  <c r="C151" i="12"/>
  <c r="E151" i="12" s="1"/>
  <c r="L178" i="12"/>
  <c r="N178" i="12" s="1"/>
  <c r="D178" i="12"/>
  <c r="E178" i="12" s="1"/>
  <c r="T178" i="12"/>
  <c r="N176" i="12"/>
  <c r="E177" i="11"/>
  <c r="L178" i="11"/>
  <c r="N178" i="11" s="1"/>
  <c r="U183" i="11"/>
  <c r="T183" i="11"/>
  <c r="S183" i="11"/>
  <c r="N14" i="10"/>
  <c r="B181" i="10"/>
  <c r="E181" i="10" s="1"/>
  <c r="N121" i="10"/>
  <c r="D201" i="10"/>
  <c r="C201" i="10"/>
  <c r="E201" i="10" s="1"/>
  <c r="N15" i="9"/>
  <c r="N22" i="9"/>
  <c r="N51" i="9"/>
  <c r="N56" i="9"/>
  <c r="D167" i="9"/>
  <c r="E167" i="9" s="1"/>
  <c r="D180" i="9"/>
  <c r="W146" i="9"/>
  <c r="N13" i="21"/>
  <c r="N70" i="19"/>
  <c r="N164" i="19"/>
  <c r="N136" i="18"/>
  <c r="N86" i="23"/>
  <c r="J162" i="1"/>
  <c r="L162" i="1"/>
  <c r="J177" i="1"/>
  <c r="J161" i="5"/>
  <c r="J146" i="7"/>
  <c r="N146" i="7" s="1"/>
  <c r="L136" i="7"/>
  <c r="H188" i="8"/>
  <c r="J188" i="8"/>
  <c r="L188" i="8"/>
  <c r="J184" i="8"/>
  <c r="H184" i="8"/>
  <c r="L184" i="8"/>
  <c r="J180" i="8"/>
  <c r="L180" i="8"/>
  <c r="H180" i="8"/>
  <c r="H176" i="8"/>
  <c r="N176" i="8" s="1"/>
  <c r="J176" i="8"/>
  <c r="L176" i="8"/>
  <c r="J172" i="8"/>
  <c r="L172" i="8"/>
  <c r="H172" i="8"/>
  <c r="N172" i="8" s="1"/>
  <c r="J168" i="8"/>
  <c r="L168" i="8"/>
  <c r="H168" i="8"/>
  <c r="H164" i="8"/>
  <c r="N164" i="8" s="1"/>
  <c r="J164" i="8"/>
  <c r="L164" i="8"/>
  <c r="J153" i="8"/>
  <c r="H153" i="8"/>
  <c r="L153" i="8"/>
  <c r="L142" i="8"/>
  <c r="H142" i="8"/>
  <c r="N142" i="8" s="1"/>
  <c r="J142" i="8"/>
  <c r="L139" i="8"/>
  <c r="J139" i="8"/>
  <c r="H139" i="8"/>
  <c r="D83" i="38"/>
  <c r="J87" i="28"/>
  <c r="H87" i="28"/>
  <c r="J79" i="31"/>
  <c r="N79" i="31" s="1"/>
  <c r="D85" i="34"/>
  <c r="E85" i="34" s="1"/>
  <c r="H83" i="34"/>
  <c r="N83" i="34" s="1"/>
  <c r="J70" i="34"/>
  <c r="H70" i="34"/>
  <c r="N70" i="34" s="1"/>
  <c r="J167" i="1"/>
  <c r="B173" i="13"/>
  <c r="H169" i="13"/>
  <c r="N169" i="13" s="1"/>
  <c r="H136" i="7"/>
  <c r="J130" i="7"/>
  <c r="E146" i="12"/>
  <c r="E148" i="12"/>
  <c r="N26" i="11"/>
  <c r="C141" i="11"/>
  <c r="E141" i="11" s="1"/>
  <c r="J140" i="11"/>
  <c r="N140" i="11" s="1"/>
  <c r="U159" i="10"/>
  <c r="D159" i="10"/>
  <c r="E159" i="10" s="1"/>
  <c r="S159" i="10"/>
  <c r="W159" i="10" s="1"/>
  <c r="N102" i="21"/>
  <c r="B175" i="21"/>
  <c r="E175" i="21" s="1"/>
  <c r="N162" i="19"/>
  <c r="C146" i="1"/>
  <c r="L134" i="1"/>
  <c r="W134" i="1"/>
  <c r="H134" i="1"/>
  <c r="J179" i="1"/>
  <c r="J174" i="1"/>
  <c r="H174" i="1"/>
  <c r="H155" i="3"/>
  <c r="N155" i="3" s="1"/>
  <c r="H173" i="5"/>
  <c r="N173" i="5" s="1"/>
  <c r="W181" i="7"/>
  <c r="W154" i="7"/>
  <c r="H143" i="7"/>
  <c r="N143" i="7" s="1"/>
  <c r="H141" i="7"/>
  <c r="N141" i="7" s="1"/>
  <c r="N66" i="8"/>
  <c r="J160" i="8"/>
  <c r="L160" i="8"/>
  <c r="H160" i="8"/>
  <c r="N160" i="8" s="1"/>
  <c r="H156" i="8"/>
  <c r="N156" i="8" s="1"/>
  <c r="J156" i="8"/>
  <c r="L156" i="8"/>
  <c r="J146" i="8"/>
  <c r="L146" i="8"/>
  <c r="H146" i="8"/>
  <c r="B142" i="14"/>
  <c r="E142" i="14" s="1"/>
  <c r="H183" i="14"/>
  <c r="J183" i="14"/>
  <c r="L183" i="14"/>
  <c r="B84" i="38"/>
  <c r="H76" i="31"/>
  <c r="N76" i="31" s="1"/>
  <c r="L76" i="31"/>
  <c r="L72" i="32"/>
  <c r="J79" i="34"/>
  <c r="N79" i="34" s="1"/>
  <c r="H83" i="37"/>
  <c r="J83" i="37"/>
  <c r="B133" i="12"/>
  <c r="E133" i="12" s="1"/>
  <c r="N89" i="12"/>
  <c r="N103" i="12"/>
  <c r="D141" i="11"/>
  <c r="D179" i="11"/>
  <c r="E179" i="11" s="1"/>
  <c r="L140" i="11"/>
  <c r="W150" i="11"/>
  <c r="B169" i="9"/>
  <c r="E169" i="9" s="1"/>
  <c r="N61" i="9"/>
  <c r="C176" i="9"/>
  <c r="E176" i="9" s="1"/>
  <c r="N75" i="9"/>
  <c r="N135" i="21"/>
  <c r="N151" i="18"/>
  <c r="W135" i="17"/>
  <c r="L134" i="24"/>
  <c r="H134" i="24"/>
  <c r="J134" i="24"/>
  <c r="B146" i="1"/>
  <c r="H186" i="1"/>
  <c r="L186" i="1"/>
  <c r="H184" i="1"/>
  <c r="N184" i="1" s="1"/>
  <c r="H165" i="1"/>
  <c r="N49" i="5"/>
  <c r="B137" i="5"/>
  <c r="E137" i="5" s="1"/>
  <c r="L152" i="7"/>
  <c r="N152" i="7" s="1"/>
  <c r="J150" i="7"/>
  <c r="L150" i="7"/>
  <c r="H150" i="7"/>
  <c r="N150" i="7" s="1"/>
  <c r="D138" i="8"/>
  <c r="E138" i="8" s="1"/>
  <c r="D143" i="8"/>
  <c r="J138" i="8"/>
  <c r="H138" i="8"/>
  <c r="N138" i="8" s="1"/>
  <c r="J187" i="8"/>
  <c r="H187" i="8"/>
  <c r="L187" i="8"/>
  <c r="J183" i="8"/>
  <c r="L183" i="8"/>
  <c r="H183" i="8"/>
  <c r="N183" i="8" s="1"/>
  <c r="J179" i="8"/>
  <c r="L179" i="8"/>
  <c r="H179" i="8"/>
  <c r="N179" i="8" s="1"/>
  <c r="J175" i="8"/>
  <c r="L175" i="8"/>
  <c r="H175" i="8"/>
  <c r="N175" i="8" s="1"/>
  <c r="J171" i="8"/>
  <c r="L171" i="8"/>
  <c r="H171" i="8"/>
  <c r="H167" i="8"/>
  <c r="J167" i="8"/>
  <c r="L167" i="8"/>
  <c r="J163" i="8"/>
  <c r="L163" i="8"/>
  <c r="H163" i="8"/>
  <c r="N163" i="8" s="1"/>
  <c r="H152" i="8"/>
  <c r="N152" i="8" s="1"/>
  <c r="J152" i="8"/>
  <c r="L152" i="8"/>
  <c r="L149" i="8"/>
  <c r="H149" i="8"/>
  <c r="J149" i="8"/>
  <c r="J136" i="14"/>
  <c r="N136" i="14" s="1"/>
  <c r="D73" i="34"/>
  <c r="N44" i="38"/>
  <c r="N51" i="38"/>
  <c r="H79" i="28"/>
  <c r="L79" i="28"/>
  <c r="L90" i="32"/>
  <c r="H90" i="32"/>
  <c r="J90" i="32"/>
  <c r="L82" i="34"/>
  <c r="J82" i="34"/>
  <c r="N82" i="34" s="1"/>
  <c r="C105" i="36"/>
  <c r="E105" i="36" s="1"/>
  <c r="J143" i="12"/>
  <c r="N143" i="12" s="1"/>
  <c r="D143" i="12"/>
  <c r="E143" i="12" s="1"/>
  <c r="L143" i="12"/>
  <c r="U143" i="12"/>
  <c r="J173" i="12"/>
  <c r="N173" i="12" s="1"/>
  <c r="C173" i="12"/>
  <c r="E173" i="12" s="1"/>
  <c r="S173" i="12"/>
  <c r="W173" i="12" s="1"/>
  <c r="N105" i="12"/>
  <c r="W146" i="12"/>
  <c r="N169" i="12"/>
  <c r="N10" i="11"/>
  <c r="E139" i="11"/>
  <c r="W184" i="11"/>
  <c r="D149" i="10"/>
  <c r="E149" i="10" s="1"/>
  <c r="D157" i="10"/>
  <c r="E157" i="10" s="1"/>
  <c r="N40" i="10"/>
  <c r="N49" i="10"/>
  <c r="C172" i="10"/>
  <c r="E172" i="10" s="1"/>
  <c r="N76" i="10"/>
  <c r="N80" i="10"/>
  <c r="N92" i="10"/>
  <c r="C157" i="9"/>
  <c r="E157" i="9" s="1"/>
  <c r="J160" i="9"/>
  <c r="W168" i="9"/>
  <c r="U171" i="9"/>
  <c r="S171" i="9"/>
  <c r="B191" i="9"/>
  <c r="E191" i="9" s="1"/>
  <c r="N111" i="9"/>
  <c r="C130" i="21"/>
  <c r="E130" i="21" s="1"/>
  <c r="E136" i="21"/>
  <c r="D138" i="21"/>
  <c r="E138" i="21" s="1"/>
  <c r="W152" i="21"/>
  <c r="N165" i="21"/>
  <c r="D147" i="17"/>
  <c r="E147" i="17" s="1"/>
  <c r="N96" i="25"/>
  <c r="B172" i="25"/>
  <c r="E172" i="25" s="1"/>
  <c r="D144" i="1"/>
  <c r="L154" i="1"/>
  <c r="J154" i="1"/>
  <c r="W154" i="1"/>
  <c r="H181" i="1"/>
  <c r="J176" i="1"/>
  <c r="H130" i="5"/>
  <c r="N130" i="5" s="1"/>
  <c r="H130" i="7"/>
  <c r="N130" i="7" s="1"/>
  <c r="L181" i="7"/>
  <c r="N181" i="7" s="1"/>
  <c r="J138" i="7"/>
  <c r="N138" i="7" s="1"/>
  <c r="L138" i="7"/>
  <c r="N13" i="8"/>
  <c r="N18" i="8"/>
  <c r="J159" i="8"/>
  <c r="L159" i="8"/>
  <c r="H159" i="8"/>
  <c r="N159" i="8" s="1"/>
  <c r="J155" i="8"/>
  <c r="H155" i="8"/>
  <c r="L155" i="8"/>
  <c r="J145" i="8"/>
  <c r="L145" i="8"/>
  <c r="H145" i="8"/>
  <c r="N145" i="8" s="1"/>
  <c r="B81" i="31"/>
  <c r="E81" i="31" s="1"/>
  <c r="N7" i="34"/>
  <c r="N12" i="38"/>
  <c r="D76" i="38"/>
  <c r="H86" i="29"/>
  <c r="N86" i="29" s="1"/>
  <c r="J83" i="31"/>
  <c r="N83" i="31" s="1"/>
  <c r="J78" i="31"/>
  <c r="N78" i="31" s="1"/>
  <c r="L69" i="32"/>
  <c r="H69" i="32"/>
  <c r="N69" i="32" s="1"/>
  <c r="L85" i="34"/>
  <c r="L194" i="13"/>
  <c r="N194" i="13" s="1"/>
  <c r="H177" i="13"/>
  <c r="N177" i="13" s="1"/>
  <c r="L161" i="5"/>
  <c r="N8" i="12"/>
  <c r="C129" i="12"/>
  <c r="E129" i="12" s="1"/>
  <c r="N53" i="12"/>
  <c r="C156" i="12"/>
  <c r="N83" i="12"/>
  <c r="C175" i="12"/>
  <c r="E175" i="12" s="1"/>
  <c r="N180" i="12"/>
  <c r="L132" i="11"/>
  <c r="J132" i="11"/>
  <c r="N132" i="11" s="1"/>
  <c r="N98" i="11"/>
  <c r="N104" i="11"/>
  <c r="N107" i="11"/>
  <c r="D181" i="11"/>
  <c r="E181" i="11" s="1"/>
  <c r="C183" i="11"/>
  <c r="E183" i="11" s="1"/>
  <c r="H149" i="10"/>
  <c r="N149" i="10" s="1"/>
  <c r="E154" i="10"/>
  <c r="D192" i="10"/>
  <c r="J176" i="9"/>
  <c r="N176" i="9" s="1"/>
  <c r="N55" i="21"/>
  <c r="C151" i="21"/>
  <c r="E151" i="21" s="1"/>
  <c r="E136" i="19"/>
  <c r="N173" i="19"/>
  <c r="B184" i="19"/>
  <c r="E184" i="19" s="1"/>
  <c r="N115" i="19"/>
  <c r="C137" i="17"/>
  <c r="E137" i="17" s="1"/>
  <c r="N23" i="17"/>
  <c r="H124" i="26"/>
  <c r="N124" i="26" s="1"/>
  <c r="S124" i="26"/>
  <c r="W124" i="26" s="1"/>
  <c r="N94" i="25"/>
  <c r="D171" i="25"/>
  <c r="E171" i="25" s="1"/>
  <c r="J173" i="13"/>
  <c r="N173" i="13" s="1"/>
  <c r="S164" i="12"/>
  <c r="W164" i="12" s="1"/>
  <c r="L171" i="12"/>
  <c r="N171" i="12" s="1"/>
  <c r="T177" i="11"/>
  <c r="W177" i="11" s="1"/>
  <c r="H200" i="10"/>
  <c r="B180" i="9"/>
  <c r="E180" i="9" s="1"/>
  <c r="S187" i="9"/>
  <c r="W187" i="9" s="1"/>
  <c r="N46" i="21"/>
  <c r="N149" i="21"/>
  <c r="N74" i="21"/>
  <c r="H162" i="21"/>
  <c r="N162" i="21" s="1"/>
  <c r="D163" i="21"/>
  <c r="E163" i="21" s="1"/>
  <c r="N81" i="21"/>
  <c r="L170" i="21"/>
  <c r="N170" i="21" s="1"/>
  <c r="C171" i="21"/>
  <c r="E171" i="21" s="1"/>
  <c r="N160" i="21"/>
  <c r="C154" i="19"/>
  <c r="L166" i="19"/>
  <c r="N166" i="19" s="1"/>
  <c r="U166" i="19"/>
  <c r="D166" i="19"/>
  <c r="T166" i="19"/>
  <c r="S166" i="19"/>
  <c r="W166" i="19" s="1"/>
  <c r="N167" i="19"/>
  <c r="U170" i="19"/>
  <c r="S170" i="19"/>
  <c r="N95" i="19"/>
  <c r="L177" i="19"/>
  <c r="N177" i="19" s="1"/>
  <c r="D178" i="19"/>
  <c r="E178" i="19" s="1"/>
  <c r="N110" i="19"/>
  <c r="W168" i="19"/>
  <c r="J173" i="19"/>
  <c r="C139" i="18"/>
  <c r="E139" i="18" s="1"/>
  <c r="J148" i="18"/>
  <c r="N148" i="18" s="1"/>
  <c r="N52" i="18"/>
  <c r="J154" i="18"/>
  <c r="N154" i="18" s="1"/>
  <c r="H155" i="18"/>
  <c r="N155" i="18" s="1"/>
  <c r="J155" i="18"/>
  <c r="D160" i="18"/>
  <c r="E160" i="18" s="1"/>
  <c r="C184" i="18"/>
  <c r="E184" i="18" s="1"/>
  <c r="W164" i="18"/>
  <c r="N18" i="17"/>
  <c r="B136" i="17"/>
  <c r="E136" i="17" s="1"/>
  <c r="E143" i="17"/>
  <c r="N43" i="17"/>
  <c r="L152" i="17"/>
  <c r="C155" i="17"/>
  <c r="N70" i="17"/>
  <c r="B164" i="17"/>
  <c r="E164" i="17" s="1"/>
  <c r="D166" i="17"/>
  <c r="C170" i="17"/>
  <c r="E170" i="17" s="1"/>
  <c r="N55" i="24"/>
  <c r="N66" i="24"/>
  <c r="B81" i="34"/>
  <c r="E81" i="34" s="1"/>
  <c r="J85" i="34"/>
  <c r="N85" i="34" s="1"/>
  <c r="L86" i="37"/>
  <c r="N86" i="37" s="1"/>
  <c r="L75" i="37"/>
  <c r="N75" i="37" s="1"/>
  <c r="U158" i="12"/>
  <c r="W158" i="12" s="1"/>
  <c r="U145" i="11"/>
  <c r="J150" i="11"/>
  <c r="N150" i="11" s="1"/>
  <c r="B164" i="11"/>
  <c r="E164" i="11" s="1"/>
  <c r="B171" i="11"/>
  <c r="E171" i="11" s="1"/>
  <c r="S171" i="11"/>
  <c r="W171" i="11" s="1"/>
  <c r="H147" i="9"/>
  <c r="N147" i="9" s="1"/>
  <c r="B158" i="9"/>
  <c r="E158" i="9" s="1"/>
  <c r="T167" i="9"/>
  <c r="T178" i="9"/>
  <c r="N124" i="9"/>
  <c r="N30" i="21"/>
  <c r="H148" i="21"/>
  <c r="J148" i="21"/>
  <c r="H168" i="21"/>
  <c r="L168" i="21"/>
  <c r="E177" i="21"/>
  <c r="W146" i="21"/>
  <c r="W178" i="21"/>
  <c r="J134" i="19"/>
  <c r="N134" i="19" s="1"/>
  <c r="N19" i="19"/>
  <c r="E159" i="19"/>
  <c r="N66" i="19"/>
  <c r="N78" i="19"/>
  <c r="N86" i="19"/>
  <c r="J135" i="18"/>
  <c r="N135" i="18" s="1"/>
  <c r="N36" i="18"/>
  <c r="C147" i="18"/>
  <c r="E147" i="18" s="1"/>
  <c r="H166" i="18"/>
  <c r="N166" i="18" s="1"/>
  <c r="C174" i="18"/>
  <c r="E174" i="18" s="1"/>
  <c r="D155" i="17"/>
  <c r="U155" i="17"/>
  <c r="S155" i="17"/>
  <c r="W155" i="17" s="1"/>
  <c r="C161" i="17"/>
  <c r="N75" i="17"/>
  <c r="H167" i="17"/>
  <c r="N167" i="17" s="1"/>
  <c r="N89" i="17"/>
  <c r="H170" i="17"/>
  <c r="L170" i="17"/>
  <c r="N95" i="17"/>
  <c r="N112" i="17"/>
  <c r="B181" i="17"/>
  <c r="E181" i="17" s="1"/>
  <c r="N58" i="16"/>
  <c r="S147" i="25"/>
  <c r="U147" i="25"/>
  <c r="U173" i="24"/>
  <c r="T173" i="24"/>
  <c r="S173" i="24"/>
  <c r="C173" i="24"/>
  <c r="N174" i="24"/>
  <c r="N174" i="23"/>
  <c r="L186" i="13"/>
  <c r="N186" i="13" s="1"/>
  <c r="J158" i="11"/>
  <c r="N158" i="11" s="1"/>
  <c r="S175" i="11"/>
  <c r="W175" i="11" s="1"/>
  <c r="L186" i="9"/>
  <c r="N186" i="9" s="1"/>
  <c r="L141" i="21"/>
  <c r="N141" i="21" s="1"/>
  <c r="D155" i="21"/>
  <c r="E155" i="21" s="1"/>
  <c r="D164" i="21"/>
  <c r="E164" i="21" s="1"/>
  <c r="W166" i="21"/>
  <c r="B148" i="19"/>
  <c r="E148" i="19" s="1"/>
  <c r="N38" i="19"/>
  <c r="N170" i="19"/>
  <c r="C134" i="17"/>
  <c r="E134" i="17" s="1"/>
  <c r="L168" i="24"/>
  <c r="J168" i="24"/>
  <c r="H168" i="24"/>
  <c r="N168" i="24" s="1"/>
  <c r="W159" i="23"/>
  <c r="C161" i="23"/>
  <c r="E161" i="23" s="1"/>
  <c r="N74" i="23"/>
  <c r="T140" i="12"/>
  <c r="W140" i="12" s="1"/>
  <c r="B141" i="12"/>
  <c r="E141" i="12" s="1"/>
  <c r="N59" i="12"/>
  <c r="H132" i="12"/>
  <c r="N132" i="12" s="1"/>
  <c r="H164" i="12"/>
  <c r="N164" i="12" s="1"/>
  <c r="S145" i="11"/>
  <c r="W145" i="11" s="1"/>
  <c r="D193" i="10"/>
  <c r="E193" i="10" s="1"/>
  <c r="H160" i="9"/>
  <c r="C184" i="9"/>
  <c r="E184" i="9" s="1"/>
  <c r="B195" i="9"/>
  <c r="E195" i="9" s="1"/>
  <c r="C196" i="9"/>
  <c r="L176" i="21"/>
  <c r="J176" i="21"/>
  <c r="D146" i="19"/>
  <c r="E146" i="19" s="1"/>
  <c r="L151" i="19"/>
  <c r="H151" i="19"/>
  <c r="E160" i="19"/>
  <c r="D176" i="19"/>
  <c r="E176" i="19" s="1"/>
  <c r="N111" i="19"/>
  <c r="E133" i="18"/>
  <c r="B156" i="18"/>
  <c r="E156" i="18" s="1"/>
  <c r="N58" i="18"/>
  <c r="W142" i="18"/>
  <c r="N9" i="17"/>
  <c r="L144" i="17"/>
  <c r="N144" i="17" s="1"/>
  <c r="C172" i="17"/>
  <c r="E172" i="17" s="1"/>
  <c r="L137" i="23"/>
  <c r="J137" i="23"/>
  <c r="N137" i="23" s="1"/>
  <c r="C173" i="13"/>
  <c r="N46" i="12"/>
  <c r="T145" i="11"/>
  <c r="S163" i="11"/>
  <c r="W163" i="11" s="1"/>
  <c r="L200" i="10"/>
  <c r="D196" i="9"/>
  <c r="C139" i="21"/>
  <c r="C140" i="21"/>
  <c r="E140" i="21" s="1"/>
  <c r="N61" i="21"/>
  <c r="N66" i="21"/>
  <c r="E166" i="21"/>
  <c r="H180" i="21"/>
  <c r="N180" i="21" s="1"/>
  <c r="W141" i="21"/>
  <c r="W153" i="19"/>
  <c r="B154" i="19"/>
  <c r="E154" i="19" s="1"/>
  <c r="E168" i="19"/>
  <c r="D174" i="19"/>
  <c r="E174" i="19" s="1"/>
  <c r="L176" i="19"/>
  <c r="D177" i="18"/>
  <c r="E177" i="18" s="1"/>
  <c r="T147" i="18"/>
  <c r="W147" i="18" s="1"/>
  <c r="C149" i="17"/>
  <c r="E149" i="17" s="1"/>
  <c r="T161" i="17"/>
  <c r="C169" i="17"/>
  <c r="E169" i="17" s="1"/>
  <c r="W149" i="17"/>
  <c r="N112" i="26"/>
  <c r="B115" i="26"/>
  <c r="E115" i="26" s="1"/>
  <c r="L128" i="25"/>
  <c r="D128" i="25"/>
  <c r="C128" i="25"/>
  <c r="N180" i="25"/>
  <c r="W139" i="24"/>
  <c r="N36" i="38"/>
  <c r="N47" i="38"/>
  <c r="H184" i="9"/>
  <c r="N184" i="9" s="1"/>
  <c r="J184" i="9"/>
  <c r="L184" i="9"/>
  <c r="H196" i="9"/>
  <c r="J196" i="9"/>
  <c r="L196" i="9"/>
  <c r="W142" i="21"/>
  <c r="N63" i="21"/>
  <c r="N15" i="19"/>
  <c r="N27" i="19"/>
  <c r="E165" i="19"/>
  <c r="U176" i="19"/>
  <c r="T176" i="19"/>
  <c r="S176" i="19"/>
  <c r="W176" i="19" s="1"/>
  <c r="W177" i="19"/>
  <c r="W182" i="19"/>
  <c r="E140" i="18"/>
  <c r="N32" i="18"/>
  <c r="E151" i="18"/>
  <c r="N104" i="18"/>
  <c r="W139" i="18"/>
  <c r="C146" i="17"/>
  <c r="E146" i="17" s="1"/>
  <c r="H158" i="17"/>
  <c r="N158" i="17" s="1"/>
  <c r="C166" i="17"/>
  <c r="E155" i="24"/>
  <c r="J143" i="23"/>
  <c r="N143" i="23" s="1"/>
  <c r="H151" i="23"/>
  <c r="N151" i="23" s="1"/>
  <c r="J151" i="23"/>
  <c r="T177" i="21"/>
  <c r="W177" i="21" s="1"/>
  <c r="N22" i="19"/>
  <c r="B166" i="19"/>
  <c r="U172" i="19"/>
  <c r="U180" i="19"/>
  <c r="U131" i="17"/>
  <c r="S131" i="17"/>
  <c r="B141" i="17"/>
  <c r="E141" i="17" s="1"/>
  <c r="T159" i="17"/>
  <c r="S159" i="17"/>
  <c r="W159" i="17" s="1"/>
  <c r="J164" i="17"/>
  <c r="H164" i="17"/>
  <c r="N164" i="17" s="1"/>
  <c r="N105" i="17"/>
  <c r="C179" i="17"/>
  <c r="E179" i="17" s="1"/>
  <c r="B180" i="17"/>
  <c r="E180" i="17" s="1"/>
  <c r="N110" i="17"/>
  <c r="T131" i="17"/>
  <c r="W122" i="16"/>
  <c r="N13" i="26"/>
  <c r="C117" i="26"/>
  <c r="D124" i="26"/>
  <c r="E124" i="26" s="1"/>
  <c r="H126" i="26"/>
  <c r="N126" i="26" s="1"/>
  <c r="C131" i="26"/>
  <c r="E131" i="26" s="1"/>
  <c r="U131" i="26"/>
  <c r="W131" i="26" s="1"/>
  <c r="D136" i="26"/>
  <c r="E136" i="26" s="1"/>
  <c r="N132" i="25"/>
  <c r="D147" i="25"/>
  <c r="B148" i="25"/>
  <c r="E148" i="25" s="1"/>
  <c r="C158" i="25"/>
  <c r="E158" i="25" s="1"/>
  <c r="N82" i="25"/>
  <c r="N88" i="25"/>
  <c r="N111" i="25"/>
  <c r="U131" i="24"/>
  <c r="T131" i="24"/>
  <c r="D131" i="24"/>
  <c r="S131" i="24"/>
  <c r="N27" i="24"/>
  <c r="U143" i="24"/>
  <c r="T143" i="24"/>
  <c r="W143" i="24" s="1"/>
  <c r="E145" i="24"/>
  <c r="J152" i="24"/>
  <c r="N152" i="24" s="1"/>
  <c r="L152" i="24"/>
  <c r="L153" i="24"/>
  <c r="N153" i="24" s="1"/>
  <c r="C165" i="24"/>
  <c r="E165" i="24" s="1"/>
  <c r="N82" i="24"/>
  <c r="C170" i="24"/>
  <c r="E170" i="24" s="1"/>
  <c r="H172" i="24"/>
  <c r="N172" i="24" s="1"/>
  <c r="L173" i="24"/>
  <c r="N173" i="24" s="1"/>
  <c r="W154" i="24"/>
  <c r="N40" i="23"/>
  <c r="N52" i="23"/>
  <c r="N106" i="23"/>
  <c r="B129" i="23"/>
  <c r="E129" i="23" s="1"/>
  <c r="D161" i="22"/>
  <c r="W180" i="8"/>
  <c r="B150" i="21"/>
  <c r="E150" i="21" s="1"/>
  <c r="S167" i="21"/>
  <c r="W167" i="21" s="1"/>
  <c r="T169" i="21"/>
  <c r="W169" i="21" s="1"/>
  <c r="T136" i="19"/>
  <c r="N34" i="19"/>
  <c r="H161" i="19"/>
  <c r="N161" i="19" s="1"/>
  <c r="N102" i="19"/>
  <c r="B183" i="19"/>
  <c r="E183" i="19" s="1"/>
  <c r="B185" i="19"/>
  <c r="E185" i="19" s="1"/>
  <c r="U164" i="19"/>
  <c r="W164" i="19" s="1"/>
  <c r="N63" i="18"/>
  <c r="U163" i="18"/>
  <c r="T135" i="17"/>
  <c r="U143" i="17"/>
  <c r="S143" i="17"/>
  <c r="T153" i="17"/>
  <c r="S153" i="17"/>
  <c r="B157" i="17"/>
  <c r="E157" i="17" s="1"/>
  <c r="B161" i="17"/>
  <c r="E161" i="17" s="1"/>
  <c r="C177" i="17"/>
  <c r="E177" i="17" s="1"/>
  <c r="W145" i="17"/>
  <c r="T173" i="17"/>
  <c r="W173" i="17" s="1"/>
  <c r="W179" i="17"/>
  <c r="N60" i="16"/>
  <c r="C109" i="26"/>
  <c r="N21" i="25"/>
  <c r="N61" i="25"/>
  <c r="N79" i="25"/>
  <c r="D169" i="25"/>
  <c r="W152" i="25"/>
  <c r="E137" i="24"/>
  <c r="N33" i="24"/>
  <c r="B143" i="24"/>
  <c r="E143" i="24" s="1"/>
  <c r="L154" i="24"/>
  <c r="N154" i="24" s="1"/>
  <c r="N81" i="24"/>
  <c r="W165" i="24"/>
  <c r="U170" i="24"/>
  <c r="W170" i="24" s="1"/>
  <c r="W133" i="24"/>
  <c r="W141" i="24"/>
  <c r="N14" i="23"/>
  <c r="N15" i="23"/>
  <c r="J133" i="23"/>
  <c r="N133" i="23" s="1"/>
  <c r="N23" i="23"/>
  <c r="N27" i="23"/>
  <c r="D147" i="23"/>
  <c r="N67" i="23"/>
  <c r="C158" i="23"/>
  <c r="E158" i="23" s="1"/>
  <c r="W184" i="8"/>
  <c r="U147" i="21"/>
  <c r="U136" i="19"/>
  <c r="N18" i="19"/>
  <c r="C173" i="19"/>
  <c r="E173" i="19" s="1"/>
  <c r="B175" i="19"/>
  <c r="L184" i="19"/>
  <c r="N184" i="19" s="1"/>
  <c r="J145" i="18"/>
  <c r="N145" i="18" s="1"/>
  <c r="B163" i="18"/>
  <c r="E163" i="18" s="1"/>
  <c r="S163" i="18"/>
  <c r="W163" i="18" s="1"/>
  <c r="B131" i="17"/>
  <c r="E131" i="17" s="1"/>
  <c r="N72" i="17"/>
  <c r="B163" i="17"/>
  <c r="E163" i="17" s="1"/>
  <c r="U173" i="17"/>
  <c r="T128" i="16"/>
  <c r="S128" i="16"/>
  <c r="W128" i="16" s="1"/>
  <c r="B138" i="16"/>
  <c r="E138" i="16" s="1"/>
  <c r="J145" i="16"/>
  <c r="N145" i="16" s="1"/>
  <c r="L150" i="16"/>
  <c r="H150" i="16"/>
  <c r="J150" i="16"/>
  <c r="D150" i="25"/>
  <c r="E150" i="25" s="1"/>
  <c r="C153" i="25"/>
  <c r="E153" i="25" s="1"/>
  <c r="C157" i="25"/>
  <c r="E157" i="25" s="1"/>
  <c r="W131" i="25"/>
  <c r="B131" i="24"/>
  <c r="E131" i="24" s="1"/>
  <c r="N26" i="24"/>
  <c r="C137" i="24"/>
  <c r="N41" i="24"/>
  <c r="C151" i="24"/>
  <c r="N54" i="24"/>
  <c r="L159" i="24"/>
  <c r="N159" i="24" s="1"/>
  <c r="S159" i="24"/>
  <c r="W159" i="24" s="1"/>
  <c r="B167" i="24"/>
  <c r="E167" i="24" s="1"/>
  <c r="N91" i="24"/>
  <c r="C179" i="24"/>
  <c r="E179" i="24" s="1"/>
  <c r="J145" i="23"/>
  <c r="N51" i="23"/>
  <c r="C150" i="23"/>
  <c r="E150" i="23" s="1"/>
  <c r="N64" i="23"/>
  <c r="N70" i="23"/>
  <c r="N82" i="23"/>
  <c r="C167" i="23"/>
  <c r="E167" i="23" s="1"/>
  <c r="S169" i="23"/>
  <c r="U169" i="23"/>
  <c r="N109" i="23"/>
  <c r="D149" i="22"/>
  <c r="E149" i="22" s="1"/>
  <c r="S147" i="21"/>
  <c r="W147" i="21" s="1"/>
  <c r="T146" i="19"/>
  <c r="C175" i="19"/>
  <c r="S146" i="19"/>
  <c r="W146" i="19" s="1"/>
  <c r="D177" i="17"/>
  <c r="H181" i="17"/>
  <c r="N181" i="17" s="1"/>
  <c r="T108" i="26"/>
  <c r="U108" i="26"/>
  <c r="S108" i="26"/>
  <c r="W108" i="26" s="1"/>
  <c r="C179" i="25"/>
  <c r="E179" i="25" s="1"/>
  <c r="D146" i="24"/>
  <c r="E146" i="24" s="1"/>
  <c r="D151" i="24"/>
  <c r="E154" i="24"/>
  <c r="N96" i="24"/>
  <c r="C172" i="24"/>
  <c r="E172" i="24" s="1"/>
  <c r="B147" i="24"/>
  <c r="E147" i="24" s="1"/>
  <c r="N19" i="22"/>
  <c r="C145" i="22"/>
  <c r="E145" i="22" s="1"/>
  <c r="S173" i="21"/>
  <c r="W173" i="21" s="1"/>
  <c r="D175" i="19"/>
  <c r="J185" i="19"/>
  <c r="N185" i="19" s="1"/>
  <c r="S172" i="19"/>
  <c r="W172" i="19" s="1"/>
  <c r="S180" i="19"/>
  <c r="W180" i="19" s="1"/>
  <c r="N29" i="18"/>
  <c r="N19" i="17"/>
  <c r="U169" i="17"/>
  <c r="T169" i="17"/>
  <c r="W169" i="17" s="1"/>
  <c r="J172" i="17"/>
  <c r="H172" i="17"/>
  <c r="N172" i="17" s="1"/>
  <c r="N100" i="17"/>
  <c r="N111" i="17"/>
  <c r="W182" i="17"/>
  <c r="N22" i="26"/>
  <c r="J119" i="26"/>
  <c r="N33" i="26"/>
  <c r="W119" i="26"/>
  <c r="N27" i="25"/>
  <c r="C139" i="25"/>
  <c r="E139" i="25" s="1"/>
  <c r="B147" i="25"/>
  <c r="J152" i="25"/>
  <c r="C163" i="25"/>
  <c r="E163" i="25" s="1"/>
  <c r="N83" i="25"/>
  <c r="U169" i="25"/>
  <c r="S169" i="25"/>
  <c r="N97" i="25"/>
  <c r="B175" i="25"/>
  <c r="E175" i="25" s="1"/>
  <c r="D179" i="25"/>
  <c r="W135" i="25"/>
  <c r="N18" i="24"/>
  <c r="N40" i="24"/>
  <c r="B144" i="24"/>
  <c r="E144" i="24" s="1"/>
  <c r="L146" i="24"/>
  <c r="N69" i="24"/>
  <c r="N90" i="24"/>
  <c r="L178" i="24"/>
  <c r="W150" i="24"/>
  <c r="N48" i="23"/>
  <c r="L153" i="23"/>
  <c r="N153" i="23" s="1"/>
  <c r="L131" i="23"/>
  <c r="N131" i="23" s="1"/>
  <c r="N19" i="36"/>
  <c r="B147" i="19"/>
  <c r="E147" i="19" s="1"/>
  <c r="C180" i="19"/>
  <c r="E180" i="19" s="1"/>
  <c r="H174" i="17"/>
  <c r="L174" i="17"/>
  <c r="T143" i="17"/>
  <c r="N64" i="16"/>
  <c r="C108" i="26"/>
  <c r="N32" i="26"/>
  <c r="W112" i="26"/>
  <c r="E135" i="25"/>
  <c r="N43" i="25"/>
  <c r="C147" i="25"/>
  <c r="N53" i="25"/>
  <c r="N57" i="25"/>
  <c r="D163" i="25"/>
  <c r="N45" i="24"/>
  <c r="C169" i="24"/>
  <c r="E169" i="24" s="1"/>
  <c r="C174" i="24"/>
  <c r="W137" i="24"/>
  <c r="N26" i="23"/>
  <c r="C138" i="23"/>
  <c r="E138" i="23" s="1"/>
  <c r="H145" i="23"/>
  <c r="E147" i="23"/>
  <c r="T164" i="23"/>
  <c r="S164" i="23"/>
  <c r="C164" i="23"/>
  <c r="E164" i="23" s="1"/>
  <c r="U164" i="23"/>
  <c r="D169" i="23"/>
  <c r="E169" i="23" s="1"/>
  <c r="C173" i="23"/>
  <c r="E173" i="23" s="1"/>
  <c r="S175" i="17"/>
  <c r="W175" i="17" s="1"/>
  <c r="H108" i="26"/>
  <c r="J108" i="26"/>
  <c r="T171" i="25"/>
  <c r="W171" i="25" s="1"/>
  <c r="T139" i="24"/>
  <c r="T167" i="24"/>
  <c r="W167" i="24" s="1"/>
  <c r="N43" i="23"/>
  <c r="U148" i="23"/>
  <c r="T148" i="23"/>
  <c r="D154" i="23"/>
  <c r="B163" i="23"/>
  <c r="E163" i="23" s="1"/>
  <c r="J171" i="23"/>
  <c r="H171" i="23"/>
  <c r="N171" i="23" s="1"/>
  <c r="D178" i="23"/>
  <c r="E178" i="23" s="1"/>
  <c r="W142" i="23"/>
  <c r="N11" i="22"/>
  <c r="N21" i="22"/>
  <c r="N29" i="22"/>
  <c r="C159" i="22"/>
  <c r="E159" i="22" s="1"/>
  <c r="C161" i="22"/>
  <c r="E161" i="22" s="1"/>
  <c r="B181" i="22"/>
  <c r="E181" i="22" s="1"/>
  <c r="N102" i="22"/>
  <c r="C182" i="22"/>
  <c r="E182" i="22" s="1"/>
  <c r="W164" i="22"/>
  <c r="W169" i="13"/>
  <c r="T104" i="36"/>
  <c r="S104" i="36"/>
  <c r="W104" i="36" s="1"/>
  <c r="W92" i="28"/>
  <c r="B108" i="26"/>
  <c r="E108" i="26" s="1"/>
  <c r="L109" i="26"/>
  <c r="N109" i="26" s="1"/>
  <c r="L142" i="25"/>
  <c r="C155" i="25"/>
  <c r="E155" i="25" s="1"/>
  <c r="B169" i="25"/>
  <c r="J164" i="25"/>
  <c r="N164" i="25" s="1"/>
  <c r="J180" i="25"/>
  <c r="N12" i="24"/>
  <c r="B173" i="24"/>
  <c r="E173" i="24" s="1"/>
  <c r="H146" i="24"/>
  <c r="D135" i="23"/>
  <c r="E135" i="23" s="1"/>
  <c r="B154" i="23"/>
  <c r="E154" i="23" s="1"/>
  <c r="T170" i="23"/>
  <c r="W170" i="23" s="1"/>
  <c r="W147" i="23"/>
  <c r="U158" i="23"/>
  <c r="B143" i="22"/>
  <c r="E143" i="22" s="1"/>
  <c r="C155" i="22"/>
  <c r="E155" i="22" s="1"/>
  <c r="N63" i="22"/>
  <c r="E163" i="22"/>
  <c r="N87" i="22"/>
  <c r="N114" i="22"/>
  <c r="W144" i="8"/>
  <c r="W152" i="8"/>
  <c r="W160" i="8"/>
  <c r="N173" i="22"/>
  <c r="E70" i="33"/>
  <c r="N114" i="2"/>
  <c r="D181" i="2"/>
  <c r="E181" i="2" s="1"/>
  <c r="J180" i="17"/>
  <c r="N180" i="17" s="1"/>
  <c r="N14" i="26"/>
  <c r="D141" i="26"/>
  <c r="H142" i="25"/>
  <c r="H152" i="25"/>
  <c r="N152" i="25" s="1"/>
  <c r="S161" i="25"/>
  <c r="J146" i="24"/>
  <c r="T161" i="24"/>
  <c r="W161" i="24" s="1"/>
  <c r="T171" i="24"/>
  <c r="W171" i="24" s="1"/>
  <c r="T175" i="24"/>
  <c r="W175" i="24" s="1"/>
  <c r="S179" i="24"/>
  <c r="W179" i="24" s="1"/>
  <c r="B171" i="23"/>
  <c r="E171" i="23" s="1"/>
  <c r="T176" i="23"/>
  <c r="S176" i="23"/>
  <c r="U176" i="23"/>
  <c r="N179" i="22"/>
  <c r="S125" i="16"/>
  <c r="W125" i="16" s="1"/>
  <c r="N20" i="26"/>
  <c r="U165" i="25"/>
  <c r="J132" i="25"/>
  <c r="H136" i="25"/>
  <c r="N136" i="25" s="1"/>
  <c r="T161" i="25"/>
  <c r="S155" i="24"/>
  <c r="W155" i="24" s="1"/>
  <c r="T157" i="24"/>
  <c r="W157" i="24" s="1"/>
  <c r="T179" i="24"/>
  <c r="L147" i="23"/>
  <c r="N147" i="23" s="1"/>
  <c r="C151" i="23"/>
  <c r="E151" i="23" s="1"/>
  <c r="B181" i="23"/>
  <c r="E181" i="23" s="1"/>
  <c r="S156" i="23"/>
  <c r="B175" i="22"/>
  <c r="E175" i="22" s="1"/>
  <c r="W85" i="34"/>
  <c r="N54" i="25"/>
  <c r="J158" i="25"/>
  <c r="N158" i="25" s="1"/>
  <c r="S165" i="25"/>
  <c r="T155" i="24"/>
  <c r="H162" i="24"/>
  <c r="N162" i="24" s="1"/>
  <c r="B145" i="23"/>
  <c r="E145" i="23" s="1"/>
  <c r="B176" i="23"/>
  <c r="E176" i="23" s="1"/>
  <c r="S148" i="23"/>
  <c r="T156" i="23"/>
  <c r="B146" i="22"/>
  <c r="E146" i="22" s="1"/>
  <c r="N23" i="22"/>
  <c r="N36" i="22"/>
  <c r="B160" i="13"/>
  <c r="E160" i="13" s="1"/>
  <c r="N49" i="13"/>
  <c r="H74" i="28"/>
  <c r="T70" i="34"/>
  <c r="U70" i="34"/>
  <c r="L108" i="26"/>
  <c r="D108" i="26"/>
  <c r="L141" i="23"/>
  <c r="J141" i="23"/>
  <c r="H141" i="23"/>
  <c r="N141" i="23" s="1"/>
  <c r="D146" i="23"/>
  <c r="E146" i="23" s="1"/>
  <c r="H164" i="23"/>
  <c r="N164" i="23" s="1"/>
  <c r="C170" i="23"/>
  <c r="E170" i="23" s="1"/>
  <c r="C176" i="23"/>
  <c r="B162" i="22"/>
  <c r="E162" i="22" s="1"/>
  <c r="N62" i="22"/>
  <c r="C164" i="22"/>
  <c r="E164" i="22" s="1"/>
  <c r="N75" i="22"/>
  <c r="N142" i="22"/>
  <c r="N158" i="22"/>
  <c r="W155" i="15"/>
  <c r="W176" i="15"/>
  <c r="D147" i="13"/>
  <c r="E147" i="13" s="1"/>
  <c r="W160" i="10"/>
  <c r="U175" i="19"/>
  <c r="T175" i="19"/>
  <c r="S175" i="19"/>
  <c r="W89" i="37"/>
  <c r="W102" i="36"/>
  <c r="C118" i="35"/>
  <c r="E118" i="35" s="1"/>
  <c r="E85" i="33"/>
  <c r="W72" i="29"/>
  <c r="W73" i="31"/>
  <c r="W74" i="32"/>
  <c r="W184" i="15"/>
  <c r="W179" i="14"/>
  <c r="N56" i="13"/>
  <c r="W159" i="13"/>
  <c r="L159" i="22"/>
  <c r="N159" i="22" s="1"/>
  <c r="W76" i="38"/>
  <c r="W87" i="38"/>
  <c r="H77" i="37"/>
  <c r="N77" i="37" s="1"/>
  <c r="N75" i="35"/>
  <c r="N16" i="34"/>
  <c r="J75" i="34"/>
  <c r="H75" i="34"/>
  <c r="N75" i="34" s="1"/>
  <c r="T73" i="34"/>
  <c r="W73" i="34" s="1"/>
  <c r="U73" i="34"/>
  <c r="W74" i="34"/>
  <c r="L84" i="33"/>
  <c r="C97" i="36"/>
  <c r="E97" i="36" s="1"/>
  <c r="W70" i="32"/>
  <c r="N7" i="9"/>
  <c r="N29" i="20"/>
  <c r="C124" i="20"/>
  <c r="E124" i="20" s="1"/>
  <c r="T169" i="22"/>
  <c r="W169" i="22" s="1"/>
  <c r="W173" i="10"/>
  <c r="L169" i="22"/>
  <c r="N169" i="22" s="1"/>
  <c r="J153" i="22"/>
  <c r="N153" i="22" s="1"/>
  <c r="L74" i="28"/>
  <c r="J74" i="28"/>
  <c r="W82" i="28"/>
  <c r="L112" i="35"/>
  <c r="N112" i="35" s="1"/>
  <c r="D114" i="35"/>
  <c r="E114" i="35" s="1"/>
  <c r="N33" i="36"/>
  <c r="N26" i="36"/>
  <c r="W131" i="11"/>
  <c r="L132" i="19"/>
  <c r="J132" i="19"/>
  <c r="H132" i="19"/>
  <c r="E129" i="17"/>
  <c r="N49" i="22"/>
  <c r="B144" i="13"/>
  <c r="E144" i="13" s="1"/>
  <c r="L149" i="13"/>
  <c r="N149" i="13" s="1"/>
  <c r="L91" i="38"/>
  <c r="W79" i="37"/>
  <c r="W70" i="30"/>
  <c r="W72" i="30"/>
  <c r="N74" i="34"/>
  <c r="B81" i="33"/>
  <c r="E81" i="33" s="1"/>
  <c r="N31" i="33"/>
  <c r="L86" i="33"/>
  <c r="J86" i="33"/>
  <c r="L69" i="31"/>
  <c r="H69" i="31"/>
  <c r="J143" i="13"/>
  <c r="H143" i="13"/>
  <c r="N143" i="13" s="1"/>
  <c r="W172" i="13"/>
  <c r="B145" i="13"/>
  <c r="E145" i="13" s="1"/>
  <c r="N10" i="13"/>
  <c r="H186" i="22"/>
  <c r="N186" i="22" s="1"/>
  <c r="H161" i="22"/>
  <c r="N161" i="22" s="1"/>
  <c r="L152" i="22"/>
  <c r="H152" i="22"/>
  <c r="N152" i="22" s="1"/>
  <c r="L146" i="22"/>
  <c r="N146" i="22" s="1"/>
  <c r="J77" i="38"/>
  <c r="D107" i="35"/>
  <c r="E107" i="35" s="1"/>
  <c r="W95" i="28"/>
  <c r="L106" i="35"/>
  <c r="H106" i="35"/>
  <c r="N106" i="35" s="1"/>
  <c r="C113" i="35"/>
  <c r="E113" i="35" s="1"/>
  <c r="D119" i="35"/>
  <c r="E119" i="35" s="1"/>
  <c r="W73" i="30"/>
  <c r="J86" i="34"/>
  <c r="T86" i="34"/>
  <c r="S86" i="34"/>
  <c r="N35" i="33"/>
  <c r="H87" i="33"/>
  <c r="J72" i="31"/>
  <c r="H72" i="31"/>
  <c r="N72" i="31" s="1"/>
  <c r="N131" i="11"/>
  <c r="N127" i="25"/>
  <c r="C185" i="11"/>
  <c r="N119" i="11"/>
  <c r="B144" i="26"/>
  <c r="E144" i="26" s="1"/>
  <c r="E164" i="13"/>
  <c r="W173" i="13"/>
  <c r="B161" i="13"/>
  <c r="E161" i="13" s="1"/>
  <c r="J148" i="22"/>
  <c r="N148" i="22" s="1"/>
  <c r="W78" i="38"/>
  <c r="W77" i="28"/>
  <c r="W96" i="28"/>
  <c r="N56" i="35"/>
  <c r="W80" i="34"/>
  <c r="L75" i="38"/>
  <c r="W85" i="38"/>
  <c r="N21" i="38"/>
  <c r="C71" i="33"/>
  <c r="E71" i="33" s="1"/>
  <c r="B84" i="33"/>
  <c r="E84" i="33" s="1"/>
  <c r="N43" i="33"/>
  <c r="N35" i="36"/>
  <c r="W83" i="29"/>
  <c r="L65" i="31"/>
  <c r="H65" i="31"/>
  <c r="N17" i="33"/>
  <c r="N23" i="33"/>
  <c r="B79" i="33"/>
  <c r="E79" i="33" s="1"/>
  <c r="B77" i="33"/>
  <c r="D76" i="33"/>
  <c r="E76" i="33" s="1"/>
  <c r="N24" i="34"/>
  <c r="N46" i="36"/>
  <c r="L80" i="37"/>
  <c r="N80" i="37" s="1"/>
  <c r="J151" i="13"/>
  <c r="N151" i="13" s="1"/>
  <c r="H129" i="5"/>
  <c r="J129" i="5"/>
  <c r="N7" i="13"/>
  <c r="T128" i="12"/>
  <c r="S128" i="12"/>
  <c r="W128" i="12" s="1"/>
  <c r="N6" i="21"/>
  <c r="N6" i="22"/>
  <c r="C139" i="22"/>
  <c r="N10" i="20"/>
  <c r="E127" i="20"/>
  <c r="N8" i="13"/>
  <c r="L73" i="38"/>
  <c r="U92" i="37"/>
  <c r="W92" i="37" s="1"/>
  <c r="S95" i="36"/>
  <c r="W95" i="36" s="1"/>
  <c r="T71" i="30"/>
  <c r="W71" i="30" s="1"/>
  <c r="J79" i="33"/>
  <c r="H79" i="33"/>
  <c r="L79" i="33"/>
  <c r="B83" i="33"/>
  <c r="E83" i="33" s="1"/>
  <c r="W81" i="31"/>
  <c r="W81" i="32"/>
  <c r="W78" i="32"/>
  <c r="W72" i="33"/>
  <c r="N25" i="34"/>
  <c r="W99" i="35"/>
  <c r="E127" i="21"/>
  <c r="C129" i="17"/>
  <c r="T127" i="24"/>
  <c r="U127" i="24"/>
  <c r="D128" i="12"/>
  <c r="D185" i="14"/>
  <c r="E129" i="20"/>
  <c r="B130" i="20"/>
  <c r="E130" i="20" s="1"/>
  <c r="N40" i="20"/>
  <c r="B196" i="13"/>
  <c r="E196" i="13" s="1"/>
  <c r="J150" i="13"/>
  <c r="N150" i="13" s="1"/>
  <c r="N32" i="38"/>
  <c r="L77" i="38"/>
  <c r="T78" i="34"/>
  <c r="W78" i="34" s="1"/>
  <c r="J82" i="33"/>
  <c r="N82" i="33" s="1"/>
  <c r="J88" i="33"/>
  <c r="L88" i="33"/>
  <c r="C96" i="36"/>
  <c r="E96" i="36" s="1"/>
  <c r="J66" i="31"/>
  <c r="N66" i="31" s="1"/>
  <c r="L66" i="31"/>
  <c r="L74" i="31"/>
  <c r="H74" i="31"/>
  <c r="W82" i="32"/>
  <c r="H86" i="34"/>
  <c r="N86" i="34" s="1"/>
  <c r="N42" i="35"/>
  <c r="B128" i="12"/>
  <c r="S127" i="21"/>
  <c r="J127" i="21"/>
  <c r="T127" i="21"/>
  <c r="B132" i="19"/>
  <c r="N6" i="19"/>
  <c r="E129" i="5"/>
  <c r="E143" i="13"/>
  <c r="N84" i="35"/>
  <c r="J80" i="33"/>
  <c r="H80" i="33"/>
  <c r="J84" i="33"/>
  <c r="N84" i="33" s="1"/>
  <c r="J87" i="33"/>
  <c r="L87" i="33"/>
  <c r="N89" i="33"/>
  <c r="B74" i="29"/>
  <c r="E74" i="29" s="1"/>
  <c r="W77" i="31"/>
  <c r="N8" i="37"/>
  <c r="C73" i="37"/>
  <c r="E73" i="37" s="1"/>
  <c r="B137" i="8"/>
  <c r="E137" i="8" s="1"/>
  <c r="D127" i="25"/>
  <c r="N6" i="25"/>
  <c r="B127" i="24"/>
  <c r="L193" i="15"/>
  <c r="J193" i="15"/>
  <c r="B151" i="16"/>
  <c r="E90" i="34"/>
  <c r="C123" i="20"/>
  <c r="E123" i="20" s="1"/>
  <c r="J147" i="13"/>
  <c r="N147" i="13" s="1"/>
  <c r="J86" i="38"/>
  <c r="L83" i="38"/>
  <c r="W89" i="38"/>
  <c r="C74" i="28"/>
  <c r="E74" i="28" s="1"/>
  <c r="L77" i="33"/>
  <c r="N77" i="33" s="1"/>
  <c r="L68" i="32"/>
  <c r="N68" i="32" s="1"/>
  <c r="W68" i="32"/>
  <c r="D77" i="34"/>
  <c r="E77" i="34" s="1"/>
  <c r="N26" i="34"/>
  <c r="C80" i="37"/>
  <c r="E80" i="37" s="1"/>
  <c r="N6" i="5"/>
  <c r="C129" i="5"/>
  <c r="L143" i="13"/>
  <c r="C143" i="9"/>
  <c r="E143" i="9" s="1"/>
  <c r="L129" i="5"/>
  <c r="U128" i="12"/>
  <c r="C127" i="24"/>
  <c r="L151" i="16"/>
  <c r="E182" i="23"/>
  <c r="W75" i="38"/>
  <c r="C79" i="38"/>
  <c r="J81" i="33"/>
  <c r="H81" i="33"/>
  <c r="L85" i="33"/>
  <c r="J85" i="33"/>
  <c r="N85" i="33" s="1"/>
  <c r="B88" i="33"/>
  <c r="E88" i="33" s="1"/>
  <c r="N21" i="36"/>
  <c r="C77" i="33"/>
  <c r="H73" i="37"/>
  <c r="N73" i="37" s="1"/>
  <c r="L128" i="12"/>
  <c r="J128" i="12"/>
  <c r="H128" i="12"/>
  <c r="W127" i="24"/>
  <c r="N123" i="8"/>
  <c r="C191" i="8"/>
  <c r="E191" i="8" s="1"/>
  <c r="U151" i="16"/>
  <c r="T151" i="16"/>
  <c r="S151" i="16"/>
  <c r="W151" i="16" s="1"/>
  <c r="T94" i="29"/>
  <c r="U94" i="29"/>
  <c r="J135" i="20"/>
  <c r="H135" i="20"/>
  <c r="N135" i="20" s="1"/>
  <c r="L135" i="20"/>
  <c r="N6" i="7"/>
  <c r="L143" i="9"/>
  <c r="H143" i="9"/>
  <c r="D132" i="19"/>
  <c r="L129" i="17"/>
  <c r="J129" i="17"/>
  <c r="H129" i="17"/>
  <c r="N129" i="17" s="1"/>
  <c r="C127" i="25"/>
  <c r="R6" i="24"/>
  <c r="U128" i="23"/>
  <c r="S128" i="23"/>
  <c r="T128" i="23"/>
  <c r="U131" i="11"/>
  <c r="W143" i="9"/>
  <c r="J131" i="18"/>
  <c r="N131" i="18" s="1"/>
  <c r="W129" i="17"/>
  <c r="J128" i="23"/>
  <c r="N128" i="23" s="1"/>
  <c r="N126" i="15"/>
  <c r="N115" i="12"/>
  <c r="C181" i="21"/>
  <c r="E181" i="21" s="1"/>
  <c r="W186" i="19"/>
  <c r="W185" i="18"/>
  <c r="J183" i="17"/>
  <c r="H183" i="17"/>
  <c r="E181" i="24"/>
  <c r="J95" i="37"/>
  <c r="B90" i="32"/>
  <c r="E90" i="32" s="1"/>
  <c r="N13" i="20"/>
  <c r="C120" i="20"/>
  <c r="H125" i="20"/>
  <c r="J125" i="20"/>
  <c r="N41" i="20"/>
  <c r="C136" i="20"/>
  <c r="N52" i="20"/>
  <c r="L140" i="20"/>
  <c r="J140" i="20"/>
  <c r="H140" i="20"/>
  <c r="N140" i="20" s="1"/>
  <c r="B142" i="20"/>
  <c r="E120" i="20"/>
  <c r="E203" i="10"/>
  <c r="S132" i="19"/>
  <c r="U132" i="19"/>
  <c r="W188" i="3"/>
  <c r="H193" i="15"/>
  <c r="N193" i="15" s="1"/>
  <c r="C185" i="14"/>
  <c r="E185" i="14" s="1"/>
  <c r="N131" i="9"/>
  <c r="N181" i="21"/>
  <c r="J181" i="21"/>
  <c r="N125" i="22"/>
  <c r="E113" i="20"/>
  <c r="L114" i="20"/>
  <c r="J114" i="20"/>
  <c r="H114" i="20"/>
  <c r="E122" i="20"/>
  <c r="L132" i="20"/>
  <c r="J132" i="20"/>
  <c r="H132" i="20"/>
  <c r="B131" i="20"/>
  <c r="E146" i="20"/>
  <c r="N6" i="17"/>
  <c r="B128" i="23"/>
  <c r="J137" i="8"/>
  <c r="N137" i="8" s="1"/>
  <c r="J127" i="25"/>
  <c r="H197" i="9"/>
  <c r="L186" i="19"/>
  <c r="H151" i="16"/>
  <c r="N132" i="10"/>
  <c r="N7" i="20"/>
  <c r="L115" i="20"/>
  <c r="E118" i="20"/>
  <c r="N26" i="20"/>
  <c r="C129" i="20"/>
  <c r="N38" i="20"/>
  <c r="N81" i="20"/>
  <c r="U151" i="20"/>
  <c r="T151" i="20"/>
  <c r="S151" i="20"/>
  <c r="W151" i="20" s="1"/>
  <c r="L152" i="20"/>
  <c r="J152" i="20"/>
  <c r="H152" i="20"/>
  <c r="N92" i="20"/>
  <c r="B156" i="20"/>
  <c r="E156" i="20" s="1"/>
  <c r="E158" i="20"/>
  <c r="N100" i="20"/>
  <c r="B160" i="20"/>
  <c r="E160" i="20" s="1"/>
  <c r="H121" i="20"/>
  <c r="N121" i="20" s="1"/>
  <c r="L67" i="31"/>
  <c r="N67" i="31" s="1"/>
  <c r="J186" i="19"/>
  <c r="H186" i="19"/>
  <c r="B185" i="18"/>
  <c r="E185" i="18" s="1"/>
  <c r="W183" i="17"/>
  <c r="D151" i="16"/>
  <c r="J151" i="16"/>
  <c r="L122" i="20"/>
  <c r="J122" i="20"/>
  <c r="H122" i="20"/>
  <c r="S128" i="20"/>
  <c r="U128" i="20"/>
  <c r="T128" i="20"/>
  <c r="N113" i="20"/>
  <c r="J121" i="20"/>
  <c r="W132" i="20"/>
  <c r="N86" i="16"/>
  <c r="C152" i="16"/>
  <c r="N145" i="26"/>
  <c r="D128" i="23"/>
  <c r="T132" i="19"/>
  <c r="D97" i="28"/>
  <c r="N57" i="28"/>
  <c r="B197" i="13"/>
  <c r="E197" i="13" s="1"/>
  <c r="N128" i="13"/>
  <c r="C197" i="9"/>
  <c r="C151" i="16"/>
  <c r="C91" i="32"/>
  <c r="E91" i="32" s="1"/>
  <c r="B90" i="33"/>
  <c r="E90" i="33" s="1"/>
  <c r="B121" i="35"/>
  <c r="H202" i="10"/>
  <c r="J202" i="10"/>
  <c r="L202" i="10"/>
  <c r="J123" i="20"/>
  <c r="N35" i="20"/>
  <c r="H129" i="20"/>
  <c r="J129" i="20"/>
  <c r="L129" i="20"/>
  <c r="D130" i="20"/>
  <c r="E133" i="20"/>
  <c r="N57" i="20"/>
  <c r="L139" i="20"/>
  <c r="N62" i="20"/>
  <c r="N75" i="20"/>
  <c r="L154" i="20"/>
  <c r="J154" i="20"/>
  <c r="H154" i="20"/>
  <c r="J155" i="20"/>
  <c r="H155" i="20"/>
  <c r="L155" i="20"/>
  <c r="L125" i="20"/>
  <c r="W72" i="38"/>
  <c r="H127" i="21"/>
  <c r="N127" i="21" s="1"/>
  <c r="B127" i="25"/>
  <c r="J97" i="28"/>
  <c r="L97" i="28"/>
  <c r="H197" i="13"/>
  <c r="L197" i="13"/>
  <c r="E185" i="11"/>
  <c r="N130" i="9"/>
  <c r="T181" i="21"/>
  <c r="S181" i="21"/>
  <c r="W181" i="21" s="1"/>
  <c r="N182" i="23"/>
  <c r="J90" i="34"/>
  <c r="N90" i="34" s="1"/>
  <c r="C121" i="35"/>
  <c r="N95" i="37"/>
  <c r="N8" i="20"/>
  <c r="L118" i="20"/>
  <c r="J118" i="20"/>
  <c r="H118" i="20"/>
  <c r="N18" i="20"/>
  <c r="B137" i="20"/>
  <c r="E137" i="20" s="1"/>
  <c r="N54" i="20"/>
  <c r="U139" i="20"/>
  <c r="T139" i="20"/>
  <c r="S139" i="20"/>
  <c r="W139" i="20" s="1"/>
  <c r="H139" i="20"/>
  <c r="S148" i="20"/>
  <c r="T148" i="20"/>
  <c r="C116" i="20"/>
  <c r="E116" i="20" s="1"/>
  <c r="H182" i="12"/>
  <c r="L197" i="9"/>
  <c r="J193" i="22"/>
  <c r="N193" i="22" s="1"/>
  <c r="C92" i="38"/>
  <c r="U113" i="20"/>
  <c r="T113" i="20"/>
  <c r="S113" i="20"/>
  <c r="W113" i="20" s="1"/>
  <c r="B115" i="20"/>
  <c r="E115" i="20" s="1"/>
  <c r="D121" i="20"/>
  <c r="L124" i="20"/>
  <c r="J124" i="20"/>
  <c r="N124" i="20" s="1"/>
  <c r="C125" i="20"/>
  <c r="E125" i="20" s="1"/>
  <c r="B126" i="20"/>
  <c r="E126" i="20" s="1"/>
  <c r="L128" i="20"/>
  <c r="J128" i="20"/>
  <c r="N128" i="20" s="1"/>
  <c r="U131" i="20"/>
  <c r="T131" i="20"/>
  <c r="D135" i="20"/>
  <c r="B136" i="20"/>
  <c r="W138" i="20"/>
  <c r="D139" i="20"/>
  <c r="N60" i="20"/>
  <c r="L143" i="20"/>
  <c r="J143" i="20"/>
  <c r="H143" i="20"/>
  <c r="L151" i="20"/>
  <c r="C153" i="20"/>
  <c r="W114" i="20"/>
  <c r="J117" i="20"/>
  <c r="N117" i="20" s="1"/>
  <c r="L123" i="20"/>
  <c r="W126" i="20"/>
  <c r="H187" i="19"/>
  <c r="J187" i="19"/>
  <c r="L187" i="19"/>
  <c r="L182" i="12"/>
  <c r="B197" i="9"/>
  <c r="E197" i="9" s="1"/>
  <c r="H185" i="18"/>
  <c r="L95" i="29"/>
  <c r="J95" i="29"/>
  <c r="H95" i="29"/>
  <c r="N53" i="38"/>
  <c r="J91" i="32"/>
  <c r="N91" i="32" s="1"/>
  <c r="D119" i="20"/>
  <c r="E119" i="20" s="1"/>
  <c r="D123" i="20"/>
  <c r="L126" i="20"/>
  <c r="J126" i="20"/>
  <c r="C127" i="20"/>
  <c r="H133" i="20"/>
  <c r="C134" i="20"/>
  <c r="E134" i="20" s="1"/>
  <c r="L137" i="20"/>
  <c r="B138" i="20"/>
  <c r="C142" i="20"/>
  <c r="J145" i="20"/>
  <c r="L149" i="20"/>
  <c r="J149" i="20"/>
  <c r="N149" i="20" s="1"/>
  <c r="B150" i="20"/>
  <c r="N87" i="20"/>
  <c r="N89" i="20"/>
  <c r="L158" i="20"/>
  <c r="J158" i="20"/>
  <c r="H158" i="20"/>
  <c r="N158" i="20" s="1"/>
  <c r="L159" i="20"/>
  <c r="J159" i="20"/>
  <c r="N159" i="20" s="1"/>
  <c r="J115" i="20"/>
  <c r="N115" i="20" s="1"/>
  <c r="W116" i="20"/>
  <c r="H119" i="20"/>
  <c r="W124" i="20"/>
  <c r="J127" i="20"/>
  <c r="J137" i="20"/>
  <c r="N137" i="20" s="1"/>
  <c r="S142" i="20"/>
  <c r="E182" i="2"/>
  <c r="N130" i="13"/>
  <c r="H92" i="32"/>
  <c r="N92" i="32" s="1"/>
  <c r="L92" i="32"/>
  <c r="J92" i="32"/>
  <c r="W182" i="21"/>
  <c r="J122" i="35"/>
  <c r="L122" i="35"/>
  <c r="B145" i="26"/>
  <c r="E145" i="26" s="1"/>
  <c r="N80" i="26"/>
  <c r="U183" i="5"/>
  <c r="B193" i="15"/>
  <c r="E193" i="15" s="1"/>
  <c r="J182" i="12"/>
  <c r="H185" i="11"/>
  <c r="N185" i="11" s="1"/>
  <c r="H181" i="25"/>
  <c r="D202" i="10"/>
  <c r="N54" i="38"/>
  <c r="H92" i="38"/>
  <c r="B117" i="20"/>
  <c r="D127" i="20"/>
  <c r="B128" i="20"/>
  <c r="E128" i="20" s="1"/>
  <c r="L130" i="20"/>
  <c r="J130" i="20"/>
  <c r="C131" i="20"/>
  <c r="D134" i="20"/>
  <c r="U137" i="20"/>
  <c r="T137" i="20"/>
  <c r="S137" i="20"/>
  <c r="C138" i="20"/>
  <c r="L141" i="20"/>
  <c r="U145" i="20"/>
  <c r="T145" i="20"/>
  <c r="S145" i="20"/>
  <c r="W145" i="20" s="1"/>
  <c r="C150" i="20"/>
  <c r="B114" i="20"/>
  <c r="E114" i="20" s="1"/>
  <c r="J119" i="20"/>
  <c r="W131" i="20"/>
  <c r="J133" i="20"/>
  <c r="T142" i="20"/>
  <c r="S187" i="1"/>
  <c r="E186" i="11"/>
  <c r="H186" i="18"/>
  <c r="J186" i="18"/>
  <c r="J185" i="18"/>
  <c r="J181" i="25"/>
  <c r="L116" i="20"/>
  <c r="J116" i="20"/>
  <c r="H116" i="20"/>
  <c r="N116" i="20" s="1"/>
  <c r="C117" i="20"/>
  <c r="N16" i="20"/>
  <c r="B121" i="20"/>
  <c r="E121" i="20" s="1"/>
  <c r="U123" i="20"/>
  <c r="T123" i="20"/>
  <c r="S123" i="20"/>
  <c r="N30" i="20"/>
  <c r="H127" i="20"/>
  <c r="N44" i="20"/>
  <c r="H134" i="20"/>
  <c r="N134" i="20" s="1"/>
  <c r="B135" i="20"/>
  <c r="E135" i="20" s="1"/>
  <c r="D138" i="20"/>
  <c r="L146" i="20"/>
  <c r="J146" i="20"/>
  <c r="H146" i="20"/>
  <c r="B148" i="20"/>
  <c r="D150" i="20"/>
  <c r="E152" i="20"/>
  <c r="N101" i="20"/>
  <c r="W120" i="20"/>
  <c r="H123" i="20"/>
  <c r="H130" i="20"/>
  <c r="L133" i="20"/>
  <c r="J192" i="8"/>
  <c r="H192" i="8"/>
  <c r="N192" i="8" s="1"/>
  <c r="L192" i="8"/>
  <c r="N126" i="8"/>
  <c r="W87" i="33"/>
  <c r="E187" i="19"/>
  <c r="C202" i="10"/>
  <c r="E202" i="10" s="1"/>
  <c r="L120" i="20"/>
  <c r="J120" i="20"/>
  <c r="H120" i="20"/>
  <c r="N120" i="20" s="1"/>
  <c r="H131" i="20"/>
  <c r="N131" i="20" s="1"/>
  <c r="E132" i="20"/>
  <c r="U134" i="20"/>
  <c r="W134" i="20" s="1"/>
  <c r="T134" i="20"/>
  <c r="L138" i="20"/>
  <c r="J138" i="20"/>
  <c r="H138" i="20"/>
  <c r="N138" i="20" s="1"/>
  <c r="N63" i="20"/>
  <c r="E144" i="20"/>
  <c r="C148" i="20"/>
  <c r="N84" i="20"/>
  <c r="C152" i="20"/>
  <c r="B153" i="20"/>
  <c r="N86" i="20"/>
  <c r="H126" i="20"/>
  <c r="W130" i="20"/>
  <c r="W152" i="20"/>
  <c r="L186" i="18"/>
  <c r="L142" i="20"/>
  <c r="J142" i="20"/>
  <c r="H142" i="20"/>
  <c r="E143" i="20"/>
  <c r="L148" i="20"/>
  <c r="J148" i="20"/>
  <c r="H148" i="20"/>
  <c r="E149" i="20"/>
  <c r="B155" i="20"/>
  <c r="E155" i="20" s="1"/>
  <c r="E159" i="20"/>
  <c r="L145" i="20"/>
  <c r="J147" i="20"/>
  <c r="N147" i="20" s="1"/>
  <c r="B154" i="20"/>
  <c r="E154" i="20" s="1"/>
  <c r="J157" i="20"/>
  <c r="N157" i="20" s="1"/>
  <c r="W158" i="20"/>
  <c r="H188" i="1"/>
  <c r="W188" i="1"/>
  <c r="L188" i="1"/>
  <c r="H75" i="30"/>
  <c r="L75" i="30"/>
  <c r="D192" i="8"/>
  <c r="E192" i="8" s="1"/>
  <c r="D92" i="32"/>
  <c r="J161" i="20"/>
  <c r="L161" i="20"/>
  <c r="H161" i="20"/>
  <c r="B139" i="20"/>
  <c r="D141" i="20"/>
  <c r="E141" i="20" s="1"/>
  <c r="U143" i="20"/>
  <c r="T143" i="20"/>
  <c r="S143" i="20"/>
  <c r="B145" i="20"/>
  <c r="E145" i="20" s="1"/>
  <c r="C147" i="20"/>
  <c r="E147" i="20" s="1"/>
  <c r="U149" i="20"/>
  <c r="T149" i="20"/>
  <c r="S149" i="20"/>
  <c r="W149" i="20" s="1"/>
  <c r="D153" i="20"/>
  <c r="U155" i="20"/>
  <c r="T155" i="20"/>
  <c r="S155" i="20"/>
  <c r="W155" i="20" s="1"/>
  <c r="B157" i="20"/>
  <c r="E157" i="20" s="1"/>
  <c r="J139" i="20"/>
  <c r="H141" i="20"/>
  <c r="T144" i="20"/>
  <c r="W144" i="20" s="1"/>
  <c r="S146" i="20"/>
  <c r="W146" i="20" s="1"/>
  <c r="H151" i="20"/>
  <c r="S160" i="20"/>
  <c r="W160" i="20" s="1"/>
  <c r="L184" i="5"/>
  <c r="W184" i="5"/>
  <c r="J184" i="5"/>
  <c r="W75" i="30"/>
  <c r="D96" i="29"/>
  <c r="B183" i="12"/>
  <c r="E183" i="12" s="1"/>
  <c r="W88" i="33"/>
  <c r="N182" i="24"/>
  <c r="C161" i="20"/>
  <c r="E161" i="20" s="1"/>
  <c r="H96" i="37"/>
  <c r="J96" i="37"/>
  <c r="L145" i="26"/>
  <c r="C139" i="20"/>
  <c r="C145" i="20"/>
  <c r="D147" i="20"/>
  <c r="B151" i="20"/>
  <c r="C157" i="20"/>
  <c r="N96" i="20"/>
  <c r="L160" i="20"/>
  <c r="J160" i="20"/>
  <c r="H160" i="20"/>
  <c r="N160" i="20" s="1"/>
  <c r="J141" i="20"/>
  <c r="T146" i="20"/>
  <c r="J151" i="20"/>
  <c r="H153" i="20"/>
  <c r="N153" i="20" s="1"/>
  <c r="T160" i="20"/>
  <c r="N117" i="2"/>
  <c r="B189" i="3"/>
  <c r="E189" i="3" s="1"/>
  <c r="E184" i="5"/>
  <c r="N121" i="14"/>
  <c r="N120" i="11"/>
  <c r="W198" i="9"/>
  <c r="W187" i="19"/>
  <c r="J152" i="16"/>
  <c r="H152" i="16"/>
  <c r="L152" i="16"/>
  <c r="N81" i="26"/>
  <c r="W145" i="26"/>
  <c r="U141" i="20"/>
  <c r="T141" i="20"/>
  <c r="S141" i="20"/>
  <c r="W141" i="20" s="1"/>
  <c r="L144" i="20"/>
  <c r="J144" i="20"/>
  <c r="H144" i="20"/>
  <c r="N144" i="20" s="1"/>
  <c r="L150" i="20"/>
  <c r="J150" i="20"/>
  <c r="H150" i="20"/>
  <c r="C151" i="20"/>
  <c r="L156" i="20"/>
  <c r="J156" i="20"/>
  <c r="H156" i="20"/>
  <c r="D157" i="20"/>
  <c r="B140" i="20"/>
  <c r="E140" i="20" s="1"/>
  <c r="H145" i="20"/>
  <c r="J153" i="20"/>
  <c r="W189" i="3"/>
  <c r="B91" i="33"/>
  <c r="E91" i="33" s="1"/>
  <c r="W183" i="23"/>
  <c r="B182" i="25"/>
  <c r="E182" i="25" s="1"/>
  <c r="N117" i="25"/>
  <c r="L136" i="20"/>
  <c r="J136" i="20"/>
  <c r="H136" i="20"/>
  <c r="N136" i="20" s="1"/>
  <c r="N64" i="20"/>
  <c r="N66" i="20"/>
  <c r="D145" i="20"/>
  <c r="N78" i="20"/>
  <c r="D151" i="20"/>
  <c r="U153" i="20"/>
  <c r="T153" i="20"/>
  <c r="S153" i="20"/>
  <c r="W153" i="20" s="1"/>
  <c r="N90" i="20"/>
  <c r="N98" i="20"/>
  <c r="W136" i="20"/>
  <c r="H184" i="5"/>
  <c r="B194" i="15"/>
  <c r="E194" i="15" s="1"/>
  <c r="C92" i="32"/>
  <c r="J186" i="11"/>
  <c r="L186" i="11"/>
  <c r="H186" i="11"/>
  <c r="N186" i="11" s="1"/>
  <c r="C186" i="11"/>
  <c r="B198" i="9"/>
  <c r="E198" i="9" s="1"/>
  <c r="N132" i="9"/>
  <c r="D91" i="34"/>
  <c r="E91" i="34" s="1"/>
  <c r="H182" i="21"/>
  <c r="J182" i="21"/>
  <c r="L182" i="21"/>
  <c r="E182" i="21"/>
  <c r="D161" i="20"/>
  <c r="C186" i="18"/>
  <c r="W186" i="18"/>
  <c r="E152" i="16"/>
  <c r="N116" i="25"/>
  <c r="L98" i="28"/>
  <c r="J186" i="14"/>
  <c r="N186" i="14" s="1"/>
  <c r="J198" i="9"/>
  <c r="N198" i="9" s="1"/>
  <c r="J145" i="26"/>
  <c r="B186" i="18"/>
  <c r="E186" i="18" s="1"/>
  <c r="N100" i="6"/>
  <c r="L184" i="7"/>
  <c r="N51" i="31"/>
  <c r="N57" i="32"/>
  <c r="H184" i="7"/>
  <c r="N184" i="7" s="1"/>
  <c r="L115" i="6"/>
  <c r="H115" i="6"/>
  <c r="J115" i="6"/>
  <c r="N102" i="6"/>
  <c r="N107" i="6"/>
  <c r="N108" i="6"/>
  <c r="N106" i="6"/>
  <c r="N103" i="6"/>
  <c r="N110" i="6"/>
  <c r="N109" i="6"/>
  <c r="C129" i="6"/>
  <c r="J118" i="6"/>
  <c r="B127" i="6"/>
  <c r="E105" i="6"/>
  <c r="U121" i="6"/>
  <c r="N37" i="6"/>
  <c r="B126" i="6"/>
  <c r="C127" i="6"/>
  <c r="E102" i="6"/>
  <c r="E107" i="6"/>
  <c r="E104" i="6"/>
  <c r="N44" i="6"/>
  <c r="N80" i="6"/>
  <c r="B136" i="6"/>
  <c r="C126" i="6"/>
  <c r="B129" i="6"/>
  <c r="E110" i="6"/>
  <c r="E101" i="6"/>
  <c r="E111" i="6"/>
  <c r="E109" i="6"/>
  <c r="C124" i="6"/>
  <c r="C132" i="6"/>
  <c r="B135" i="6"/>
  <c r="D129" i="6"/>
  <c r="L128" i="6"/>
  <c r="J128" i="6"/>
  <c r="H128" i="6"/>
  <c r="N128" i="6" s="1"/>
  <c r="C112" i="6"/>
  <c r="B116" i="6"/>
  <c r="J127" i="6"/>
  <c r="L127" i="6"/>
  <c r="H127" i="6"/>
  <c r="D112" i="6"/>
  <c r="D128" i="6"/>
  <c r="B131" i="6"/>
  <c r="L126" i="6"/>
  <c r="C128" i="6"/>
  <c r="B132" i="6"/>
  <c r="B133" i="6"/>
  <c r="B134" i="6"/>
  <c r="U112" i="6"/>
  <c r="T112" i="6"/>
  <c r="S112" i="6"/>
  <c r="E108" i="6"/>
  <c r="B128" i="6"/>
  <c r="B130" i="6"/>
  <c r="L129" i="6"/>
  <c r="J129" i="6"/>
  <c r="H129" i="6"/>
  <c r="E103" i="6"/>
  <c r="E106" i="6"/>
  <c r="N64" i="28"/>
  <c r="N93" i="38"/>
  <c r="W96" i="29"/>
  <c r="N96" i="29"/>
  <c r="W98" i="28"/>
  <c r="J98" i="28"/>
  <c r="T92" i="38"/>
  <c r="W92" i="38" s="1"/>
  <c r="L92" i="38"/>
  <c r="B72" i="38"/>
  <c r="E72" i="38" s="1"/>
  <c r="D73" i="38"/>
  <c r="N14" i="38"/>
  <c r="D77" i="38"/>
  <c r="C80" i="38"/>
  <c r="D82" i="38"/>
  <c r="H77" i="38"/>
  <c r="N22" i="38"/>
  <c r="S91" i="38"/>
  <c r="W91" i="38" s="1"/>
  <c r="S83" i="38"/>
  <c r="W83" i="38" s="1"/>
  <c r="C76" i="38"/>
  <c r="N17" i="38"/>
  <c r="D81" i="38"/>
  <c r="N29" i="38"/>
  <c r="D84" i="38"/>
  <c r="N40" i="38"/>
  <c r="B88" i="38"/>
  <c r="C89" i="38"/>
  <c r="N49" i="38"/>
  <c r="J89" i="38"/>
  <c r="J83" i="38"/>
  <c r="J80" i="38"/>
  <c r="H74" i="38"/>
  <c r="U83" i="38"/>
  <c r="B79" i="38"/>
  <c r="H83" i="38"/>
  <c r="J85" i="38"/>
  <c r="N8" i="38"/>
  <c r="C74" i="38"/>
  <c r="N13" i="38"/>
  <c r="D79" i="38"/>
  <c r="N43" i="38"/>
  <c r="D90" i="38"/>
  <c r="J90" i="38"/>
  <c r="J87" i="38"/>
  <c r="N87" i="38" s="1"/>
  <c r="J84" i="38"/>
  <c r="L82" i="38"/>
  <c r="H76" i="38"/>
  <c r="J88" i="38"/>
  <c r="J73" i="38"/>
  <c r="L85" i="38"/>
  <c r="N52" i="38"/>
  <c r="N10" i="38"/>
  <c r="N16" i="38"/>
  <c r="N23" i="38"/>
  <c r="D85" i="38"/>
  <c r="N41" i="38"/>
  <c r="D88" i="38"/>
  <c r="H90" i="38"/>
  <c r="L86" i="38"/>
  <c r="L78" i="38"/>
  <c r="N57" i="38"/>
  <c r="B83" i="38"/>
  <c r="U84" i="38"/>
  <c r="C81" i="38"/>
  <c r="T84" i="38"/>
  <c r="B74" i="38"/>
  <c r="D78" i="38"/>
  <c r="E78" i="38" s="1"/>
  <c r="C82" i="38"/>
  <c r="N34" i="38"/>
  <c r="N48" i="38"/>
  <c r="D91" i="38"/>
  <c r="C90" i="38"/>
  <c r="L81" i="38"/>
  <c r="N81" i="38" s="1"/>
  <c r="N56" i="38"/>
  <c r="H82" i="38"/>
  <c r="N82" i="38" s="1"/>
  <c r="H79" i="38"/>
  <c r="N18" i="38"/>
  <c r="N30" i="38"/>
  <c r="B86" i="38"/>
  <c r="H89" i="38"/>
  <c r="H86" i="38"/>
  <c r="L80" i="38"/>
  <c r="B75" i="38"/>
  <c r="E75" i="38" s="1"/>
  <c r="J75" i="38"/>
  <c r="N75" i="38" s="1"/>
  <c r="J74" i="38"/>
  <c r="B73" i="38"/>
  <c r="D74" i="38"/>
  <c r="N33" i="38"/>
  <c r="N45" i="38"/>
  <c r="L84" i="38"/>
  <c r="L88" i="38"/>
  <c r="D86" i="38"/>
  <c r="N50" i="38"/>
  <c r="B90" i="38"/>
  <c r="L79" i="38"/>
  <c r="N28" i="38"/>
  <c r="B82" i="38"/>
  <c r="N11" i="38"/>
  <c r="N24" i="38"/>
  <c r="L90" i="38"/>
  <c r="B77" i="38"/>
  <c r="J78" i="38"/>
  <c r="B76" i="38"/>
  <c r="J76" i="38"/>
  <c r="N42" i="38"/>
  <c r="L89" i="38"/>
  <c r="T125" i="6"/>
  <c r="L134" i="6"/>
  <c r="J131" i="6"/>
  <c r="N66" i="6"/>
  <c r="S135" i="6"/>
  <c r="H136" i="6"/>
  <c r="N136" i="6" s="1"/>
  <c r="N43" i="6"/>
  <c r="C125" i="6"/>
  <c r="N68" i="6"/>
  <c r="L117" i="6"/>
  <c r="W122" i="6"/>
  <c r="W126" i="6"/>
  <c r="B122" i="6"/>
  <c r="D126" i="6"/>
  <c r="L130" i="6"/>
  <c r="C118" i="6"/>
  <c r="S121" i="6"/>
  <c r="D131" i="6"/>
  <c r="H122" i="6"/>
  <c r="C115" i="6"/>
  <c r="H124" i="6"/>
  <c r="S116" i="6"/>
  <c r="D116" i="6"/>
  <c r="D117" i="6"/>
  <c r="H134" i="6"/>
  <c r="J123" i="6"/>
  <c r="U116" i="6"/>
  <c r="C116" i="6"/>
  <c r="S132" i="6"/>
  <c r="N50" i="6"/>
  <c r="N61" i="6"/>
  <c r="L133" i="6"/>
  <c r="H126" i="6"/>
  <c r="J122" i="6"/>
  <c r="J136" i="6"/>
  <c r="N45" i="6"/>
  <c r="B117" i="6"/>
  <c r="L132" i="6"/>
  <c r="B114" i="6"/>
  <c r="N47" i="6"/>
  <c r="J121" i="6"/>
  <c r="J117" i="6"/>
  <c r="U123" i="6"/>
  <c r="N38" i="6"/>
  <c r="T115" i="6"/>
  <c r="N46" i="6"/>
  <c r="J134" i="6"/>
  <c r="D115" i="6"/>
  <c r="T117" i="6"/>
  <c r="N48" i="6"/>
  <c r="W133" i="6"/>
  <c r="W128" i="6"/>
  <c r="W118" i="6"/>
  <c r="J135" i="6"/>
  <c r="N90" i="6"/>
  <c r="U124" i="6"/>
  <c r="U117" i="6"/>
  <c r="W117" i="6" s="1"/>
  <c r="L131" i="6"/>
  <c r="J125" i="6"/>
  <c r="H121" i="6"/>
  <c r="W114" i="6"/>
  <c r="N89" i="6"/>
  <c r="N42" i="6"/>
  <c r="H132" i="6"/>
  <c r="D133" i="6"/>
  <c r="L124" i="6"/>
  <c r="L121" i="6"/>
  <c r="T124" i="6"/>
  <c r="U125" i="6"/>
  <c r="C131" i="6"/>
  <c r="J124" i="6"/>
  <c r="H117" i="6"/>
  <c r="N117" i="6" s="1"/>
  <c r="W130" i="6"/>
  <c r="W131" i="6"/>
  <c r="L122" i="6"/>
  <c r="C113" i="6"/>
  <c r="N40" i="6"/>
  <c r="D119" i="6"/>
  <c r="C130" i="6"/>
  <c r="L125" i="6"/>
  <c r="N36" i="6"/>
  <c r="C117" i="6"/>
  <c r="D118" i="6"/>
  <c r="B120" i="6"/>
  <c r="N70" i="6"/>
  <c r="H133" i="6"/>
  <c r="L123" i="6"/>
  <c r="H120" i="6"/>
  <c r="N120" i="6" s="1"/>
  <c r="L116" i="6"/>
  <c r="W136" i="6"/>
  <c r="D134" i="6"/>
  <c r="N84" i="6"/>
  <c r="C134" i="6"/>
  <c r="N81" i="6"/>
  <c r="N79" i="6"/>
  <c r="N78" i="6"/>
  <c r="N74" i="6"/>
  <c r="N71" i="6"/>
  <c r="D125" i="6"/>
  <c r="B121" i="6"/>
  <c r="C121" i="6"/>
  <c r="D122" i="6"/>
  <c r="D123" i="6"/>
  <c r="B124" i="6"/>
  <c r="N65" i="6"/>
  <c r="D130" i="6"/>
  <c r="N76" i="6"/>
  <c r="D132" i="6"/>
  <c r="N75" i="6"/>
  <c r="N69" i="6"/>
  <c r="N67" i="6"/>
  <c r="B125" i="6"/>
  <c r="N62" i="6"/>
  <c r="D124" i="6"/>
  <c r="N60" i="6"/>
  <c r="N59" i="6"/>
  <c r="B123" i="6"/>
  <c r="C123" i="6"/>
  <c r="C122" i="6"/>
  <c r="N57" i="6"/>
  <c r="N55" i="6"/>
  <c r="D121" i="6"/>
  <c r="S120" i="6"/>
  <c r="J126" i="6"/>
  <c r="S123" i="6"/>
  <c r="S113" i="6"/>
  <c r="B119" i="6"/>
  <c r="N64" i="6"/>
  <c r="S115" i="6"/>
  <c r="D113" i="6"/>
  <c r="D114" i="6"/>
  <c r="N51" i="6"/>
  <c r="N53" i="6"/>
  <c r="N72" i="6"/>
  <c r="C133" i="6"/>
  <c r="H125" i="6"/>
  <c r="N125" i="6" s="1"/>
  <c r="H119" i="6"/>
  <c r="J116" i="6"/>
  <c r="H123" i="6"/>
  <c r="L120" i="6"/>
  <c r="C136" i="6"/>
  <c r="N56" i="6"/>
  <c r="N41" i="6"/>
  <c r="N52" i="6"/>
  <c r="N58" i="6"/>
  <c r="D135" i="6"/>
  <c r="L136" i="6"/>
  <c r="H131" i="6"/>
  <c r="H116" i="6"/>
  <c r="J120" i="6"/>
  <c r="U113" i="6"/>
  <c r="J132" i="6"/>
  <c r="U120" i="6"/>
  <c r="U132" i="6"/>
  <c r="N49" i="6"/>
  <c r="H118" i="6"/>
  <c r="D136" i="6"/>
  <c r="C120" i="6"/>
  <c r="W134" i="6"/>
  <c r="W129" i="6"/>
  <c r="N88" i="6"/>
  <c r="N54" i="6"/>
  <c r="N63" i="6"/>
  <c r="B115" i="6"/>
  <c r="N77" i="6"/>
  <c r="C119" i="6"/>
  <c r="T119" i="6"/>
  <c r="C135" i="6"/>
  <c r="H135" i="6"/>
  <c r="J130" i="6"/>
  <c r="H130" i="6"/>
  <c r="U119" i="6"/>
  <c r="T135" i="6"/>
  <c r="N87" i="6"/>
  <c r="N39" i="6"/>
  <c r="N86" i="6"/>
  <c r="L135" i="6"/>
  <c r="J133" i="6"/>
  <c r="N85" i="6"/>
  <c r="N83" i="6"/>
  <c r="N82" i="6"/>
  <c r="N73" i="6"/>
  <c r="J119" i="6"/>
  <c r="L119" i="6"/>
  <c r="D120" i="6"/>
  <c r="B118" i="6"/>
  <c r="L118" i="6"/>
  <c r="C114" i="6"/>
  <c r="N85" i="28" l="1"/>
  <c r="E89" i="28"/>
  <c r="E91" i="28"/>
  <c r="N86" i="28"/>
  <c r="N89" i="28"/>
  <c r="E97" i="28"/>
  <c r="E81" i="28"/>
  <c r="E80" i="28"/>
  <c r="E89" i="38"/>
  <c r="E90" i="38"/>
  <c r="E85" i="38"/>
  <c r="E79" i="38"/>
  <c r="N84" i="38"/>
  <c r="N90" i="38"/>
  <c r="E83" i="38"/>
  <c r="E80" i="38"/>
  <c r="E76" i="38"/>
  <c r="E74" i="38"/>
  <c r="N73" i="38"/>
  <c r="E91" i="38"/>
  <c r="E84" i="38"/>
  <c r="N77" i="38"/>
  <c r="N80" i="38"/>
  <c r="N88" i="33"/>
  <c r="N80" i="33"/>
  <c r="N86" i="33"/>
  <c r="E77" i="33"/>
  <c r="W95" i="29"/>
  <c r="N78" i="29"/>
  <c r="N89" i="29"/>
  <c r="N85" i="29"/>
  <c r="N72" i="29"/>
  <c r="E78" i="29"/>
  <c r="E96" i="29"/>
  <c r="E93" i="29"/>
  <c r="N162" i="3"/>
  <c r="E150" i="3"/>
  <c r="E164" i="3"/>
  <c r="E167" i="3"/>
  <c r="E180" i="3"/>
  <c r="N185" i="3"/>
  <c r="N143" i="3"/>
  <c r="E186" i="3"/>
  <c r="N146" i="3"/>
  <c r="E157" i="3"/>
  <c r="N188" i="3"/>
  <c r="N182" i="3"/>
  <c r="N184" i="3"/>
  <c r="N161" i="3"/>
  <c r="E170" i="3"/>
  <c r="N170" i="3"/>
  <c r="N153" i="3"/>
  <c r="N178" i="3"/>
  <c r="E157" i="1"/>
  <c r="N153" i="1"/>
  <c r="N150" i="1"/>
  <c r="N157" i="1"/>
  <c r="E173" i="1"/>
  <c r="N173" i="1"/>
  <c r="E165" i="1"/>
  <c r="E179" i="1"/>
  <c r="E186" i="1"/>
  <c r="N135" i="1"/>
  <c r="N166" i="1"/>
  <c r="E152" i="1"/>
  <c r="N149" i="1"/>
  <c r="E184" i="1"/>
  <c r="E188" i="1"/>
  <c r="N183" i="1"/>
  <c r="N155" i="1"/>
  <c r="N179" i="1"/>
  <c r="E138" i="1"/>
  <c r="E180" i="1"/>
  <c r="N144" i="1"/>
  <c r="N185" i="1"/>
  <c r="E163" i="1"/>
  <c r="N168" i="1"/>
  <c r="E139" i="1"/>
  <c r="E177" i="1"/>
  <c r="E155" i="1"/>
  <c r="N140" i="1"/>
  <c r="N188" i="1"/>
  <c r="N154" i="1"/>
  <c r="N165" i="1"/>
  <c r="E149" i="1"/>
  <c r="E144" i="1"/>
  <c r="N161" i="1"/>
  <c r="N158" i="1"/>
  <c r="E142" i="1"/>
  <c r="N152" i="1"/>
  <c r="E150" i="1"/>
  <c r="E170" i="1"/>
  <c r="N178" i="1"/>
  <c r="N136" i="1"/>
  <c r="E161" i="1"/>
  <c r="N143" i="1"/>
  <c r="N176" i="1"/>
  <c r="N159" i="1"/>
  <c r="E169" i="1"/>
  <c r="E173" i="13"/>
  <c r="E151" i="20"/>
  <c r="N185" i="18"/>
  <c r="W70" i="34"/>
  <c r="N168" i="21"/>
  <c r="N183" i="14"/>
  <c r="N80" i="34"/>
  <c r="N142" i="7"/>
  <c r="N172" i="19"/>
  <c r="N83" i="38"/>
  <c r="E77" i="38"/>
  <c r="N74" i="38"/>
  <c r="E81" i="38"/>
  <c r="E88" i="38"/>
  <c r="N156" i="20"/>
  <c r="N152" i="16"/>
  <c r="N141" i="20"/>
  <c r="N142" i="20"/>
  <c r="E153" i="20"/>
  <c r="N130" i="20"/>
  <c r="N146" i="20"/>
  <c r="E150" i="20"/>
  <c r="N95" i="29"/>
  <c r="N187" i="19"/>
  <c r="N182" i="12"/>
  <c r="W84" i="38"/>
  <c r="N88" i="38"/>
  <c r="N92" i="38"/>
  <c r="E127" i="6"/>
  <c r="N115" i="6"/>
  <c r="N96" i="37"/>
  <c r="N161" i="20"/>
  <c r="N123" i="20"/>
  <c r="W123" i="20"/>
  <c r="N181" i="25"/>
  <c r="W142" i="20"/>
  <c r="N129" i="20"/>
  <c r="N132" i="20"/>
  <c r="W128" i="23"/>
  <c r="N143" i="9"/>
  <c r="W94" i="29"/>
  <c r="N81" i="33"/>
  <c r="N69" i="31"/>
  <c r="E169" i="25"/>
  <c r="N145" i="23"/>
  <c r="W169" i="25"/>
  <c r="W169" i="23"/>
  <c r="N150" i="16"/>
  <c r="W136" i="19"/>
  <c r="E166" i="19"/>
  <c r="N151" i="19"/>
  <c r="N160" i="9"/>
  <c r="W173" i="24"/>
  <c r="W170" i="19"/>
  <c r="N155" i="8"/>
  <c r="N171" i="8"/>
  <c r="N134" i="24"/>
  <c r="N87" i="28"/>
  <c r="N180" i="8"/>
  <c r="N188" i="8"/>
  <c r="W183" i="11"/>
  <c r="N150" i="8"/>
  <c r="N151" i="8"/>
  <c r="N170" i="8"/>
  <c r="N190" i="8"/>
  <c r="N75" i="28"/>
  <c r="E76" i="32"/>
  <c r="W188" i="8"/>
  <c r="E146" i="5"/>
  <c r="E182" i="13"/>
  <c r="N173" i="8"/>
  <c r="N80" i="31"/>
  <c r="N153" i="14"/>
  <c r="N177" i="7"/>
  <c r="W178" i="15"/>
  <c r="N80" i="29"/>
  <c r="E132" i="5"/>
  <c r="E173" i="3"/>
  <c r="N169" i="9"/>
  <c r="E179" i="2"/>
  <c r="N87" i="33"/>
  <c r="E128" i="23"/>
  <c r="L127" i="24"/>
  <c r="J127" i="24"/>
  <c r="N170" i="17"/>
  <c r="N94" i="28"/>
  <c r="N153" i="10"/>
  <c r="N165" i="8"/>
  <c r="N150" i="20"/>
  <c r="W143" i="20"/>
  <c r="N148" i="20"/>
  <c r="W137" i="20"/>
  <c r="W148" i="20"/>
  <c r="N197" i="13"/>
  <c r="N155" i="20"/>
  <c r="W128" i="20"/>
  <c r="N183" i="17"/>
  <c r="E132" i="19"/>
  <c r="N74" i="31"/>
  <c r="N129" i="5"/>
  <c r="W86" i="34"/>
  <c r="W175" i="19"/>
  <c r="N74" i="28"/>
  <c r="W176" i="23"/>
  <c r="W161" i="25"/>
  <c r="N146" i="24"/>
  <c r="N174" i="17"/>
  <c r="W153" i="17"/>
  <c r="N196" i="9"/>
  <c r="N176" i="21"/>
  <c r="E155" i="17"/>
  <c r="N139" i="8"/>
  <c r="N161" i="5"/>
  <c r="N180" i="5"/>
  <c r="N162" i="8"/>
  <c r="N174" i="8"/>
  <c r="E143" i="8"/>
  <c r="N147" i="7"/>
  <c r="W179" i="8"/>
  <c r="E179" i="8"/>
  <c r="N193" i="9"/>
  <c r="E160" i="5"/>
  <c r="W153" i="11"/>
  <c r="N78" i="32"/>
  <c r="N169" i="8"/>
  <c r="N177" i="8"/>
  <c r="W176" i="8"/>
  <c r="N173" i="3"/>
  <c r="N182" i="8"/>
  <c r="W180" i="9"/>
  <c r="N161" i="15"/>
  <c r="N182" i="21"/>
  <c r="N145" i="20"/>
  <c r="N151" i="20"/>
  <c r="N186" i="18"/>
  <c r="E117" i="20"/>
  <c r="N119" i="20"/>
  <c r="E138" i="20"/>
  <c r="E151" i="16"/>
  <c r="W156" i="23"/>
  <c r="W131" i="17"/>
  <c r="W147" i="25"/>
  <c r="N148" i="21"/>
  <c r="N200" i="10"/>
  <c r="W171" i="9"/>
  <c r="N90" i="32"/>
  <c r="N186" i="1"/>
  <c r="N146" i="8"/>
  <c r="N174" i="1"/>
  <c r="N184" i="8"/>
  <c r="N146" i="21"/>
  <c r="N141" i="8"/>
  <c r="N167" i="1"/>
  <c r="W168" i="8"/>
  <c r="N70" i="30"/>
  <c r="N158" i="8"/>
  <c r="N154" i="11"/>
  <c r="N189" i="8"/>
  <c r="E185" i="13"/>
  <c r="N183" i="15"/>
  <c r="E156" i="12"/>
  <c r="N83" i="29"/>
  <c r="W148" i="23"/>
  <c r="W167" i="8"/>
  <c r="N133" i="19"/>
  <c r="N126" i="20"/>
  <c r="E148" i="20"/>
  <c r="E136" i="20"/>
  <c r="N139" i="20"/>
  <c r="N118" i="20"/>
  <c r="N97" i="28"/>
  <c r="N154" i="20"/>
  <c r="N122" i="20"/>
  <c r="N186" i="19"/>
  <c r="N151" i="16"/>
  <c r="E131" i="20"/>
  <c r="N114" i="20"/>
  <c r="E142" i="20"/>
  <c r="N125" i="20"/>
  <c r="N65" i="31"/>
  <c r="N142" i="25"/>
  <c r="W164" i="23"/>
  <c r="E147" i="25"/>
  <c r="W143" i="17"/>
  <c r="E196" i="9"/>
  <c r="N181" i="1"/>
  <c r="N149" i="8"/>
  <c r="N187" i="8"/>
  <c r="E153" i="8"/>
  <c r="N175" i="15"/>
  <c r="N177" i="1"/>
  <c r="E178" i="15"/>
  <c r="E182" i="3"/>
  <c r="W132" i="19"/>
  <c r="N151" i="14"/>
  <c r="W163" i="21"/>
  <c r="N71" i="32"/>
  <c r="N184" i="5"/>
  <c r="N75" i="30"/>
  <c r="N127" i="20"/>
  <c r="E127" i="25"/>
  <c r="N202" i="10"/>
  <c r="W127" i="21"/>
  <c r="E151" i="24"/>
  <c r="E146" i="1"/>
  <c r="N162" i="1"/>
  <c r="N139" i="7"/>
  <c r="E139" i="21"/>
  <c r="W173" i="8"/>
  <c r="W177" i="8"/>
  <c r="N175" i="12"/>
  <c r="W171" i="8"/>
  <c r="N71" i="34"/>
  <c r="N164" i="1"/>
  <c r="W183" i="8"/>
  <c r="W175" i="8"/>
  <c r="N153" i="11"/>
  <c r="E186" i="13"/>
  <c r="N145" i="19"/>
  <c r="E188" i="8"/>
  <c r="N139" i="1"/>
  <c r="E176" i="8"/>
  <c r="N169" i="1"/>
  <c r="N154" i="19"/>
  <c r="N182" i="15"/>
  <c r="N64" i="30"/>
  <c r="N156" i="1"/>
  <c r="N172" i="3"/>
  <c r="N79" i="33"/>
  <c r="N83" i="37"/>
  <c r="N153" i="8"/>
  <c r="N163" i="1"/>
  <c r="N85" i="38"/>
  <c r="E139" i="20"/>
  <c r="N133" i="20"/>
  <c r="N143" i="20"/>
  <c r="E121" i="35"/>
  <c r="H127" i="24"/>
  <c r="N127" i="24" s="1"/>
  <c r="N152" i="20"/>
  <c r="N197" i="9"/>
  <c r="N128" i="12"/>
  <c r="E127" i="24"/>
  <c r="E128" i="12"/>
  <c r="N132" i="19"/>
  <c r="W165" i="25"/>
  <c r="N108" i="26"/>
  <c r="E175" i="19"/>
  <c r="W131" i="24"/>
  <c r="N79" i="28"/>
  <c r="N167" i="8"/>
  <c r="N134" i="1"/>
  <c r="N136" i="7"/>
  <c r="N168" i="8"/>
  <c r="E187" i="8"/>
  <c r="N161" i="8"/>
  <c r="E153" i="11"/>
  <c r="N174" i="7"/>
  <c r="W156" i="12"/>
  <c r="N116" i="6"/>
  <c r="N118" i="6"/>
  <c r="N131" i="6"/>
  <c r="N121" i="6"/>
  <c r="N133" i="6"/>
  <c r="N124" i="6"/>
  <c r="N130" i="6"/>
  <c r="N123" i="6"/>
  <c r="N122" i="6"/>
  <c r="N129" i="6"/>
  <c r="N132" i="6"/>
  <c r="N127" i="6"/>
  <c r="N135" i="6"/>
  <c r="N119" i="6"/>
  <c r="N126" i="6"/>
  <c r="N134" i="6"/>
  <c r="W121" i="6"/>
  <c r="W125" i="6"/>
  <c r="W112" i="6"/>
  <c r="E112" i="6"/>
  <c r="W135" i="6"/>
  <c r="E117" i="6"/>
  <c r="N98" i="28"/>
  <c r="E86" i="38"/>
  <c r="N78" i="38"/>
  <c r="E73" i="38"/>
  <c r="E82" i="38"/>
  <c r="N86" i="38"/>
  <c r="N76" i="38"/>
  <c r="N89" i="38"/>
  <c r="N79" i="38"/>
  <c r="W119" i="6"/>
  <c r="W116" i="6"/>
  <c r="W115" i="6"/>
  <c r="E116" i="6"/>
  <c r="E125" i="6"/>
  <c r="E115" i="6"/>
  <c r="W120" i="6"/>
  <c r="W124" i="6"/>
  <c r="W123" i="6"/>
  <c r="E134" i="6"/>
  <c r="W132" i="6"/>
  <c r="E118" i="6"/>
  <c r="E121" i="6"/>
  <c r="E131" i="6"/>
  <c r="E113" i="6"/>
  <c r="E130" i="6"/>
  <c r="E133" i="6"/>
  <c r="E124" i="6"/>
  <c r="E122" i="6"/>
  <c r="E123" i="6"/>
  <c r="E132" i="6"/>
  <c r="E129" i="6"/>
  <c r="E128" i="6"/>
  <c r="E126" i="6"/>
  <c r="E114" i="6"/>
  <c r="E120" i="6"/>
  <c r="E136" i="6"/>
  <c r="E119" i="6"/>
  <c r="E135" i="6"/>
  <c r="W113" i="6"/>
</calcChain>
</file>

<file path=xl/comments1.xml><?xml version="1.0" encoding="utf-8"?>
<comments xmlns="http://schemas.openxmlformats.org/spreadsheetml/2006/main">
  <authors>
    <author>David Weisstanner</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List>
</comments>
</file>

<file path=xl/comments10.xml><?xml version="1.0" encoding="utf-8"?>
<comments xmlns="http://schemas.openxmlformats.org/spreadsheetml/2006/main">
  <authors>
    <author>David Weisstanner</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 ref="F7" authorId="0" shapeId="0">
      <text>
        <r>
          <rPr>
            <sz val="9"/>
            <color indexed="81"/>
            <rFont val="Tahoma"/>
            <family val="2"/>
          </rPr>
          <t xml:space="preserve">Independence from the U.S.S.R. was confirmed on 20 August 1991. After that, the next parliamentary elections were held on 20 September 1992.
</t>
        </r>
      </text>
    </comment>
  </commentList>
</comments>
</file>

<file path=xl/comments11.xml><?xml version="1.0" encoding="utf-8"?>
<comments xmlns="http://schemas.openxmlformats.org/spreadsheetml/2006/main">
  <authors>
    <author>David Weisstanner</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 ref="F18" authorId="0" shapeId="0">
      <text>
        <r>
          <rPr>
            <sz val="9"/>
            <color indexed="81"/>
            <rFont val="Tahoma"/>
            <family val="2"/>
          </rPr>
          <t>"Mr Virolainen, Parliamentary leader of KESK, succeeded 11.09.64 to replace the Non-Party government by a government supported by a Parliamentary majority" (Woldendorp et al. 2000: 190)</t>
        </r>
      </text>
    </comment>
  </commentList>
</comments>
</file>

<file path=xl/comments12.xml><?xml version="1.0" encoding="utf-8"?>
<comments xmlns="http://schemas.openxmlformats.org/spreadsheetml/2006/main">
  <authors>
    <author>David Weisstanner</author>
    <author>david.weisstanner</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 ref="AK41" authorId="0" shapeId="0">
      <text>
        <r>
          <rPr>
            <sz val="9"/>
            <color indexed="81"/>
            <rFont val="Tahoma"/>
            <family val="2"/>
          </rPr>
          <t>1973 not in CPDS I, won 1.7% votes and 11/473=2.3% seats</t>
        </r>
      </text>
    </comment>
    <comment ref="G116" authorId="1" shapeId="0">
      <text>
        <r>
          <rPr>
            <sz val="8"/>
            <color indexed="81"/>
            <rFont val="Tahoma"/>
            <family val="2"/>
          </rPr>
          <t>Ministers</t>
        </r>
        <r>
          <rPr>
            <sz val="8"/>
            <color indexed="81"/>
            <rFont val="Tahoma"/>
            <family val="2"/>
          </rPr>
          <t xml:space="preserve"> Chr. Albanel und Chr. Lagarde classified as UMP instead of as independents from here on in the EJPR report (Cauters 2010: 972)</t>
        </r>
      </text>
    </comment>
  </commentList>
</comments>
</file>

<file path=xl/comments13.xml><?xml version="1.0" encoding="utf-8"?>
<comments xmlns="http://schemas.openxmlformats.org/spreadsheetml/2006/main">
  <authors>
    <author>David Weisstanner</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 ref="H71" authorId="0" shapeId="0">
      <text>
        <r>
          <rPr>
            <sz val="9"/>
            <color indexed="81"/>
            <rFont val="Tahoma"/>
            <family val="2"/>
          </rPr>
          <t>new ministry (postal and telecommunication)</t>
        </r>
      </text>
    </comment>
    <comment ref="F73" authorId="0" shapeId="0">
      <text>
        <r>
          <rPr>
            <sz val="9"/>
            <color indexed="81"/>
            <rFont val="Tahoma"/>
            <family val="2"/>
          </rPr>
          <t>Reason for termination is re-unification of Germany and subsequent increase in number of MPs from 519 to 663, and the inclusion of 5 ministers from the new eastern Länder in the Federal government. (Woldendorp et al. 2000: 228)</t>
        </r>
      </text>
    </comment>
  </commentList>
</comments>
</file>

<file path=xl/comments14.xml><?xml version="1.0" encoding="utf-8"?>
<comments xmlns="http://schemas.openxmlformats.org/spreadsheetml/2006/main">
  <authors>
    <author>David Weisstanner</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 ref="F24" authorId="0" shapeId="0">
      <text>
        <r>
          <rPr>
            <sz val="9"/>
            <color indexed="81"/>
            <rFont val="Tahoma"/>
            <family val="2"/>
          </rPr>
          <t>Athanasiadis failed to receive a vote of confidence in Parliament, after which the CU split in two.</t>
        </r>
      </text>
    </comment>
    <comment ref="AC25" authorId="0" shapeId="0">
      <text>
        <r>
          <rPr>
            <sz val="9"/>
            <color indexed="81"/>
            <rFont val="Tahoma"/>
            <family val="2"/>
          </rPr>
          <t>see Woldendorp et al. (2000: 239). For the 1964 elections, ERE and KP formed an electoral alliance. The combined vote and seat shares are entered under the label conserv1 in the CPDS, since ERE gained more than 75% of the alliance's seat.</t>
        </r>
      </text>
    </comment>
    <comment ref="AG25" authorId="0" shapeId="0">
      <text>
        <r>
          <rPr>
            <sz val="9"/>
            <color indexed="81"/>
            <rFont val="Tahoma"/>
            <family val="2"/>
          </rPr>
          <t>see Woldendorp et al. (2000: 239). For the 1964 elections, ERE and KP formed an electoral alliance. The combined vote and seat shares are entered under the label conserv1 in the CPDS, since ERE gained more than 75% of the alliance's seat.</t>
        </r>
      </text>
    </comment>
    <comment ref="F30" authorId="0" shapeId="0">
      <text>
        <r>
          <rPr>
            <sz val="9"/>
            <color indexed="81"/>
            <rFont val="Tahoma"/>
            <family val="2"/>
          </rPr>
          <t>Military coup on 21 April 1967.</t>
        </r>
      </text>
    </comment>
    <comment ref="F44" authorId="0" shapeId="0">
      <text>
        <r>
          <rPr>
            <sz val="9"/>
            <color indexed="81"/>
            <rFont val="Tahoma"/>
            <family val="2"/>
          </rPr>
          <t>Reason for termination of previous government is military coup on 21 April 1967</t>
        </r>
      </text>
    </comment>
    <comment ref="G44" authorId="0" shapeId="0">
      <text>
        <r>
          <rPr>
            <sz val="9"/>
            <color indexed="81"/>
            <rFont val="Tahoma"/>
            <family val="2"/>
          </rPr>
          <t>The cabinet composition was: 7 ERE, 5 CU and 7 independents (Woldendorp et al. 2000: 241-257). Since the last parliamentary election was a decade ago and parliament had been controlled by the military junta, we did not include any parliamentary support to the transition government Karamanlis VI and classified it as "non-partisan".</t>
        </r>
      </text>
    </comment>
    <comment ref="S44" authorId="0" shapeId="0">
      <text>
        <r>
          <rPr>
            <sz val="9"/>
            <color indexed="81"/>
            <rFont val="Tahoma"/>
            <family val="2"/>
          </rPr>
          <t>First civilian transitional government to restore parliamentary democracy. Main task is to organise elections (Woldendorp et al. 2000: 240)</t>
        </r>
      </text>
    </comment>
  </commentList>
</comments>
</file>

<file path=xl/comments15.xml><?xml version="1.0" encoding="utf-8"?>
<comments xmlns="http://schemas.openxmlformats.org/spreadsheetml/2006/main">
  <authors>
    <author>David Weisstanner</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 ref="F7" authorId="0" shapeId="0">
      <text>
        <r>
          <rPr>
            <sz val="9"/>
            <color indexed="81"/>
            <rFont val="Tahoma"/>
            <family val="2"/>
          </rPr>
          <t>First post-communist government based on free elections held on 25 March (first round) and 8 April 1990.</t>
        </r>
      </text>
    </comment>
  </commentList>
</comments>
</file>

<file path=xl/comments16.xml><?xml version="1.0" encoding="utf-8"?>
<comments xmlns="http://schemas.openxmlformats.org/spreadsheetml/2006/main">
  <authors>
    <author>David Weisstanner</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List>
</comments>
</file>

<file path=xl/comments17.xml><?xml version="1.0" encoding="utf-8"?>
<comments xmlns="http://schemas.openxmlformats.org/spreadsheetml/2006/main">
  <authors>
    <author>David Weisstanner</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List>
</comments>
</file>

<file path=xl/comments18.xml><?xml version="1.0" encoding="utf-8"?>
<comments xmlns="http://schemas.openxmlformats.org/spreadsheetml/2006/main">
  <authors>
    <author>David Weisstanner</author>
    <author>Knöpfel, Laura (IPW)</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 ref="Z93" authorId="1" shapeId="0">
      <text>
        <r>
          <rPr>
            <b/>
            <sz val="9"/>
            <color indexed="81"/>
            <rFont val="Tahoma"/>
            <family val="2"/>
          </rPr>
          <t>E</t>
        </r>
        <r>
          <rPr>
            <sz val="9"/>
            <color indexed="81"/>
            <rFont val="Tahoma"/>
            <family val="2"/>
          </rPr>
          <t>lectoral alliance between Italian Popular Party (PPI) and Democratic Union (UD)</t>
        </r>
      </text>
    </comment>
    <comment ref="AD93" authorId="1" shapeId="0">
      <text>
        <r>
          <rPr>
            <sz val="9"/>
            <color indexed="81"/>
            <rFont val="Tahoma"/>
            <family val="2"/>
          </rPr>
          <t>Electoral alliance between Italian Popular Party (PPI) and Democratic Union (UD)</t>
        </r>
      </text>
    </comment>
  </commentList>
</comments>
</file>

<file path=xl/comments19.xml><?xml version="1.0" encoding="utf-8"?>
<comments xmlns="http://schemas.openxmlformats.org/spreadsheetml/2006/main">
  <authors>
    <author>David Weisstanner</author>
    <author>Knöpfel, Laura (IPW)</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 ref="F59" authorId="1" shapeId="0">
      <text>
        <r>
          <rPr>
            <sz val="9"/>
            <color indexed="81"/>
            <rFont val="Tahoma"/>
            <family val="2"/>
          </rPr>
          <t>Re-election Nakasone as chairman LDP and hence PM</t>
        </r>
      </text>
    </comment>
    <comment ref="C86" authorId="1" shapeId="0">
      <text>
        <r>
          <rPr>
            <sz val="9"/>
            <color indexed="81"/>
            <rFont val="Tahoma"/>
            <family val="2"/>
          </rPr>
          <t xml:space="preserve">Coalition cabinet with only LDP ministers in it
</t>
        </r>
      </text>
    </comment>
    <comment ref="S86" authorId="0" shapeId="0">
      <text>
        <r>
          <rPr>
            <sz val="9"/>
            <color indexed="81"/>
            <rFont val="Tahoma"/>
            <family val="2"/>
          </rPr>
          <t>Coalition cabinet with only LDP ministers in it</t>
        </r>
      </text>
    </comment>
    <comment ref="AC92" authorId="0" shapeId="0">
      <text>
        <r>
          <rPr>
            <sz val="9"/>
            <color indexed="81"/>
            <rFont val="Tahoma"/>
            <family val="2"/>
          </rPr>
          <t>LP and CGP are successor parties of the New Frontier Party (NFP) which split up in 1997. In the 1996 election, they participated as NFP and did not get any seats on their own. The seats shares of the successor parties are from EJPR (Kato 2000).</t>
        </r>
      </text>
    </comment>
    <comment ref="AG93" authorId="0" shapeId="0">
      <text>
        <r>
          <rPr>
            <sz val="9"/>
            <color indexed="81"/>
            <rFont val="Tahoma"/>
            <family val="2"/>
          </rPr>
          <t>LP and CGP are successor parties of the New Frontier Party (NFP) which split up in 1997. In the 1996 election, they participated as NFP and did not get any seats on their own. The seats shares of the successor parties are from EJPR (Kato 2000).</t>
        </r>
      </text>
    </comment>
  </commentList>
</comments>
</file>

<file path=xl/comments2.xml><?xml version="1.0" encoding="utf-8"?>
<comments xmlns="http://schemas.openxmlformats.org/spreadsheetml/2006/main">
  <authors>
    <author>David Weisstanner</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List>
</comments>
</file>

<file path=xl/comments20.xml><?xml version="1.0" encoding="utf-8"?>
<comments xmlns="http://schemas.openxmlformats.org/spreadsheetml/2006/main">
  <authors>
    <author>David Weisstanner</author>
    <author>Knöpfel, Laura Dominique (IPW)</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 ref="F7" authorId="0" shapeId="0">
      <text>
        <r>
          <rPr>
            <sz val="9"/>
            <color indexed="81"/>
            <rFont val="Tahoma"/>
            <family val="2"/>
          </rPr>
          <t>First post-communist government based on the first free elections after independence from the Sovjet Union, held on 6 June 1993.</t>
        </r>
      </text>
    </comment>
    <comment ref="Z9" authorId="1" shapeId="0">
      <text>
        <r>
          <rPr>
            <sz val="9"/>
            <color indexed="81"/>
            <rFont val="Tahoma"/>
            <family val="2"/>
          </rPr>
          <t xml:space="preserve">Formed during legislation (breaking away from Harmony for Latvia), hence did not get any seats on their own in the 1993 election.
</t>
        </r>
      </text>
    </comment>
    <comment ref="AK11" authorId="0" shapeId="0">
      <text>
        <r>
          <rPr>
            <sz val="9"/>
            <color indexed="81"/>
            <rFont val="Tahoma"/>
            <family val="2"/>
          </rPr>
          <t>Formed an electoral alliance with the Latvian Green Party in 1995. The seat share entered is the total share of the alliance (allia1).</t>
        </r>
      </text>
    </comment>
    <comment ref="AO44" authorId="0" shapeId="0">
      <text>
        <r>
          <rPr>
            <sz val="9"/>
            <color indexed="81"/>
            <rFont val="Tahoma"/>
            <family val="2"/>
          </rPr>
          <t>Founded in 2008, hence did not get any seats in the 2006 election.</t>
        </r>
      </text>
    </comment>
  </commentList>
</comments>
</file>

<file path=xl/comments21.xml><?xml version="1.0" encoding="utf-8"?>
<comments xmlns="http://schemas.openxmlformats.org/spreadsheetml/2006/main">
  <authors>
    <author>David Weisstanner</author>
    <author>Knöpfel, Laura Dominique (IPW)</author>
    <author>Knöpfel, Laura (IPW)</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 ref="F7" authorId="0" shapeId="0">
      <text>
        <r>
          <rPr>
            <sz val="9"/>
            <color indexed="81"/>
            <rFont val="Tahoma"/>
            <family val="2"/>
          </rPr>
          <t>First post-communist government based on the first free elections after independence from the Sovjet Union, held on 15 November 1992.</t>
        </r>
      </text>
    </comment>
    <comment ref="Y27" authorId="1" shapeId="0">
      <text>
        <r>
          <rPr>
            <sz val="9"/>
            <color indexed="81"/>
            <rFont val="Tahoma"/>
            <family val="2"/>
          </rPr>
          <t>Since LSDP was part of the Social-Democratic Coalition of Algirdas Brazauskas their own seat share is not apparent in the CPDS and thus taken from Krupavicius (2002: 1019).</t>
        </r>
      </text>
    </comment>
    <comment ref="AC34" authorId="1" shapeId="0">
      <text>
        <r>
          <rPr>
            <sz val="9"/>
            <color indexed="81"/>
            <rFont val="Tahoma"/>
            <family val="2"/>
          </rPr>
          <t>Since LSDP was part of the Coalition of Algirdas Bazauskas and Arturas Paulauskas "Working for Lithuania" their own seat share is not apparent in the CPDS and thus taken from Krupavicius (2005: 1091).</t>
        </r>
        <r>
          <rPr>
            <sz val="9"/>
            <color indexed="81"/>
            <rFont val="Tahoma"/>
            <family val="2"/>
          </rPr>
          <t xml:space="preserve">
</t>
        </r>
      </text>
    </comment>
    <comment ref="AG34" authorId="2" shapeId="0">
      <text>
        <r>
          <rPr>
            <sz val="9"/>
            <color indexed="81"/>
            <rFont val="Tahoma"/>
            <family val="2"/>
          </rPr>
          <t>Since NS-LP was part of the Coalition of Algirdas Bazauskas and Arturas Paulauskas "Working for Lithuania" their own seat share is not apparent in the CPDS and thus taken from Krupavicius (2005: 1091).</t>
        </r>
      </text>
    </comment>
    <comment ref="Y39" authorId="0" shapeId="0">
      <text>
        <r>
          <rPr>
            <sz val="9"/>
            <color indexed="81"/>
            <rFont val="Tahoma"/>
            <family val="2"/>
          </rPr>
          <t>Since LSDP was part of the Coalition of Algirdas Bazauskas and Arturas Paulauskas "Working for Lithuania" their own seat share is not apparent in the CPDS and thus taken from Krupavicius (2007: 1020).</t>
        </r>
      </text>
    </comment>
    <comment ref="AD39" authorId="0" shapeId="0">
      <text>
        <r>
          <rPr>
            <sz val="9"/>
            <color indexed="81"/>
            <rFont val="Tahoma"/>
            <family val="2"/>
          </rPr>
          <t>Founded 2006 (break away from Labour Party), hence the party did not win any seats in the 2004 elections. Their seat share on 18.07.2006 is taken from EJPR (Krupavicius 2007: 1020).</t>
        </r>
      </text>
    </comment>
  </commentList>
</comments>
</file>

<file path=xl/comments22.xml><?xml version="1.0" encoding="utf-8"?>
<comments xmlns="http://schemas.openxmlformats.org/spreadsheetml/2006/main">
  <authors>
    <author>David Weisstanner</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List>
</comments>
</file>

<file path=xl/comments23.xml><?xml version="1.0" encoding="utf-8"?>
<comments xmlns="http://schemas.openxmlformats.org/spreadsheetml/2006/main">
  <authors>
    <author>David Weisstanner</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List>
</comments>
</file>

<file path=xl/comments24.xml><?xml version="1.0" encoding="utf-8"?>
<comments xmlns="http://schemas.openxmlformats.org/spreadsheetml/2006/main">
  <authors>
    <author>David Weisstanner</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List>
</comments>
</file>

<file path=xl/comments25.xml><?xml version="1.0" encoding="utf-8"?>
<comments xmlns="http://schemas.openxmlformats.org/spreadsheetml/2006/main">
  <authors>
    <author>David Weisstanner</author>
    <author>Knöpfel, Laura (IPW)</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 ref="S82" authorId="1" shapeId="0">
      <text>
        <r>
          <rPr>
            <sz val="9"/>
            <color indexed="81"/>
            <rFont val="Tahoma"/>
            <family val="2"/>
          </rPr>
          <t xml:space="preserve">Based on the seats share of the last parliamentary election in 1993 this government should still be coded as a single party majority government. However we code it as a minimal winning coalition since seat shares in parliament have shifted in 1995 with the foundation of the United New Zealand splinter party. Based on Vowles (1997, EJPR 32: 451-161), the seat shares were 43.4% for the National Party and 7.0% for the United Party, thus making this government a minimal winning coalition.
</t>
        </r>
      </text>
    </comment>
  </commentList>
</comments>
</file>

<file path=xl/comments26.xml><?xml version="1.0" encoding="utf-8"?>
<comments xmlns="http://schemas.openxmlformats.org/spreadsheetml/2006/main">
  <authors>
    <author>David Weisstanner</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List>
</comments>
</file>

<file path=xl/comments27.xml><?xml version="1.0" encoding="utf-8"?>
<comments xmlns="http://schemas.openxmlformats.org/spreadsheetml/2006/main">
  <authors>
    <author>David Weisstanner</author>
    <author>Knöpfel, Laura (IPW)</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 ref="F7" authorId="0" shapeId="0">
      <text>
        <r>
          <rPr>
            <sz val="9"/>
            <color indexed="81"/>
            <rFont val="Tahoma"/>
            <family val="2"/>
          </rPr>
          <t>First post-communist government based on the first free elections held on 27 October 1991.</t>
        </r>
      </text>
    </comment>
    <comment ref="F10" authorId="1" shapeId="0">
      <text>
        <r>
          <rPr>
            <sz val="9"/>
            <color indexed="81"/>
            <rFont val="Tahoma"/>
            <family val="2"/>
          </rPr>
          <t>Reason for termination is failure to form a new government because of lack of support from the parliament.</t>
        </r>
      </text>
    </comment>
    <comment ref="AS10" authorId="0" shapeId="0">
      <text>
        <r>
          <rPr>
            <sz val="9"/>
            <color indexed="81"/>
            <rFont val="Tahoma"/>
            <family val="2"/>
          </rPr>
          <t>Run in the election as part of PL.</t>
        </r>
      </text>
    </comment>
    <comment ref="Y35" authorId="1" shapeId="0">
      <text>
        <r>
          <rPr>
            <sz val="9"/>
            <color indexed="81"/>
            <rFont val="Tahoma"/>
            <family val="2"/>
          </rPr>
          <t xml:space="preserve">SLD and UP formed an electoral alliance for the 2001 election (included in social3 in CPDS III, because SLD got more than 75% of the seats of the alliance). The seat share entered here is from Jasiewicz/Jasiewicz-Betkiewicz (2002: 1061).
</t>
        </r>
      </text>
    </comment>
    <comment ref="AC35" authorId="1" shapeId="0">
      <text>
        <r>
          <rPr>
            <sz val="9"/>
            <color indexed="81"/>
            <rFont val="Tahoma"/>
            <family val="2"/>
          </rPr>
          <t xml:space="preserve">SLD and UP formed an electoral alliance for the 2001 election (included in social3 in CPDS III, because SLD got more than 75% of the seats of the alliance). The seat share entered here is from Jasiewicz/Jasiewicz-Betkiewicz (2002: 1061).
</t>
        </r>
      </text>
    </comment>
    <comment ref="AG49" authorId="1" shapeId="0">
      <text>
        <r>
          <rPr>
            <sz val="9"/>
            <color indexed="81"/>
            <rFont val="Tahoma"/>
            <family val="2"/>
          </rPr>
          <t xml:space="preserve">The SdPL was established on 1 April 2004 by 31 dissenters from the SLD, joined by two dissenters from the UP (asiewicz an Jasiewicz-Betkiewicz, EJPR 2005: 1148). SdPLs seat share is included in the seat share of SLD and UP. 
</t>
        </r>
      </text>
    </comment>
  </commentList>
</comments>
</file>

<file path=xl/comments28.xml><?xml version="1.0" encoding="utf-8"?>
<comments xmlns="http://schemas.openxmlformats.org/spreadsheetml/2006/main">
  <authors>
    <author>David Weisstanner</author>
    <author>Knöpfel, Laura (IPW)</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 ref="F7" authorId="0" shapeId="0">
      <text>
        <r>
          <rPr>
            <sz val="9"/>
            <color indexed="81"/>
            <rFont val="Tahoma"/>
            <family val="2"/>
          </rPr>
          <t>On 25 April 1974, the "Carnation Revolution" initiated a the two-year revolutionary transitory phase which resulted in the new democratic constitution enacted on 25 April 1976.</t>
        </r>
      </text>
    </comment>
    <comment ref="V17" authorId="1" shapeId="0">
      <text>
        <r>
          <rPr>
            <sz val="9"/>
            <color indexed="81"/>
            <rFont val="Tahoma"/>
            <family val="2"/>
          </rPr>
          <t xml:space="preserve">Electoral alliance of Center Social Democrats, Social Democrats and Popular Monarchist Party </t>
        </r>
      </text>
    </comment>
    <comment ref="Z17" authorId="1" shapeId="0">
      <text>
        <r>
          <rPr>
            <sz val="9"/>
            <color indexed="81"/>
            <rFont val="Tahoma"/>
            <family val="2"/>
          </rPr>
          <t xml:space="preserve">Electoral alliance of Center Social Democrats, Social Democrats and Popular Monarchist Party </t>
        </r>
      </text>
    </comment>
    <comment ref="AD17" authorId="1" shapeId="0">
      <text>
        <r>
          <rPr>
            <sz val="9"/>
            <color indexed="81"/>
            <rFont val="Tahoma"/>
            <family val="2"/>
          </rPr>
          <t xml:space="preserve">Electoral alliance of Center Social Democrats, Social Democrats and Popular Monarchist Party </t>
        </r>
      </text>
    </comment>
    <comment ref="F19" authorId="1" shapeId="0">
      <text>
        <r>
          <rPr>
            <sz val="9"/>
            <color indexed="81"/>
            <rFont val="Tahoma"/>
            <family val="2"/>
          </rPr>
          <t>Reason for termination is the death of Sá Carneiro on 4 December 1980.</t>
        </r>
      </text>
    </comment>
  </commentList>
</comments>
</file>

<file path=xl/comments29.xml><?xml version="1.0" encoding="utf-8"?>
<comments xmlns="http://schemas.openxmlformats.org/spreadsheetml/2006/main">
  <authors>
    <author>David Weisstanner</author>
    <author>Knöpfel, Laura Dominique (IPW)</author>
    <author>Knöpfel, Laura (IPW)</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 ref="F7" authorId="0" shapeId="0">
      <text>
        <r>
          <rPr>
            <sz val="9"/>
            <color indexed="81"/>
            <rFont val="Tahoma"/>
            <family val="2"/>
          </rPr>
          <t>Government based on the first free elections held on 20 May 1990 after the communist regime under Ceaușescu.</t>
        </r>
      </text>
    </comment>
    <comment ref="AK9" authorId="1" shapeId="0">
      <text>
        <r>
          <rPr>
            <sz val="9"/>
            <color indexed="81"/>
            <rFont val="Tahoma"/>
            <family val="2"/>
          </rPr>
          <t xml:space="preserve">Since in the 1990 elections PDAR did not pass our treshold of 2% vote share the party's seat share is not apparent in the CPDS III database. Based on Woldendorp et al. (2011) the party won 9 seats (2.3 % seat share) in the 1990 elections.  </t>
        </r>
      </text>
    </comment>
    <comment ref="V37" authorId="1" shapeId="0">
      <text>
        <r>
          <rPr>
            <sz val="9"/>
            <color indexed="81"/>
            <rFont val="Tahoma"/>
            <family val="2"/>
          </rPr>
          <t>For the 2004 election, PNL and PD formed an electoral alliance under the name "Justice and Truth Alliance". The coalition's seat share is entered into CPDS under the label liberal2. For the calcultations of the government variables the seat share is split up based on EJPR (Stan and Zaharia 2007: 1083-1086).</t>
        </r>
      </text>
    </comment>
    <comment ref="Y37" authorId="1" shapeId="0">
      <text>
        <r>
          <rPr>
            <sz val="9"/>
            <color indexed="81"/>
            <rFont val="Tahoma"/>
            <family val="2"/>
          </rPr>
          <t>PNL won 19.2% of parliamentary seats whilst competing in the electoral coalition with PD (Stan and Zaharia 2007: 1086).</t>
        </r>
      </text>
    </comment>
    <comment ref="Z37" authorId="2" shapeId="0">
      <text>
        <r>
          <rPr>
            <sz val="9"/>
            <color indexed="81"/>
            <rFont val="Tahoma"/>
            <family val="2"/>
          </rPr>
          <t>For the 2004 election, PNL and PD formed an electoral alliance under the name "Justice and Truth Alliance". The coalition's seat share is entered into CPDS under the label liberal2. For the calcultations of the government variables the seat share is split up based on EJPR (Stan and Zaharia 2007: 1083-1086).</t>
        </r>
      </text>
    </comment>
    <comment ref="AC37" authorId="1" shapeId="0">
      <text>
        <r>
          <rPr>
            <sz val="9"/>
            <color indexed="81"/>
            <rFont val="Tahoma"/>
            <family val="2"/>
          </rPr>
          <t>PD won 14.5% of parliamentary seats whilst competing in the electoral coalition with PNL (Stan and Zaharia 2007: 1086).</t>
        </r>
      </text>
    </comment>
    <comment ref="AH37" authorId="1" shapeId="0">
      <text>
        <r>
          <rPr>
            <sz val="9"/>
            <color indexed="81"/>
            <rFont val="Tahoma"/>
            <family val="2"/>
          </rPr>
          <t>For the 2004 election, PUR formed an electoral alliance with the Social Democratic Party (PSD). The coaliton won 39.7% of parliamentary seats (entered into CPDS under the label social1), of which 19 seats were allocated to PUR (Stan and Zaharia 2007: 1083).</t>
        </r>
      </text>
    </comment>
    <comment ref="Z49" authorId="2" shapeId="0">
      <text>
        <r>
          <rPr>
            <sz val="9"/>
            <color indexed="81"/>
            <rFont val="Tahoma"/>
            <family val="2"/>
          </rPr>
          <t>For the 2008 elections, PSD formed an electoral alliance with the Conservatory Party (PC). Since PSD won more the 75% of the total coalition seat share, it is entered into the CPDS under the PSD label (social1). However, for the calculations of the government variables the seat share gets split up between PSD and PC based on EJPR (Stan/Zaharia 2009: 1088).</t>
        </r>
      </text>
    </comment>
    <comment ref="AD54" authorId="2" shapeId="0">
      <text>
        <r>
          <rPr>
            <sz val="9"/>
            <color indexed="81"/>
            <rFont val="Tahoma"/>
            <family val="2"/>
          </rPr>
          <t xml:space="preserve">The UNPR was formed in March 2010 as a spliter group form the Social Democratic Party (PSD). Hence their seat share is not apparent in the CPDS database. </t>
        </r>
        <r>
          <rPr>
            <sz val="9"/>
            <color indexed="81"/>
            <rFont val="Tahoma"/>
            <family val="2"/>
          </rPr>
          <t xml:space="preserve">
</t>
        </r>
      </text>
    </comment>
    <comment ref="AG54" authorId="2" shapeId="0">
      <text>
        <r>
          <rPr>
            <sz val="9"/>
            <color indexed="81"/>
            <rFont val="Tahoma"/>
            <family val="2"/>
          </rPr>
          <t xml:space="preserve">The seat share of UNPR is taken from EJPR (Stan and Zaharia 2011: 1108). 
</t>
        </r>
      </text>
    </comment>
    <comment ref="Y62" authorId="2" shapeId="0">
      <text>
        <r>
          <rPr>
            <sz val="9"/>
            <color indexed="81"/>
            <rFont val="Tahoma"/>
            <family val="2"/>
          </rPr>
          <t>For the 2008 elections, PSD formed an electoral alliance with the Conservatory Party (PC). Since PSD won more the 75% of the total coalition seat share, it is entered into the CPDS under the PSD label (social1). However, for the calculations of the government variables the seat share gets split up between PSD and PC based on EJPR (Stan/Zaharia 2009: 1088).</t>
        </r>
      </text>
    </comment>
    <comment ref="AD62" authorId="2" shapeId="0">
      <text>
        <r>
          <rPr>
            <sz val="9"/>
            <color indexed="81"/>
            <rFont val="Tahoma"/>
            <family val="2"/>
          </rPr>
          <t>For the 2008 elections, PC formed an electoral alliance with the Social Democratic Party (PSD). Since PSD won more the 75% of the total coalition seat share, it is entered into the CPDS under the PSD label (social1). However, for the calculations of the government variables the seat share gets split up between PSD and PC based on EJPR (Stan/Zaharia 2009: 1088).</t>
        </r>
      </text>
    </comment>
    <comment ref="V64" authorId="2" shapeId="0">
      <text>
        <r>
          <rPr>
            <sz val="9"/>
            <color indexed="81"/>
            <rFont val="Tahoma"/>
            <family val="2"/>
          </rPr>
          <t>For the 2012 elections, the Social Democratic Party (PSD) formed an electoral alliance with the National Liberal Party (PNL), the Conservative Party (PC) and the National Union for Romania's Progress (UNPR). Therefore their seat share is not apparent seperately and it is entered under the label allia2 in CPDS.</t>
        </r>
      </text>
    </comment>
    <comment ref="Y64" authorId="2" shapeId="0">
      <text>
        <r>
          <rPr>
            <sz val="9"/>
            <color indexed="81"/>
            <rFont val="Tahoma"/>
            <family val="2"/>
          </rPr>
          <t>The seat share of PSD, PNL, PC and UNPR is taken from EJPR (Stan 2013: 201).</t>
        </r>
      </text>
    </comment>
    <comment ref="Z64" authorId="2" shapeId="0">
      <text>
        <r>
          <rPr>
            <sz val="9"/>
            <color indexed="81"/>
            <rFont val="Tahoma"/>
            <family val="2"/>
          </rPr>
          <t>For the 2012 elections, the National Liberal Party (PNL) formed an electoral alliance with the Social Democratic Party (PSD), the Conservative Party (PC) and the National Union for Romania's Progress (UNPR). Therefore their seat share is not apparent seperately and it is entered under the label allia2 in CPDS.</t>
        </r>
      </text>
    </comment>
    <comment ref="AC64" authorId="2" shapeId="0">
      <text>
        <r>
          <rPr>
            <sz val="9"/>
            <color indexed="81"/>
            <rFont val="Tahoma"/>
            <family val="2"/>
          </rPr>
          <t>The seat share of PSD, PNL, PC and UNPR is taken from EJPR (Stan 2013: 201).</t>
        </r>
      </text>
    </comment>
    <comment ref="AD64" authorId="0" shapeId="0">
      <text>
        <r>
          <rPr>
            <sz val="9"/>
            <color indexed="81"/>
            <rFont val="Tahoma"/>
            <family val="2"/>
          </rPr>
          <t>For the 2012 elections, the Conservative Party (PC) formed an electoral alliance with the Social Democratic Party (PSD), the National Liberal Party (PNL) and the National Union for Romania's Progress (UNPR). Therefore their seat share is not apparent seperately and it is entered under the label allia2 in CPDS.</t>
        </r>
      </text>
    </comment>
    <comment ref="AG64" authorId="0" shapeId="0">
      <text>
        <r>
          <rPr>
            <sz val="9"/>
            <color indexed="81"/>
            <rFont val="Tahoma"/>
            <family val="2"/>
          </rPr>
          <t>The seat share of PSD, PNL, PC and UNPR is taken from EJPR (Stan 2013: 201).</t>
        </r>
      </text>
    </comment>
    <comment ref="AH64" authorId="0" shapeId="0">
      <text>
        <r>
          <rPr>
            <sz val="9"/>
            <color indexed="81"/>
            <rFont val="Tahoma"/>
            <family val="2"/>
          </rPr>
          <t>For the 2012 elections, the National Union for Romania's Progress (UNPR) formed an electoral alliance with the Social Democratic Party (PSD), the National Liberal Party (PNL) and the Conservative Party (PC). Therefore their seat share is not apparent seperately and it is entered under the label allia2 in CPDS.</t>
        </r>
      </text>
    </comment>
    <comment ref="AK64" authorId="0" shapeId="0">
      <text>
        <r>
          <rPr>
            <sz val="9"/>
            <color indexed="81"/>
            <rFont val="Tahoma"/>
            <family val="2"/>
          </rPr>
          <t>The seat share of PSD, PNL, PC and UNPR is taken from EJPR (Stan 2013: 201).</t>
        </r>
      </text>
    </comment>
  </commentList>
</comments>
</file>

<file path=xl/comments3.xml><?xml version="1.0" encoding="utf-8"?>
<comments xmlns="http://schemas.openxmlformats.org/spreadsheetml/2006/main">
  <authors>
    <author>David Weisstanner</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List>
</comments>
</file>

<file path=xl/comments30.xml><?xml version="1.0" encoding="utf-8"?>
<comments xmlns="http://schemas.openxmlformats.org/spreadsheetml/2006/main">
  <authors>
    <author>David Weisstanner</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 ref="C7" authorId="0" shapeId="0">
      <text>
        <r>
          <rPr>
            <sz val="9"/>
            <color indexed="81"/>
            <rFont val="Tahoma"/>
            <family val="2"/>
          </rPr>
          <t>Mečiar I, Čarnogurský I and Mečiar II were the Prime Ministers in the Slovak part of Czechoslovakia until the dissolution of Czechoslovakia on 31 December 1992.</t>
        </r>
      </text>
    </comment>
    <comment ref="F7" authorId="0" shapeId="0">
      <text>
        <r>
          <rPr>
            <sz val="9"/>
            <color indexed="81"/>
            <rFont val="Tahoma"/>
            <family val="2"/>
          </rPr>
          <t xml:space="preserve">Government based on the first free elections held on 9 June 1990.
</t>
        </r>
      </text>
    </comment>
    <comment ref="C9" authorId="0" shapeId="0">
      <text>
        <r>
          <rPr>
            <sz val="9"/>
            <color indexed="81"/>
            <rFont val="Tahoma"/>
            <family val="2"/>
          </rPr>
          <t>Mečiar I, Čarnogurský I and Mečiar II were the Prime Ministers in the Slovak part of Czechoslovakia until the dissolution of Czechoslovakia on 31 December 1992.</t>
        </r>
      </text>
    </comment>
    <comment ref="C11" authorId="0" shapeId="0">
      <text>
        <r>
          <rPr>
            <sz val="9"/>
            <color indexed="81"/>
            <rFont val="Tahoma"/>
            <family val="2"/>
          </rPr>
          <t>Mečiar I, Čarnogurský I and Mečiar II were the Prime Ministers in the Slovak part of Czechoslovakia until the dissolution of Czechoslovakia on 31 December 1992.</t>
        </r>
      </text>
    </comment>
    <comment ref="F12" authorId="0" shapeId="0">
      <text>
        <r>
          <rPr>
            <sz val="9"/>
            <color indexed="81"/>
            <rFont val="Tahoma"/>
            <family val="2"/>
          </rPr>
          <t>Dissolution of Czechoslovakia on 31 December 1992</t>
        </r>
      </text>
    </comment>
    <comment ref="AG17" authorId="0" shapeId="0">
      <text>
        <r>
          <rPr>
            <sz val="9"/>
            <color indexed="81"/>
            <rFont val="Tahoma"/>
            <family val="2"/>
          </rPr>
          <t>DUS and ADSR are splinter parties from the HZDS. Their seat share is taken from Müller-Rommel et al. (2008: 828).</t>
        </r>
      </text>
    </comment>
    <comment ref="AK17" authorId="0" shapeId="0">
      <text>
        <r>
          <rPr>
            <sz val="9"/>
            <color indexed="81"/>
            <rFont val="Tahoma"/>
            <family val="2"/>
          </rPr>
          <t>DUS and ADSR are splinter parties from the HZDS. Their seat share is taken from Müller-Rommel et al. (2008: 828).</t>
        </r>
      </text>
    </comment>
    <comment ref="AO17" authorId="0" shapeId="0">
      <text>
        <r>
          <rPr>
            <sz val="9"/>
            <color indexed="81"/>
            <rFont val="Tahoma"/>
            <family val="2"/>
          </rPr>
          <t>NDS is a splinter parties from SNS. Its seat share is taken from Müller-Rommel et al. (2008: 828).</t>
        </r>
      </text>
    </comment>
  </commentList>
</comments>
</file>

<file path=xl/comments31.xml><?xml version="1.0" encoding="utf-8"?>
<comments xmlns="http://schemas.openxmlformats.org/spreadsheetml/2006/main">
  <authors>
    <author>David Weisstanner</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 ref="F7" authorId="0" shapeId="0">
      <text>
        <r>
          <rPr>
            <sz val="9"/>
            <color indexed="81"/>
            <rFont val="Tahoma"/>
            <family val="2"/>
          </rPr>
          <t>Government based on the first fully free elections held on 6 December 1992 after independence from the Socialist Federal Republic of Yugoslavia.</t>
        </r>
      </text>
    </comment>
  </commentList>
</comments>
</file>

<file path=xl/comments32.xml><?xml version="1.0" encoding="utf-8"?>
<comments xmlns="http://schemas.openxmlformats.org/spreadsheetml/2006/main">
  <authors>
    <author>David Weisstanner</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 ref="F7" authorId="0" shapeId="0">
      <text>
        <r>
          <rPr>
            <sz val="9"/>
            <color indexed="81"/>
            <rFont val="Tahoma"/>
            <family val="2"/>
          </rPr>
          <t>After the political reform laws of 1976, the first competitive parliamentary elections were held on 15 June 1977.</t>
        </r>
      </text>
    </comment>
  </commentList>
</comments>
</file>

<file path=xl/comments33.xml><?xml version="1.0" encoding="utf-8"?>
<comments xmlns="http://schemas.openxmlformats.org/spreadsheetml/2006/main">
  <authors>
    <author>David Weisstanner</author>
    <author>Knöpfel, Laura (IPW)</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 ref="F61" authorId="1" shapeId="0">
      <text>
        <r>
          <rPr>
            <sz val="9"/>
            <color indexed="81"/>
            <rFont val="Tahoma"/>
            <family val="2"/>
          </rPr>
          <t>Reason for termination is assassination of PM Palme.</t>
        </r>
      </text>
    </comment>
  </commentList>
</comments>
</file>

<file path=xl/comments34.xml><?xml version="1.0" encoding="utf-8"?>
<comments xmlns="http://schemas.openxmlformats.org/spreadsheetml/2006/main">
  <authors>
    <author>David Weisstanner</author>
    <author>Knöpfel, Laura (IPW)</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 ref="AE6" authorId="1" shapeId="0">
      <text>
        <r>
          <rPr>
            <sz val="9"/>
            <color indexed="81"/>
            <rFont val="Tahoma"/>
            <family val="2"/>
          </rPr>
          <t>Coded as agrarian until 1994 and as right4 (right-wing populist) since 1995.</t>
        </r>
      </text>
    </comment>
    <comment ref="F7" authorId="1" shapeId="0">
      <text>
        <r>
          <rPr>
            <sz val="9"/>
            <color indexed="81"/>
            <rFont val="Tahoma"/>
            <family val="2"/>
          </rPr>
          <t>Head of State is the chairperson of the Federal Council (Bundespräsident), whose members alternate in the position each year.</t>
        </r>
      </text>
    </comment>
    <comment ref="AI7" authorId="1" shapeId="0">
      <text>
        <r>
          <rPr>
            <sz val="9"/>
            <color indexed="81"/>
            <rFont val="Tahoma"/>
            <family val="2"/>
          </rPr>
          <t>Coded as agrarian until 1994 and as right4 (right-wing populist) since 1995.</t>
        </r>
      </text>
    </comment>
    <comment ref="AI8" authorId="1" shapeId="0">
      <text>
        <r>
          <rPr>
            <sz val="9"/>
            <color indexed="81"/>
            <rFont val="Tahoma"/>
            <family val="2"/>
          </rPr>
          <t>Coded as agrarian until 1994 and as right4 (right-wing populist) since 1995.</t>
        </r>
      </text>
    </comment>
  </commentList>
</comments>
</file>

<file path=xl/comments35.xml><?xml version="1.0" encoding="utf-8"?>
<comments xmlns="http://schemas.openxmlformats.org/spreadsheetml/2006/main">
  <authors>
    <author>David Weisstanner</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List>
</comments>
</file>

<file path=xl/comments36.xml><?xml version="1.0" encoding="utf-8"?>
<comments xmlns="http://schemas.openxmlformats.org/spreadsheetml/2006/main">
  <authors>
    <author>David Weisstanner</author>
    <author>Knöpfel, Laura Dominique (IPW)</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 ref="F9" authorId="0" shapeId="0">
      <text>
        <r>
          <rPr>
            <sz val="9"/>
            <color indexed="81"/>
            <rFont val="Tahoma"/>
            <family val="2"/>
          </rPr>
          <t>Election to the House of Representatives (relevant for the variables gov2 and gov3), does not indicate a change of government.</t>
        </r>
      </text>
    </comment>
    <comment ref="F16" authorId="1" shapeId="0">
      <text>
        <r>
          <rPr>
            <sz val="9"/>
            <color indexed="81"/>
            <rFont val="Tahoma"/>
            <family val="2"/>
          </rPr>
          <t>Reason for termination is assassination of President Kennedey.</t>
        </r>
      </text>
    </comment>
  </commentList>
</comments>
</file>

<file path=xl/comments4.xml><?xml version="1.0" encoding="utf-8"?>
<comments xmlns="http://schemas.openxmlformats.org/spreadsheetml/2006/main">
  <authors>
    <author>David Weisstanner</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 ref="F7" authorId="0" shapeId="0">
      <text>
        <r>
          <rPr>
            <sz val="9"/>
            <color indexed="81"/>
            <rFont val="Tahoma"/>
            <family val="2"/>
          </rPr>
          <t>First government based on a multi-party election held on 17 June 1990.</t>
        </r>
      </text>
    </comment>
  </commentList>
</comments>
</file>

<file path=xl/comments5.xml><?xml version="1.0" encoding="utf-8"?>
<comments xmlns="http://schemas.openxmlformats.org/spreadsheetml/2006/main">
  <authors>
    <author>David Weisstanner</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List>
</comments>
</file>

<file path=xl/comments6.xml><?xml version="1.0" encoding="utf-8"?>
<comments xmlns="http://schemas.openxmlformats.org/spreadsheetml/2006/main">
  <authors>
    <author>David Weisstanner</author>
    <author>Knöpfel, Laura Dominique (IPW)</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 ref="Y7" authorId="1" shapeId="0">
      <text>
        <r>
          <rPr>
            <sz val="9"/>
            <color indexed="81"/>
            <rFont val="Tahoma"/>
            <family val="2"/>
          </rPr>
          <t xml:space="preserve">SDP, HSLS, PGS and SBHS formed an electoral coalition for the 2000 elections. For the exact seat share we deviated from Ismayr (2006) as primary source and consulted the official governmental web page (www.hidra.hr).
</t>
        </r>
      </text>
    </comment>
    <comment ref="AA7" authorId="1" shapeId="0">
      <text>
        <r>
          <rPr>
            <sz val="9"/>
            <color indexed="81"/>
            <rFont val="Tahoma"/>
            <family val="2"/>
          </rPr>
          <t xml:space="preserve">In the 2000 elections part of allia1
</t>
        </r>
      </text>
    </comment>
    <comment ref="AC7" authorId="1" shapeId="0">
      <text>
        <r>
          <rPr>
            <sz val="9"/>
            <color indexed="81"/>
            <rFont val="Tahoma"/>
            <family val="2"/>
          </rPr>
          <t>SDP, HSLS, PGS and SBHS formed an electoral coalition for the 2000 elections. For the exact seat share we deviated from Ismayr (2006) as primary source and consulted the official governmental web page (www.hidra.hr).</t>
        </r>
      </text>
    </comment>
    <comment ref="AG7" authorId="1" shapeId="0">
      <text>
        <r>
          <rPr>
            <sz val="9"/>
            <color indexed="81"/>
            <rFont val="Tahoma"/>
            <family val="2"/>
          </rPr>
          <t>HSS, LS, HNS and IDS formed an electoral coalition for the 2000 elections. For the exact seat share we deviated from Ismayr (2006) as primary source and consulted the official governmental web page (www.hidra.hr).</t>
        </r>
      </text>
    </comment>
    <comment ref="AK7" authorId="1" shapeId="0">
      <text>
        <r>
          <rPr>
            <sz val="9"/>
            <color indexed="81"/>
            <rFont val="Tahoma"/>
            <family val="2"/>
          </rPr>
          <t>HSS, LS, HNS and IDS formed an electoral coalition for the 2000 elections. For the exact seat share we deviated from Ismayr (2006) as primary source and consulted the official governmental web page (www.hidra.hr).</t>
        </r>
      </text>
    </comment>
    <comment ref="AO7" authorId="1" shapeId="0">
      <text>
        <r>
          <rPr>
            <sz val="9"/>
            <color indexed="81"/>
            <rFont val="Tahoma"/>
            <family val="2"/>
          </rPr>
          <t>HSS, LS, HNS and IDS formed an electoral coalition for the 2000 elections. For the exact seat share we deviated from Ismayr (2006) as primary source and consulted the official governmental web page (www.hidra.hr).</t>
        </r>
      </text>
    </comment>
    <comment ref="Z12" authorId="1" shapeId="0">
      <text>
        <r>
          <rPr>
            <sz val="9"/>
            <color indexed="81"/>
            <rFont val="Tahoma"/>
            <family val="2"/>
          </rPr>
          <t xml:space="preserve">Splitter party of HSLS 
</t>
        </r>
      </text>
    </comment>
    <comment ref="AC12" authorId="1" shapeId="0">
      <text>
        <r>
          <rPr>
            <sz val="9"/>
            <color indexed="81"/>
            <rFont val="Tahoma"/>
            <family val="2"/>
          </rPr>
          <t xml:space="preserve">Source: http://www.hidra.hr/cro/politicke_stranke/parlamentarne_stranke/zastupljenost_stranaka_u_saboru
</t>
        </r>
      </text>
    </comment>
    <comment ref="AM14" authorId="1" shapeId="0">
      <text>
        <r>
          <rPr>
            <sz val="9"/>
            <color indexed="81"/>
            <rFont val="Tahoma"/>
            <family val="2"/>
          </rPr>
          <t>In 2000 elections part of allia2</t>
        </r>
      </text>
    </comment>
    <comment ref="AC15" authorId="1" shapeId="0">
      <text>
        <r>
          <rPr>
            <sz val="9"/>
            <color indexed="81"/>
            <rFont val="Tahoma"/>
            <family val="2"/>
          </rPr>
          <t xml:space="preserve">Source: http://www.hidra.hr/cro/politicke_stranke/parlamentarne_stranke/zastupljenost_stranaka_u_saboru
</t>
        </r>
      </text>
    </comment>
    <comment ref="AD25" authorId="1" shapeId="0">
      <text>
        <r>
          <rPr>
            <sz val="9"/>
            <color indexed="81"/>
            <rFont val="Tahoma"/>
            <family val="2"/>
          </rPr>
          <t xml:space="preserve">In electoral coalition with HSS
</t>
        </r>
      </text>
    </comment>
  </commentList>
</comments>
</file>

<file path=xl/comments7.xml><?xml version="1.0" encoding="utf-8"?>
<comments xmlns="http://schemas.openxmlformats.org/spreadsheetml/2006/main">
  <authors>
    <author>David Weisstanner</author>
    <author>Isler, Christian (IPW)</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 ref="C6" authorId="1" shapeId="0">
      <text>
        <r>
          <rPr>
            <sz val="9"/>
            <color indexed="81"/>
            <rFont val="Tahoma"/>
            <family val="2"/>
          </rPr>
          <t>From 1974 until 1977, archbishop Makarios III was the first president of the Republic of Cyprus. He had no party affiliation and was not officially elected. The first official presidential election was held in 1978. Therefore we consider the period in between 1976 (year of the first election after the division of Cyprus in 1974) and 1978 as transitory period.</t>
        </r>
      </text>
    </comment>
    <comment ref="Y9" authorId="1" shapeId="0">
      <text>
        <r>
          <rPr>
            <sz val="9"/>
            <color indexed="81"/>
            <rFont val="Tahoma"/>
            <family val="2"/>
          </rPr>
          <t xml:space="preserve">Entered in CPDS under "allia1" (electoral alliance of The Democratic Party (DIKO), Progressive Party of the Working People (AKEL) and The Socialist Party (EDEK)). The alliance got 97,1 percent of parliamentary seats, the single seat shares are from ParlGov (2016).
</t>
        </r>
      </text>
    </comment>
    <comment ref="AC9" authorId="1" shapeId="0">
      <text>
        <r>
          <rPr>
            <sz val="9"/>
            <color indexed="81"/>
            <rFont val="Tahoma"/>
            <family val="2"/>
          </rPr>
          <t>Entered in CPDS under "allia1" (electoral alliance of The Democratic Party (DIKO), Progressive Party of the Working People (AKEL) and The Socialist Party (EDEK)). The alliance got 97,1 percent of parliamentary seats, the single seat shares are from ParlGov (2016).</t>
        </r>
      </text>
    </comment>
    <comment ref="V81" authorId="0" shapeId="0">
      <text>
        <r>
          <rPr>
            <sz val="9"/>
            <color indexed="81"/>
            <rFont val="Tahoma"/>
            <family val="2"/>
          </rPr>
          <t xml:space="preserve">We counted the United Democrats (Enomeni Dimokrates, EDI) to AKEL. They participated for AKEL in the legislative elections of May 2011 (see http://en.wikipedia.org/wiki/United_Democrats ; http://derstandard.at/1311802816776/Neue-Regierung-nach-Koalitionsbruch ). The United Democrats received two cabinet posts on August 5 but were replaced on March 20 and October 15.
</t>
        </r>
      </text>
    </comment>
  </commentList>
</comments>
</file>

<file path=xl/comments8.xml><?xml version="1.0" encoding="utf-8"?>
<comments xmlns="http://schemas.openxmlformats.org/spreadsheetml/2006/main">
  <authors>
    <author>David Weisstanner</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 ref="C7" authorId="0" shapeId="0">
      <text>
        <r>
          <rPr>
            <sz val="9"/>
            <color indexed="81"/>
            <rFont val="Tahoma"/>
            <family val="2"/>
          </rPr>
          <t>Pithart I and Klaus I were the Prime Ministers in the Czech part of Czechoslovakia until the dissolution of Czechoslovakia on 31 December 1992.</t>
        </r>
      </text>
    </comment>
    <comment ref="F7" authorId="0" shapeId="0">
      <text>
        <r>
          <rPr>
            <sz val="9"/>
            <color indexed="81"/>
            <rFont val="Tahoma"/>
            <family val="2"/>
          </rPr>
          <t xml:space="preserve">First post-communist government based on free elections held on 9 June 1990.
</t>
        </r>
      </text>
    </comment>
    <comment ref="C11" authorId="0" shapeId="0">
      <text>
        <r>
          <rPr>
            <sz val="9"/>
            <color indexed="81"/>
            <rFont val="Tahoma"/>
            <family val="2"/>
          </rPr>
          <t>Pithart I and Klaus I were the Prime Ministers in the Czech part of Czechoslovakia until the dissolution of Czechoslovakia on 31 December 1992.</t>
        </r>
      </text>
    </comment>
    <comment ref="F12" authorId="0" shapeId="0">
      <text>
        <r>
          <rPr>
            <sz val="9"/>
            <color indexed="81"/>
            <rFont val="Tahoma"/>
            <family val="2"/>
          </rPr>
          <t>Dissolution of Czechoslovakia on 31 December 1992</t>
        </r>
      </text>
    </comment>
    <comment ref="AC33" authorId="0" shapeId="0">
      <text>
        <r>
          <rPr>
            <sz val="9"/>
            <color indexed="81"/>
            <rFont val="Tahoma"/>
            <family val="2"/>
          </rPr>
          <t>Entered in CPDS under "allia2" (coalition of Christian Democratic Union/Czech People's Party and Freedom Union - Democratic Union, KDU/CSL-US/DEU). The alliance got 15.5 percent of parliamentary seats, the single seat shares are from EJPR (Linek 2003: 918).</t>
        </r>
      </text>
    </comment>
    <comment ref="AD33" authorId="0" shapeId="0">
      <text>
        <r>
          <rPr>
            <sz val="9"/>
            <color indexed="81"/>
            <rFont val="Tahoma"/>
            <family val="2"/>
          </rPr>
          <t>Freedom Union - Democratic Union</t>
        </r>
      </text>
    </comment>
    <comment ref="AG33" authorId="0" shapeId="0">
      <text>
        <r>
          <rPr>
            <sz val="9"/>
            <color indexed="81"/>
            <rFont val="Tahoma"/>
            <family val="2"/>
          </rPr>
          <t>Entered in CPDS under "allia2" (coalition of Christian Democratic Union/Czech People's Party and Freedom Union - Democratic Union, KDU/CSL-US/DEU). The alliance got 15.5 percent of parliamentary seats, the single seat shares are from EJPR (Linek 2003: 918).</t>
        </r>
      </text>
    </comment>
  </commentList>
</comments>
</file>

<file path=xl/comments9.xml><?xml version="1.0" encoding="utf-8"?>
<comments xmlns="http://schemas.openxmlformats.org/spreadsheetml/2006/main">
  <authors>
    <author>David Weisstanner</author>
  </authors>
  <commentList>
    <comment ref="F4" authorId="0" shapeId="0">
      <text>
        <r>
          <rPr>
            <sz val="9"/>
            <color indexed="81"/>
            <rFont val="Tahoma"/>
            <family val="2"/>
          </rPr>
          <t xml:space="preserve">Reason for Termination of the </t>
        </r>
        <r>
          <rPr>
            <b/>
            <sz val="9"/>
            <color indexed="81"/>
            <rFont val="Tahoma"/>
            <family val="2"/>
          </rPr>
          <t>previous</t>
        </r>
        <r>
          <rPr>
            <sz val="9"/>
            <color indexed="81"/>
            <rFont val="Tahoma"/>
            <family val="2"/>
          </rPr>
          <t xml:space="preserve"> government:
0 = Reshuffle (no change/termination of government)
1 = Elections
2 = Voluntary resignation of PM
3 = Resignation of PM due to health
4 = Dissension within government / coalition break
5 = Lack of parliamentary support
6 = Intervention by the Head of State
7 = Broadening of the coalition
(based on Woldendorp et al. 2000: 16f. and own adjustments; for the exact definitions see Codebooks)</t>
        </r>
      </text>
    </comment>
    <comment ref="S4" authorId="0" shapeId="0">
      <text>
        <r>
          <rPr>
            <sz val="9"/>
            <color indexed="81"/>
            <rFont val="Tahoma"/>
            <family val="2"/>
          </rPr>
          <t>1 = Single Party Majority Government
2 = Minimal Winning Coalition
3 = Surplus Coalition
4 = Single Party Minority Government
5 = Multi Party Minority Government
6 = Caretaker Government
7 = Technocratic Government
(based on Woldendorp et al. 2000: 17 and own adjustments; for the exact definitions see Codebooks)</t>
        </r>
      </text>
    </comment>
  </commentList>
</comments>
</file>

<file path=xl/sharedStrings.xml><?xml version="1.0" encoding="utf-8"?>
<sst xmlns="http://schemas.openxmlformats.org/spreadsheetml/2006/main" count="30223" uniqueCount="1356">
  <si>
    <t>gov_right2</t>
  </si>
  <si>
    <t>gov_cent2</t>
  </si>
  <si>
    <t>gov_left2</t>
  </si>
  <si>
    <t>Year</t>
  </si>
  <si>
    <t>Investiture Date</t>
  </si>
  <si>
    <t>Days in Year</t>
  </si>
  <si>
    <t>Prime Minister</t>
  </si>
  <si>
    <t>Termination (prev. Gov.)</t>
  </si>
  <si>
    <t>gov_right1</t>
  </si>
  <si>
    <t>gov_cent1</t>
  </si>
  <si>
    <t>gov_left1</t>
  </si>
  <si>
    <t>right</t>
  </si>
  <si>
    <t>left</t>
  </si>
  <si>
    <t>Government Type</t>
  </si>
  <si>
    <t>Government Composition and Parties in Government</t>
  </si>
  <si>
    <t>Austria</t>
  </si>
  <si>
    <t>ÖVP</t>
  </si>
  <si>
    <t>relig1</t>
  </si>
  <si>
    <t>center</t>
  </si>
  <si>
    <t>SPÖ</t>
  </si>
  <si>
    <t>social1</t>
  </si>
  <si>
    <t>FPÖ</t>
  </si>
  <si>
    <t>liberal1</t>
  </si>
  <si>
    <t>Name</t>
  </si>
  <si>
    <t>Family</t>
  </si>
  <si>
    <t>Ideology</t>
  </si>
  <si>
    <t>gov_sup</t>
  </si>
  <si>
    <t>right1</t>
  </si>
  <si>
    <t>Raab III (ÖVP)</t>
  </si>
  <si>
    <t>Gorbach I (ÖVP)</t>
  </si>
  <si>
    <t>Gorbach II (ÖVP)</t>
  </si>
  <si>
    <t>Klaus I (ÖVP)</t>
  </si>
  <si>
    <t>Klaus II (ÖVP)</t>
  </si>
  <si>
    <t>Kreisky I (SPÖ)</t>
  </si>
  <si>
    <t>Kreisky II (SPÖ)</t>
  </si>
  <si>
    <t>Kreisky III (SPÖ)</t>
  </si>
  <si>
    <t>Kreisky IV (SPÖ)</t>
  </si>
  <si>
    <t>Vranitzky I (SPÖ)</t>
  </si>
  <si>
    <t>Sinowatz I (SPÖ)</t>
  </si>
  <si>
    <t>Vranitzky II (SPÖ)</t>
  </si>
  <si>
    <t>Vranitzky III (SPÖ)</t>
  </si>
  <si>
    <t>Vranitzky IV (SPÖ)</t>
  </si>
  <si>
    <t>Vranitzky V (SPÖ)</t>
  </si>
  <si>
    <t>Klima I (SPÖ)</t>
  </si>
  <si>
    <t>Schüssel I (ÖVP)</t>
  </si>
  <si>
    <t>Schüssel II (ÖVP)</t>
  </si>
  <si>
    <t>Gusenbauer I (SPÖ)</t>
  </si>
  <si>
    <t>Faymann I (SPÖ)</t>
  </si>
  <si>
    <t>Australia</t>
  </si>
  <si>
    <t>Belgium</t>
  </si>
  <si>
    <t>Canada</t>
  </si>
  <si>
    <t>Cyprus</t>
  </si>
  <si>
    <t>Denmark</t>
  </si>
  <si>
    <t>Finland</t>
  </si>
  <si>
    <t>France</t>
  </si>
  <si>
    <t>Germany</t>
  </si>
  <si>
    <t>Greece</t>
  </si>
  <si>
    <t>Iceland</t>
  </si>
  <si>
    <t>Ireland</t>
  </si>
  <si>
    <t>Italy</t>
  </si>
  <si>
    <t>Japan</t>
  </si>
  <si>
    <t>Luxembourg</t>
  </si>
  <si>
    <t>Malta</t>
  </si>
  <si>
    <t>Netherlands</t>
  </si>
  <si>
    <t>New Zealand</t>
  </si>
  <si>
    <t>Norway</t>
  </si>
  <si>
    <t>Portugal</t>
  </si>
  <si>
    <t>Spain</t>
  </si>
  <si>
    <t>Sweden</t>
  </si>
  <si>
    <t>Switzerland</t>
  </si>
  <si>
    <t>United Kingdom</t>
  </si>
  <si>
    <t>United States</t>
  </si>
  <si>
    <t>LIB</t>
  </si>
  <si>
    <t>CNT</t>
  </si>
  <si>
    <t>conserv1</t>
  </si>
  <si>
    <t>agrarian</t>
  </si>
  <si>
    <t>conserv2</t>
  </si>
  <si>
    <t>conserv3</t>
  </si>
  <si>
    <t>ALP</t>
  </si>
  <si>
    <t>conserv4</t>
  </si>
  <si>
    <t>conserv5</t>
  </si>
  <si>
    <t>CVP</t>
  </si>
  <si>
    <t>relig2</t>
  </si>
  <si>
    <t>LP</t>
  </si>
  <si>
    <t>SP</t>
  </si>
  <si>
    <t>PSC</t>
  </si>
  <si>
    <t>relig3</t>
  </si>
  <si>
    <t>PVV</t>
  </si>
  <si>
    <t>liberal2</t>
  </si>
  <si>
    <t>VU</t>
  </si>
  <si>
    <t>ethnic1</t>
  </si>
  <si>
    <t>RW</t>
  </si>
  <si>
    <t>ethnic3</t>
  </si>
  <si>
    <t>FDF</t>
  </si>
  <si>
    <t>ethnic2</t>
  </si>
  <si>
    <t>SP.a</t>
  </si>
  <si>
    <t>PS</t>
  </si>
  <si>
    <t>social3</t>
  </si>
  <si>
    <t>social2</t>
  </si>
  <si>
    <t>PRL</t>
  </si>
  <si>
    <t>liberal3</t>
  </si>
  <si>
    <t>PC</t>
  </si>
  <si>
    <t>SD</t>
  </si>
  <si>
    <t>RV</t>
  </si>
  <si>
    <t>DRF</t>
  </si>
  <si>
    <t>KF</t>
  </si>
  <si>
    <t>CD</t>
  </si>
  <si>
    <t>liberal4</t>
  </si>
  <si>
    <t>KESK</t>
  </si>
  <si>
    <t>KOK</t>
  </si>
  <si>
    <t>RKP</t>
  </si>
  <si>
    <t>LKP</t>
  </si>
  <si>
    <t>SDP</t>
  </si>
  <si>
    <t>SKDL</t>
  </si>
  <si>
    <t>comm1</t>
  </si>
  <si>
    <t>TPSL</t>
  </si>
  <si>
    <t>leftsoc1</t>
  </si>
  <si>
    <t>SMP</t>
  </si>
  <si>
    <t>protest1</t>
  </si>
  <si>
    <t>UMP</t>
  </si>
  <si>
    <t>CONS</t>
  </si>
  <si>
    <t>MRP</t>
  </si>
  <si>
    <t>RSP</t>
  </si>
  <si>
    <t>IND</t>
  </si>
  <si>
    <t>PDM</t>
  </si>
  <si>
    <t>CDP</t>
  </si>
  <si>
    <t>MRG</t>
  </si>
  <si>
    <t>UDF</t>
  </si>
  <si>
    <t>PCF</t>
  </si>
  <si>
    <t>CDU</t>
  </si>
  <si>
    <t>CSU</t>
  </si>
  <si>
    <t>DP</t>
  </si>
  <si>
    <t>FDP</t>
  </si>
  <si>
    <t>SPD</t>
  </si>
  <si>
    <t>gov_cent3</t>
  </si>
  <si>
    <t>gov_left3</t>
  </si>
  <si>
    <t>gov_right3</t>
  </si>
  <si>
    <t>Bulgaria</t>
  </si>
  <si>
    <t>Czech Republic</t>
  </si>
  <si>
    <t>Croatia</t>
  </si>
  <si>
    <t>Estonia</t>
  </si>
  <si>
    <t>Hungary</t>
  </si>
  <si>
    <t>Latvia</t>
  </si>
  <si>
    <t>Lithuania</t>
  </si>
  <si>
    <t>Poland</t>
  </si>
  <si>
    <t>Romania</t>
  </si>
  <si>
    <t>Slovakia</t>
  </si>
  <si>
    <t>Slovenia</t>
  </si>
  <si>
    <t>Menzies V (LIB)</t>
  </si>
  <si>
    <t>Menzies VI (LIB)</t>
  </si>
  <si>
    <t>Menzies VII (LIB)</t>
  </si>
  <si>
    <t>Holt I (LIB)</t>
  </si>
  <si>
    <t>Holt II (LIB)</t>
  </si>
  <si>
    <t>McEwen I (CNT)</t>
  </si>
  <si>
    <t>Gorton I (LIB)</t>
  </si>
  <si>
    <t>Gorton II (LIB)</t>
  </si>
  <si>
    <t>McMahon I (LIB)</t>
  </si>
  <si>
    <t>Whitlam I (ALP)</t>
  </si>
  <si>
    <t>Whitlam II (ALP)</t>
  </si>
  <si>
    <t>Fraser I (LIB)</t>
  </si>
  <si>
    <t>Fraser II (LIB)</t>
  </si>
  <si>
    <t>Fraser III (LIB)</t>
  </si>
  <si>
    <t>Fraser IV (LIB)</t>
  </si>
  <si>
    <t>Hawke I (ALP)</t>
  </si>
  <si>
    <t>Hawke II (ALP)</t>
  </si>
  <si>
    <t>Hawke III (ALP)</t>
  </si>
  <si>
    <t>Hawke IV (ALP)</t>
  </si>
  <si>
    <t>Keating II (ALP)</t>
  </si>
  <si>
    <t>Keating I (ALP)</t>
  </si>
  <si>
    <t>Howard I (LIB)</t>
  </si>
  <si>
    <t>Howard II (LIB)</t>
  </si>
  <si>
    <t>Howard III (LIB)</t>
  </si>
  <si>
    <t>Howard IV (LIB)</t>
  </si>
  <si>
    <t>Rudd I (ALP)</t>
  </si>
  <si>
    <t>Gillard I (ALP)</t>
  </si>
  <si>
    <t>Gillard II (ALP)</t>
  </si>
  <si>
    <t>Karamanlis I (ND)</t>
  </si>
  <si>
    <t>Karamanlis II (ND)</t>
  </si>
  <si>
    <t>Rallis I (ND)</t>
  </si>
  <si>
    <t>Papandreou I (PASOK)</t>
  </si>
  <si>
    <t>Papandreou II (PASOK)</t>
  </si>
  <si>
    <t>Papandreou III (PASOK)</t>
  </si>
  <si>
    <t>Tzannetakis I (ND)</t>
  </si>
  <si>
    <t>Mitsotakis I (ND)</t>
  </si>
  <si>
    <t>Simitis I (PASOK)</t>
  </si>
  <si>
    <t>Simitis II (PASOK)</t>
  </si>
  <si>
    <t>Simitis III (PASOK)</t>
  </si>
  <si>
    <t>Papademos I (Ind.)</t>
  </si>
  <si>
    <t>Pikramenos I (Ind.)</t>
  </si>
  <si>
    <t>Samaras I (ND)</t>
  </si>
  <si>
    <t>Grivas (Ind.)</t>
  </si>
  <si>
    <t>Zolotas I (Ind.)</t>
  </si>
  <si>
    <t>Zolotas II (Ind.)</t>
  </si>
  <si>
    <t>ND</t>
  </si>
  <si>
    <t>PASOK</t>
  </si>
  <si>
    <t>SYRIZA</t>
  </si>
  <si>
    <t>comm3</t>
  </si>
  <si>
    <t>DIMAR</t>
  </si>
  <si>
    <t>Eyskens III (CVP)</t>
  </si>
  <si>
    <t>Eyskens IV (CVP)</t>
  </si>
  <si>
    <t>Harmel I (CVP)</t>
  </si>
  <si>
    <t>Leburton I (SP)</t>
  </si>
  <si>
    <t>Tindemans I (CVP)</t>
  </si>
  <si>
    <t>Tindemans II (CVP)</t>
  </si>
  <si>
    <t>Tindemans III (CVP)</t>
  </si>
  <si>
    <t>Martens I (CVP)</t>
  </si>
  <si>
    <t>Martens II (CVP)</t>
  </si>
  <si>
    <t>Martens III (CVP)</t>
  </si>
  <si>
    <t>Martens IV (CVP)</t>
  </si>
  <si>
    <t>Eyskens I (CVP)</t>
  </si>
  <si>
    <t>Martens V (CVP)</t>
  </si>
  <si>
    <t>Martens VI (CVP)</t>
  </si>
  <si>
    <t>Martens VII (CVP)</t>
  </si>
  <si>
    <t>Martens VIII (CVP)</t>
  </si>
  <si>
    <t>Martens IX (CVP)</t>
  </si>
  <si>
    <t>Dehaene I (CVP)</t>
  </si>
  <si>
    <t>Dehaene II (CVP)</t>
  </si>
  <si>
    <t>Verhofstadt I (VLD)</t>
  </si>
  <si>
    <t>VLD</t>
  </si>
  <si>
    <t>ECOLO</t>
  </si>
  <si>
    <t>AGALEV</t>
  </si>
  <si>
    <t>green1</t>
  </si>
  <si>
    <t>green2</t>
  </si>
  <si>
    <t>Verhofstadt II (VLD)</t>
  </si>
  <si>
    <t>MR</t>
  </si>
  <si>
    <t>Verhofstadt III (VLD)</t>
  </si>
  <si>
    <t>CD&amp;V</t>
  </si>
  <si>
    <t>CDH</t>
  </si>
  <si>
    <t>Leterme I (CD&amp;V)</t>
  </si>
  <si>
    <t>Van Rompuy I (CD&amp;V)</t>
  </si>
  <si>
    <t>Leterme II (CD&amp;V)</t>
  </si>
  <si>
    <t>Di Rupo I (PS)</t>
  </si>
  <si>
    <t>Diefenbaker III (PC)</t>
  </si>
  <si>
    <t>Diefenbaker II (PC)</t>
  </si>
  <si>
    <t>Pearson I (LIB)</t>
  </si>
  <si>
    <t>Pearson II (LIB)</t>
  </si>
  <si>
    <t>Trudeau I (LIB)</t>
  </si>
  <si>
    <t>Trudeau II (LIB)</t>
  </si>
  <si>
    <t>Trudeau III (LIB)</t>
  </si>
  <si>
    <t>Trudeau IV (LIB)</t>
  </si>
  <si>
    <t>Clark I (PC)</t>
  </si>
  <si>
    <t>Trudeau V (LIB)</t>
  </si>
  <si>
    <t>Turner I (LIB)</t>
  </si>
  <si>
    <t>Mulroney I (PC)</t>
  </si>
  <si>
    <t>Mulroney II (PC)</t>
  </si>
  <si>
    <t>Campbell I (PC)</t>
  </si>
  <si>
    <t>Chrétien I (LIB)</t>
  </si>
  <si>
    <t>Chrétien II (LIB)</t>
  </si>
  <si>
    <t>Chrétien III (LIB)</t>
  </si>
  <si>
    <t>Martin I (LIB)</t>
  </si>
  <si>
    <t>Martin II (LIB)</t>
  </si>
  <si>
    <t>Harper I (PC)</t>
  </si>
  <si>
    <t>Harper II (PC)</t>
  </si>
  <si>
    <t>Harper III (PC)</t>
  </si>
  <si>
    <t>Hansen II (SD)</t>
  </si>
  <si>
    <t>Kampmann I (SD)</t>
  </si>
  <si>
    <t>Kampmann II (SD)</t>
  </si>
  <si>
    <t>Krag I (SD)</t>
  </si>
  <si>
    <t>Krag II (SD)</t>
  </si>
  <si>
    <t>Krag III (SD)</t>
  </si>
  <si>
    <t>Baunsgaard I (RV)</t>
  </si>
  <si>
    <t>Krag IV (SD)</t>
  </si>
  <si>
    <t>Jørgensen I (SD)</t>
  </si>
  <si>
    <t>Hartling I (LIB)</t>
  </si>
  <si>
    <t>Jørgensen II (SD)</t>
  </si>
  <si>
    <t>Jørgensen III (SD)</t>
  </si>
  <si>
    <t>Jørgensen IV (SD)</t>
  </si>
  <si>
    <t>Jørgensen V (SD)</t>
  </si>
  <si>
    <t>Jørgensen VI (SD)</t>
  </si>
  <si>
    <t>Schlüter I (KF)</t>
  </si>
  <si>
    <t>Schlüter II (KF)</t>
  </si>
  <si>
    <t>Schlüter III (KF)</t>
  </si>
  <si>
    <t>Schlüter IV (KF)</t>
  </si>
  <si>
    <t>Schlüter V (KF)</t>
  </si>
  <si>
    <t>KRF</t>
  </si>
  <si>
    <t>Nyrup Rasmussen I (SD)</t>
  </si>
  <si>
    <t>Nyrup Rasmussen II (SD)</t>
  </si>
  <si>
    <t>Nyrup Rasmussen III (SD)</t>
  </si>
  <si>
    <t>Nyrup Rasmussen IV (SD)</t>
  </si>
  <si>
    <t>Fogh Rasmussen I (LIB)</t>
  </si>
  <si>
    <t>Fogh Rasmussen II (LIB)</t>
  </si>
  <si>
    <t>Fogh Rasmussen III (LIB)</t>
  </si>
  <si>
    <t>Løkke Rasmussen I (LIB)</t>
  </si>
  <si>
    <t>Thorning-Schmidt I (SD)</t>
  </si>
  <si>
    <t>SPP</t>
  </si>
  <si>
    <t>Thors III (IP)</t>
  </si>
  <si>
    <t>Benediktsson I (IP)</t>
  </si>
  <si>
    <t>Benediktsson II (IP)</t>
  </si>
  <si>
    <t>Hafstein I (IP)</t>
  </si>
  <si>
    <t>agriarian</t>
  </si>
  <si>
    <t>Gröndal I (SDP)</t>
  </si>
  <si>
    <t>Thoroddsen I (IP)</t>
  </si>
  <si>
    <t>Hermannsson I (PP)</t>
  </si>
  <si>
    <t>Hermannsson II (PP)</t>
  </si>
  <si>
    <t>Hermannsson III (PP)</t>
  </si>
  <si>
    <t>Oddsson I (IP)</t>
  </si>
  <si>
    <t>Oddsson II (IP)</t>
  </si>
  <si>
    <t>Oddsson III (IP)</t>
  </si>
  <si>
    <t>Oddsson IV (IP)</t>
  </si>
  <si>
    <t>Haarde I (IP)</t>
  </si>
  <si>
    <t>Haarde II (IP)</t>
  </si>
  <si>
    <t>Cowen I (FF)</t>
  </si>
  <si>
    <t>Kenny I (FG)</t>
  </si>
  <si>
    <t>Andreotti VII (DC)</t>
  </si>
  <si>
    <t>Amato I (PSI)</t>
  </si>
  <si>
    <t>Ciampi I (Ind.)</t>
  </si>
  <si>
    <t>Berlusconi I (FI)</t>
  </si>
  <si>
    <t>right2</t>
  </si>
  <si>
    <t>Dini I (Ind.)</t>
  </si>
  <si>
    <t>Prodi I (PPI)</t>
  </si>
  <si>
    <t>leftsoc2</t>
  </si>
  <si>
    <t>Greens</t>
  </si>
  <si>
    <t>D'Alema I  (DS)</t>
  </si>
  <si>
    <t>D'Alema II  (DS)</t>
  </si>
  <si>
    <t>Amato II (Ind.)</t>
  </si>
  <si>
    <t>Berlusconi II (FI)</t>
  </si>
  <si>
    <t>Berlusconi III (FI)</t>
  </si>
  <si>
    <t>social4</t>
  </si>
  <si>
    <t>comm2</t>
  </si>
  <si>
    <t>liberal5</t>
  </si>
  <si>
    <t>Berlusconi IV (FI)</t>
  </si>
  <si>
    <t>Monti I (Ind.)</t>
  </si>
  <si>
    <t>x</t>
  </si>
  <si>
    <t>Kaifu II (LDP)</t>
  </si>
  <si>
    <t>Miyazawa I (LDP)</t>
  </si>
  <si>
    <t>Miyazawa II (LDP)</t>
  </si>
  <si>
    <t>Hosokawa I (JNP)</t>
  </si>
  <si>
    <t>Hata I (JRP)</t>
  </si>
  <si>
    <t>Murayama I (SDP)</t>
  </si>
  <si>
    <t>Murayama II (SDP)</t>
  </si>
  <si>
    <t>Hashimoto I (LDP)</t>
  </si>
  <si>
    <t>Hashimoto II (LDP)</t>
  </si>
  <si>
    <t>Obuchi I (LDP)</t>
  </si>
  <si>
    <t>Obuchi II (LDP)</t>
  </si>
  <si>
    <t>Obuchi III (LDP)</t>
  </si>
  <si>
    <t>Noda I (DPJ)</t>
  </si>
  <si>
    <t xml:space="preserve">center </t>
  </si>
  <si>
    <t>relig4</t>
  </si>
  <si>
    <t>relig5</t>
  </si>
  <si>
    <t>relig6</t>
  </si>
  <si>
    <t>-</t>
  </si>
  <si>
    <t>SVP</t>
  </si>
  <si>
    <t>BDP</t>
  </si>
  <si>
    <t>RP</t>
  </si>
  <si>
    <t>Sukselainen IV (KESK)</t>
  </si>
  <si>
    <t>Miettunen I (KESK)</t>
  </si>
  <si>
    <t>Karjalainen I (KESK)</t>
  </si>
  <si>
    <t>Karjalainen II (KESK)</t>
  </si>
  <si>
    <t>X</t>
  </si>
  <si>
    <t>Virolainen I (KESK)</t>
  </si>
  <si>
    <t>Paasio I (SDP)</t>
  </si>
  <si>
    <t>Koivisto I (SDP)</t>
  </si>
  <si>
    <t>Lehto I (Ind.)</t>
  </si>
  <si>
    <t>Aura I (LKP)</t>
  </si>
  <si>
    <t>Karjalainen III (KESK)</t>
  </si>
  <si>
    <t>Karjalainen IV (KESK)</t>
  </si>
  <si>
    <t>Aura II (LKP)</t>
  </si>
  <si>
    <t>Paasio II (SDP)</t>
  </si>
  <si>
    <t>Sorsa I (SDP)</t>
  </si>
  <si>
    <t>Liinamaa I (SDP)</t>
  </si>
  <si>
    <t>Miettunen II (KESK)</t>
  </si>
  <si>
    <t>Miettunen III (KESK)</t>
  </si>
  <si>
    <t>Sorsa II (SDP)</t>
  </si>
  <si>
    <t>Sorsa III (SDP)</t>
  </si>
  <si>
    <t>Koivisto II (SDP)</t>
  </si>
  <si>
    <t>Sorsa IV (SDP)</t>
  </si>
  <si>
    <t>Sorsa V (SDP)</t>
  </si>
  <si>
    <t>Sorsa VI (SDP)</t>
  </si>
  <si>
    <t>Holkeri I (KOK)</t>
  </si>
  <si>
    <t>Holkeri II (KOK)</t>
  </si>
  <si>
    <t>Aho I (KESK)</t>
  </si>
  <si>
    <t>SKL</t>
  </si>
  <si>
    <t>Aho II (KESK)</t>
  </si>
  <si>
    <t>Lipponen I (SDP)</t>
  </si>
  <si>
    <t>VAS</t>
  </si>
  <si>
    <t>VIHR</t>
  </si>
  <si>
    <t>Lipponen II (SDP)</t>
  </si>
  <si>
    <t>Lipponen III (SDP)</t>
  </si>
  <si>
    <t>Jäätteenmäki I (KESK)</t>
  </si>
  <si>
    <t>Vanhanen I (KESK)</t>
  </si>
  <si>
    <t>Vanhanen II (KESK)</t>
  </si>
  <si>
    <t>Kiviniemi I (KESK)</t>
  </si>
  <si>
    <t>Katainen I (KOK)</t>
  </si>
  <si>
    <t>KD</t>
  </si>
  <si>
    <t>UDR</t>
  </si>
  <si>
    <t>RPR</t>
  </si>
  <si>
    <t>Debré I (UDR)</t>
  </si>
  <si>
    <t>Pompidou I (UDR)</t>
  </si>
  <si>
    <t>Pompidou II (UDR)</t>
  </si>
  <si>
    <t>Pompidou III (UDR)</t>
  </si>
  <si>
    <t>Pompidou IV (UDR)</t>
  </si>
  <si>
    <t>Pompidou V (UDR)</t>
  </si>
  <si>
    <t>Pompidou VI (UDR)</t>
  </si>
  <si>
    <t>Couve de Murville I (UDR)</t>
  </si>
  <si>
    <t>Chaban-Delmas I (UDR)</t>
  </si>
  <si>
    <t>Messmer I (UDR)</t>
  </si>
  <si>
    <t>Messmer II (UDR)</t>
  </si>
  <si>
    <t>Messmer III (UDR)</t>
  </si>
  <si>
    <t>Chirac I (UDR)</t>
  </si>
  <si>
    <t>Barre I (CDP)</t>
  </si>
  <si>
    <t>Barre II (CDP)</t>
  </si>
  <si>
    <t>Barre III (CDP)</t>
  </si>
  <si>
    <t>Mauroy I (PS)</t>
  </si>
  <si>
    <t>Mauroy II (PS)</t>
  </si>
  <si>
    <t>Mauroy III (PS)</t>
  </si>
  <si>
    <t>Fabius I (PS)</t>
  </si>
  <si>
    <t>Rocard I (PS)</t>
  </si>
  <si>
    <t>Rocard II (PS)</t>
  </si>
  <si>
    <t>Cresson I (PS)</t>
  </si>
  <si>
    <t>GE</t>
  </si>
  <si>
    <t>Bérégovoy I (PS)</t>
  </si>
  <si>
    <t>Balladur I (RPR)</t>
  </si>
  <si>
    <t>Chirac II (RPR)</t>
  </si>
  <si>
    <t>Juppé I (RPR)</t>
  </si>
  <si>
    <t>Juppé II (RPR)</t>
  </si>
  <si>
    <t>Jospin I (PS)</t>
  </si>
  <si>
    <t>MDC</t>
  </si>
  <si>
    <t>V</t>
  </si>
  <si>
    <t>Raffarin I (UMP)</t>
  </si>
  <si>
    <t>Raffarin II (UMP)</t>
  </si>
  <si>
    <t>Raffarin III (UMP)</t>
  </si>
  <si>
    <t>Villepin I (UMP)</t>
  </si>
  <si>
    <t>Fillon I (UMP)</t>
  </si>
  <si>
    <t>Fillon II (UMP)</t>
  </si>
  <si>
    <t>NC</t>
  </si>
  <si>
    <t>Ayrault I (PS)</t>
  </si>
  <si>
    <t>Ayrault II (PS)</t>
  </si>
  <si>
    <t xml:space="preserve"> Schaffner I (FDP)
Hans Schaffner (FDP)</t>
  </si>
  <si>
    <t xml:space="preserve"> Bonvin I (CVP)</t>
  </si>
  <si>
    <t xml:space="preserve">  Chaudet II (FDP)</t>
  </si>
  <si>
    <t>Gnägi I (SVP)</t>
  </si>
  <si>
    <t>Celio I (FDP)</t>
  </si>
  <si>
    <t xml:space="preserve"> Bonvin II (CVP)</t>
  </si>
  <si>
    <t>Brugger I (FDP)</t>
  </si>
  <si>
    <t>Gnägi II (SVP)</t>
  </si>
  <si>
    <t>Furgler I (CVP)</t>
  </si>
  <si>
    <t>Hürlimann I (CVP)</t>
  </si>
  <si>
    <t>Chevallaz I (FDP)</t>
  </si>
  <si>
    <t>Furgler II (CVP)</t>
  </si>
  <si>
    <t xml:space="preserve"> Honegger I (FDP)</t>
  </si>
  <si>
    <t>Schlumpf I (SVP)</t>
  </si>
  <si>
    <t>Furgler III (CVP)</t>
  </si>
  <si>
    <t xml:space="preserve"> Egli I (CVP)</t>
  </si>
  <si>
    <t>Delamuraz I (FDP)</t>
  </si>
  <si>
    <t>Delamuraz II (FDP)</t>
  </si>
  <si>
    <t>Koller I (CVP)</t>
  </si>
  <si>
    <t>Cotti I (CVP)</t>
  </si>
  <si>
    <t>Ogi I (SVP)</t>
  </si>
  <si>
    <t>Villiger II (FDP)</t>
  </si>
  <si>
    <t>Koller II (CVP)</t>
  </si>
  <si>
    <t>Cotti II (CVP)</t>
  </si>
  <si>
    <t>Ogi II (SVP)</t>
  </si>
  <si>
    <t>Villiger I (FDP)</t>
  </si>
  <si>
    <t xml:space="preserve"> Couchepin I (FDP)</t>
  </si>
  <si>
    <t>Deiss I (CVP)</t>
  </si>
  <si>
    <t>Schmid I (SVP)</t>
  </si>
  <si>
    <t>Couchepin I (FDP)</t>
  </si>
  <si>
    <t>Merz I (FDP)</t>
  </si>
  <si>
    <t>Leuthard I (CVP)</t>
  </si>
  <si>
    <t>Widmer-Schlumpf I (BDP)</t>
  </si>
  <si>
    <t>Maurer I (SVP)</t>
  </si>
  <si>
    <t>Wahlen I (SVP)</t>
  </si>
  <si>
    <t>Petitpierre III (FDP)</t>
  </si>
  <si>
    <t xml:space="preserve">U </t>
  </si>
  <si>
    <t>LAB</t>
  </si>
  <si>
    <t>NP</t>
  </si>
  <si>
    <t>NZF</t>
  </si>
  <si>
    <t>SPS</t>
  </si>
  <si>
    <t>Tschudi I (SPS)</t>
  </si>
  <si>
    <t>Tschudi II (SPS)</t>
  </si>
  <si>
    <t>Graber I (SPS)</t>
  </si>
  <si>
    <t>Ritschard I (SPS)</t>
  </si>
  <si>
    <t xml:space="preserve"> Aubert I (SPS)</t>
  </si>
  <si>
    <t xml:space="preserve"> Aubert II (SPS)</t>
  </si>
  <si>
    <t>Stich I (SPS)</t>
  </si>
  <si>
    <t>Felber I (SPS)</t>
  </si>
  <si>
    <t>Stich II (SPS)</t>
  </si>
  <si>
    <t>Dreifuss I (SPS)</t>
  </si>
  <si>
    <t>Leuenberger I (SPS)</t>
  </si>
  <si>
    <t>Leuenberger II (SPS)</t>
  </si>
  <si>
    <t>Calmy-Rey I (SPS)</t>
  </si>
  <si>
    <t>Calmy-Rey II (SPS)</t>
  </si>
  <si>
    <t xml:space="preserve">S </t>
  </si>
  <si>
    <t>C</t>
  </si>
  <si>
    <t>FP</t>
  </si>
  <si>
    <t>M</t>
  </si>
  <si>
    <t>KDS</t>
  </si>
  <si>
    <t>UCD</t>
  </si>
  <si>
    <t>PSOE</t>
  </si>
  <si>
    <t>PP</t>
  </si>
  <si>
    <t>PPD</t>
  </si>
  <si>
    <t>PPM</t>
  </si>
  <si>
    <t>CDS-PP</t>
  </si>
  <si>
    <t>DNA</t>
  </si>
  <si>
    <t>H</t>
  </si>
  <si>
    <t>SV</t>
  </si>
  <si>
    <t>KVP</t>
  </si>
  <si>
    <t>ARP</t>
  </si>
  <si>
    <t>CHU</t>
  </si>
  <si>
    <t>VVD</t>
  </si>
  <si>
    <t>PvdA</t>
  </si>
  <si>
    <t>DS70</t>
  </si>
  <si>
    <t>D66</t>
  </si>
  <si>
    <t>CDA</t>
  </si>
  <si>
    <t>LPF</t>
  </si>
  <si>
    <t>CSP</t>
  </si>
  <si>
    <t>LSAP</t>
  </si>
  <si>
    <t>LDP</t>
  </si>
  <si>
    <t>NLC</t>
  </si>
  <si>
    <t>JRP</t>
  </si>
  <si>
    <t>CGP</t>
  </si>
  <si>
    <t>JNP</t>
  </si>
  <si>
    <t>DSP</t>
  </si>
  <si>
    <t>UDS</t>
  </si>
  <si>
    <t>CP</t>
  </si>
  <si>
    <t>PNP</t>
  </si>
  <si>
    <t>DC</t>
  </si>
  <si>
    <t>PSDI</t>
  </si>
  <si>
    <t>PRI</t>
  </si>
  <si>
    <t>PSI</t>
  </si>
  <si>
    <t>PSU</t>
  </si>
  <si>
    <t>PLI</t>
  </si>
  <si>
    <t>FI</t>
  </si>
  <si>
    <t>LN</t>
  </si>
  <si>
    <t>PPI</t>
  </si>
  <si>
    <t>PDS</t>
  </si>
  <si>
    <t>RI</t>
  </si>
  <si>
    <t>AN</t>
  </si>
  <si>
    <t>PDL</t>
  </si>
  <si>
    <t>DCpA</t>
  </si>
  <si>
    <t>UDEUR</t>
  </si>
  <si>
    <t>RC</t>
  </si>
  <si>
    <t>SDI</t>
  </si>
  <si>
    <t>PCDI</t>
  </si>
  <si>
    <t>Adenauer V (CDU)</t>
  </si>
  <si>
    <t>Adenauer VI (CDU)</t>
  </si>
  <si>
    <t>Adenauer VII (CDU)</t>
  </si>
  <si>
    <t>Adenauer VIII (CDU)</t>
  </si>
  <si>
    <t>Adenauer IX (CDU)</t>
  </si>
  <si>
    <t>Erhard I (CDU)</t>
  </si>
  <si>
    <t>Erhard II (CDU)</t>
  </si>
  <si>
    <t>Erhard III (CDU)</t>
  </si>
  <si>
    <t>Kiesinger I (CDU)</t>
  </si>
  <si>
    <t>Brandt I (SPD)</t>
  </si>
  <si>
    <t>Brandt II (SPD)</t>
  </si>
  <si>
    <t>Brandt III (SPD)</t>
  </si>
  <si>
    <t>Schmidt I (SPD)</t>
  </si>
  <si>
    <t>Schmidt II (SPD)</t>
  </si>
  <si>
    <t>Schmidt III (SPD)</t>
  </si>
  <si>
    <t>Schmidt IV (SPD)</t>
  </si>
  <si>
    <t>Kohl I (CDU)</t>
  </si>
  <si>
    <t>Kohl II (CDU)</t>
  </si>
  <si>
    <t>Kohl III (CDU)</t>
  </si>
  <si>
    <t>Kohl IV (CDU)</t>
  </si>
  <si>
    <t>Kohl V (CDU)</t>
  </si>
  <si>
    <t>Kohl VI (CDU)</t>
  </si>
  <si>
    <t>Schröder I (SPD)</t>
  </si>
  <si>
    <t>G</t>
  </si>
  <si>
    <t>Schröder II (SPD)</t>
  </si>
  <si>
    <t>Merkel I (CDU)</t>
  </si>
  <si>
    <t>Merkel II (CDU)</t>
  </si>
  <si>
    <t>LAOS</t>
  </si>
  <si>
    <t>Karamanlis VII (ND)</t>
  </si>
  <si>
    <t>CCD</t>
  </si>
  <si>
    <t>UD</t>
  </si>
  <si>
    <t>DEM</t>
  </si>
  <si>
    <t>FF</t>
  </si>
  <si>
    <t>FG</t>
  </si>
  <si>
    <t>PD</t>
  </si>
  <si>
    <t>DL</t>
  </si>
  <si>
    <t>GP</t>
  </si>
  <si>
    <t>IP</t>
  </si>
  <si>
    <t>PA</t>
  </si>
  <si>
    <t>SDA</t>
  </si>
  <si>
    <t>LG</t>
  </si>
  <si>
    <t>ULL</t>
  </si>
  <si>
    <t>A</t>
  </si>
  <si>
    <t>PPR</t>
  </si>
  <si>
    <t>CU</t>
  </si>
  <si>
    <t>NPS</t>
  </si>
  <si>
    <t xml:space="preserve">NPS </t>
  </si>
  <si>
    <t>NCP</t>
  </si>
  <si>
    <t>DPJ</t>
  </si>
  <si>
    <t>DPL</t>
  </si>
  <si>
    <t>UDC</t>
  </si>
  <si>
    <t>Eisenhower II (RP)</t>
  </si>
  <si>
    <t>Kennedy I (DP)</t>
  </si>
  <si>
    <t>Johnson I (DP)</t>
  </si>
  <si>
    <t>Johnson II (DP)</t>
  </si>
  <si>
    <t>Nixon I (RP)</t>
  </si>
  <si>
    <t>Nixon II (RP)</t>
  </si>
  <si>
    <t>Ford I (RP)</t>
  </si>
  <si>
    <t>Carter I (DP)</t>
  </si>
  <si>
    <t>Reagan I (RP)</t>
  </si>
  <si>
    <t>Reagan II (RP)</t>
  </si>
  <si>
    <t>Clinton I (DP)</t>
  </si>
  <si>
    <t>Clinton II (DP)</t>
  </si>
  <si>
    <t>Obama I (DP)</t>
  </si>
  <si>
    <t>Erlander VII (S)</t>
  </si>
  <si>
    <t>Erlander VIII (S)</t>
  </si>
  <si>
    <t>Erlander IX (S)</t>
  </si>
  <si>
    <t>Erlander X (S)</t>
  </si>
  <si>
    <t>Palme I (S)</t>
  </si>
  <si>
    <t>Palme II (S)</t>
  </si>
  <si>
    <t>Palme III (S)</t>
  </si>
  <si>
    <t xml:space="preserve">Fälldin I (C) </t>
  </si>
  <si>
    <t xml:space="preserve">Fälldin II (C) </t>
  </si>
  <si>
    <t xml:space="preserve">Fälldin III (C) </t>
  </si>
  <si>
    <t>Palme IV (S)</t>
  </si>
  <si>
    <t>Palme V (S)</t>
  </si>
  <si>
    <t>Carlsson I (S)</t>
  </si>
  <si>
    <t>Carlsson II (S)</t>
  </si>
  <si>
    <t>Carlsson III (S)</t>
  </si>
  <si>
    <t>Bildt I (M)</t>
  </si>
  <si>
    <t>Carlsson IV (S)</t>
  </si>
  <si>
    <t>Persson I (S)</t>
  </si>
  <si>
    <t>Persson II (S)</t>
  </si>
  <si>
    <t>Persson III (S)</t>
  </si>
  <si>
    <t>Reinfeldt I (M)</t>
  </si>
  <si>
    <t>Reinfeldt II (M)</t>
  </si>
  <si>
    <t>Soares I (PS)</t>
  </si>
  <si>
    <t>Soares II (PS)</t>
  </si>
  <si>
    <t>Soares III (PS)</t>
  </si>
  <si>
    <t>Gerhardsen V (DNA)</t>
  </si>
  <si>
    <t>Gerhardsen VI (DNA)</t>
  </si>
  <si>
    <t>Lyng I (H)</t>
  </si>
  <si>
    <t>Gerhardsen VII (DNA)</t>
  </si>
  <si>
    <t>Borten I (SP)</t>
  </si>
  <si>
    <t>Borten II (SP)</t>
  </si>
  <si>
    <t>Bratelli I (DNA)</t>
  </si>
  <si>
    <t>Korvald I (KRF)</t>
  </si>
  <si>
    <t>Brattelli II (DNA)</t>
  </si>
  <si>
    <t>Nordli I (DNA)</t>
  </si>
  <si>
    <t>Nordli II (DNA)</t>
  </si>
  <si>
    <t>Harlem Brundtland I (DNA)</t>
  </si>
  <si>
    <t>Willoch I (H)</t>
  </si>
  <si>
    <t>Willoch II (H)</t>
  </si>
  <si>
    <t>Willoch III (H)</t>
  </si>
  <si>
    <t>Harlem Brundtland II (DNA)</t>
  </si>
  <si>
    <t>Nash I (LAB)</t>
  </si>
  <si>
    <t>Holyoake II (NP)</t>
  </si>
  <si>
    <t>Holyoake III (NP)</t>
  </si>
  <si>
    <t>Holyoake IV (NP)</t>
  </si>
  <si>
    <t>Holyoake V (NP)</t>
  </si>
  <si>
    <t>Marshall I (NP)</t>
  </si>
  <si>
    <t>Kirk I (LAB)</t>
  </si>
  <si>
    <t>Rowling I (LAB)</t>
  </si>
  <si>
    <t>Muldoon I (NP)</t>
  </si>
  <si>
    <t>Muldoon II (NP)</t>
  </si>
  <si>
    <t>Muldoon III (NP)</t>
  </si>
  <si>
    <t>Lange I (LAB)</t>
  </si>
  <si>
    <t>Lange II (LAB)</t>
  </si>
  <si>
    <t>Palmer I (LAB)</t>
  </si>
  <si>
    <t>Bolger I (NP)</t>
  </si>
  <si>
    <t>Bolger II (NP)</t>
  </si>
  <si>
    <t>Bolger III (NP)</t>
  </si>
  <si>
    <t>Bolger IV (NP)</t>
  </si>
  <si>
    <t>Shipley I (NP)</t>
  </si>
  <si>
    <t>Shipley II (NP)</t>
  </si>
  <si>
    <t>Clark I (LAB)</t>
  </si>
  <si>
    <t>Clark II (LAB)</t>
  </si>
  <si>
    <t>Clark III (LAB)</t>
  </si>
  <si>
    <t>Key I (NP)</t>
  </si>
  <si>
    <t>Key II (NP)</t>
  </si>
  <si>
    <t>Quay I (KVP)</t>
  </si>
  <si>
    <t>Marijnen I (KVP)</t>
  </si>
  <si>
    <t>Cals I (KVP)</t>
  </si>
  <si>
    <t>Zijlstra I (ARP)</t>
  </si>
  <si>
    <t>Biesheuvel I (ARP)</t>
  </si>
  <si>
    <t>Biesheuvel II (ARP)</t>
  </si>
  <si>
    <t>Lubbers I (CDA)</t>
  </si>
  <si>
    <t>Lubbers II (CDA)</t>
  </si>
  <si>
    <t>Lubbers III (CDA)</t>
  </si>
  <si>
    <t>Kok I (PvdA)</t>
  </si>
  <si>
    <t>Kok II (PvdA)</t>
  </si>
  <si>
    <t>Kok III (PvdA)</t>
  </si>
  <si>
    <t>Balkenende I (CDA)</t>
  </si>
  <si>
    <t>Balkenende II (CDA)</t>
  </si>
  <si>
    <t>Balkenende III (CDA)</t>
  </si>
  <si>
    <t>Balkenende IV (CDA)</t>
  </si>
  <si>
    <t>Balkenende V (CDA)</t>
  </si>
  <si>
    <t>Balkenende VI (CDA)</t>
  </si>
  <si>
    <t>Rutte I (VVD)</t>
  </si>
  <si>
    <t>Rutte II (VVD)</t>
  </si>
  <si>
    <t>Werner I (CSP)</t>
  </si>
  <si>
    <t>Werner II (CSP)</t>
  </si>
  <si>
    <t>Werner III (CSP)</t>
  </si>
  <si>
    <t>Werner IV (CSP)</t>
  </si>
  <si>
    <t>Thorn I (DP)</t>
  </si>
  <si>
    <t>Werner V (CSP)</t>
  </si>
  <si>
    <t>Santer I (CSP)</t>
  </si>
  <si>
    <t>Santer II (CSP)</t>
  </si>
  <si>
    <t>Santer III (CSP)</t>
  </si>
  <si>
    <t>Juncker I (CSP)</t>
  </si>
  <si>
    <t>Juncker II (CSP)</t>
  </si>
  <si>
    <t>Juncker III (CSP)</t>
  </si>
  <si>
    <t>Juncker IV (CSP)</t>
  </si>
  <si>
    <t>Kishi II (LDP)</t>
  </si>
  <si>
    <t>Ikeda II (LDP)</t>
  </si>
  <si>
    <t>Ikeda I (LDP)</t>
  </si>
  <si>
    <t>Ikeda III (LDP)</t>
  </si>
  <si>
    <t>Tanaka I (LDP)</t>
  </si>
  <si>
    <t>Tanaka II (LDP)</t>
  </si>
  <si>
    <t>Miki I (LDP)</t>
  </si>
  <si>
    <t>Fukuda I (LDP)</t>
  </si>
  <si>
    <t>Suzuki I (LDP)</t>
  </si>
  <si>
    <t>Nakasone I (LDP)</t>
  </si>
  <si>
    <t>Nakasone II (LDP)</t>
  </si>
  <si>
    <t>Nakasone III (LDP)</t>
  </si>
  <si>
    <t>Nakasone IV (LDP)</t>
  </si>
  <si>
    <t>Takeshita I (LDP)</t>
  </si>
  <si>
    <t>Uno I (LDP)</t>
  </si>
  <si>
    <t>Kaifu I (LDP)</t>
  </si>
  <si>
    <t>Koizumi I (LDP)</t>
  </si>
  <si>
    <t>Koizumi II (LDP)</t>
  </si>
  <si>
    <t>Abe I (LDP)</t>
  </si>
  <si>
    <t>Hatoyama I (DPJ)</t>
  </si>
  <si>
    <t>Hatoyama II (DPJ)</t>
  </si>
  <si>
    <t>Segni II (DC)</t>
  </si>
  <si>
    <t>Tambroni I (DC)</t>
  </si>
  <si>
    <t>Fanfani III (DC)</t>
  </si>
  <si>
    <t>Fanfani IV (DC)</t>
  </si>
  <si>
    <t>Leone I (DC)</t>
  </si>
  <si>
    <t>Moro I (DC)</t>
  </si>
  <si>
    <t>Moro II (DC)</t>
  </si>
  <si>
    <t>Moro III (DC)</t>
  </si>
  <si>
    <t>Leone II (DC)</t>
  </si>
  <si>
    <t>Rumor I (DC)</t>
  </si>
  <si>
    <t>Rumor II (DC)</t>
  </si>
  <si>
    <t>Rumor III (DC)</t>
  </si>
  <si>
    <t>Colombo I (DC)</t>
  </si>
  <si>
    <t>Colombo II (DC)</t>
  </si>
  <si>
    <t>Andreotti I (DC)</t>
  </si>
  <si>
    <t>Andreotti II (DC)</t>
  </si>
  <si>
    <t>Rumor IV (DC)</t>
  </si>
  <si>
    <t>Rumor V (DC)</t>
  </si>
  <si>
    <t>Moro IV (DC)</t>
  </si>
  <si>
    <t>Moro V (DC)</t>
  </si>
  <si>
    <t>Andreotti III (DC)</t>
  </si>
  <si>
    <t>Andreotti IV (DC)</t>
  </si>
  <si>
    <t>Andreotti V (DC)</t>
  </si>
  <si>
    <t>Cossiga I (DC)</t>
  </si>
  <si>
    <t>Cossiga II (DC)</t>
  </si>
  <si>
    <t>Forlani I (DC)</t>
  </si>
  <si>
    <t>Spadolini I (PRI)</t>
  </si>
  <si>
    <t>Spadolini II (PRI)</t>
  </si>
  <si>
    <t>Fanfani V (DC)</t>
  </si>
  <si>
    <t>Craxi I (PSI)</t>
  </si>
  <si>
    <t>Craxi II (PSI)</t>
  </si>
  <si>
    <t>Fanfani VI (DC)</t>
  </si>
  <si>
    <t>Goria I (DC)</t>
  </si>
  <si>
    <t>De Mita I (DC)</t>
  </si>
  <si>
    <t>Andreotti VI (DC)</t>
  </si>
  <si>
    <t>Andreotti VIII (DC)</t>
  </si>
  <si>
    <t>Lemass I (FF)</t>
  </si>
  <si>
    <t>Lemass II (FF)</t>
  </si>
  <si>
    <t>Lemass III (FF)</t>
  </si>
  <si>
    <t>Lynch I (FF)</t>
  </si>
  <si>
    <t>Lynch II (FF)</t>
  </si>
  <si>
    <t>Cosgrave I (FG)</t>
  </si>
  <si>
    <t>Lynch III (FF)</t>
  </si>
  <si>
    <t>Haughey I (FF)</t>
  </si>
  <si>
    <t>Fitzgerald I (FG)</t>
  </si>
  <si>
    <t>Haughey II (FF)</t>
  </si>
  <si>
    <t>Fitzgerald II (FG)</t>
  </si>
  <si>
    <t>Haughey III (FF)</t>
  </si>
  <si>
    <t>Haughey IV (FF)</t>
  </si>
  <si>
    <t>Reynolds I (FF)</t>
  </si>
  <si>
    <t>Reynolds II (FF)</t>
  </si>
  <si>
    <t>Bruton I (FG)</t>
  </si>
  <si>
    <t>Ahern I (FF)</t>
  </si>
  <si>
    <t>Ahern II (FF)</t>
  </si>
  <si>
    <t>Ahern III (FF)</t>
  </si>
  <si>
    <t>Cowen II (FF)</t>
  </si>
  <si>
    <t>Cowen III (FF)</t>
  </si>
  <si>
    <t>Karamanlis IV (ERE)</t>
  </si>
  <si>
    <t>Dovas I (Ind.)</t>
  </si>
  <si>
    <t>Karamanlis VIII (ND)</t>
  </si>
  <si>
    <t>Karamanlis V (ERE)</t>
  </si>
  <si>
    <t>Pipinelis I (Ind.)</t>
  </si>
  <si>
    <t>Mavromihalis I (Ind.)</t>
  </si>
  <si>
    <t>Papandreou I (CU)</t>
  </si>
  <si>
    <t>Paraskevopoulos I (Ind.)</t>
  </si>
  <si>
    <t>Papandreou II (CU)</t>
  </si>
  <si>
    <t>Athanassiades-Novas I (CU)</t>
  </si>
  <si>
    <t>Tsirimokos I (Diss-CU)</t>
  </si>
  <si>
    <t>Stefanopoulos I (Diss-CU)</t>
  </si>
  <si>
    <t>Paraskevopoulos II (Ind.)</t>
  </si>
  <si>
    <t>.</t>
  </si>
  <si>
    <t>Karamanlis VI (ERE)</t>
  </si>
  <si>
    <t>ERE</t>
  </si>
  <si>
    <t>Diss-CU</t>
  </si>
  <si>
    <t>Kanellopoulos II (ERE)</t>
  </si>
  <si>
    <t>Military junta</t>
  </si>
  <si>
    <t>Parliament. Election</t>
  </si>
  <si>
    <t xml:space="preserve">Technocrat-led partisan government </t>
  </si>
  <si>
    <t>Wilson I (LAB)</t>
  </si>
  <si>
    <t>Wilson II (LAB)</t>
  </si>
  <si>
    <t>Wilson III (LAB)</t>
  </si>
  <si>
    <t>Wilson IV (LAB)</t>
  </si>
  <si>
    <t>Callaghan I (LAB)</t>
  </si>
  <si>
    <t>Blair I (LAB)</t>
  </si>
  <si>
    <t>Blair II (LAB)</t>
  </si>
  <si>
    <t>Blair III (LAB)</t>
  </si>
  <si>
    <t>Brown I (LAB)</t>
  </si>
  <si>
    <t>CON</t>
  </si>
  <si>
    <t>Douglas-Home I (CON)</t>
  </si>
  <si>
    <t>Heath I (CON)</t>
  </si>
  <si>
    <t>Thatcher I (CON)</t>
  </si>
  <si>
    <t>Thatcher II (CON)</t>
  </si>
  <si>
    <t>Thatcher III (CON)</t>
  </si>
  <si>
    <t>Major I (CON)</t>
  </si>
  <si>
    <t>Major II (CON)</t>
  </si>
  <si>
    <t>Cameron I (CON)</t>
  </si>
  <si>
    <t>Nonpartisan caretaker government</t>
  </si>
  <si>
    <t>Full technocratic government</t>
  </si>
  <si>
    <t xml:space="preserve">Nonpartisan caretaker government </t>
  </si>
  <si>
    <t>ULIVO</t>
  </si>
  <si>
    <t>RnP</t>
  </si>
  <si>
    <t>NPSI</t>
  </si>
  <si>
    <t>Prodi II (ULIVO)</t>
  </si>
  <si>
    <t>Kan I (DPJ)</t>
  </si>
  <si>
    <t>Mori I (LDP)</t>
  </si>
  <si>
    <t>Abe II (LDP)</t>
  </si>
  <si>
    <t>de Jong I (KVP)</t>
  </si>
  <si>
    <t>den Uyl I (PvdA)</t>
  </si>
  <si>
    <t>van Agt I (CDA)</t>
  </si>
  <si>
    <t>van Agt II (CDA)</t>
  </si>
  <si>
    <t>van Agt III (CDA)</t>
  </si>
  <si>
    <t>Spühler I (SPS)</t>
  </si>
  <si>
    <t>Spühler II (SPS)</t>
  </si>
  <si>
    <t>Syse I (H)</t>
  </si>
  <si>
    <t>Harlem Brundtland III (DNA)</t>
  </si>
  <si>
    <t>Bondevik I (KRF)</t>
  </si>
  <si>
    <t xml:space="preserve">Jagland I (DNA) </t>
  </si>
  <si>
    <t>Stoltenberg I (DNA)</t>
  </si>
  <si>
    <t>Stoltenberg II (DNA)</t>
  </si>
  <si>
    <t>Stoltenberg III (DNA)</t>
  </si>
  <si>
    <t>Bondevik II (KRF)</t>
  </si>
  <si>
    <t>Mota Pinto I (Ind.)</t>
  </si>
  <si>
    <t>Lurdes Pintassilgo I (Ind.)</t>
  </si>
  <si>
    <t>Sá Carneiro I (PPD)</t>
  </si>
  <si>
    <t>Pinto Balsemão I (PPD)</t>
  </si>
  <si>
    <t>Pinto Balsemão II (PPD)</t>
  </si>
  <si>
    <t>Cavaco Silva I (PPD)</t>
  </si>
  <si>
    <t>Cavaco Silva II (PPD)</t>
  </si>
  <si>
    <t>Cavaco Silva III (PPD)</t>
  </si>
  <si>
    <t>Guterres I (PS)</t>
  </si>
  <si>
    <t>Guterres II (PS)</t>
  </si>
  <si>
    <t>Barosso I (PPD)</t>
  </si>
  <si>
    <t>Santana Lopes I (PPD)</t>
  </si>
  <si>
    <t>Sócrates I (PS)</t>
  </si>
  <si>
    <t>Sócrates II (PS)</t>
  </si>
  <si>
    <t>Nobre da Costa I (Ind.)</t>
  </si>
  <si>
    <t>Suárez I (UCD)</t>
  </si>
  <si>
    <t>Suárez II (UCD)</t>
  </si>
  <si>
    <t>Calvo-Sotelo I (UCD)</t>
  </si>
  <si>
    <t>González I (PSOE)</t>
  </si>
  <si>
    <t>González II (PSOE)</t>
  </si>
  <si>
    <t>González III (PSOE)</t>
  </si>
  <si>
    <t>González IV (PSOE)</t>
  </si>
  <si>
    <t>Aznar II (PP)</t>
  </si>
  <si>
    <t>Aznar I (PP)</t>
  </si>
  <si>
    <t>Zapatero I (PSOE)</t>
  </si>
  <si>
    <t>Zapatero II (PSOE)</t>
  </si>
  <si>
    <t>Rajoy I (PP)</t>
  </si>
  <si>
    <t>Ullsten I (FP)</t>
  </si>
  <si>
    <t>von Moos I (CVP)</t>
  </si>
  <si>
    <t>von Moos II (CVP)</t>
  </si>
  <si>
    <t>right4</t>
  </si>
  <si>
    <t>Macmillan II (CON)</t>
  </si>
  <si>
    <t>Mori II (LDP)</t>
  </si>
  <si>
    <t>Koizumi III (LDP)</t>
  </si>
  <si>
    <t>Drnovšek II (LDS)</t>
  </si>
  <si>
    <t>Drnovšek III (LDS)</t>
  </si>
  <si>
    <t>Drnovšek IV (LDS)</t>
  </si>
  <si>
    <t>Drnovšek V (LDS)</t>
  </si>
  <si>
    <t>Rop I (LDS)</t>
  </si>
  <si>
    <t>Bajuk I (SLS)</t>
  </si>
  <si>
    <t>Rop II (LDS)</t>
  </si>
  <si>
    <t>LDS</t>
  </si>
  <si>
    <t>SKD</t>
  </si>
  <si>
    <t>ZLSD</t>
  </si>
  <si>
    <t>ZS</t>
  </si>
  <si>
    <t>SDS</t>
  </si>
  <si>
    <t>SLS</t>
  </si>
  <si>
    <t>agrarian1</t>
  </si>
  <si>
    <t>DeSUS</t>
  </si>
  <si>
    <t>pension</t>
  </si>
  <si>
    <t>NSi</t>
  </si>
  <si>
    <t>Pahor I (SD)</t>
  </si>
  <si>
    <t>ZARES</t>
  </si>
  <si>
    <t>Pahor II (SD)</t>
  </si>
  <si>
    <t>SLS-SKD</t>
  </si>
  <si>
    <t>allia2</t>
  </si>
  <si>
    <t>HZDS</t>
  </si>
  <si>
    <t>SNS</t>
  </si>
  <si>
    <t>Mečiar II (HZDS)</t>
  </si>
  <si>
    <t>Mečiar III (HZDS)</t>
  </si>
  <si>
    <t>Mečiar IV (HZDS)</t>
  </si>
  <si>
    <t>SDL</t>
  </si>
  <si>
    <t>KDH</t>
  </si>
  <si>
    <t>SDK</t>
  </si>
  <si>
    <t>ANO</t>
  </si>
  <si>
    <t>Dzurinda I (SDK)</t>
  </si>
  <si>
    <t>ZRS</t>
  </si>
  <si>
    <t>SOP</t>
  </si>
  <si>
    <t>SDKU</t>
  </si>
  <si>
    <t xml:space="preserve">ANO </t>
  </si>
  <si>
    <t>postco1</t>
  </si>
  <si>
    <t>SMK</t>
  </si>
  <si>
    <t>liberal6</t>
  </si>
  <si>
    <t>liberal7</t>
  </si>
  <si>
    <t>SDKU-DS</t>
  </si>
  <si>
    <t>LS-HZDS</t>
  </si>
  <si>
    <t>Radičová I (SDKU-DS)</t>
  </si>
  <si>
    <t>SaS</t>
  </si>
  <si>
    <t>Most-Hid</t>
  </si>
  <si>
    <t>liberal8</t>
  </si>
  <si>
    <t>ethnic4</t>
  </si>
  <si>
    <t>Smer-SD</t>
  </si>
  <si>
    <t>Fico II (Smer-SD)</t>
  </si>
  <si>
    <t>Fico I (Smer-SD)</t>
  </si>
  <si>
    <t>Roman I (NSF)</t>
  </si>
  <si>
    <t>Stolojan I (NSF)</t>
  </si>
  <si>
    <t>NSF</t>
  </si>
  <si>
    <t>PNL</t>
  </si>
  <si>
    <t>MER</t>
  </si>
  <si>
    <t>PDAR</t>
  </si>
  <si>
    <t>PDSR</t>
  </si>
  <si>
    <t>PUNR</t>
  </si>
  <si>
    <t>CDR</t>
  </si>
  <si>
    <t>allia1</t>
  </si>
  <si>
    <t xml:space="preserve">PD </t>
  </si>
  <si>
    <t>UDMR</t>
  </si>
  <si>
    <t>Ciorbea I (CDR)</t>
  </si>
  <si>
    <t>Vasile I (CDR)</t>
  </si>
  <si>
    <t>PUR</t>
  </si>
  <si>
    <t>PSD</t>
  </si>
  <si>
    <t>Boc I (PD-L)</t>
  </si>
  <si>
    <t>PD-L</t>
  </si>
  <si>
    <t>Boc II (PD-L)</t>
  </si>
  <si>
    <t>Boc III (PD-L)</t>
  </si>
  <si>
    <t>Boc IV (PD-L)</t>
  </si>
  <si>
    <t>UNPR</t>
  </si>
  <si>
    <t>Ponta I (PSD)</t>
  </si>
  <si>
    <t>Ungureanu I (PD-L)</t>
  </si>
  <si>
    <t>Ponta II (PSD)</t>
  </si>
  <si>
    <t>Olszewski I (PC)</t>
  </si>
  <si>
    <t>WAK</t>
  </si>
  <si>
    <t>PL</t>
  </si>
  <si>
    <t>agrarian2</t>
  </si>
  <si>
    <t>Pawlak I (PSL)</t>
  </si>
  <si>
    <t>ZChN</t>
  </si>
  <si>
    <t xml:space="preserve">PChD </t>
  </si>
  <si>
    <t>KLD</t>
  </si>
  <si>
    <t>PSL</t>
  </si>
  <si>
    <t>SLD</t>
  </si>
  <si>
    <t>Pawlak II (PSL)</t>
  </si>
  <si>
    <t>Olesky I (SLD)</t>
  </si>
  <si>
    <t>Cimoszewicz I (SLD)</t>
  </si>
  <si>
    <t>AWS</t>
  </si>
  <si>
    <t>UW</t>
  </si>
  <si>
    <t xml:space="preserve">Miller I (SLD) </t>
  </si>
  <si>
    <t xml:space="preserve">UP </t>
  </si>
  <si>
    <t xml:space="preserve">Miller II (SLD) </t>
  </si>
  <si>
    <t>Belka I (SLD)</t>
  </si>
  <si>
    <t>Belka II (SLD)</t>
  </si>
  <si>
    <t>SdPL</t>
  </si>
  <si>
    <t>Pis</t>
  </si>
  <si>
    <t xml:space="preserve">Marcinkiewicz I (Pis) </t>
  </si>
  <si>
    <t xml:space="preserve">Marcinkiewicz II (Pis) </t>
  </si>
  <si>
    <t>SRP</t>
  </si>
  <si>
    <t>agrarian3</t>
  </si>
  <si>
    <t>LPR</t>
  </si>
  <si>
    <t>Tusk I (PO)</t>
  </si>
  <si>
    <t>PO</t>
  </si>
  <si>
    <t>Tusk II (PO)</t>
  </si>
  <si>
    <t>Dimitrov I (SDS)</t>
  </si>
  <si>
    <t>Sofiyanski I (SDS)</t>
  </si>
  <si>
    <t>Kostov I (SDS)</t>
  </si>
  <si>
    <t>Berov I (Ind.)</t>
  </si>
  <si>
    <t>Popov I (Ind.)</t>
  </si>
  <si>
    <t>BSP</t>
  </si>
  <si>
    <t>BZNS</t>
  </si>
  <si>
    <t>Indzhova I (Ind.)</t>
  </si>
  <si>
    <t>BSP/CDL</t>
  </si>
  <si>
    <t>Videnov I (BSP/CDL)</t>
  </si>
  <si>
    <t>Lukanov II (BSP)</t>
  </si>
  <si>
    <t>Saxecoburggotski I (NDSV)</t>
  </si>
  <si>
    <t>NDSV</t>
  </si>
  <si>
    <t>person1</t>
  </si>
  <si>
    <t>DPS</t>
  </si>
  <si>
    <t>Stanishev I (KB)</t>
  </si>
  <si>
    <t>BSP/KB</t>
  </si>
  <si>
    <t>KB</t>
  </si>
  <si>
    <t>Borissov I (GERB)</t>
  </si>
  <si>
    <t>GERB</t>
  </si>
  <si>
    <t>postcom1</t>
  </si>
  <si>
    <t>Fenech Adami I (PN)</t>
  </si>
  <si>
    <t>PN</t>
  </si>
  <si>
    <t>Fenech Adami II (PN)</t>
  </si>
  <si>
    <t>Sant I (MLP)</t>
  </si>
  <si>
    <t>MLP</t>
  </si>
  <si>
    <t>Fenech Adami III (PN)</t>
  </si>
  <si>
    <t>Fenech Adami IV (PN)</t>
  </si>
  <si>
    <t>Gonzi I (PN)</t>
  </si>
  <si>
    <t>Gonzi II (PN)</t>
  </si>
  <si>
    <t>HSLS</t>
  </si>
  <si>
    <t>HSS</t>
  </si>
  <si>
    <t>IDS</t>
  </si>
  <si>
    <t>HNS</t>
  </si>
  <si>
    <t>Libra</t>
  </si>
  <si>
    <t>LS</t>
  </si>
  <si>
    <t>Sanader I (HDZ)</t>
  </si>
  <si>
    <t>HDZ</t>
  </si>
  <si>
    <t>Sanader II (HDZ)</t>
  </si>
  <si>
    <t>Sanader III (HDZ)</t>
  </si>
  <si>
    <t>SDSS</t>
  </si>
  <si>
    <t>Kosor I (HDZ)</t>
  </si>
  <si>
    <t>Kosor II (HDZ)</t>
  </si>
  <si>
    <t>Brazauskas I (LSDP)</t>
  </si>
  <si>
    <t>NS-SL</t>
  </si>
  <si>
    <t>Brazauskas II (LSDP)</t>
  </si>
  <si>
    <t>LPPU</t>
  </si>
  <si>
    <t>LCU</t>
  </si>
  <si>
    <t>TS-LK</t>
  </si>
  <si>
    <t>NRP</t>
  </si>
  <si>
    <t>LMLR</t>
  </si>
  <si>
    <t>PTT</t>
  </si>
  <si>
    <t>LLRA</t>
  </si>
  <si>
    <t>LDDP</t>
  </si>
  <si>
    <t>LKDP</t>
  </si>
  <si>
    <t>LCS</t>
  </si>
  <si>
    <t xml:space="preserve">Paksas I (TS-LK) </t>
  </si>
  <si>
    <t xml:space="preserve">Kubilius I (TS-LK) </t>
  </si>
  <si>
    <t xml:space="preserve">Lubys I (LDDP) </t>
  </si>
  <si>
    <t>LLS</t>
  </si>
  <si>
    <t xml:space="preserve">liberal5 </t>
  </si>
  <si>
    <t>LC</t>
  </si>
  <si>
    <t>Birkavs I (LC)</t>
  </si>
  <si>
    <t>LZS</t>
  </si>
  <si>
    <t>Gailis I (LC)</t>
  </si>
  <si>
    <t>TPA</t>
  </si>
  <si>
    <t>TB</t>
  </si>
  <si>
    <t>LNNK</t>
  </si>
  <si>
    <t>TB/LNNK</t>
  </si>
  <si>
    <t>JP</t>
  </si>
  <si>
    <t>social6</t>
  </si>
  <si>
    <t>LSDA</t>
  </si>
  <si>
    <t>social5</t>
  </si>
  <si>
    <t>TP</t>
  </si>
  <si>
    <t>JL</t>
  </si>
  <si>
    <t>ZZS</t>
  </si>
  <si>
    <t>LPP</t>
  </si>
  <si>
    <t>Emsis I (ZZS)</t>
  </si>
  <si>
    <t>allia3</t>
  </si>
  <si>
    <t>LPP/LC</t>
  </si>
  <si>
    <t>Godmanis I (LPP/LC)</t>
  </si>
  <si>
    <t>DISY</t>
  </si>
  <si>
    <t>DIKO</t>
  </si>
  <si>
    <t>EDI</t>
  </si>
  <si>
    <t>EDEK</t>
  </si>
  <si>
    <t>Vassiliou I (Ind.)</t>
  </si>
  <si>
    <t>Papadopoulos I (DIKO)</t>
  </si>
  <si>
    <t>Clerides II (DISY)</t>
  </si>
  <si>
    <t>AKEL</t>
  </si>
  <si>
    <t>Christofias I (AKEL)</t>
  </si>
  <si>
    <t>Clerides I (DISY)</t>
  </si>
  <si>
    <t>conserv6</t>
  </si>
  <si>
    <t>VPN</t>
  </si>
  <si>
    <t>DS</t>
  </si>
  <si>
    <t>DUS</t>
  </si>
  <si>
    <t>Pithart I (OF)</t>
  </si>
  <si>
    <t>Klaus I (ODS)</t>
  </si>
  <si>
    <t>Klaus II (ODS)</t>
  </si>
  <si>
    <t>Tošovský I (Ind.)</t>
  </si>
  <si>
    <t>Zeman I (CSSD)</t>
  </si>
  <si>
    <t>Špidla I (CSSD)</t>
  </si>
  <si>
    <t>Gross I (CSSD)</t>
  </si>
  <si>
    <t>Paroubek I (CSSD)</t>
  </si>
  <si>
    <t>Topolánek I (ODS)</t>
  </si>
  <si>
    <t>Topolánek II (ODS)</t>
  </si>
  <si>
    <t>Fischer I (Ind.)</t>
  </si>
  <si>
    <t>Nečas I (ODS)</t>
  </si>
  <si>
    <t>Mečiar I (VPN)</t>
  </si>
  <si>
    <t>Čarnogurský I (KDH)</t>
  </si>
  <si>
    <t>OF</t>
  </si>
  <si>
    <t>HSD-SMS</t>
  </si>
  <si>
    <t>regio1</t>
  </si>
  <si>
    <t>KDU-CSL</t>
  </si>
  <si>
    <t>ODS</t>
  </si>
  <si>
    <t>ODA</t>
  </si>
  <si>
    <t>CSSD</t>
  </si>
  <si>
    <t>US-DEU</t>
  </si>
  <si>
    <t>liberal5/7</t>
  </si>
  <si>
    <t>SZ</t>
  </si>
  <si>
    <t>TOP 09</t>
  </si>
  <si>
    <t>VV</t>
  </si>
  <si>
    <t>Tarand I (Ind.)</t>
  </si>
  <si>
    <t>Kallas I (RE)</t>
  </si>
  <si>
    <t>Ansip I (RE)</t>
  </si>
  <si>
    <t>Ansip II (RE)</t>
  </si>
  <si>
    <t>Ansip III (RE)</t>
  </si>
  <si>
    <t>Ansip IV (RE)</t>
  </si>
  <si>
    <t>ERSP</t>
  </si>
  <si>
    <t>Vähi II (KMU)</t>
  </si>
  <si>
    <t>Vähi III (KMU)</t>
  </si>
  <si>
    <t>Siimann I (KMU)</t>
  </si>
  <si>
    <t>KMU</t>
  </si>
  <si>
    <t>RE</t>
  </si>
  <si>
    <t>IL</t>
  </si>
  <si>
    <t>Laar I (IL)</t>
  </si>
  <si>
    <t>Laar II (IL)</t>
  </si>
  <si>
    <t>Parts I (RP)</t>
  </si>
  <si>
    <t>RL</t>
  </si>
  <si>
    <t>IRL</t>
  </si>
  <si>
    <t>SDE</t>
  </si>
  <si>
    <t>Antall I (MDF)</t>
  </si>
  <si>
    <t>Boross I (MDF)</t>
  </si>
  <si>
    <t>Horn I (MSZP)</t>
  </si>
  <si>
    <t>Medgyessy I (MSZP)</t>
  </si>
  <si>
    <t>Gyurcsány I (MSZP)</t>
  </si>
  <si>
    <t>Gyurcsány II (MSZP)</t>
  </si>
  <si>
    <t>Gyurcsány III (MSZP)</t>
  </si>
  <si>
    <t>Bajnai I (MSZP)</t>
  </si>
  <si>
    <t>MDF</t>
  </si>
  <si>
    <t>FKGP</t>
  </si>
  <si>
    <t>KDNP</t>
  </si>
  <si>
    <t>MSZP</t>
  </si>
  <si>
    <t>Orbán I (FIDESZ)</t>
  </si>
  <si>
    <t>Orbán II (FIDESZ)</t>
  </si>
  <si>
    <t>FIDESZ</t>
  </si>
  <si>
    <t>SZDSZ</t>
  </si>
  <si>
    <t>Šķēle I (Ind.)</t>
  </si>
  <si>
    <t>Šķēle II (Ind.)</t>
  </si>
  <si>
    <t>Šķēle III (TP)</t>
  </si>
  <si>
    <t>LVP</t>
  </si>
  <si>
    <t>Krasts I (TB/LNNK)</t>
  </si>
  <si>
    <t>Krasts II (TB/LNNK)</t>
  </si>
  <si>
    <t>LZS/KDS</t>
  </si>
  <si>
    <t>Krištopans I (LC)</t>
  </si>
  <si>
    <t>Krištopans II (LC)</t>
  </si>
  <si>
    <t>Bērziņš I (LC)</t>
  </si>
  <si>
    <t>Repše I (JL)</t>
  </si>
  <si>
    <t>Kalvītis I (TP)</t>
  </si>
  <si>
    <t>Kalvītis II (TP)</t>
  </si>
  <si>
    <t>Kalvītis III (TP)</t>
  </si>
  <si>
    <t>Dombrovskis I (JL)</t>
  </si>
  <si>
    <t>Dombrovskis II (JL)</t>
  </si>
  <si>
    <t>Dombrovskis III (V)</t>
  </si>
  <si>
    <t>Dombrovskis IV (V)</t>
  </si>
  <si>
    <t>ZRP</t>
  </si>
  <si>
    <t>NA</t>
  </si>
  <si>
    <t>right5</t>
  </si>
  <si>
    <t>Fillon III (UMP)</t>
  </si>
  <si>
    <t>Starting date of calculations: 23.05.1990</t>
  </si>
  <si>
    <t>Starting date of calculations: 21.10.1992</t>
  </si>
  <si>
    <t>Starting date of calculations: 26.06.1990</t>
  </si>
  <si>
    <t>Starting date of calculations: 20.09.1990</t>
  </si>
  <si>
    <t xml:space="preserve">Šleževičius I (LDDP) </t>
  </si>
  <si>
    <t xml:space="preserve">Stankevičius I (LDDP) </t>
  </si>
  <si>
    <t xml:space="preserve">Vagnorius II (TS-LK) </t>
  </si>
  <si>
    <t xml:space="preserve">Paksas II (LLS) </t>
  </si>
  <si>
    <t>LSDP</t>
  </si>
  <si>
    <t>Kirkilas I (LSDP)</t>
  </si>
  <si>
    <t>Kirkilas II (LSDP)</t>
  </si>
  <si>
    <t>Kubilius II (TS-LK)</t>
  </si>
  <si>
    <t>Butkevičius I (LSDP)</t>
  </si>
  <si>
    <t>Unable to form government (only acting ministers)</t>
  </si>
  <si>
    <t>Suchocka I (UD)</t>
  </si>
  <si>
    <t>SLCh</t>
  </si>
  <si>
    <t>Buzek I (AWS)</t>
  </si>
  <si>
    <t>Buzek II (AWS)</t>
  </si>
  <si>
    <t>Starting date of calculations: 23.12.1991</t>
  </si>
  <si>
    <t>Kaczyński I (Pis)</t>
  </si>
  <si>
    <t>Kaczyński II (Pis)</t>
  </si>
  <si>
    <t>Văcăroiu I (Ind.)</t>
  </si>
  <si>
    <t>Văcăroiu II (Ind.)</t>
  </si>
  <si>
    <t>Dejeu I (CDR)</t>
  </si>
  <si>
    <t>Isărescu I (Ind.)</t>
  </si>
  <si>
    <t>Năstase I (PDSR)</t>
  </si>
  <si>
    <t>Popescu-Tăriceanu I (PNL)</t>
  </si>
  <si>
    <t>Popescu-Tăriceanu II (PNL)</t>
  </si>
  <si>
    <t>Jóhannesson I (PP)</t>
  </si>
  <si>
    <t>Hallgrímsson I (IP)</t>
  </si>
  <si>
    <t>Jóhannesson II (PP)</t>
  </si>
  <si>
    <t>Pálsson I (IP)</t>
  </si>
  <si>
    <t>Ásgrímsson I (PP)</t>
  </si>
  <si>
    <t>Sigurðardóttir I (SDA)</t>
  </si>
  <si>
    <t>Sigurðardóttir II (SDA)</t>
  </si>
  <si>
    <t>Satō I (LDP)</t>
  </si>
  <si>
    <t>Satō II (LDP)</t>
  </si>
  <si>
    <t>Satō III (LDP)</t>
  </si>
  <si>
    <t>Ōhira I (LDP)</t>
  </si>
  <si>
    <t>Ōhira II (LDP)</t>
  </si>
  <si>
    <t>Asō I (LDP)</t>
  </si>
  <si>
    <t>Račan I (SDP)</t>
  </si>
  <si>
    <t xml:space="preserve"> Račan II (SDP)</t>
  </si>
  <si>
    <t>Račan III (SDP)</t>
  </si>
  <si>
    <t>Račan IV (SDP)</t>
  </si>
  <si>
    <t>Milanović I (SDP)</t>
  </si>
  <si>
    <t>Lefèvre I (CVP)</t>
  </si>
  <si>
    <t>Vanden Boeynants I (CVP)</t>
  </si>
  <si>
    <t>Vanden Boeynants II (PSC)</t>
  </si>
  <si>
    <t>Văcăroiu II (PDSR)</t>
  </si>
  <si>
    <t>Governing Party 1</t>
  </si>
  <si>
    <t>Governing Party 2</t>
  </si>
  <si>
    <t>Governing Party 3</t>
  </si>
  <si>
    <t>Governing Party 4</t>
  </si>
  <si>
    <t>Governing Party 5</t>
  </si>
  <si>
    <t>Governing Party 6</t>
  </si>
  <si>
    <t>Right</t>
  </si>
  <si>
    <t>Centre</t>
  </si>
  <si>
    <t>Left</t>
  </si>
  <si>
    <t>Total</t>
  </si>
  <si>
    <t>% of Seats in Parliament</t>
  </si>
  <si>
    <t>% Seats</t>
  </si>
  <si>
    <t>Number of Cabinet Posts</t>
  </si>
  <si>
    <t>% of Posts in Government</t>
  </si>
  <si>
    <t>Văcăroiu III (PDSR)</t>
  </si>
  <si>
    <t>Starting date of calculations: 28.06.1990</t>
  </si>
  <si>
    <t>Moravčik I (DUS)</t>
  </si>
  <si>
    <t>ADSR</t>
  </si>
  <si>
    <t>NDS</t>
  </si>
  <si>
    <t>Mečiar V (HZDS)</t>
  </si>
  <si>
    <t>Dzurinda II (SDKU)</t>
  </si>
  <si>
    <t>Starting date of calculations: 27.06.1990</t>
  </si>
  <si>
    <t>Dzurinda III (SDKU-DS)</t>
  </si>
  <si>
    <t>Drnovšek VI (LDS)</t>
  </si>
  <si>
    <t>Janša II (SDS)</t>
  </si>
  <si>
    <t>Janša I (SDS)</t>
  </si>
  <si>
    <t>Starting date of calculations: 12.01.1993</t>
  </si>
  <si>
    <t>Starting date of calculations: 26.07.1974.</t>
  </si>
  <si>
    <t>Starting date of calculations: 27.01.2000</t>
  </si>
  <si>
    <t>Government Composition 1</t>
  </si>
  <si>
    <t>Government Composition 2</t>
  </si>
  <si>
    <t>Government Support</t>
  </si>
  <si>
    <t>(relative power position based on parliamentary seat share)</t>
  </si>
  <si>
    <t>(relative power position based on cabinet posts)</t>
  </si>
  <si>
    <t>(percentage of seats in parliament)</t>
  </si>
  <si>
    <t>(total government support)</t>
  </si>
  <si>
    <t>Starting date of calculations: 23.07.1976</t>
  </si>
  <si>
    <t>Starting date of calculations: 05.07.1977</t>
  </si>
  <si>
    <t>Starting date of calculations: 03.08.1993</t>
  </si>
  <si>
    <t>Starting date of calculations: 10.12.1992</t>
  </si>
  <si>
    <t>Raab II (ÖVP)</t>
  </si>
  <si>
    <t>Fagerholm III (SDP)</t>
  </si>
  <si>
    <t>De Gaulle (UDR)</t>
  </si>
  <si>
    <t>Jonsson II (SDP)</t>
  </si>
  <si>
    <t>Valera IX (FF)</t>
  </si>
  <si>
    <t>Fanfani II (DC)</t>
  </si>
  <si>
    <t>Frieden I (CSP)</t>
  </si>
  <si>
    <t>Beel II (KVP)</t>
  </si>
  <si>
    <t>Chaudet I (FDP)</t>
  </si>
  <si>
    <t>Macmillan I (CON)</t>
  </si>
  <si>
    <t>Rudd II (ALP)</t>
  </si>
  <si>
    <t>Abbott I (LIB)</t>
  </si>
  <si>
    <t>Faymann II (SPÖ)</t>
  </si>
  <si>
    <t>Raykov I (Ind.)</t>
  </si>
  <si>
    <t>Oresharksi I (KB)</t>
  </si>
  <si>
    <t>Merkel III (CDU)</t>
  </si>
  <si>
    <t>Gunnlaugsson I (PP)</t>
  </si>
  <si>
    <t>Bettel I (DP)</t>
  </si>
  <si>
    <t>green3</t>
  </si>
  <si>
    <t>Solberg I (H)</t>
  </si>
  <si>
    <t>FrP</t>
  </si>
  <si>
    <t>.24.07.2013</t>
  </si>
  <si>
    <t>Burkhalter I (FDP)</t>
  </si>
  <si>
    <t>Obama II (DP)</t>
  </si>
  <si>
    <t>Letta I (PD)</t>
  </si>
  <si>
    <t>Anastasiades I (DISY)</t>
  </si>
  <si>
    <t>EVROKO</t>
  </si>
  <si>
    <t>Rusnok I (Ind.)</t>
  </si>
  <si>
    <t>Muscat I (MLP)</t>
  </si>
  <si>
    <t>Bratušek I (PS)</t>
  </si>
  <si>
    <t>IR</t>
  </si>
  <si>
    <t>SC</t>
  </si>
  <si>
    <t>GLEI-GAP</t>
  </si>
  <si>
    <t>Technocratic government (Thomáš Podivínský remained a member of KDU-CSL while in government)</t>
  </si>
  <si>
    <t>Governing Party 7</t>
  </si>
  <si>
    <t>Governing Party 8</t>
  </si>
  <si>
    <t>President</t>
  </si>
  <si>
    <t>(transitory period)</t>
  </si>
  <si>
    <t>Annualized Variables (used in Comparative Political Data Sets)</t>
  </si>
  <si>
    <t>G.W. Bush I (RP)</t>
  </si>
  <si>
    <t>G.W. Bush II (RP)</t>
  </si>
  <si>
    <t>G.H.W. Bush I (RP)</t>
  </si>
  <si>
    <t>Janša III (SDS)</t>
  </si>
  <si>
    <t>Passos Coelho I (PSD)</t>
  </si>
  <si>
    <t>Samaras II (ND)</t>
  </si>
  <si>
    <t>Borg Olivier I (PN)</t>
  </si>
  <si>
    <t>Mintoff (MLP)</t>
  </si>
  <si>
    <t>Mintoff II (MLP)</t>
  </si>
  <si>
    <t>Mintoff III (MLP)</t>
  </si>
  <si>
    <t>Mifsud Bonnici (MLP)</t>
  </si>
  <si>
    <t>Starting date of calculations: 01.04.1966</t>
  </si>
  <si>
    <t>KP</t>
  </si>
  <si>
    <t>Michel I (MR)</t>
  </si>
  <si>
    <t>N-VA</t>
  </si>
  <si>
    <t>Bliznashki I</t>
  </si>
  <si>
    <t>Borissov II (GERB)</t>
  </si>
  <si>
    <t>RB</t>
  </si>
  <si>
    <t>ABV</t>
  </si>
  <si>
    <t>Sobotka I (CSSD)</t>
  </si>
  <si>
    <t>Thorning-Schmidt II (SD)</t>
  </si>
  <si>
    <t>Rõivas I (RE)</t>
  </si>
  <si>
    <t>Valls I (PS)</t>
  </si>
  <si>
    <t>Orbán III (FIDESZ)</t>
  </si>
  <si>
    <t>Renzi I (PD)</t>
  </si>
  <si>
    <t>Abe III (LDP)</t>
  </si>
  <si>
    <t>Straujuma I (V)</t>
  </si>
  <si>
    <t>Straujuma II (V)</t>
  </si>
  <si>
    <t>Butkevičius II (LSDP)</t>
  </si>
  <si>
    <t>Sommaruga I (SPS)</t>
  </si>
  <si>
    <t>NCD</t>
  </si>
  <si>
    <t>NCD-UDC</t>
  </si>
  <si>
    <t>Kyprianou I (DIKO)</t>
  </si>
  <si>
    <t>Kyprianou II (DIKO)</t>
  </si>
  <si>
    <t>Key III (NP)</t>
  </si>
  <si>
    <t>Kopacz I (PO)</t>
  </si>
  <si>
    <t>Ponta III (PSD)</t>
  </si>
  <si>
    <t>Ponta IV (PSD)</t>
  </si>
  <si>
    <t>PLR</t>
  </si>
  <si>
    <t>Löfven I (S)</t>
  </si>
  <si>
    <t>MP</t>
  </si>
  <si>
    <t>Stubb I (KOK)</t>
  </si>
  <si>
    <t>ZaAB</t>
  </si>
  <si>
    <t>Cerar I (MC)</t>
  </si>
  <si>
    <t>MC</t>
  </si>
  <si>
    <t>liberal9</t>
  </si>
  <si>
    <t>Nonpartisan government</t>
  </si>
  <si>
    <t>Starting date of calculations: 08.03.1978</t>
  </si>
  <si>
    <t>Turnbull I (LIB)</t>
  </si>
  <si>
    <t>Truedeau I (LIB)</t>
  </si>
  <si>
    <t>Milanović II (SDP)</t>
  </si>
  <si>
    <t>37.1</t>
  </si>
  <si>
    <t>Løkke Rasmussen II (LIB)</t>
  </si>
  <si>
    <t>Rõivas II (RE)</t>
  </si>
  <si>
    <t>Sipilä I (KESK)</t>
  </si>
  <si>
    <t>PRG</t>
  </si>
  <si>
    <t>Tsipras I (SYRIZA)</t>
  </si>
  <si>
    <t>Vassiliki T.-C. II (Ind.)</t>
  </si>
  <si>
    <t>Tsiparas II (SYRIZA)</t>
  </si>
  <si>
    <t>ANEL</t>
  </si>
  <si>
    <t>right3</t>
  </si>
  <si>
    <t>Szydlo I (PiS)</t>
  </si>
  <si>
    <t>PiS</t>
  </si>
  <si>
    <t>Passos Coelho II (PSD)</t>
  </si>
  <si>
    <t>Costa I (PS)</t>
  </si>
  <si>
    <t>Partisan caretaker government</t>
  </si>
  <si>
    <t>Cîmpeanu I (Ind)</t>
  </si>
  <si>
    <t>Ciolos I (Ind.)</t>
  </si>
  <si>
    <t>Schneider-Ammann I (FDP)</t>
  </si>
  <si>
    <t>Cameron II (CON)</t>
  </si>
  <si>
    <t>KE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</si>
</sst>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ont>
    <font>
      <sz val="7"/>
      <name val="Arial"/>
      <family val="2"/>
    </font>
    <font>
      <sz val="8"/>
      <color indexed="81"/>
      <name val="Tahoma"/>
      <family val="2"/>
    </font>
    <font>
      <sz val="10"/>
      <name val="Arial"/>
      <family val="2"/>
    </font>
    <font>
      <b/>
      <sz val="7"/>
      <name val="Arial"/>
      <family val="2"/>
    </font>
    <font>
      <sz val="9"/>
      <color indexed="81"/>
      <name val="Tahoma"/>
      <family val="2"/>
    </font>
    <font>
      <b/>
      <sz val="9"/>
      <color indexed="81"/>
      <name val="Tahoma"/>
      <family val="2"/>
    </font>
    <font>
      <sz val="10"/>
      <name val="Arial"/>
      <family val="2"/>
    </font>
    <font>
      <i/>
      <sz val="7"/>
      <name val="Arial"/>
      <family val="2"/>
    </font>
    <font>
      <b/>
      <sz val="8"/>
      <name val="Arial"/>
      <family val="2"/>
    </font>
    <font>
      <b/>
      <i/>
      <sz val="7"/>
      <name val="Arial"/>
      <family val="2"/>
    </font>
    <font>
      <sz val="11"/>
      <name val="Arial"/>
      <family val="2"/>
    </font>
    <font>
      <sz val="11"/>
      <color theme="1"/>
      <name val="Calibri"/>
      <family val="2"/>
      <scheme val="minor"/>
    </font>
    <font>
      <i/>
      <sz val="7"/>
      <color theme="0" tint="-0.34998626667073579"/>
      <name val="Arial"/>
      <family val="2"/>
    </font>
    <font>
      <i/>
      <sz val="7"/>
      <color theme="0" tint="-0.499984740745262"/>
      <name val="Arial"/>
      <family val="2"/>
    </font>
    <font>
      <sz val="7"/>
      <color theme="0" tint="-0.34998626667073579"/>
      <name val="Arial"/>
      <family val="2"/>
    </font>
    <font>
      <sz val="7"/>
      <color theme="1"/>
      <name val="Arial"/>
      <family val="2"/>
    </font>
    <font>
      <sz val="7"/>
      <color theme="0" tint="-0.499984740745262"/>
      <name val="Arial"/>
      <family val="2"/>
    </font>
    <font>
      <sz val="7"/>
      <color theme="0" tint="-0.249977111117893"/>
      <name val="Arial"/>
      <family val="2"/>
    </font>
    <font>
      <i/>
      <sz val="7"/>
      <color theme="1"/>
      <name val="Arial"/>
      <family val="2"/>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CC"/>
        <bgColor indexed="64"/>
      </patternFill>
    </fill>
    <fill>
      <patternFill patternType="solid">
        <fgColor theme="0" tint="-0.249977111117893"/>
        <bgColor indexed="64"/>
      </patternFill>
    </fill>
  </fills>
  <borders count="21">
    <border>
      <left/>
      <right/>
      <top/>
      <bottom/>
      <diagonal/>
    </border>
    <border>
      <left/>
      <right style="thin">
        <color indexed="64"/>
      </right>
      <top/>
      <bottom/>
      <diagonal/>
    </border>
    <border>
      <left/>
      <right/>
      <top/>
      <bottom style="thin">
        <color indexed="64"/>
      </bottom>
      <diagonal/>
    </border>
    <border>
      <left/>
      <right style="hair">
        <color indexed="64"/>
      </right>
      <top/>
      <bottom/>
      <diagonal/>
    </border>
    <border>
      <left/>
      <right/>
      <top style="thin">
        <color indexed="64"/>
      </top>
      <bottom/>
      <diagonal/>
    </border>
    <border>
      <left style="thin">
        <color indexed="64"/>
      </left>
      <right/>
      <top/>
      <bottom/>
      <diagonal/>
    </border>
    <border>
      <left style="thin">
        <color indexed="64"/>
      </left>
      <right style="thin">
        <color indexed="64"/>
      </right>
      <top/>
      <bottom/>
      <diagonal/>
    </border>
    <border>
      <left style="hair">
        <color indexed="64"/>
      </left>
      <right/>
      <top/>
      <bottom/>
      <diagonal/>
    </border>
    <border>
      <left style="hair">
        <color indexed="64"/>
      </left>
      <right/>
      <top/>
      <bottom style="thin">
        <color indexed="64"/>
      </bottom>
      <diagonal/>
    </border>
    <border>
      <left/>
      <right style="hair">
        <color indexed="64"/>
      </right>
      <top/>
      <bottom style="thin">
        <color indexed="64"/>
      </bottom>
      <diagonal/>
    </border>
    <border>
      <left/>
      <right style="thin">
        <color indexed="64"/>
      </right>
      <top/>
      <bottom style="thin">
        <color indexed="64"/>
      </bottom>
      <diagonal/>
    </border>
    <border>
      <left style="thin">
        <color indexed="64"/>
      </left>
      <right style="hair">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hair">
        <color indexed="64"/>
      </left>
      <right/>
      <top style="thin">
        <color indexed="64"/>
      </top>
      <bottom/>
      <diagonal/>
    </border>
    <border>
      <left/>
      <right style="hair">
        <color indexed="64"/>
      </right>
      <top style="thin">
        <color indexed="64"/>
      </top>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diagonal/>
    </border>
  </borders>
  <cellStyleXfs count="7">
    <xf numFmtId="0" fontId="0" fillId="0" borderId="0"/>
    <xf numFmtId="9" fontId="12" fillId="0" borderId="0" applyFont="0" applyFill="0" applyBorder="0" applyAlignment="0" applyProtection="0"/>
    <xf numFmtId="0" fontId="7" fillId="0" borderId="0"/>
    <xf numFmtId="0" fontId="3" fillId="0" borderId="0"/>
    <xf numFmtId="0" fontId="11" fillId="0" borderId="0"/>
    <xf numFmtId="0" fontId="3" fillId="0" borderId="0"/>
    <xf numFmtId="0" fontId="12" fillId="0" borderId="0"/>
  </cellStyleXfs>
  <cellXfs count="866">
    <xf numFmtId="0" fontId="0" fillId="0" borderId="0" xfId="0"/>
    <xf numFmtId="0" fontId="1" fillId="0" borderId="0" xfId="0" applyFont="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2" fontId="1" fillId="0" borderId="0" xfId="0" applyNumberFormat="1" applyFont="1" applyAlignment="1">
      <alignment horizontal="center"/>
    </xf>
    <xf numFmtId="2" fontId="1" fillId="0" borderId="0" xfId="0" applyNumberFormat="1" applyFont="1" applyBorder="1" applyAlignment="1">
      <alignment horizontal="center"/>
    </xf>
    <xf numFmtId="2" fontId="1" fillId="0" borderId="0" xfId="0" applyNumberFormat="1" applyFont="1" applyAlignment="1">
      <alignment horizontal="right"/>
    </xf>
    <xf numFmtId="2" fontId="1" fillId="0" borderId="0" xfId="0" applyNumberFormat="1" applyFont="1" applyBorder="1" applyAlignment="1">
      <alignment horizontal="right"/>
    </xf>
    <xf numFmtId="1" fontId="1" fillId="0" borderId="0" xfId="0" applyNumberFormat="1" applyFont="1" applyBorder="1" applyAlignment="1">
      <alignment horizontal="right"/>
    </xf>
    <xf numFmtId="1" fontId="1" fillId="0" borderId="2" xfId="0" applyNumberFormat="1" applyFont="1" applyBorder="1" applyAlignment="1">
      <alignment horizontal="right"/>
    </xf>
    <xf numFmtId="2" fontId="1" fillId="0" borderId="2" xfId="0" applyNumberFormat="1" applyFont="1" applyBorder="1" applyAlignment="1">
      <alignment horizontal="right"/>
    </xf>
    <xf numFmtId="0" fontId="1" fillId="0" borderId="0" xfId="0" applyFont="1" applyAlignment="1">
      <alignment horizontal="right"/>
    </xf>
    <xf numFmtId="0" fontId="1" fillId="0" borderId="0" xfId="0" applyFont="1" applyBorder="1" applyAlignment="1">
      <alignment horizontal="right"/>
    </xf>
    <xf numFmtId="2" fontId="1" fillId="0" borderId="0" xfId="0" applyNumberFormat="1" applyFont="1" applyAlignment="1"/>
    <xf numFmtId="0" fontId="1" fillId="0" borderId="0" xfId="0" applyFont="1" applyFill="1" applyAlignment="1">
      <alignment horizontal="center"/>
    </xf>
    <xf numFmtId="0" fontId="1" fillId="0" borderId="0" xfId="0" applyFont="1" applyFill="1" applyBorder="1" applyAlignment="1">
      <alignment horizontal="center"/>
    </xf>
    <xf numFmtId="0" fontId="4" fillId="0" borderId="0" xfId="0" applyFont="1" applyAlignment="1">
      <alignment horizontal="center"/>
    </xf>
    <xf numFmtId="164" fontId="1" fillId="0" borderId="0" xfId="0" applyNumberFormat="1" applyFont="1" applyBorder="1" applyAlignment="1">
      <alignment horizontal="center"/>
    </xf>
    <xf numFmtId="2" fontId="1" fillId="0" borderId="2" xfId="0" applyNumberFormat="1" applyFont="1" applyBorder="1" applyAlignment="1">
      <alignment horizontal="center"/>
    </xf>
    <xf numFmtId="1" fontId="1" fillId="0" borderId="0" xfId="0" applyNumberFormat="1" applyFont="1" applyBorder="1" applyAlignment="1">
      <alignment horizontal="center"/>
    </xf>
    <xf numFmtId="1" fontId="1" fillId="0" borderId="2" xfId="0" applyNumberFormat="1" applyFont="1" applyBorder="1" applyAlignment="1">
      <alignment horizontal="center"/>
    </xf>
    <xf numFmtId="0" fontId="9" fillId="0" borderId="0" xfId="0" applyFont="1" applyBorder="1" applyAlignment="1">
      <alignment horizontal="left"/>
    </xf>
    <xf numFmtId="0" fontId="1" fillId="0" borderId="3" xfId="0" applyFont="1" applyBorder="1" applyAlignment="1">
      <alignment horizontal="center"/>
    </xf>
    <xf numFmtId="2" fontId="13" fillId="0" borderId="0" xfId="0" applyNumberFormat="1" applyFont="1" applyBorder="1" applyAlignment="1">
      <alignment horizontal="right"/>
    </xf>
    <xf numFmtId="2" fontId="13" fillId="0" borderId="2" xfId="0" applyNumberFormat="1" applyFont="1" applyBorder="1" applyAlignment="1">
      <alignment horizontal="right"/>
    </xf>
    <xf numFmtId="164" fontId="8" fillId="0" borderId="0" xfId="0" applyNumberFormat="1" applyFont="1" applyBorder="1" applyAlignment="1">
      <alignment horizontal="center"/>
    </xf>
    <xf numFmtId="0" fontId="1" fillId="0" borderId="2" xfId="0" applyFont="1" applyBorder="1" applyAlignment="1">
      <alignment horizontal="right"/>
    </xf>
    <xf numFmtId="2" fontId="1" fillId="0" borderId="2" xfId="0" applyNumberFormat="1" applyFont="1" applyBorder="1" applyAlignment="1"/>
    <xf numFmtId="2" fontId="13" fillId="0" borderId="2" xfId="0" applyNumberFormat="1" applyFont="1" applyBorder="1" applyAlignment="1">
      <alignment horizontal="right"/>
    </xf>
    <xf numFmtId="2" fontId="13" fillId="0" borderId="0" xfId="0" applyNumberFormat="1" applyFont="1" applyBorder="1" applyAlignment="1">
      <alignment horizontal="right"/>
    </xf>
    <xf numFmtId="2" fontId="13" fillId="0" borderId="0" xfId="0" applyNumberFormat="1" applyFont="1" applyBorder="1" applyAlignment="1">
      <alignment horizontal="right"/>
    </xf>
    <xf numFmtId="2" fontId="13" fillId="0" borderId="2" xfId="0" applyNumberFormat="1" applyFont="1" applyBorder="1" applyAlignment="1">
      <alignment horizontal="right"/>
    </xf>
    <xf numFmtId="2" fontId="13" fillId="0" borderId="0" xfId="0" applyNumberFormat="1" applyFont="1" applyBorder="1" applyAlignment="1">
      <alignment horizontal="right"/>
    </xf>
    <xf numFmtId="2" fontId="13" fillId="0" borderId="2" xfId="0" applyNumberFormat="1" applyFont="1" applyBorder="1" applyAlignment="1">
      <alignment horizontal="right"/>
    </xf>
    <xf numFmtId="2" fontId="13" fillId="0" borderId="0" xfId="0" applyNumberFormat="1" applyFont="1" applyAlignment="1">
      <alignment horizontal="right"/>
    </xf>
    <xf numFmtId="0" fontId="1" fillId="0" borderId="0" xfId="0" applyFont="1" applyBorder="1" applyAlignment="1">
      <alignment horizontal="left"/>
    </xf>
    <xf numFmtId="0" fontId="1" fillId="0" borderId="0" xfId="0" applyFont="1" applyAlignment="1">
      <alignment horizontal="left"/>
    </xf>
    <xf numFmtId="2" fontId="13" fillId="0" borderId="2" xfId="0" applyNumberFormat="1" applyFont="1" applyBorder="1" applyAlignment="1">
      <alignment horizontal="right"/>
    </xf>
    <xf numFmtId="2" fontId="13" fillId="0" borderId="0" xfId="0" applyNumberFormat="1" applyFont="1" applyBorder="1" applyAlignment="1">
      <alignment horizontal="right"/>
    </xf>
    <xf numFmtId="2" fontId="13" fillId="0" borderId="0" xfId="0" applyNumberFormat="1" applyFont="1" applyAlignment="1">
      <alignment horizontal="right"/>
    </xf>
    <xf numFmtId="2" fontId="13" fillId="0" borderId="2" xfId="0" applyNumberFormat="1" applyFont="1" applyBorder="1" applyAlignment="1">
      <alignment horizontal="right"/>
    </xf>
    <xf numFmtId="2" fontId="13" fillId="0" borderId="0" xfId="0" applyNumberFormat="1" applyFont="1" applyAlignment="1">
      <alignment horizontal="right"/>
    </xf>
    <xf numFmtId="2" fontId="13" fillId="0" borderId="0" xfId="0" applyNumberFormat="1" applyFont="1" applyBorder="1" applyAlignment="1">
      <alignment horizontal="right"/>
    </xf>
    <xf numFmtId="1" fontId="1" fillId="0" borderId="0" xfId="0" applyNumberFormat="1" applyFont="1" applyFill="1" applyBorder="1" applyAlignment="1">
      <alignment horizontal="center"/>
    </xf>
    <xf numFmtId="164" fontId="8" fillId="0" borderId="0" xfId="0" applyNumberFormat="1" applyFont="1" applyFill="1" applyBorder="1" applyAlignment="1">
      <alignment horizontal="center"/>
    </xf>
    <xf numFmtId="2" fontId="1" fillId="0" borderId="0" xfId="0" applyNumberFormat="1" applyFont="1" applyFill="1" applyAlignment="1">
      <alignment horizontal="right"/>
    </xf>
    <xf numFmtId="2" fontId="13" fillId="0" borderId="0" xfId="0" applyNumberFormat="1" applyFont="1" applyFill="1" applyAlignment="1">
      <alignment horizontal="right"/>
    </xf>
    <xf numFmtId="2" fontId="13" fillId="0" borderId="0" xfId="0" applyNumberFormat="1" applyFont="1" applyBorder="1" applyAlignment="1">
      <alignment horizontal="right"/>
    </xf>
    <xf numFmtId="2" fontId="13" fillId="0" borderId="0" xfId="0" applyNumberFormat="1" applyFont="1" applyAlignment="1">
      <alignment horizontal="right"/>
    </xf>
    <xf numFmtId="2" fontId="13" fillId="0" borderId="0" xfId="0" applyNumberFormat="1" applyFont="1" applyBorder="1" applyAlignment="1">
      <alignment horizontal="right"/>
    </xf>
    <xf numFmtId="2" fontId="14" fillId="0" borderId="0" xfId="0" applyNumberFormat="1" applyFont="1" applyAlignment="1">
      <alignment horizontal="right"/>
    </xf>
    <xf numFmtId="2" fontId="14" fillId="0" borderId="0" xfId="0" applyNumberFormat="1" applyFont="1" applyBorder="1" applyAlignment="1">
      <alignment horizontal="right"/>
    </xf>
    <xf numFmtId="2" fontId="1" fillId="0" borderId="2" xfId="0" applyNumberFormat="1" applyFont="1" applyFill="1" applyBorder="1" applyAlignment="1">
      <alignment horizontal="center"/>
    </xf>
    <xf numFmtId="1" fontId="1" fillId="0" borderId="0" xfId="0" applyNumberFormat="1" applyFont="1" applyFill="1" applyBorder="1" applyAlignment="1">
      <alignment horizontal="right"/>
    </xf>
    <xf numFmtId="1" fontId="1" fillId="0" borderId="2" xfId="0" applyNumberFormat="1" applyFont="1" applyFill="1" applyBorder="1" applyAlignment="1">
      <alignment horizontal="right"/>
    </xf>
    <xf numFmtId="1" fontId="1" fillId="0" borderId="0" xfId="0" applyNumberFormat="1" applyFont="1" applyFill="1" applyAlignment="1">
      <alignment horizontal="center"/>
    </xf>
    <xf numFmtId="1" fontId="1" fillId="0" borderId="0" xfId="0" applyNumberFormat="1" applyFont="1" applyFill="1" applyAlignment="1">
      <alignment horizontal="right"/>
    </xf>
    <xf numFmtId="0" fontId="1" fillId="0" borderId="0" xfId="0" applyNumberFormat="1" applyFont="1" applyFill="1" applyAlignment="1">
      <alignment horizontal="right"/>
    </xf>
    <xf numFmtId="2" fontId="1" fillId="0" borderId="0" xfId="0" applyNumberFormat="1" applyFont="1" applyFill="1" applyAlignment="1">
      <alignment horizontal="center"/>
    </xf>
    <xf numFmtId="1" fontId="1" fillId="0" borderId="0" xfId="0" applyNumberFormat="1" applyFont="1" applyAlignment="1">
      <alignment horizontal="center"/>
    </xf>
    <xf numFmtId="2" fontId="13" fillId="0" borderId="0" xfId="0" applyNumberFormat="1" applyFont="1" applyBorder="1" applyAlignment="1">
      <alignment horizontal="right"/>
    </xf>
    <xf numFmtId="2" fontId="13" fillId="0" borderId="2" xfId="0" applyNumberFormat="1" applyFont="1" applyBorder="1" applyAlignment="1">
      <alignment horizontal="right"/>
    </xf>
    <xf numFmtId="2" fontId="13" fillId="0" borderId="0" xfId="0" applyNumberFormat="1" applyFont="1" applyBorder="1" applyAlignment="1">
      <alignment horizontal="right"/>
    </xf>
    <xf numFmtId="2" fontId="13" fillId="0" borderId="0" xfId="0" applyNumberFormat="1" applyFont="1" applyBorder="1" applyAlignment="1">
      <alignment horizontal="right"/>
    </xf>
    <xf numFmtId="2" fontId="13" fillId="0" borderId="0" xfId="0" applyNumberFormat="1" applyFont="1" applyBorder="1" applyAlignment="1">
      <alignment horizontal="right"/>
    </xf>
    <xf numFmtId="0" fontId="8" fillId="0" borderId="0" xfId="0" applyFont="1" applyBorder="1" applyAlignment="1"/>
    <xf numFmtId="0" fontId="8" fillId="0" borderId="0" xfId="0" applyFont="1" applyAlignment="1">
      <alignment horizontal="center"/>
    </xf>
    <xf numFmtId="0" fontId="8" fillId="0" borderId="0" xfId="0" applyFont="1" applyAlignment="1"/>
    <xf numFmtId="2" fontId="13" fillId="0" borderId="0" xfId="0" applyNumberFormat="1" applyFont="1" applyBorder="1" applyAlignment="1">
      <alignment horizontal="right"/>
    </xf>
    <xf numFmtId="2" fontId="13" fillId="0" borderId="0" xfId="0" applyNumberFormat="1" applyFont="1" applyFill="1" applyBorder="1" applyAlignment="1">
      <alignment horizontal="right"/>
    </xf>
    <xf numFmtId="0" fontId="10" fillId="0" borderId="0" xfId="0" applyFont="1" applyAlignment="1">
      <alignment horizontal="left"/>
    </xf>
    <xf numFmtId="0" fontId="10" fillId="0" borderId="4" xfId="0" applyFont="1" applyBorder="1" applyAlignment="1"/>
    <xf numFmtId="0" fontId="1" fillId="2" borderId="0" xfId="0" applyFont="1" applyFill="1" applyBorder="1" applyAlignment="1">
      <alignment horizontal="center"/>
    </xf>
    <xf numFmtId="0" fontId="1" fillId="2" borderId="5" xfId="0" applyFont="1" applyFill="1" applyBorder="1" applyAlignment="1">
      <alignment horizontal="right"/>
    </xf>
    <xf numFmtId="0" fontId="1" fillId="2" borderId="0" xfId="0" applyFont="1" applyFill="1" applyBorder="1" applyAlignment="1">
      <alignment horizontal="right"/>
    </xf>
    <xf numFmtId="0" fontId="8" fillId="2" borderId="1" xfId="0" applyFont="1" applyFill="1" applyBorder="1" applyAlignment="1">
      <alignment horizontal="right"/>
    </xf>
    <xf numFmtId="164" fontId="1" fillId="2" borderId="0" xfId="0" applyNumberFormat="1" applyFont="1" applyFill="1" applyBorder="1" applyAlignment="1">
      <alignment horizontal="right"/>
    </xf>
    <xf numFmtId="164" fontId="8" fillId="2" borderId="0" xfId="0" applyNumberFormat="1" applyFont="1" applyFill="1" applyBorder="1" applyAlignment="1">
      <alignment horizontal="right"/>
    </xf>
    <xf numFmtId="164" fontId="1" fillId="2" borderId="5" xfId="0" applyNumberFormat="1" applyFont="1" applyFill="1" applyBorder="1" applyAlignment="1">
      <alignment horizontal="right"/>
    </xf>
    <xf numFmtId="164" fontId="8" fillId="2" borderId="1" xfId="0" applyNumberFormat="1" applyFont="1" applyFill="1" applyBorder="1" applyAlignment="1">
      <alignment horizontal="right"/>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3" xfId="0" applyFont="1" applyFill="1" applyBorder="1" applyAlignment="1">
      <alignment horizontal="center"/>
    </xf>
    <xf numFmtId="0" fontId="1" fillId="2" borderId="1" xfId="0" applyFont="1" applyFill="1" applyBorder="1" applyAlignment="1">
      <alignment horizontal="center"/>
    </xf>
    <xf numFmtId="14" fontId="1" fillId="2" borderId="0" xfId="0" applyNumberFormat="1" applyFont="1" applyFill="1" applyBorder="1" applyAlignment="1">
      <alignment horizontal="center"/>
    </xf>
    <xf numFmtId="0" fontId="1" fillId="2" borderId="0" xfId="0" applyFont="1" applyFill="1" applyBorder="1" applyAlignment="1">
      <alignment horizontal="center"/>
    </xf>
    <xf numFmtId="1" fontId="1" fillId="2" borderId="0" xfId="0" applyNumberFormat="1" applyFont="1" applyFill="1" applyBorder="1" applyAlignment="1">
      <alignment horizontal="right"/>
    </xf>
    <xf numFmtId="14" fontId="1" fillId="2" borderId="0" xfId="0" applyNumberFormat="1" applyFont="1" applyFill="1" applyBorder="1" applyAlignment="1">
      <alignment horizontal="right"/>
    </xf>
    <xf numFmtId="1" fontId="1" fillId="2" borderId="5" xfId="0" applyNumberFormat="1" applyFont="1" applyFill="1" applyBorder="1" applyAlignment="1">
      <alignment horizontal="right"/>
    </xf>
    <xf numFmtId="1" fontId="8" fillId="2" borderId="1" xfId="0" applyNumberFormat="1" applyFont="1" applyFill="1" applyBorder="1" applyAlignment="1">
      <alignment horizontal="right"/>
    </xf>
    <xf numFmtId="164" fontId="1" fillId="2" borderId="5" xfId="0" applyNumberFormat="1" applyFont="1" applyFill="1" applyBorder="1" applyAlignment="1">
      <alignment horizontal="center"/>
    </xf>
    <xf numFmtId="164" fontId="1" fillId="2" borderId="0" xfId="0" applyNumberFormat="1" applyFont="1" applyFill="1" applyBorder="1" applyAlignment="1">
      <alignment horizontal="center"/>
    </xf>
    <xf numFmtId="164" fontId="8" fillId="2" borderId="1" xfId="0" applyNumberFormat="1" applyFont="1" applyFill="1" applyBorder="1" applyAlignment="1">
      <alignment horizontal="center"/>
    </xf>
    <xf numFmtId="1" fontId="1" fillId="2" borderId="5" xfId="0" applyNumberFormat="1" applyFont="1" applyFill="1" applyBorder="1" applyAlignment="1">
      <alignment horizontal="center"/>
    </xf>
    <xf numFmtId="14" fontId="1" fillId="2" borderId="6" xfId="0" applyNumberFormat="1" applyFont="1" applyFill="1" applyBorder="1" applyAlignment="1">
      <alignment horizontal="center"/>
    </xf>
    <xf numFmtId="0" fontId="1" fillId="2" borderId="7" xfId="0" applyNumberFormat="1" applyFont="1" applyFill="1" applyBorder="1" applyAlignment="1">
      <alignment horizontal="center"/>
    </xf>
    <xf numFmtId="0" fontId="1" fillId="2" borderId="0" xfId="0" applyNumberFormat="1" applyFont="1" applyFill="1" applyBorder="1" applyAlignment="1">
      <alignment horizontal="center"/>
    </xf>
    <xf numFmtId="0" fontId="1" fillId="2" borderId="3" xfId="0" applyNumberFormat="1" applyFont="1" applyFill="1" applyBorder="1" applyAlignment="1">
      <alignment horizontal="center"/>
    </xf>
    <xf numFmtId="0" fontId="1" fillId="2" borderId="0" xfId="0" applyNumberFormat="1" applyFont="1" applyFill="1" applyAlignment="1">
      <alignment horizontal="center"/>
    </xf>
    <xf numFmtId="2" fontId="1" fillId="2" borderId="0" xfId="0" applyNumberFormat="1" applyFont="1" applyFill="1" applyAlignment="1">
      <alignment horizontal="center"/>
    </xf>
    <xf numFmtId="14" fontId="1" fillId="2" borderId="0" xfId="0" applyNumberFormat="1" applyFont="1" applyFill="1" applyBorder="1" applyAlignment="1">
      <alignment horizontal="center"/>
    </xf>
    <xf numFmtId="1" fontId="1" fillId="2" borderId="0" xfId="0" applyNumberFormat="1" applyFont="1" applyFill="1" applyBorder="1" applyAlignment="1">
      <alignment horizontal="center"/>
    </xf>
    <xf numFmtId="0" fontId="1" fillId="3" borderId="4" xfId="0" applyFont="1" applyFill="1" applyBorder="1" applyAlignment="1">
      <alignment horizontal="center"/>
    </xf>
    <xf numFmtId="0" fontId="1" fillId="3" borderId="2" xfId="0" applyFont="1" applyFill="1"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14" fontId="15" fillId="2" borderId="0" xfId="0" applyNumberFormat="1" applyFont="1" applyFill="1" applyBorder="1" applyAlignment="1">
      <alignment horizontal="right"/>
    </xf>
    <xf numFmtId="1" fontId="15" fillId="2" borderId="0" xfId="0" applyNumberFormat="1" applyFont="1" applyFill="1" applyBorder="1" applyAlignment="1">
      <alignment horizontal="right"/>
    </xf>
    <xf numFmtId="1" fontId="1" fillId="2" borderId="0" xfId="0" applyNumberFormat="1" applyFont="1" applyFill="1" applyBorder="1" applyAlignment="1"/>
    <xf numFmtId="14" fontId="1" fillId="2" borderId="0" xfId="0" applyNumberFormat="1" applyFont="1" applyFill="1" applyBorder="1" applyAlignment="1"/>
    <xf numFmtId="1" fontId="1" fillId="2" borderId="5" xfId="0" applyNumberFormat="1" applyFont="1" applyFill="1" applyBorder="1" applyAlignment="1"/>
    <xf numFmtId="1" fontId="8" fillId="2" borderId="1" xfId="0" applyNumberFormat="1" applyFont="1" applyFill="1" applyBorder="1" applyAlignment="1"/>
    <xf numFmtId="0" fontId="1" fillId="2" borderId="7" xfId="0" applyNumberFormat="1" applyFont="1" applyFill="1" applyBorder="1" applyAlignment="1"/>
    <xf numFmtId="0" fontId="1" fillId="2" borderId="0" xfId="0" applyNumberFormat="1" applyFont="1" applyFill="1" applyBorder="1" applyAlignment="1"/>
    <xf numFmtId="0" fontId="1" fillId="2" borderId="3" xfId="0" applyNumberFormat="1" applyFont="1" applyFill="1" applyBorder="1" applyAlignment="1"/>
    <xf numFmtId="0" fontId="1" fillId="2" borderId="0" xfId="0" applyNumberFormat="1" applyFont="1" applyFill="1" applyAlignment="1"/>
    <xf numFmtId="2" fontId="1" fillId="2" borderId="0" xfId="0" applyNumberFormat="1" applyFont="1" applyFill="1" applyAlignment="1"/>
    <xf numFmtId="0" fontId="1" fillId="2" borderId="0" xfId="0" applyFont="1" applyFill="1" applyBorder="1" applyAlignment="1"/>
    <xf numFmtId="0" fontId="1" fillId="2" borderId="0" xfId="0" applyFont="1" applyFill="1" applyAlignment="1"/>
    <xf numFmtId="14" fontId="16" fillId="2" borderId="0" xfId="0" applyNumberFormat="1" applyFont="1" applyFill="1" applyAlignment="1">
      <alignment horizontal="center"/>
    </xf>
    <xf numFmtId="0" fontId="16" fillId="2" borderId="0" xfId="0" applyFont="1" applyFill="1" applyAlignment="1">
      <alignment horizontal="center"/>
    </xf>
    <xf numFmtId="0" fontId="1" fillId="2" borderId="5" xfId="0" applyFont="1" applyFill="1" applyBorder="1" applyAlignment="1">
      <alignment horizontal="center"/>
    </xf>
    <xf numFmtId="1" fontId="8" fillId="2" borderId="1" xfId="0" applyNumberFormat="1" applyFont="1" applyFill="1" applyBorder="1" applyAlignment="1">
      <alignment horizontal="center"/>
    </xf>
    <xf numFmtId="164" fontId="8" fillId="2" borderId="0" xfId="0" applyNumberFormat="1" applyFont="1" applyFill="1" applyBorder="1" applyAlignment="1">
      <alignment horizontal="center"/>
    </xf>
    <xf numFmtId="1" fontId="1" fillId="2" borderId="6" xfId="0" applyNumberFormat="1" applyFont="1" applyFill="1" applyBorder="1" applyAlignment="1">
      <alignment horizontal="center"/>
    </xf>
    <xf numFmtId="14" fontId="1" fillId="2" borderId="11" xfId="0" applyNumberFormat="1" applyFont="1" applyFill="1" applyBorder="1" applyAlignment="1">
      <alignment horizontal="center"/>
    </xf>
    <xf numFmtId="14" fontId="17" fillId="2" borderId="0" xfId="0" applyNumberFormat="1" applyFont="1" applyFill="1" applyBorder="1" applyAlignment="1">
      <alignment horizontal="right"/>
    </xf>
    <xf numFmtId="0" fontId="17" fillId="2" borderId="0" xfId="0" applyFont="1" applyFill="1" applyBorder="1" applyAlignment="1">
      <alignment horizontal="center"/>
    </xf>
    <xf numFmtId="1" fontId="8" fillId="2" borderId="0" xfId="0" applyNumberFormat="1" applyFont="1" applyFill="1" applyBorder="1" applyAlignment="1">
      <alignment horizontal="center"/>
    </xf>
    <xf numFmtId="14" fontId="1" fillId="2" borderId="0" xfId="0" applyNumberFormat="1" applyFont="1" applyFill="1" applyAlignment="1">
      <alignment horizontal="right"/>
    </xf>
    <xf numFmtId="0" fontId="8" fillId="2" borderId="0" xfId="0" applyNumberFormat="1" applyFont="1" applyFill="1" applyBorder="1" applyAlignment="1">
      <alignment horizontal="center"/>
    </xf>
    <xf numFmtId="14" fontId="1" fillId="2" borderId="0" xfId="0" applyNumberFormat="1" applyFont="1" applyFill="1" applyAlignment="1">
      <alignment horizontal="center"/>
    </xf>
    <xf numFmtId="0" fontId="8" fillId="2" borderId="1" xfId="0" applyFont="1" applyFill="1" applyBorder="1" applyAlignment="1">
      <alignment horizontal="center"/>
    </xf>
    <xf numFmtId="14" fontId="17" fillId="2" borderId="0" xfId="0" applyNumberFormat="1" applyFont="1" applyFill="1" applyBorder="1" applyAlignment="1">
      <alignment horizontal="center"/>
    </xf>
    <xf numFmtId="0" fontId="1" fillId="2" borderId="2" xfId="0" applyFont="1" applyFill="1" applyBorder="1" applyAlignment="1">
      <alignment horizontal="center"/>
    </xf>
    <xf numFmtId="14" fontId="1" fillId="2" borderId="2" xfId="0" applyNumberFormat="1" applyFont="1" applyFill="1" applyBorder="1" applyAlignment="1">
      <alignment horizontal="center"/>
    </xf>
    <xf numFmtId="0" fontId="1" fillId="2" borderId="12" xfId="0" applyFont="1" applyFill="1" applyBorder="1" applyAlignment="1">
      <alignment horizontal="center"/>
    </xf>
    <xf numFmtId="0" fontId="8" fillId="2" borderId="10" xfId="0" applyFont="1" applyFill="1" applyBorder="1" applyAlignment="1">
      <alignment horizontal="center"/>
    </xf>
    <xf numFmtId="164" fontId="1" fillId="2" borderId="2" xfId="0" applyNumberFormat="1" applyFont="1" applyFill="1" applyBorder="1" applyAlignment="1">
      <alignment horizontal="center"/>
    </xf>
    <xf numFmtId="164" fontId="8" fillId="2" borderId="2" xfId="0" applyNumberFormat="1" applyFont="1" applyFill="1" applyBorder="1" applyAlignment="1">
      <alignment horizontal="center"/>
    </xf>
    <xf numFmtId="164" fontId="1" fillId="2" borderId="12" xfId="0" applyNumberFormat="1" applyFont="1" applyFill="1" applyBorder="1" applyAlignment="1">
      <alignment horizontal="center"/>
    </xf>
    <xf numFmtId="164" fontId="8" fillId="2" borderId="10" xfId="0" applyNumberFormat="1" applyFont="1" applyFill="1" applyBorder="1" applyAlignment="1">
      <alignment horizontal="center"/>
    </xf>
    <xf numFmtId="0" fontId="1" fillId="2" borderId="2" xfId="0" applyNumberFormat="1" applyFont="1" applyFill="1" applyBorder="1" applyAlignment="1">
      <alignment horizontal="center"/>
    </xf>
    <xf numFmtId="14" fontId="1" fillId="2" borderId="13" xfId="0" applyNumberFormat="1" applyFont="1" applyFill="1" applyBorder="1" applyAlignment="1">
      <alignment horizontal="center"/>
    </xf>
    <xf numFmtId="0" fontId="1" fillId="2" borderId="8" xfId="0" applyFont="1" applyFill="1" applyBorder="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14" fontId="15" fillId="2" borderId="0" xfId="0" applyNumberFormat="1" applyFont="1" applyFill="1" applyBorder="1" applyAlignment="1">
      <alignment horizontal="center"/>
    </xf>
    <xf numFmtId="0" fontId="15" fillId="2" borderId="0" xfId="0" applyFont="1" applyFill="1" applyBorder="1" applyAlignment="1">
      <alignment horizontal="center"/>
    </xf>
    <xf numFmtId="0" fontId="1" fillId="2" borderId="4" xfId="0" applyFont="1" applyFill="1" applyBorder="1" applyAlignment="1">
      <alignment horizontal="center"/>
    </xf>
    <xf numFmtId="0" fontId="8" fillId="2" borderId="7" xfId="0" applyFont="1" applyFill="1" applyBorder="1" applyAlignment="1"/>
    <xf numFmtId="1" fontId="16" fillId="2" borderId="0" xfId="0" applyNumberFormat="1" applyFont="1" applyFill="1" applyAlignment="1">
      <alignment horizontal="center"/>
    </xf>
    <xf numFmtId="14" fontId="15" fillId="2" borderId="0" xfId="0" applyNumberFormat="1" applyFont="1" applyFill="1" applyAlignment="1">
      <alignment horizontal="center"/>
    </xf>
    <xf numFmtId="164" fontId="1" fillId="2" borderId="3" xfId="0" applyNumberFormat="1" applyFont="1" applyFill="1" applyBorder="1" applyAlignment="1">
      <alignment horizontal="center"/>
    </xf>
    <xf numFmtId="14" fontId="17" fillId="2" borderId="0" xfId="0" applyNumberFormat="1" applyFont="1" applyFill="1" applyAlignment="1">
      <alignment horizontal="center"/>
    </xf>
    <xf numFmtId="16" fontId="1" fillId="2" borderId="0" xfId="0" applyNumberFormat="1" applyFont="1" applyFill="1" applyBorder="1" applyAlignment="1">
      <alignment horizontal="center"/>
    </xf>
    <xf numFmtId="0" fontId="8" fillId="2" borderId="7" xfId="0" applyFont="1" applyFill="1" applyBorder="1" applyAlignment="1">
      <alignment horizontal="left"/>
    </xf>
    <xf numFmtId="14" fontId="15" fillId="2" borderId="2" xfId="0" applyNumberFormat="1" applyFont="1" applyFill="1" applyBorder="1" applyAlignment="1">
      <alignment horizontal="center"/>
    </xf>
    <xf numFmtId="0" fontId="15" fillId="2" borderId="2" xfId="0" applyFont="1" applyFill="1" applyBorder="1" applyAlignment="1">
      <alignment horizontal="center"/>
    </xf>
    <xf numFmtId="0" fontId="1" fillId="2" borderId="7" xfId="0" applyFont="1" applyFill="1" applyBorder="1" applyAlignment="1">
      <alignment horizontal="left"/>
    </xf>
    <xf numFmtId="1" fontId="1" fillId="2" borderId="2" xfId="0" applyNumberFormat="1" applyFont="1" applyFill="1" applyBorder="1" applyAlignment="1">
      <alignment horizontal="center"/>
    </xf>
    <xf numFmtId="0" fontId="8" fillId="2" borderId="8" xfId="0" applyFont="1" applyFill="1" applyBorder="1" applyAlignment="1">
      <alignment horizontal="left"/>
    </xf>
    <xf numFmtId="0" fontId="1" fillId="2" borderId="0" xfId="0" applyFont="1" applyFill="1" applyBorder="1" applyAlignment="1">
      <alignment horizontal="left"/>
    </xf>
    <xf numFmtId="0" fontId="1" fillId="2" borderId="14" xfId="0" applyFont="1" applyFill="1" applyBorder="1" applyAlignment="1">
      <alignment horizontal="center"/>
    </xf>
    <xf numFmtId="0" fontId="8" fillId="2" borderId="15" xfId="0" applyFont="1" applyFill="1" applyBorder="1" applyAlignment="1">
      <alignment horizontal="center"/>
    </xf>
    <xf numFmtId="164" fontId="1" fillId="2" borderId="4" xfId="0" applyNumberFormat="1" applyFont="1" applyFill="1" applyBorder="1" applyAlignment="1">
      <alignment horizontal="center"/>
    </xf>
    <xf numFmtId="164" fontId="8" fillId="2" borderId="4" xfId="0" applyNumberFormat="1" applyFont="1" applyFill="1" applyBorder="1" applyAlignment="1">
      <alignment horizontal="center"/>
    </xf>
    <xf numFmtId="164" fontId="1" fillId="2" borderId="14" xfId="0" applyNumberFormat="1" applyFont="1" applyFill="1" applyBorder="1" applyAlignment="1">
      <alignment horizontal="center"/>
    </xf>
    <xf numFmtId="164" fontId="8" fillId="2" borderId="15" xfId="0" applyNumberFormat="1" applyFont="1" applyFill="1" applyBorder="1" applyAlignment="1">
      <alignment horizontal="center"/>
    </xf>
    <xf numFmtId="0" fontId="1" fillId="2" borderId="16" xfId="0" applyFont="1" applyFill="1" applyBorder="1" applyAlignment="1">
      <alignment horizontal="center"/>
    </xf>
    <xf numFmtId="0" fontId="1" fillId="2" borderId="17" xfId="0" applyFont="1" applyFill="1" applyBorder="1" applyAlignment="1">
      <alignment horizontal="center"/>
    </xf>
    <xf numFmtId="0" fontId="1" fillId="2" borderId="18" xfId="0" applyFont="1" applyFill="1" applyBorder="1" applyAlignment="1">
      <alignment horizontal="center"/>
    </xf>
    <xf numFmtId="0" fontId="1" fillId="2" borderId="15" xfId="0" applyFont="1" applyFill="1" applyBorder="1" applyAlignment="1">
      <alignment horizontal="center"/>
    </xf>
    <xf numFmtId="2" fontId="1" fillId="2" borderId="0" xfId="0" applyNumberFormat="1" applyFont="1" applyFill="1" applyBorder="1" applyAlignment="1">
      <alignment horizontal="right"/>
    </xf>
    <xf numFmtId="0" fontId="1" fillId="2" borderId="0" xfId="0" applyNumberFormat="1" applyFont="1" applyFill="1" applyBorder="1" applyAlignment="1">
      <alignment horizontal="right"/>
    </xf>
    <xf numFmtId="0" fontId="1" fillId="2" borderId="14" xfId="0" applyFont="1" applyFill="1" applyBorder="1" applyAlignment="1">
      <alignment horizontal="right"/>
    </xf>
    <xf numFmtId="0" fontId="1" fillId="2" borderId="4" xfId="0" applyNumberFormat="1" applyFont="1" applyFill="1" applyBorder="1" applyAlignment="1">
      <alignment horizontal="right"/>
    </xf>
    <xf numFmtId="0" fontId="1" fillId="2" borderId="4" xfId="0" applyFont="1" applyFill="1" applyBorder="1" applyAlignment="1">
      <alignment horizontal="right"/>
    </xf>
    <xf numFmtId="0" fontId="8" fillId="2" borderId="15" xfId="0" applyFont="1" applyFill="1" applyBorder="1" applyAlignment="1">
      <alignment horizontal="right"/>
    </xf>
    <xf numFmtId="164" fontId="1" fillId="2" borderId="4" xfId="0" applyNumberFormat="1" applyFont="1" applyFill="1" applyBorder="1" applyAlignment="1">
      <alignment horizontal="right"/>
    </xf>
    <xf numFmtId="164" fontId="8" fillId="2" borderId="4" xfId="0" applyNumberFormat="1" applyFont="1" applyFill="1" applyBorder="1" applyAlignment="1">
      <alignment horizontal="right"/>
    </xf>
    <xf numFmtId="164" fontId="1" fillId="2" borderId="14" xfId="0" applyNumberFormat="1" applyFont="1" applyFill="1" applyBorder="1" applyAlignment="1">
      <alignment horizontal="right"/>
    </xf>
    <xf numFmtId="164" fontId="8" fillId="2" borderId="15" xfId="0" applyNumberFormat="1" applyFont="1" applyFill="1" applyBorder="1" applyAlignment="1">
      <alignment horizontal="right"/>
    </xf>
    <xf numFmtId="0" fontId="1" fillId="2" borderId="17" xfId="0" applyFont="1" applyFill="1" applyBorder="1" applyAlignment="1">
      <alignment horizontal="left"/>
    </xf>
    <xf numFmtId="16" fontId="15" fillId="2" borderId="0" xfId="0" applyNumberFormat="1" applyFont="1" applyFill="1" applyBorder="1" applyAlignment="1">
      <alignment horizontal="center"/>
    </xf>
    <xf numFmtId="0" fontId="1" fillId="2" borderId="2" xfId="0" applyFont="1" applyFill="1" applyBorder="1" applyAlignment="1">
      <alignment horizontal="left"/>
    </xf>
    <xf numFmtId="14" fontId="1" fillId="2" borderId="0" xfId="0" applyNumberFormat="1" applyFont="1" applyFill="1" applyBorder="1" applyAlignment="1">
      <alignment horizontal="center"/>
    </xf>
    <xf numFmtId="0" fontId="1" fillId="2" borderId="4" xfId="0" applyFont="1" applyFill="1" applyBorder="1" applyAlignment="1">
      <alignment horizontal="center"/>
    </xf>
    <xf numFmtId="0" fontId="1" fillId="2" borderId="0" xfId="0" applyFont="1" applyFill="1" applyBorder="1" applyAlignment="1">
      <alignment horizontal="center"/>
    </xf>
    <xf numFmtId="0" fontId="8" fillId="2" borderId="15" xfId="0" applyFont="1" applyFill="1" applyBorder="1" applyAlignment="1"/>
    <xf numFmtId="14" fontId="1" fillId="2" borderId="0" xfId="0" applyNumberFormat="1" applyFont="1" applyFill="1" applyAlignment="1">
      <alignment horizontal="center" vertical="center"/>
    </xf>
    <xf numFmtId="0" fontId="1" fillId="2" borderId="0" xfId="0" applyFont="1" applyFill="1" applyAlignment="1">
      <alignment horizontal="center" vertical="center"/>
    </xf>
    <xf numFmtId="14" fontId="17" fillId="2" borderId="0" xfId="0" applyNumberFormat="1" applyFont="1" applyFill="1" applyAlignment="1">
      <alignment horizontal="center" vertical="center"/>
    </xf>
    <xf numFmtId="0" fontId="16" fillId="2" borderId="0" xfId="0" applyFont="1" applyFill="1" applyAlignment="1">
      <alignment horizontal="center" vertical="center"/>
    </xf>
    <xf numFmtId="2" fontId="1" fillId="0" borderId="0" xfId="0" applyNumberFormat="1" applyFont="1" applyFill="1" applyBorder="1" applyAlignment="1">
      <alignment horizontal="right"/>
    </xf>
    <xf numFmtId="0" fontId="1" fillId="0" borderId="0" xfId="0" applyFont="1" applyFill="1" applyBorder="1" applyAlignment="1">
      <alignment horizontal="right"/>
    </xf>
    <xf numFmtId="0" fontId="8" fillId="0" borderId="0" xfId="0" applyFont="1" applyFill="1" applyBorder="1" applyAlignment="1">
      <alignment horizontal="right"/>
    </xf>
    <xf numFmtId="1" fontId="1" fillId="3" borderId="0" xfId="0" applyNumberFormat="1" applyFont="1" applyFill="1" applyBorder="1" applyAlignment="1">
      <alignment horizontal="right"/>
    </xf>
    <xf numFmtId="0" fontId="1" fillId="3" borderId="0" xfId="0" applyFont="1" applyFill="1" applyBorder="1" applyAlignment="1">
      <alignment horizontal="right"/>
    </xf>
    <xf numFmtId="1" fontId="1" fillId="3" borderId="2" xfId="0" applyNumberFormat="1" applyFont="1" applyFill="1" applyBorder="1" applyAlignment="1">
      <alignment horizontal="center"/>
    </xf>
    <xf numFmtId="2" fontId="1" fillId="3" borderId="2" xfId="0" applyNumberFormat="1" applyFont="1" applyFill="1" applyBorder="1" applyAlignment="1">
      <alignment horizontal="center"/>
    </xf>
    <xf numFmtId="0" fontId="1" fillId="0" borderId="0" xfId="0" applyNumberFormat="1" applyFont="1" applyFill="1" applyBorder="1" applyAlignment="1">
      <alignment horizontal="center"/>
    </xf>
    <xf numFmtId="1" fontId="1" fillId="3" borderId="2" xfId="0" applyNumberFormat="1" applyFont="1" applyFill="1" applyBorder="1" applyAlignment="1">
      <alignment horizontal="right"/>
    </xf>
    <xf numFmtId="14" fontId="1" fillId="2" borderId="0" xfId="0" applyNumberFormat="1" applyFont="1" applyFill="1" applyBorder="1" applyAlignment="1">
      <alignment horizontal="center"/>
    </xf>
    <xf numFmtId="0" fontId="1" fillId="2" borderId="0" xfId="0" applyFont="1" applyFill="1" applyBorder="1" applyAlignment="1">
      <alignment horizontal="center"/>
    </xf>
    <xf numFmtId="14" fontId="1" fillId="2" borderId="0" xfId="0" applyNumberFormat="1" applyFont="1" applyFill="1" applyBorder="1" applyAlignment="1">
      <alignment horizontal="center"/>
    </xf>
    <xf numFmtId="0" fontId="1" fillId="2" borderId="0" xfId="0" applyFont="1" applyFill="1" applyBorder="1" applyAlignment="1">
      <alignment horizontal="center"/>
    </xf>
    <xf numFmtId="0" fontId="1" fillId="2" borderId="4" xfId="0" applyFont="1" applyFill="1" applyBorder="1" applyAlignment="1">
      <alignment horizontal="center"/>
    </xf>
    <xf numFmtId="14" fontId="1" fillId="2" borderId="2" xfId="0" applyNumberFormat="1" applyFont="1" applyFill="1" applyBorder="1" applyAlignment="1">
      <alignment horizontal="center"/>
    </xf>
    <xf numFmtId="2" fontId="13" fillId="0" borderId="0" xfId="0" applyNumberFormat="1" applyFont="1" applyFill="1" applyBorder="1" applyAlignment="1">
      <alignment horizontal="right"/>
    </xf>
    <xf numFmtId="0" fontId="1" fillId="2" borderId="2" xfId="0" applyFont="1" applyFill="1" applyBorder="1" applyAlignment="1">
      <alignment horizontal="center"/>
    </xf>
    <xf numFmtId="16" fontId="1" fillId="2" borderId="0" xfId="0" applyNumberFormat="1" applyFont="1" applyFill="1" applyBorder="1" applyAlignment="1">
      <alignment horizontal="center"/>
    </xf>
    <xf numFmtId="0" fontId="8" fillId="2" borderId="7" xfId="0" applyFont="1" applyFill="1" applyBorder="1" applyAlignment="1">
      <alignment horizontal="left"/>
    </xf>
    <xf numFmtId="16" fontId="16" fillId="2" borderId="0" xfId="0" applyNumberFormat="1" applyFont="1" applyFill="1" applyAlignment="1">
      <alignment horizontal="center"/>
    </xf>
    <xf numFmtId="14" fontId="18" fillId="2" borderId="0" xfId="0" applyNumberFormat="1" applyFont="1" applyFill="1" applyBorder="1" applyAlignment="1">
      <alignment horizontal="center"/>
    </xf>
    <xf numFmtId="0" fontId="18" fillId="2" borderId="0" xfId="0" applyFont="1" applyFill="1" applyBorder="1" applyAlignment="1">
      <alignment horizontal="center"/>
    </xf>
    <xf numFmtId="0" fontId="18" fillId="2" borderId="0" xfId="0" applyFont="1" applyFill="1" applyAlignment="1">
      <alignment horizontal="center"/>
    </xf>
    <xf numFmtId="0" fontId="8" fillId="2" borderId="0" xfId="0" applyFont="1" applyFill="1" applyBorder="1" applyAlignment="1">
      <alignment horizontal="center"/>
    </xf>
    <xf numFmtId="14" fontId="15" fillId="2" borderId="5" xfId="0" applyNumberFormat="1" applyFont="1" applyFill="1" applyBorder="1" applyAlignment="1">
      <alignment horizontal="center"/>
    </xf>
    <xf numFmtId="0" fontId="1" fillId="2" borderId="13" xfId="0" applyFont="1" applyFill="1" applyBorder="1" applyAlignment="1">
      <alignment horizontal="center"/>
    </xf>
    <xf numFmtId="164" fontId="1" fillId="2" borderId="15" xfId="0" applyNumberFormat="1" applyFont="1" applyFill="1" applyBorder="1" applyAlignment="1">
      <alignment horizontal="center"/>
    </xf>
    <xf numFmtId="0" fontId="15" fillId="2" borderId="3" xfId="0" applyFont="1" applyFill="1" applyBorder="1" applyAlignment="1">
      <alignment horizontal="center"/>
    </xf>
    <xf numFmtId="14" fontId="1" fillId="2" borderId="0" xfId="0" applyNumberFormat="1" applyFont="1" applyFill="1" applyBorder="1" applyAlignment="1">
      <alignment horizontal="center"/>
    </xf>
    <xf numFmtId="0" fontId="1" fillId="2" borderId="0" xfId="0" applyFont="1" applyFill="1" applyBorder="1" applyAlignment="1">
      <alignment horizontal="center"/>
    </xf>
    <xf numFmtId="0" fontId="8" fillId="2" borderId="7" xfId="0" applyFont="1" applyFill="1" applyBorder="1" applyAlignment="1">
      <alignment horizontal="left"/>
    </xf>
    <xf numFmtId="0" fontId="1" fillId="2" borderId="0" xfId="0" applyFont="1" applyFill="1" applyBorder="1" applyAlignment="1">
      <alignment horizontal="center"/>
    </xf>
    <xf numFmtId="2" fontId="13" fillId="0" borderId="0" xfId="0" applyNumberFormat="1" applyFont="1" applyFill="1" applyBorder="1" applyAlignment="1">
      <alignment horizontal="right"/>
    </xf>
    <xf numFmtId="0" fontId="10" fillId="0" borderId="0" xfId="0" applyFont="1" applyAlignment="1"/>
    <xf numFmtId="0" fontId="1" fillId="0" borderId="0" xfId="0" applyFont="1" applyFill="1" applyAlignment="1">
      <alignment horizontal="right"/>
    </xf>
    <xf numFmtId="0" fontId="10" fillId="0" borderId="0" xfId="0" applyFont="1" applyFill="1" applyAlignment="1">
      <alignment horizontal="left"/>
    </xf>
    <xf numFmtId="2" fontId="13" fillId="0" borderId="0" xfId="0" applyNumberFormat="1" applyFont="1" applyFill="1" applyBorder="1" applyAlignment="1">
      <alignment horizontal="right"/>
    </xf>
    <xf numFmtId="0" fontId="10" fillId="0" borderId="0" xfId="0" applyFont="1" applyBorder="1" applyAlignment="1"/>
    <xf numFmtId="0" fontId="1" fillId="0" borderId="0" xfId="0" applyNumberFormat="1" applyFont="1" applyFill="1" applyBorder="1" applyAlignment="1">
      <alignment horizontal="right"/>
    </xf>
    <xf numFmtId="2" fontId="13" fillId="0" borderId="0" xfId="0" applyNumberFormat="1" applyFont="1" applyBorder="1" applyAlignment="1">
      <alignment horizontal="right"/>
    </xf>
    <xf numFmtId="0" fontId="1" fillId="2" borderId="0" xfId="0" applyFont="1" applyFill="1" applyBorder="1" applyAlignment="1">
      <alignment horizontal="center"/>
    </xf>
    <xf numFmtId="0" fontId="1" fillId="2" borderId="0" xfId="0" applyFont="1" applyFill="1" applyBorder="1" applyAlignment="1">
      <alignment horizontal="center"/>
    </xf>
    <xf numFmtId="0" fontId="1" fillId="2" borderId="0" xfId="0" applyFont="1" applyFill="1" applyBorder="1" applyAlignment="1">
      <alignment horizontal="center"/>
    </xf>
    <xf numFmtId="2" fontId="13" fillId="0" borderId="0" xfId="0" applyNumberFormat="1" applyFont="1" applyBorder="1" applyAlignment="1">
      <alignment horizontal="right"/>
    </xf>
    <xf numFmtId="1" fontId="17" fillId="4" borderId="0" xfId="0" applyNumberFormat="1" applyFont="1" applyFill="1" applyBorder="1" applyAlignment="1">
      <alignment horizontal="right"/>
    </xf>
    <xf numFmtId="0" fontId="17" fillId="4" borderId="0" xfId="0" applyFont="1" applyFill="1" applyBorder="1" applyAlignment="1">
      <alignment horizontal="center" vertical="center" wrapText="1"/>
    </xf>
    <xf numFmtId="1" fontId="17" fillId="4" borderId="5" xfId="0" applyNumberFormat="1" applyFont="1" applyFill="1" applyBorder="1" applyAlignment="1">
      <alignment horizontal="right"/>
    </xf>
    <xf numFmtId="0" fontId="17" fillId="4" borderId="0" xfId="0" applyFont="1" applyFill="1" applyBorder="1" applyAlignment="1">
      <alignment horizontal="center" vertical="center"/>
    </xf>
    <xf numFmtId="1" fontId="14" fillId="4" borderId="1" xfId="0" applyNumberFormat="1" applyFont="1" applyFill="1" applyBorder="1" applyAlignment="1">
      <alignment horizontal="right"/>
    </xf>
    <xf numFmtId="164" fontId="17" fillId="4" borderId="0" xfId="0" applyNumberFormat="1" applyFont="1" applyFill="1" applyBorder="1" applyAlignment="1">
      <alignment horizontal="right"/>
    </xf>
    <xf numFmtId="164" fontId="14" fillId="4" borderId="0" xfId="0" applyNumberFormat="1" applyFont="1" applyFill="1" applyBorder="1" applyAlignment="1">
      <alignment horizontal="right"/>
    </xf>
    <xf numFmtId="164" fontId="17" fillId="4" borderId="5" xfId="0" applyNumberFormat="1" applyFont="1" applyFill="1" applyBorder="1" applyAlignment="1">
      <alignment horizontal="center"/>
    </xf>
    <xf numFmtId="164" fontId="17" fillId="4" borderId="0" xfId="0" applyNumberFormat="1" applyFont="1" applyFill="1" applyBorder="1" applyAlignment="1">
      <alignment horizontal="center"/>
    </xf>
    <xf numFmtId="164" fontId="14" fillId="4" borderId="1" xfId="0" applyNumberFormat="1" applyFont="1" applyFill="1" applyBorder="1" applyAlignment="1">
      <alignment horizontal="center"/>
    </xf>
    <xf numFmtId="1" fontId="17" fillId="4" borderId="5" xfId="0" applyNumberFormat="1" applyFont="1" applyFill="1" applyBorder="1" applyAlignment="1">
      <alignment horizontal="center"/>
    </xf>
    <xf numFmtId="14" fontId="17" fillId="4" borderId="6" xfId="0" applyNumberFormat="1" applyFont="1" applyFill="1" applyBorder="1" applyAlignment="1">
      <alignment horizontal="center"/>
    </xf>
    <xf numFmtId="14" fontId="17" fillId="4" borderId="0" xfId="0" applyNumberFormat="1" applyFont="1" applyFill="1" applyBorder="1" applyAlignment="1">
      <alignment horizontal="center"/>
    </xf>
    <xf numFmtId="0" fontId="17" fillId="4" borderId="7" xfId="0" applyNumberFormat="1" applyFont="1" applyFill="1" applyBorder="1" applyAlignment="1">
      <alignment horizontal="center"/>
    </xf>
    <xf numFmtId="0" fontId="17" fillId="4" borderId="0" xfId="0" applyNumberFormat="1" applyFont="1" applyFill="1" applyBorder="1" applyAlignment="1">
      <alignment horizontal="center"/>
    </xf>
    <xf numFmtId="0" fontId="17" fillId="4" borderId="3" xfId="0" applyNumberFormat="1" applyFont="1" applyFill="1" applyBorder="1" applyAlignment="1">
      <alignment horizontal="center"/>
    </xf>
    <xf numFmtId="0" fontId="17" fillId="4" borderId="7" xfId="0" applyFont="1" applyFill="1" applyBorder="1" applyAlignment="1">
      <alignment horizontal="center"/>
    </xf>
    <xf numFmtId="0" fontId="17" fillId="4" borderId="0" xfId="0" applyFont="1" applyFill="1" applyBorder="1" applyAlignment="1">
      <alignment horizontal="center"/>
    </xf>
    <xf numFmtId="0" fontId="17" fillId="4" borderId="3" xfId="0" applyFont="1" applyFill="1" applyBorder="1" applyAlignment="1">
      <alignment horizontal="center"/>
    </xf>
    <xf numFmtId="0" fontId="17" fillId="4" borderId="1" xfId="0" applyFont="1" applyFill="1" applyBorder="1" applyAlignment="1">
      <alignment horizontal="center"/>
    </xf>
    <xf numFmtId="2" fontId="17" fillId="4" borderId="0" xfId="0" applyNumberFormat="1" applyFont="1" applyFill="1" applyBorder="1" applyAlignment="1">
      <alignment horizontal="right"/>
    </xf>
    <xf numFmtId="2" fontId="14" fillId="4" borderId="0" xfId="0" applyNumberFormat="1" applyFont="1" applyFill="1" applyBorder="1" applyAlignment="1">
      <alignment horizontal="right"/>
    </xf>
    <xf numFmtId="2" fontId="17" fillId="4" borderId="0" xfId="0" applyNumberFormat="1" applyFont="1" applyFill="1" applyAlignment="1">
      <alignment horizontal="center"/>
    </xf>
    <xf numFmtId="1" fontId="17" fillId="4" borderId="0" xfId="0" applyNumberFormat="1" applyFont="1" applyFill="1" applyBorder="1" applyAlignment="1">
      <alignment horizontal="center"/>
    </xf>
    <xf numFmtId="14" fontId="17" fillId="4" borderId="0" xfId="0" applyNumberFormat="1" applyFont="1" applyFill="1" applyBorder="1" applyAlignment="1">
      <alignment horizontal="right"/>
    </xf>
    <xf numFmtId="0" fontId="17" fillId="4" borderId="5" xfId="0" applyFont="1" applyFill="1" applyBorder="1" applyAlignment="1">
      <alignment horizontal="center"/>
    </xf>
    <xf numFmtId="1" fontId="14" fillId="4" borderId="1" xfId="0" applyNumberFormat="1" applyFont="1" applyFill="1" applyBorder="1" applyAlignment="1">
      <alignment horizontal="center"/>
    </xf>
    <xf numFmtId="164" fontId="14" fillId="4" borderId="0" xfId="0" applyNumberFormat="1" applyFont="1" applyFill="1" applyBorder="1" applyAlignment="1">
      <alignment horizontal="center"/>
    </xf>
    <xf numFmtId="1" fontId="17" fillId="4" borderId="6" xfId="0" applyNumberFormat="1" applyFont="1" applyFill="1" applyBorder="1" applyAlignment="1">
      <alignment horizontal="center"/>
    </xf>
    <xf numFmtId="14" fontId="17" fillId="4" borderId="11" xfId="0" applyNumberFormat="1" applyFont="1" applyFill="1" applyBorder="1" applyAlignment="1">
      <alignment horizontal="center"/>
    </xf>
    <xf numFmtId="2" fontId="17" fillId="4" borderId="0" xfId="0" applyNumberFormat="1" applyFont="1" applyFill="1" applyBorder="1" applyAlignment="1">
      <alignment horizontal="center"/>
    </xf>
    <xf numFmtId="0" fontId="17" fillId="4" borderId="0" xfId="0" applyFont="1" applyFill="1" applyBorder="1" applyAlignment="1">
      <alignment horizontal="right"/>
    </xf>
    <xf numFmtId="0" fontId="14" fillId="4" borderId="1" xfId="0" applyFont="1" applyFill="1" applyBorder="1" applyAlignment="1">
      <alignment horizontal="center"/>
    </xf>
    <xf numFmtId="0" fontId="17" fillId="4" borderId="0" xfId="0" applyFont="1" applyFill="1" applyAlignment="1">
      <alignment horizontal="center"/>
    </xf>
    <xf numFmtId="2" fontId="17" fillId="4" borderId="0" xfId="0" applyNumberFormat="1" applyFont="1" applyFill="1" applyAlignment="1">
      <alignment horizontal="right"/>
    </xf>
    <xf numFmtId="0" fontId="17" fillId="4" borderId="0" xfId="0" applyFont="1" applyFill="1" applyAlignment="1">
      <alignment horizontal="right"/>
    </xf>
    <xf numFmtId="2" fontId="14" fillId="4" borderId="0" xfId="0" applyNumberFormat="1" applyFont="1" applyFill="1" applyAlignment="1">
      <alignment horizontal="right"/>
    </xf>
    <xf numFmtId="2" fontId="17" fillId="4" borderId="0" xfId="0" applyNumberFormat="1" applyFont="1" applyFill="1" applyAlignment="1"/>
    <xf numFmtId="0" fontId="17" fillId="4" borderId="6" xfId="0" applyFont="1" applyFill="1" applyBorder="1" applyAlignment="1">
      <alignment horizontal="center"/>
    </xf>
    <xf numFmtId="0" fontId="17" fillId="4" borderId="7" xfId="0" applyFont="1" applyFill="1" applyBorder="1" applyAlignment="1">
      <alignment horizontal="left"/>
    </xf>
    <xf numFmtId="0" fontId="17" fillId="4" borderId="0" xfId="0" applyFont="1" applyFill="1" applyAlignment="1">
      <alignment horizontal="left"/>
    </xf>
    <xf numFmtId="0" fontId="17" fillId="4" borderId="17" xfId="0" applyFont="1" applyFill="1" applyBorder="1" applyAlignment="1">
      <alignment horizontal="center"/>
    </xf>
    <xf numFmtId="0" fontId="17" fillId="4" borderId="0" xfId="0" applyFont="1" applyFill="1" applyBorder="1" applyAlignment="1">
      <alignment horizontal="left"/>
    </xf>
    <xf numFmtId="0" fontId="17" fillId="4" borderId="5" xfId="0" applyFont="1" applyFill="1" applyBorder="1" applyAlignment="1">
      <alignment horizontal="right"/>
    </xf>
    <xf numFmtId="0" fontId="14" fillId="4" borderId="1" xfId="0" applyFont="1" applyFill="1" applyBorder="1" applyAlignment="1">
      <alignment horizontal="right"/>
    </xf>
    <xf numFmtId="164" fontId="17" fillId="4" borderId="5" xfId="0" applyNumberFormat="1" applyFont="1" applyFill="1" applyBorder="1" applyAlignment="1">
      <alignment horizontal="right"/>
    </xf>
    <xf numFmtId="164" fontId="14" fillId="4" borderId="1" xfId="0" applyNumberFormat="1" applyFont="1" applyFill="1" applyBorder="1" applyAlignment="1">
      <alignment horizontal="right"/>
    </xf>
    <xf numFmtId="0" fontId="17" fillId="4" borderId="17" xfId="0" applyFont="1" applyFill="1" applyBorder="1" applyAlignment="1">
      <alignment horizontal="left"/>
    </xf>
    <xf numFmtId="0" fontId="17" fillId="4" borderId="4" xfId="0" applyFont="1" applyFill="1" applyBorder="1" applyAlignment="1">
      <alignment horizontal="center"/>
    </xf>
    <xf numFmtId="0" fontId="17" fillId="4" borderId="18" xfId="0" applyFont="1" applyFill="1" applyBorder="1" applyAlignment="1">
      <alignment horizontal="center"/>
    </xf>
    <xf numFmtId="14" fontId="1" fillId="2" borderId="0" xfId="0" applyNumberFormat="1" applyFont="1" applyFill="1" applyBorder="1" applyAlignment="1">
      <alignment horizontal="center"/>
    </xf>
    <xf numFmtId="0" fontId="1" fillId="2" borderId="0" xfId="0" applyFont="1" applyFill="1" applyBorder="1" applyAlignment="1">
      <alignment horizontal="center"/>
    </xf>
    <xf numFmtId="2" fontId="13" fillId="0" borderId="0" xfId="0" applyNumberFormat="1" applyFont="1" applyBorder="1" applyAlignment="1">
      <alignment horizontal="right"/>
    </xf>
    <xf numFmtId="2" fontId="13" fillId="0" borderId="0" xfId="0" applyNumberFormat="1" applyFont="1" applyBorder="1" applyAlignment="1">
      <alignment horizontal="right"/>
    </xf>
    <xf numFmtId="2" fontId="13" fillId="0" borderId="0" xfId="0" applyNumberFormat="1" applyFont="1" applyBorder="1" applyAlignment="1">
      <alignment horizontal="right"/>
    </xf>
    <xf numFmtId="14" fontId="1" fillId="2" borderId="0" xfId="0" applyNumberFormat="1" applyFont="1" applyFill="1" applyBorder="1" applyAlignment="1">
      <alignment horizontal="center"/>
    </xf>
    <xf numFmtId="2" fontId="13" fillId="0" borderId="0" xfId="0" applyNumberFormat="1" applyFont="1" applyBorder="1" applyAlignment="1">
      <alignment horizontal="right"/>
    </xf>
    <xf numFmtId="0" fontId="1" fillId="2" borderId="0" xfId="0" applyFont="1" applyFill="1" applyBorder="1" applyAlignment="1">
      <alignment horizontal="center"/>
    </xf>
    <xf numFmtId="2" fontId="13" fillId="0" borderId="0" xfId="0" applyNumberFormat="1" applyFont="1" applyAlignment="1">
      <alignment horizontal="right"/>
    </xf>
    <xf numFmtId="14" fontId="1" fillId="2" borderId="0" xfId="0" applyNumberFormat="1" applyFont="1" applyFill="1" applyBorder="1" applyAlignment="1">
      <alignment horizontal="center"/>
    </xf>
    <xf numFmtId="0" fontId="1" fillId="2" borderId="0" xfId="0" applyFont="1" applyFill="1" applyBorder="1" applyAlignment="1">
      <alignment horizontal="center"/>
    </xf>
    <xf numFmtId="0" fontId="1" fillId="2" borderId="0" xfId="0" applyFont="1" applyFill="1" applyBorder="1" applyAlignment="1">
      <alignment horizontal="center"/>
    </xf>
    <xf numFmtId="2" fontId="14" fillId="0" borderId="0" xfId="0" applyNumberFormat="1" applyFont="1" applyAlignment="1">
      <alignment horizontal="right"/>
    </xf>
    <xf numFmtId="14" fontId="1" fillId="2" borderId="0" xfId="0" applyNumberFormat="1" applyFont="1" applyFill="1" applyBorder="1" applyAlignment="1">
      <alignment horizontal="center"/>
    </xf>
    <xf numFmtId="2" fontId="13" fillId="0" borderId="0" xfId="0" applyNumberFormat="1" applyFont="1" applyBorder="1" applyAlignment="1">
      <alignment horizontal="right"/>
    </xf>
    <xf numFmtId="0" fontId="1" fillId="2" borderId="0" xfId="0" applyFont="1" applyFill="1" applyBorder="1" applyAlignment="1">
      <alignment horizontal="center"/>
    </xf>
    <xf numFmtId="16" fontId="1" fillId="2" borderId="0" xfId="0" applyNumberFormat="1" applyFont="1" applyFill="1" applyBorder="1" applyAlignment="1">
      <alignment horizontal="center"/>
    </xf>
    <xf numFmtId="2" fontId="13" fillId="0" borderId="0" xfId="0" applyNumberFormat="1" applyFont="1" applyAlignment="1">
      <alignment horizontal="right"/>
    </xf>
    <xf numFmtId="14" fontId="1" fillId="2" borderId="0" xfId="0" applyNumberFormat="1" applyFont="1" applyFill="1" applyBorder="1" applyAlignment="1">
      <alignment horizontal="center"/>
    </xf>
    <xf numFmtId="2" fontId="13" fillId="0" borderId="0" xfId="0" applyNumberFormat="1" applyFont="1" applyBorder="1" applyAlignment="1">
      <alignment horizontal="right"/>
    </xf>
    <xf numFmtId="0" fontId="1" fillId="2" borderId="0" xfId="0" applyFont="1" applyFill="1" applyBorder="1" applyAlignment="1">
      <alignment horizontal="center"/>
    </xf>
    <xf numFmtId="16" fontId="1" fillId="2" borderId="0" xfId="0" applyNumberFormat="1" applyFont="1" applyFill="1" applyBorder="1" applyAlignment="1">
      <alignment horizontal="center"/>
    </xf>
    <xf numFmtId="0" fontId="1" fillId="2" borderId="0" xfId="0" applyFont="1" applyFill="1" applyBorder="1" applyAlignment="1">
      <alignment horizontal="center"/>
    </xf>
    <xf numFmtId="16" fontId="1" fillId="2" borderId="0" xfId="0" applyNumberFormat="1" applyFont="1" applyFill="1" applyBorder="1" applyAlignment="1">
      <alignment horizontal="center"/>
    </xf>
    <xf numFmtId="14" fontId="1" fillId="2" borderId="0" xfId="0" applyNumberFormat="1" applyFont="1" applyFill="1" applyBorder="1" applyAlignment="1">
      <alignment horizontal="center"/>
    </xf>
    <xf numFmtId="2" fontId="13" fillId="0" borderId="0" xfId="0" applyNumberFormat="1" applyFont="1" applyBorder="1" applyAlignment="1">
      <alignment horizontal="right"/>
    </xf>
    <xf numFmtId="0" fontId="1" fillId="2" borderId="0" xfId="0" applyFont="1" applyFill="1" applyBorder="1" applyAlignment="1">
      <alignment horizontal="center"/>
    </xf>
    <xf numFmtId="0" fontId="1" fillId="2" borderId="0" xfId="0" applyFont="1" applyFill="1" applyBorder="1" applyAlignment="1">
      <alignment horizontal="center"/>
    </xf>
    <xf numFmtId="2" fontId="13" fillId="0" borderId="0" xfId="0" applyNumberFormat="1" applyFont="1" applyBorder="1" applyAlignment="1">
      <alignment horizontal="right"/>
    </xf>
    <xf numFmtId="0" fontId="1" fillId="2" borderId="0" xfId="0" applyFont="1" applyFill="1" applyBorder="1" applyAlignment="1">
      <alignment horizontal="center"/>
    </xf>
    <xf numFmtId="14" fontId="1" fillId="2" borderId="0" xfId="0" applyNumberFormat="1" applyFont="1" applyFill="1" applyBorder="1" applyAlignment="1">
      <alignment horizontal="center"/>
    </xf>
    <xf numFmtId="0" fontId="1" fillId="2" borderId="0" xfId="0" applyFont="1" applyFill="1" applyBorder="1" applyAlignment="1">
      <alignment horizontal="center"/>
    </xf>
    <xf numFmtId="0" fontId="8" fillId="2" borderId="7" xfId="0" applyFont="1" applyFill="1" applyBorder="1" applyAlignment="1">
      <alignment horizontal="left"/>
    </xf>
    <xf numFmtId="14" fontId="1" fillId="2" borderId="0" xfId="0" applyNumberFormat="1" applyFont="1" applyFill="1" applyBorder="1" applyAlignment="1">
      <alignment horizontal="center"/>
    </xf>
    <xf numFmtId="2" fontId="1" fillId="2" borderId="0" xfId="0" applyNumberFormat="1" applyFont="1" applyFill="1" applyBorder="1" applyAlignment="1">
      <alignment horizontal="center"/>
    </xf>
    <xf numFmtId="0" fontId="1" fillId="2" borderId="0" xfId="0" applyFont="1" applyFill="1" applyBorder="1" applyAlignment="1">
      <alignment horizontal="center"/>
    </xf>
    <xf numFmtId="0" fontId="17" fillId="4" borderId="0" xfId="0" applyFont="1" applyFill="1" applyBorder="1" applyAlignment="1">
      <alignment horizontal="center"/>
    </xf>
    <xf numFmtId="0" fontId="16" fillId="2" borderId="0" xfId="0" applyFont="1" applyFill="1" applyBorder="1" applyAlignment="1">
      <alignment horizontal="center"/>
    </xf>
    <xf numFmtId="14" fontId="1" fillId="2" borderId="0" xfId="0" applyNumberFormat="1" applyFont="1" applyFill="1" applyBorder="1" applyAlignment="1">
      <alignment horizontal="center"/>
    </xf>
    <xf numFmtId="0" fontId="1" fillId="2" borderId="0" xfId="0" applyFont="1" applyFill="1" applyBorder="1" applyAlignment="1">
      <alignment horizontal="center"/>
    </xf>
    <xf numFmtId="2" fontId="1" fillId="2" borderId="1" xfId="0" applyNumberFormat="1" applyFont="1" applyFill="1" applyBorder="1" applyAlignment="1">
      <alignment horizontal="center"/>
    </xf>
    <xf numFmtId="2" fontId="1" fillId="2" borderId="0" xfId="0" applyNumberFormat="1" applyFont="1" applyFill="1" applyBorder="1" applyAlignment="1"/>
    <xf numFmtId="2" fontId="1" fillId="2" borderId="1" xfId="0" applyNumberFormat="1" applyFont="1" applyFill="1" applyBorder="1" applyAlignment="1"/>
    <xf numFmtId="0" fontId="1" fillId="2" borderId="1" xfId="0" applyFont="1" applyFill="1" applyBorder="1" applyAlignment="1"/>
    <xf numFmtId="0" fontId="1" fillId="3" borderId="0" xfId="0" applyFont="1" applyFill="1" applyBorder="1" applyAlignment="1">
      <alignment horizontal="center"/>
    </xf>
    <xf numFmtId="14" fontId="16" fillId="3" borderId="0" xfId="0" applyNumberFormat="1" applyFont="1" applyFill="1" applyAlignment="1">
      <alignment horizontal="center"/>
    </xf>
    <xf numFmtId="0" fontId="1" fillId="3" borderId="5" xfId="0" applyFont="1" applyFill="1" applyBorder="1" applyAlignment="1">
      <alignment horizontal="right"/>
    </xf>
    <xf numFmtId="0" fontId="8" fillId="3" borderId="1" xfId="0" applyFont="1" applyFill="1" applyBorder="1" applyAlignment="1">
      <alignment horizontal="right"/>
    </xf>
    <xf numFmtId="164" fontId="1" fillId="3" borderId="0" xfId="0" applyNumberFormat="1" applyFont="1" applyFill="1" applyBorder="1" applyAlignment="1">
      <alignment horizontal="right"/>
    </xf>
    <xf numFmtId="164" fontId="8" fillId="3" borderId="0" xfId="0" applyNumberFormat="1" applyFont="1" applyFill="1" applyBorder="1" applyAlignment="1">
      <alignment horizontal="right"/>
    </xf>
    <xf numFmtId="164" fontId="1" fillId="3" borderId="5" xfId="0" applyNumberFormat="1" applyFont="1" applyFill="1" applyBorder="1" applyAlignment="1">
      <alignment horizontal="right"/>
    </xf>
    <xf numFmtId="164" fontId="8" fillId="3" borderId="1" xfId="0" applyNumberFormat="1" applyFont="1" applyFill="1" applyBorder="1" applyAlignment="1">
      <alignment horizontal="right"/>
    </xf>
    <xf numFmtId="14" fontId="1" fillId="3" borderId="6" xfId="0" applyNumberFormat="1"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1" xfId="0" applyFont="1" applyFill="1" applyBorder="1" applyAlignment="1">
      <alignment horizontal="center"/>
    </xf>
    <xf numFmtId="0" fontId="1" fillId="5" borderId="4" xfId="0" applyFont="1" applyFill="1" applyBorder="1" applyAlignment="1">
      <alignment horizontal="center"/>
    </xf>
    <xf numFmtId="0" fontId="1" fillId="5" borderId="12" xfId="0" applyFont="1" applyFill="1" applyBorder="1" applyAlignment="1">
      <alignment horizontal="center" vertical="center"/>
    </xf>
    <xf numFmtId="0" fontId="1" fillId="5" borderId="2" xfId="0" applyFont="1" applyFill="1" applyBorder="1" applyAlignment="1">
      <alignment horizontal="center" vertical="center"/>
    </xf>
    <xf numFmtId="0" fontId="8" fillId="5" borderId="10" xfId="0" applyFont="1" applyFill="1" applyBorder="1" applyAlignment="1">
      <alignment horizontal="center" vertical="center"/>
    </xf>
    <xf numFmtId="0" fontId="8" fillId="5" borderId="2" xfId="0" applyFont="1" applyFill="1" applyBorder="1" applyAlignment="1">
      <alignment horizontal="center" vertical="center"/>
    </xf>
    <xf numFmtId="0" fontId="1" fillId="5" borderId="2" xfId="0" applyFont="1" applyFill="1" applyBorder="1" applyAlignment="1">
      <alignment horizontal="center"/>
    </xf>
    <xf numFmtId="0" fontId="1" fillId="5" borderId="8" xfId="0" applyFont="1" applyFill="1" applyBorder="1" applyAlignment="1">
      <alignment horizontal="center"/>
    </xf>
    <xf numFmtId="0" fontId="1" fillId="5" borderId="9" xfId="0" applyFont="1" applyFill="1" applyBorder="1" applyAlignment="1">
      <alignment horizontal="center"/>
    </xf>
    <xf numFmtId="0" fontId="1" fillId="5" borderId="10" xfId="0" applyFont="1" applyFill="1" applyBorder="1" applyAlignment="1">
      <alignment horizontal="center"/>
    </xf>
    <xf numFmtId="14" fontId="1" fillId="3" borderId="0" xfId="0" applyNumberFormat="1" applyFont="1" applyFill="1" applyBorder="1" applyAlignment="1">
      <alignment horizontal="center"/>
    </xf>
    <xf numFmtId="0" fontId="1" fillId="3" borderId="0" xfId="0" applyFont="1" applyFill="1" applyBorder="1" applyAlignment="1">
      <alignment horizontal="center"/>
    </xf>
    <xf numFmtId="0" fontId="1" fillId="3" borderId="6" xfId="0" applyFont="1" applyFill="1" applyBorder="1" applyAlignment="1">
      <alignment horizontal="center"/>
    </xf>
    <xf numFmtId="0" fontId="16" fillId="3" borderId="0" xfId="0" applyFont="1" applyFill="1" applyAlignment="1">
      <alignment horizontal="center"/>
    </xf>
    <xf numFmtId="14" fontId="17" fillId="3" borderId="0" xfId="0" applyNumberFormat="1" applyFont="1" applyFill="1" applyAlignment="1">
      <alignment horizontal="center"/>
    </xf>
    <xf numFmtId="0" fontId="17" fillId="3" borderId="0" xfId="0" applyFont="1" applyFill="1" applyBorder="1" applyAlignment="1">
      <alignment horizontal="center"/>
    </xf>
    <xf numFmtId="14" fontId="1" fillId="3" borderId="0" xfId="0" applyNumberFormat="1" applyFont="1" applyFill="1" applyAlignment="1">
      <alignment horizontal="center"/>
    </xf>
    <xf numFmtId="1" fontId="1" fillId="5" borderId="4" xfId="0" applyNumberFormat="1" applyFont="1" applyFill="1" applyBorder="1" applyAlignment="1">
      <alignment horizontal="right"/>
    </xf>
    <xf numFmtId="2" fontId="4" fillId="5" borderId="4" xfId="0" applyNumberFormat="1" applyFont="1" applyFill="1" applyBorder="1" applyAlignment="1"/>
    <xf numFmtId="0" fontId="1" fillId="5" borderId="4" xfId="0" applyFont="1" applyFill="1" applyBorder="1" applyAlignment="1">
      <alignment horizontal="right"/>
    </xf>
    <xf numFmtId="2" fontId="4" fillId="5" borderId="4" xfId="0" applyNumberFormat="1" applyFont="1" applyFill="1" applyBorder="1" applyAlignment="1">
      <alignment horizontal="right"/>
    </xf>
    <xf numFmtId="1" fontId="1" fillId="5" borderId="0" xfId="0" applyNumberFormat="1" applyFont="1" applyFill="1" applyBorder="1" applyAlignment="1">
      <alignment horizontal="right"/>
    </xf>
    <xf numFmtId="2" fontId="1" fillId="5" borderId="0" xfId="0" applyNumberFormat="1" applyFont="1" applyFill="1" applyBorder="1" applyAlignment="1"/>
    <xf numFmtId="2" fontId="4" fillId="5" borderId="0" xfId="0" applyNumberFormat="1" applyFont="1" applyFill="1" applyBorder="1" applyAlignment="1"/>
    <xf numFmtId="0" fontId="1" fillId="5" borderId="0" xfId="0" applyFont="1" applyFill="1" applyBorder="1" applyAlignment="1">
      <alignment horizontal="right"/>
    </xf>
    <xf numFmtId="2" fontId="1" fillId="5" borderId="0" xfId="0" applyNumberFormat="1" applyFont="1" applyFill="1" applyBorder="1" applyAlignment="1">
      <alignment horizontal="left"/>
    </xf>
    <xf numFmtId="1" fontId="4" fillId="5" borderId="0" xfId="0" applyNumberFormat="1" applyFont="1" applyFill="1" applyBorder="1" applyAlignment="1">
      <alignment horizontal="right"/>
    </xf>
    <xf numFmtId="2" fontId="4" fillId="5" borderId="0" xfId="0" applyNumberFormat="1" applyFont="1" applyFill="1" applyBorder="1" applyAlignment="1">
      <alignment horizontal="right"/>
    </xf>
    <xf numFmtId="1" fontId="1" fillId="5" borderId="2" xfId="0" applyNumberFormat="1" applyFont="1" applyFill="1" applyBorder="1" applyAlignment="1">
      <alignment horizontal="center"/>
    </xf>
    <xf numFmtId="2" fontId="1" fillId="5" borderId="2" xfId="0" applyNumberFormat="1" applyFont="1" applyFill="1" applyBorder="1" applyAlignment="1">
      <alignment horizontal="right"/>
    </xf>
    <xf numFmtId="2" fontId="13" fillId="5" borderId="2" xfId="0" applyNumberFormat="1" applyFont="1" applyFill="1" applyBorder="1" applyAlignment="1">
      <alignment horizontal="right"/>
    </xf>
    <xf numFmtId="0" fontId="1" fillId="5" borderId="2" xfId="0" applyFont="1" applyFill="1" applyBorder="1" applyAlignment="1">
      <alignment horizontal="right"/>
    </xf>
    <xf numFmtId="2" fontId="1" fillId="5" borderId="2" xfId="0" applyNumberFormat="1" applyFont="1" applyFill="1" applyBorder="1" applyAlignment="1">
      <alignment horizontal="center"/>
    </xf>
    <xf numFmtId="1" fontId="1" fillId="5" borderId="2" xfId="0" applyNumberFormat="1" applyFont="1" applyFill="1" applyBorder="1" applyAlignment="1">
      <alignment horizontal="right"/>
    </xf>
    <xf numFmtId="0" fontId="8" fillId="5" borderId="2" xfId="0" applyFont="1" applyFill="1" applyBorder="1" applyAlignment="1">
      <alignment horizontal="right"/>
    </xf>
    <xf numFmtId="14" fontId="1" fillId="3" borderId="0" xfId="0" applyNumberFormat="1" applyFont="1" applyFill="1" applyBorder="1" applyAlignment="1">
      <alignment horizontal="right"/>
    </xf>
    <xf numFmtId="1" fontId="1" fillId="3" borderId="5" xfId="0" applyNumberFormat="1" applyFont="1" applyFill="1" applyBorder="1" applyAlignment="1">
      <alignment horizontal="right"/>
    </xf>
    <xf numFmtId="1" fontId="8" fillId="3" borderId="1" xfId="0" applyNumberFormat="1" applyFont="1" applyFill="1" applyBorder="1" applyAlignment="1">
      <alignment horizontal="right"/>
    </xf>
    <xf numFmtId="164" fontId="1" fillId="3" borderId="5" xfId="0" applyNumberFormat="1" applyFont="1" applyFill="1" applyBorder="1" applyAlignment="1">
      <alignment horizontal="center"/>
    </xf>
    <xf numFmtId="164" fontId="1" fillId="3" borderId="0" xfId="0" applyNumberFormat="1" applyFont="1" applyFill="1" applyBorder="1" applyAlignment="1">
      <alignment horizontal="center"/>
    </xf>
    <xf numFmtId="164" fontId="8" fillId="3" borderId="1" xfId="0" applyNumberFormat="1" applyFont="1" applyFill="1" applyBorder="1" applyAlignment="1">
      <alignment horizontal="center"/>
    </xf>
    <xf numFmtId="1" fontId="1" fillId="3" borderId="0" xfId="0" applyNumberFormat="1" applyFont="1" applyFill="1" applyBorder="1" applyAlignment="1">
      <alignment horizontal="center"/>
    </xf>
    <xf numFmtId="0" fontId="1" fillId="3" borderId="7" xfId="0" applyNumberFormat="1" applyFont="1" applyFill="1" applyBorder="1" applyAlignment="1">
      <alignment horizontal="center"/>
    </xf>
    <xf numFmtId="0" fontId="1" fillId="3" borderId="0" xfId="0" applyNumberFormat="1" applyFont="1" applyFill="1" applyBorder="1" applyAlignment="1">
      <alignment horizontal="center"/>
    </xf>
    <xf numFmtId="0" fontId="1" fillId="3" borderId="3" xfId="0" applyNumberFormat="1" applyFont="1" applyFill="1" applyBorder="1" applyAlignment="1">
      <alignment horizontal="center"/>
    </xf>
    <xf numFmtId="0" fontId="1" fillId="3" borderId="0" xfId="0" applyNumberFormat="1" applyFont="1" applyFill="1" applyAlignment="1">
      <alignment horizontal="center"/>
    </xf>
    <xf numFmtId="2" fontId="1" fillId="3" borderId="0" xfId="0" applyNumberFormat="1" applyFont="1" applyFill="1" applyAlignment="1">
      <alignment horizontal="center"/>
    </xf>
    <xf numFmtId="2" fontId="1" fillId="3" borderId="0" xfId="0" applyNumberFormat="1" applyFont="1" applyFill="1" applyBorder="1" applyAlignment="1">
      <alignment horizontal="center"/>
    </xf>
    <xf numFmtId="2" fontId="1" fillId="3" borderId="1" xfId="0" applyNumberFormat="1" applyFont="1" applyFill="1" applyBorder="1" applyAlignment="1">
      <alignment horizontal="center"/>
    </xf>
    <xf numFmtId="14" fontId="15" fillId="3" borderId="0" xfId="0" applyNumberFormat="1" applyFont="1" applyFill="1" applyBorder="1" applyAlignment="1">
      <alignment horizontal="right"/>
    </xf>
    <xf numFmtId="1" fontId="15" fillId="3" borderId="0" xfId="0" applyNumberFormat="1" applyFont="1" applyFill="1" applyBorder="1" applyAlignment="1">
      <alignment horizontal="right"/>
    </xf>
    <xf numFmtId="1" fontId="1" fillId="3" borderId="6" xfId="0" applyNumberFormat="1" applyFont="1" applyFill="1" applyBorder="1" applyAlignment="1">
      <alignment horizontal="center"/>
    </xf>
    <xf numFmtId="14" fontId="1" fillId="3" borderId="0" xfId="0" applyNumberFormat="1" applyFont="1" applyFill="1" applyBorder="1" applyAlignment="1">
      <alignment horizontal="center"/>
    </xf>
    <xf numFmtId="14" fontId="1" fillId="3" borderId="2" xfId="0" applyNumberFormat="1" applyFont="1" applyFill="1" applyBorder="1" applyAlignment="1">
      <alignment horizontal="right"/>
    </xf>
    <xf numFmtId="1" fontId="1" fillId="3" borderId="12" xfId="0" applyNumberFormat="1" applyFont="1" applyFill="1" applyBorder="1" applyAlignment="1">
      <alignment horizontal="right"/>
    </xf>
    <xf numFmtId="1" fontId="8" fillId="3" borderId="10" xfId="0" applyNumberFormat="1" applyFont="1" applyFill="1" applyBorder="1" applyAlignment="1">
      <alignment horizontal="right"/>
    </xf>
    <xf numFmtId="164" fontId="1" fillId="3" borderId="2" xfId="0" applyNumberFormat="1" applyFont="1" applyFill="1" applyBorder="1" applyAlignment="1">
      <alignment horizontal="right"/>
    </xf>
    <xf numFmtId="164" fontId="8" fillId="3" borderId="2" xfId="0" applyNumberFormat="1" applyFont="1" applyFill="1" applyBorder="1" applyAlignment="1">
      <alignment horizontal="right"/>
    </xf>
    <xf numFmtId="164" fontId="1" fillId="3" borderId="12" xfId="0" applyNumberFormat="1" applyFont="1" applyFill="1" applyBorder="1" applyAlignment="1">
      <alignment horizontal="center"/>
    </xf>
    <xf numFmtId="164" fontId="1" fillId="3" borderId="2" xfId="0" applyNumberFormat="1" applyFont="1" applyFill="1" applyBorder="1" applyAlignment="1">
      <alignment horizontal="center"/>
    </xf>
    <xf numFmtId="164" fontId="8" fillId="3" borderId="10" xfId="0" applyNumberFormat="1" applyFont="1" applyFill="1" applyBorder="1" applyAlignment="1">
      <alignment horizontal="center"/>
    </xf>
    <xf numFmtId="14" fontId="1" fillId="3" borderId="13" xfId="0" applyNumberFormat="1" applyFont="1" applyFill="1" applyBorder="1" applyAlignment="1">
      <alignment horizontal="center"/>
    </xf>
    <xf numFmtId="14" fontId="1" fillId="3" borderId="2" xfId="0" applyNumberFormat="1" applyFont="1" applyFill="1" applyBorder="1" applyAlignment="1">
      <alignment horizontal="center"/>
    </xf>
    <xf numFmtId="0" fontId="1" fillId="3" borderId="8" xfId="0" applyNumberFormat="1" applyFont="1" applyFill="1" applyBorder="1" applyAlignment="1">
      <alignment horizontal="center"/>
    </xf>
    <xf numFmtId="0" fontId="1" fillId="3" borderId="2" xfId="0" applyNumberFormat="1" applyFont="1" applyFill="1" applyBorder="1" applyAlignment="1">
      <alignment horizontal="center"/>
    </xf>
    <xf numFmtId="0" fontId="1" fillId="3" borderId="9" xfId="0" applyNumberFormat="1" applyFont="1" applyFill="1" applyBorder="1" applyAlignment="1">
      <alignment horizontal="center"/>
    </xf>
    <xf numFmtId="2" fontId="1" fillId="3" borderId="10" xfId="0" applyNumberFormat="1" applyFont="1" applyFill="1" applyBorder="1" applyAlignment="1">
      <alignment horizontal="center"/>
    </xf>
    <xf numFmtId="0" fontId="1" fillId="3" borderId="0" xfId="0" applyNumberFormat="1" applyFont="1" applyFill="1" applyBorder="1" applyAlignment="1"/>
    <xf numFmtId="0" fontId="1" fillId="3" borderId="7" xfId="0" applyNumberFormat="1" applyFont="1" applyFill="1" applyBorder="1" applyAlignment="1"/>
    <xf numFmtId="0" fontId="1" fillId="3" borderId="3" xfId="0" applyNumberFormat="1" applyFont="1" applyFill="1" applyBorder="1" applyAlignment="1"/>
    <xf numFmtId="0" fontId="1" fillId="3" borderId="0" xfId="0" applyNumberFormat="1" applyFont="1" applyFill="1" applyAlignment="1"/>
    <xf numFmtId="0" fontId="1" fillId="3" borderId="0" xfId="0" applyFont="1" applyFill="1" applyAlignment="1"/>
    <xf numFmtId="0" fontId="1" fillId="3" borderId="0" xfId="0" applyFont="1" applyFill="1" applyBorder="1" applyAlignment="1"/>
    <xf numFmtId="0" fontId="1" fillId="3" borderId="1" xfId="0" applyFont="1" applyFill="1" applyBorder="1" applyAlignment="1"/>
    <xf numFmtId="0" fontId="1" fillId="3" borderId="5" xfId="0" applyFont="1" applyFill="1" applyBorder="1" applyAlignment="1">
      <alignment horizontal="center"/>
    </xf>
    <xf numFmtId="1" fontId="8" fillId="3" borderId="0" xfId="0" applyNumberFormat="1" applyFont="1" applyFill="1" applyBorder="1" applyAlignment="1">
      <alignment horizontal="center"/>
    </xf>
    <xf numFmtId="164" fontId="8" fillId="3" borderId="0" xfId="0" applyNumberFormat="1" applyFont="1" applyFill="1" applyBorder="1" applyAlignment="1">
      <alignment horizontal="center"/>
    </xf>
    <xf numFmtId="14" fontId="1" fillId="3" borderId="11" xfId="0" applyNumberFormat="1" applyFont="1" applyFill="1" applyBorder="1" applyAlignment="1">
      <alignment horizontal="center"/>
    </xf>
    <xf numFmtId="14" fontId="17" fillId="3" borderId="0" xfId="0" applyNumberFormat="1" applyFont="1" applyFill="1" applyBorder="1" applyAlignment="1">
      <alignment horizontal="right"/>
    </xf>
    <xf numFmtId="0" fontId="17" fillId="3" borderId="1" xfId="0" applyFont="1" applyFill="1" applyBorder="1" applyAlignment="1">
      <alignment horizontal="center"/>
    </xf>
    <xf numFmtId="1" fontId="8" fillId="3" borderId="2" xfId="0" applyNumberFormat="1" applyFont="1" applyFill="1" applyBorder="1" applyAlignment="1">
      <alignment horizontal="center"/>
    </xf>
    <xf numFmtId="164" fontId="8" fillId="3" borderId="2" xfId="0" applyNumberFormat="1" applyFont="1" applyFill="1" applyBorder="1" applyAlignment="1">
      <alignment horizontal="center"/>
    </xf>
    <xf numFmtId="1" fontId="1" fillId="3" borderId="13" xfId="0" applyNumberFormat="1" applyFont="1" applyFill="1" applyBorder="1" applyAlignment="1">
      <alignment horizontal="center"/>
    </xf>
    <xf numFmtId="14" fontId="1" fillId="3" borderId="19" xfId="0" applyNumberFormat="1" applyFont="1" applyFill="1" applyBorder="1" applyAlignment="1">
      <alignment horizontal="center"/>
    </xf>
    <xf numFmtId="0" fontId="8" fillId="3" borderId="0" xfId="0" applyNumberFormat="1" applyFont="1" applyFill="1" applyBorder="1" applyAlignment="1">
      <alignment horizontal="center"/>
    </xf>
    <xf numFmtId="14" fontId="1" fillId="3" borderId="0" xfId="0" applyNumberFormat="1" applyFont="1" applyFill="1" applyAlignment="1">
      <alignment horizontal="right"/>
    </xf>
    <xf numFmtId="14" fontId="1" fillId="3" borderId="0" xfId="0" applyNumberFormat="1" applyFont="1" applyFill="1" applyAlignment="1"/>
    <xf numFmtId="0" fontId="1" fillId="3" borderId="7" xfId="0" applyFont="1" applyFill="1" applyBorder="1" applyAlignment="1"/>
    <xf numFmtId="0" fontId="1" fillId="3" borderId="3" xfId="0" applyFont="1" applyFill="1" applyBorder="1" applyAlignment="1"/>
    <xf numFmtId="0" fontId="1" fillId="3" borderId="1" xfId="0" applyNumberFormat="1" applyFont="1" applyFill="1" applyBorder="1" applyAlignment="1">
      <alignment horizontal="center"/>
    </xf>
    <xf numFmtId="0" fontId="8" fillId="3" borderId="1" xfId="0" applyFont="1" applyFill="1" applyBorder="1" applyAlignment="1">
      <alignment horizontal="center"/>
    </xf>
    <xf numFmtId="14" fontId="17" fillId="3" borderId="0" xfId="0" applyNumberFormat="1" applyFont="1" applyFill="1" applyBorder="1" applyAlignment="1">
      <alignment horizontal="center"/>
    </xf>
    <xf numFmtId="0" fontId="9" fillId="0" borderId="0" xfId="0" applyFont="1" applyFill="1" applyBorder="1" applyAlignment="1">
      <alignment horizontal="left"/>
    </xf>
    <xf numFmtId="0" fontId="8" fillId="3" borderId="7" xfId="0" applyFont="1" applyFill="1" applyBorder="1" applyAlignment="1">
      <alignment horizontal="left"/>
    </xf>
    <xf numFmtId="1" fontId="1" fillId="3" borderId="0" xfId="0" applyNumberFormat="1" applyFont="1" applyFill="1" applyAlignment="1">
      <alignment horizontal="center" vertical="top"/>
    </xf>
    <xf numFmtId="14" fontId="15" fillId="3" borderId="0" xfId="0" applyNumberFormat="1" applyFont="1" applyFill="1" applyAlignment="1">
      <alignment horizontal="center"/>
    </xf>
    <xf numFmtId="0" fontId="15" fillId="3" borderId="0" xfId="0" applyFont="1" applyFill="1" applyBorder="1" applyAlignment="1">
      <alignment horizontal="center"/>
    </xf>
    <xf numFmtId="1" fontId="16" fillId="3" borderId="0" xfId="0" applyNumberFormat="1" applyFont="1" applyFill="1" applyAlignment="1">
      <alignment horizontal="center" vertical="top"/>
    </xf>
    <xf numFmtId="1" fontId="16" fillId="3" borderId="0" xfId="0" applyNumberFormat="1" applyFont="1" applyFill="1" applyAlignment="1">
      <alignment horizontal="center"/>
    </xf>
    <xf numFmtId="0" fontId="15" fillId="3" borderId="1" xfId="0" applyFont="1" applyFill="1" applyBorder="1" applyAlignment="1">
      <alignment horizontal="center"/>
    </xf>
    <xf numFmtId="14" fontId="15" fillId="3" borderId="0" xfId="0" applyNumberFormat="1" applyFont="1" applyFill="1" applyBorder="1" applyAlignment="1">
      <alignment horizontal="center"/>
    </xf>
    <xf numFmtId="164" fontId="1" fillId="3" borderId="3" xfId="0" applyNumberFormat="1" applyFont="1" applyFill="1" applyBorder="1" applyAlignment="1">
      <alignment horizontal="center"/>
    </xf>
    <xf numFmtId="0" fontId="1" fillId="3" borderId="12" xfId="0" applyFont="1" applyFill="1" applyBorder="1" applyAlignment="1">
      <alignment horizontal="center"/>
    </xf>
    <xf numFmtId="0" fontId="8" fillId="3" borderId="10" xfId="0" applyFont="1" applyFill="1" applyBorder="1" applyAlignment="1">
      <alignment horizontal="center"/>
    </xf>
    <xf numFmtId="0" fontId="1" fillId="3" borderId="7" xfId="0" applyFont="1" applyFill="1" applyBorder="1" applyAlignment="1">
      <alignment horizontal="left"/>
    </xf>
    <xf numFmtId="14" fontId="18" fillId="3" borderId="0" xfId="0" applyNumberFormat="1" applyFont="1" applyFill="1" applyBorder="1" applyAlignment="1">
      <alignment horizontal="center"/>
    </xf>
    <xf numFmtId="0" fontId="18" fillId="3" borderId="0" xfId="0" applyFont="1" applyFill="1" applyBorder="1" applyAlignment="1">
      <alignment horizontal="center"/>
    </xf>
    <xf numFmtId="0" fontId="1" fillId="3" borderId="0" xfId="0" applyFont="1" applyFill="1" applyBorder="1" applyAlignment="1">
      <alignment horizontal="left"/>
    </xf>
    <xf numFmtId="2" fontId="1" fillId="3" borderId="0" xfId="0" applyNumberFormat="1" applyFont="1" applyFill="1" applyBorder="1" applyAlignment="1">
      <alignment horizontal="right"/>
    </xf>
    <xf numFmtId="0" fontId="1" fillId="3" borderId="0" xfId="0" applyNumberFormat="1" applyFont="1" applyFill="1" applyBorder="1" applyAlignment="1">
      <alignment horizontal="right"/>
    </xf>
    <xf numFmtId="0" fontId="15" fillId="3" borderId="3" xfId="0" applyFont="1" applyFill="1" applyBorder="1" applyAlignment="1">
      <alignment horizontal="center"/>
    </xf>
    <xf numFmtId="0" fontId="15" fillId="3" borderId="7" xfId="0" applyFont="1" applyFill="1" applyBorder="1" applyAlignment="1">
      <alignment horizontal="center"/>
    </xf>
    <xf numFmtId="0" fontId="1" fillId="3" borderId="16" xfId="0" applyFont="1" applyFill="1" applyBorder="1" applyAlignment="1">
      <alignment horizontal="center"/>
    </xf>
    <xf numFmtId="0" fontId="1" fillId="3" borderId="13" xfId="0" applyFont="1" applyFill="1" applyBorder="1" applyAlignment="1">
      <alignment horizontal="center"/>
    </xf>
    <xf numFmtId="0" fontId="8" fillId="3" borderId="15" xfId="0" applyFont="1" applyFill="1" applyBorder="1" applyAlignment="1">
      <alignment horizontal="center"/>
    </xf>
    <xf numFmtId="164" fontId="1" fillId="3" borderId="14" xfId="0" applyNumberFormat="1" applyFont="1" applyFill="1" applyBorder="1" applyAlignment="1">
      <alignment horizontal="center"/>
    </xf>
    <xf numFmtId="164" fontId="1" fillId="3" borderId="4" xfId="0" applyNumberFormat="1" applyFont="1" applyFill="1" applyBorder="1" applyAlignment="1">
      <alignment horizontal="center"/>
    </xf>
    <xf numFmtId="164" fontId="8" fillId="3" borderId="15" xfId="0" applyNumberFormat="1" applyFont="1" applyFill="1" applyBorder="1" applyAlignment="1">
      <alignment horizontal="center"/>
    </xf>
    <xf numFmtId="0" fontId="1" fillId="3" borderId="17" xfId="0" applyFont="1" applyFill="1" applyBorder="1" applyAlignment="1">
      <alignment horizontal="center"/>
    </xf>
    <xf numFmtId="0" fontId="1" fillId="3" borderId="18" xfId="0" applyFont="1" applyFill="1" applyBorder="1" applyAlignment="1">
      <alignment horizontal="center"/>
    </xf>
    <xf numFmtId="14" fontId="18" fillId="3" borderId="0" xfId="0" applyNumberFormat="1" applyFont="1" applyFill="1" applyAlignment="1">
      <alignment horizontal="center"/>
    </xf>
    <xf numFmtId="0" fontId="18" fillId="3" borderId="0" xfId="0" applyFont="1" applyFill="1" applyAlignment="1">
      <alignment horizontal="center"/>
    </xf>
    <xf numFmtId="16" fontId="1" fillId="3" borderId="0" xfId="0" applyNumberFormat="1" applyFont="1" applyFill="1" applyBorder="1" applyAlignment="1">
      <alignment horizontal="center"/>
    </xf>
    <xf numFmtId="16" fontId="16" fillId="3" borderId="0" xfId="0" applyNumberFormat="1" applyFont="1" applyFill="1" applyAlignment="1">
      <alignment horizontal="center"/>
    </xf>
    <xf numFmtId="2" fontId="1" fillId="0" borderId="0" xfId="0" applyNumberFormat="1" applyFont="1" applyBorder="1" applyAlignment="1"/>
    <xf numFmtId="0" fontId="1" fillId="2" borderId="0"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3" xfId="0" applyFont="1" applyFill="1" applyBorder="1" applyAlignment="1">
      <alignment horizontal="center"/>
    </xf>
    <xf numFmtId="0" fontId="1" fillId="2" borderId="1" xfId="0" applyFont="1" applyFill="1" applyBorder="1" applyAlignment="1">
      <alignment horizontal="center"/>
    </xf>
    <xf numFmtId="14" fontId="1" fillId="2" borderId="0" xfId="0" applyNumberFormat="1" applyFont="1" applyFill="1" applyBorder="1" applyAlignment="1">
      <alignment horizontal="center"/>
    </xf>
    <xf numFmtId="164" fontId="1" fillId="2" borderId="5" xfId="0" applyNumberFormat="1" applyFont="1" applyFill="1" applyBorder="1" applyAlignment="1">
      <alignment horizontal="center"/>
    </xf>
    <xf numFmtId="164" fontId="1" fillId="2" borderId="0" xfId="0" applyNumberFormat="1" applyFont="1" applyFill="1" applyBorder="1" applyAlignment="1">
      <alignment horizontal="center"/>
    </xf>
    <xf numFmtId="164" fontId="8" fillId="2" borderId="1" xfId="0" applyNumberFormat="1" applyFont="1" applyFill="1" applyBorder="1" applyAlignment="1">
      <alignment horizontal="center"/>
    </xf>
    <xf numFmtId="14" fontId="1" fillId="2" borderId="6" xfId="0" applyNumberFormat="1" applyFont="1" applyFill="1" applyBorder="1" applyAlignment="1">
      <alignment horizontal="center"/>
    </xf>
    <xf numFmtId="0" fontId="1" fillId="2" borderId="5" xfId="0" applyFont="1" applyFill="1" applyBorder="1" applyAlignment="1">
      <alignment horizontal="center"/>
    </xf>
    <xf numFmtId="164" fontId="8" fillId="2" borderId="0" xfId="0" applyNumberFormat="1" applyFont="1" applyFill="1" applyBorder="1" applyAlignment="1">
      <alignment horizontal="center"/>
    </xf>
    <xf numFmtId="0" fontId="8" fillId="2" borderId="1" xfId="0" applyFont="1" applyFill="1" applyBorder="1" applyAlignment="1">
      <alignment horizontal="center"/>
    </xf>
    <xf numFmtId="14" fontId="15" fillId="2" borderId="0" xfId="0" applyNumberFormat="1" applyFont="1" applyFill="1" applyBorder="1" applyAlignment="1">
      <alignment horizontal="center"/>
    </xf>
    <xf numFmtId="0" fontId="15" fillId="2" borderId="0" xfId="0" applyFont="1" applyFill="1" applyBorder="1" applyAlignment="1">
      <alignment horizontal="center"/>
    </xf>
    <xf numFmtId="164" fontId="1" fillId="2" borderId="3" xfId="0" applyNumberFormat="1" applyFont="1" applyFill="1" applyBorder="1" applyAlignment="1">
      <alignment horizontal="center"/>
    </xf>
    <xf numFmtId="0" fontId="1" fillId="3" borderId="0" xfId="0" applyFont="1" applyFill="1" applyBorder="1" applyAlignment="1">
      <alignment horizontal="center"/>
    </xf>
    <xf numFmtId="14" fontId="1" fillId="3" borderId="6" xfId="0" applyNumberFormat="1"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1" xfId="0" applyFont="1" applyFill="1" applyBorder="1" applyAlignment="1">
      <alignment horizontal="center"/>
    </xf>
    <xf numFmtId="14" fontId="1" fillId="3" borderId="0" xfId="0" applyNumberFormat="1" applyFont="1" applyFill="1" applyBorder="1" applyAlignment="1">
      <alignment horizontal="center"/>
    </xf>
    <xf numFmtId="0" fontId="1" fillId="3" borderId="6" xfId="0" applyFont="1" applyFill="1" applyBorder="1" applyAlignment="1">
      <alignment horizontal="center"/>
    </xf>
    <xf numFmtId="0" fontId="17" fillId="3" borderId="0" xfId="0" applyFont="1" applyFill="1" applyBorder="1" applyAlignment="1">
      <alignment horizontal="center"/>
    </xf>
    <xf numFmtId="164" fontId="1" fillId="3" borderId="5" xfId="0" applyNumberFormat="1" applyFont="1" applyFill="1" applyBorder="1" applyAlignment="1">
      <alignment horizontal="center"/>
    </xf>
    <xf numFmtId="164" fontId="1" fillId="3" borderId="0" xfId="0" applyNumberFormat="1" applyFont="1" applyFill="1" applyBorder="1" applyAlignment="1">
      <alignment horizontal="center"/>
    </xf>
    <xf numFmtId="164" fontId="8" fillId="3" borderId="1" xfId="0" applyNumberFormat="1" applyFont="1" applyFill="1" applyBorder="1" applyAlignment="1">
      <alignment horizontal="center"/>
    </xf>
    <xf numFmtId="0" fontId="1" fillId="3" borderId="5" xfId="0" applyFont="1" applyFill="1" applyBorder="1" applyAlignment="1">
      <alignment horizontal="center"/>
    </xf>
    <xf numFmtId="164" fontId="8" fillId="3" borderId="0" xfId="0" applyNumberFormat="1" applyFont="1" applyFill="1" applyBorder="1" applyAlignment="1">
      <alignment horizontal="center"/>
    </xf>
    <xf numFmtId="0" fontId="8" fillId="3" borderId="1" xfId="0" applyFont="1" applyFill="1" applyBorder="1" applyAlignment="1">
      <alignment horizontal="center"/>
    </xf>
    <xf numFmtId="14" fontId="17" fillId="3" borderId="0" xfId="0" applyNumberFormat="1" applyFont="1" applyFill="1" applyBorder="1" applyAlignment="1">
      <alignment horizontal="center"/>
    </xf>
    <xf numFmtId="0" fontId="15" fillId="3" borderId="0" xfId="0" applyFont="1" applyFill="1" applyBorder="1" applyAlignment="1">
      <alignment horizontal="center"/>
    </xf>
    <xf numFmtId="14" fontId="15" fillId="3" borderId="0" xfId="0" applyNumberFormat="1" applyFont="1" applyFill="1" applyBorder="1" applyAlignment="1">
      <alignment horizontal="center"/>
    </xf>
    <xf numFmtId="164" fontId="1" fillId="3" borderId="3" xfId="0" applyNumberFormat="1" applyFont="1" applyFill="1" applyBorder="1" applyAlignment="1">
      <alignment horizontal="center"/>
    </xf>
    <xf numFmtId="2" fontId="14" fillId="0" borderId="0" xfId="0" applyNumberFormat="1" applyFont="1" applyBorder="1" applyAlignment="1"/>
    <xf numFmtId="0" fontId="1" fillId="0" borderId="0" xfId="0" applyFont="1"/>
    <xf numFmtId="0" fontId="1" fillId="0" borderId="0" xfId="0" applyFont="1" applyAlignment="1"/>
    <xf numFmtId="2" fontId="1" fillId="3" borderId="0" xfId="0" applyNumberFormat="1" applyFont="1" applyFill="1" applyBorder="1" applyAlignment="1">
      <alignment horizontal="center"/>
    </xf>
    <xf numFmtId="14" fontId="1" fillId="3" borderId="0" xfId="0" applyNumberFormat="1" applyFont="1" applyFill="1" applyBorder="1" applyAlignment="1">
      <alignment horizontal="center"/>
    </xf>
    <xf numFmtId="2" fontId="13" fillId="0" borderId="0" xfId="0" applyNumberFormat="1" applyFont="1" applyBorder="1" applyAlignment="1">
      <alignment horizontal="right"/>
    </xf>
    <xf numFmtId="14" fontId="1" fillId="2" borderId="0" xfId="0" applyNumberFormat="1" applyFont="1" applyFill="1" applyBorder="1" applyAlignment="1">
      <alignment horizontal="center"/>
    </xf>
    <xf numFmtId="14" fontId="1" fillId="3" borderId="0" xfId="0" applyNumberFormat="1" applyFont="1" applyFill="1" applyBorder="1" applyAlignment="1">
      <alignment horizontal="center"/>
    </xf>
    <xf numFmtId="2" fontId="13" fillId="0" borderId="0" xfId="0" applyNumberFormat="1" applyFont="1" applyBorder="1" applyAlignment="1">
      <alignment horizontal="right"/>
    </xf>
    <xf numFmtId="0" fontId="1" fillId="3" borderId="0" xfId="0" applyFont="1" applyFill="1" applyBorder="1" applyAlignment="1">
      <alignment horizontal="center"/>
    </xf>
    <xf numFmtId="0" fontId="1" fillId="2" borderId="0" xfId="0" applyFont="1" applyFill="1" applyBorder="1" applyAlignment="1">
      <alignment horizontal="center"/>
    </xf>
    <xf numFmtId="14" fontId="1" fillId="2" borderId="0" xfId="0" applyNumberFormat="1" applyFont="1" applyFill="1" applyBorder="1" applyAlignment="1">
      <alignment horizontal="center"/>
    </xf>
    <xf numFmtId="14" fontId="1" fillId="3" borderId="0" xfId="0" applyNumberFormat="1" applyFont="1" applyFill="1" applyBorder="1" applyAlignment="1">
      <alignment horizontal="center"/>
    </xf>
    <xf numFmtId="2" fontId="13" fillId="0" borderId="0" xfId="0" applyNumberFormat="1" applyFont="1" applyBorder="1" applyAlignment="1">
      <alignment horizontal="right"/>
    </xf>
    <xf numFmtId="0" fontId="1" fillId="2" borderId="0" xfId="0" applyFont="1" applyFill="1" applyBorder="1" applyAlignment="1">
      <alignment horizontal="center"/>
    </xf>
    <xf numFmtId="0" fontId="1" fillId="3" borderId="0" xfId="0" applyFont="1" applyFill="1" applyBorder="1" applyAlignment="1">
      <alignment horizontal="center"/>
    </xf>
    <xf numFmtId="0" fontId="8" fillId="2" borderId="7" xfId="0" applyFont="1" applyFill="1" applyBorder="1" applyAlignment="1">
      <alignment horizontal="left"/>
    </xf>
    <xf numFmtId="2" fontId="13" fillId="0" borderId="0" xfId="0" applyNumberFormat="1" applyFont="1" applyBorder="1" applyAlignment="1">
      <alignment horizontal="right"/>
    </xf>
    <xf numFmtId="14" fontId="1" fillId="2" borderId="0" xfId="0" applyNumberFormat="1" applyFont="1" applyFill="1" applyBorder="1" applyAlignment="1">
      <alignment horizontal="center"/>
    </xf>
    <xf numFmtId="14" fontId="1" fillId="3" borderId="0" xfId="0" applyNumberFormat="1" applyFont="1" applyFill="1" applyBorder="1" applyAlignment="1">
      <alignment horizontal="center"/>
    </xf>
    <xf numFmtId="2" fontId="13" fillId="0" borderId="0" xfId="0" applyNumberFormat="1" applyFont="1" applyBorder="1" applyAlignment="1">
      <alignment horizontal="right"/>
    </xf>
    <xf numFmtId="0" fontId="1" fillId="2" borderId="0" xfId="0" applyFont="1" applyFill="1" applyBorder="1" applyAlignment="1">
      <alignment horizontal="center"/>
    </xf>
    <xf numFmtId="0" fontId="1" fillId="3" borderId="0" xfId="0" applyFont="1" applyFill="1" applyBorder="1" applyAlignment="1">
      <alignment horizontal="center"/>
    </xf>
    <xf numFmtId="2" fontId="13" fillId="0" borderId="0" xfId="0" applyNumberFormat="1" applyFont="1" applyAlignment="1">
      <alignment horizontal="right"/>
    </xf>
    <xf numFmtId="14" fontId="1" fillId="2" borderId="0" xfId="0" applyNumberFormat="1" applyFont="1" applyFill="1" applyBorder="1" applyAlignment="1">
      <alignment horizontal="center"/>
    </xf>
    <xf numFmtId="14" fontId="1" fillId="3" borderId="0" xfId="0" applyNumberFormat="1" applyFont="1" applyFill="1" applyBorder="1" applyAlignment="1">
      <alignment horizontal="center"/>
    </xf>
    <xf numFmtId="2" fontId="13" fillId="0" borderId="0" xfId="0" applyNumberFormat="1" applyFont="1" applyBorder="1" applyAlignment="1">
      <alignment horizontal="right"/>
    </xf>
    <xf numFmtId="0" fontId="1" fillId="2" borderId="0" xfId="0" applyFont="1" applyFill="1" applyBorder="1" applyAlignment="1">
      <alignment horizontal="center"/>
    </xf>
    <xf numFmtId="0" fontId="1" fillId="3" borderId="0" xfId="0" applyFont="1" applyFill="1" applyBorder="1" applyAlignment="1">
      <alignment horizontal="center"/>
    </xf>
    <xf numFmtId="2" fontId="13" fillId="0" borderId="0" xfId="0" applyNumberFormat="1" applyFont="1" applyAlignment="1">
      <alignment horizontal="right"/>
    </xf>
    <xf numFmtId="14" fontId="1" fillId="2" borderId="0" xfId="0" applyNumberFormat="1" applyFont="1" applyFill="1" applyBorder="1" applyAlignment="1">
      <alignment horizontal="center"/>
    </xf>
    <xf numFmtId="14" fontId="1" fillId="3" borderId="0" xfId="0" applyNumberFormat="1" applyFont="1" applyFill="1" applyBorder="1" applyAlignment="1">
      <alignment horizontal="center"/>
    </xf>
    <xf numFmtId="2" fontId="13" fillId="0" borderId="0" xfId="0" applyNumberFormat="1" applyFont="1" applyBorder="1" applyAlignment="1">
      <alignment horizontal="right"/>
    </xf>
    <xf numFmtId="0" fontId="1" fillId="2" borderId="0" xfId="0" applyFont="1" applyFill="1" applyBorder="1" applyAlignment="1">
      <alignment horizontal="center"/>
    </xf>
    <xf numFmtId="0" fontId="1" fillId="3" borderId="0" xfId="0" applyFont="1" applyFill="1" applyBorder="1" applyAlignment="1">
      <alignment horizontal="center"/>
    </xf>
    <xf numFmtId="2" fontId="14" fillId="0" borderId="0" xfId="0" applyNumberFormat="1" applyFont="1" applyAlignment="1">
      <alignment horizontal="right"/>
    </xf>
    <xf numFmtId="14" fontId="1" fillId="2" borderId="0" xfId="0" applyNumberFormat="1" applyFont="1" applyFill="1" applyBorder="1" applyAlignment="1">
      <alignment horizontal="center"/>
    </xf>
    <xf numFmtId="14" fontId="1" fillId="3" borderId="0" xfId="0" applyNumberFormat="1" applyFont="1" applyFill="1" applyBorder="1" applyAlignment="1">
      <alignment horizontal="center"/>
    </xf>
    <xf numFmtId="14" fontId="17" fillId="4" borderId="0" xfId="0" applyNumberFormat="1" applyFont="1" applyFill="1" applyBorder="1" applyAlignment="1">
      <alignment horizontal="center"/>
    </xf>
    <xf numFmtId="0" fontId="1" fillId="2" borderId="0" xfId="0" applyFont="1" applyFill="1" applyBorder="1" applyAlignment="1">
      <alignment horizontal="center"/>
    </xf>
    <xf numFmtId="0" fontId="1" fillId="3" borderId="0" xfId="0" applyFont="1" applyFill="1" applyBorder="1" applyAlignment="1">
      <alignment horizontal="center"/>
    </xf>
    <xf numFmtId="0" fontId="17" fillId="4" borderId="0" xfId="0" applyFont="1" applyFill="1" applyBorder="1" applyAlignment="1">
      <alignment horizontal="center"/>
    </xf>
    <xf numFmtId="0" fontId="1" fillId="2" borderId="4" xfId="0" applyFont="1" applyFill="1" applyBorder="1" applyAlignment="1">
      <alignment horizontal="center"/>
    </xf>
    <xf numFmtId="0" fontId="16" fillId="2" borderId="5" xfId="0" applyFont="1" applyFill="1" applyBorder="1" applyAlignment="1">
      <alignment horizontal="center"/>
    </xf>
    <xf numFmtId="0" fontId="19" fillId="2" borderId="1" xfId="0" applyFont="1" applyFill="1" applyBorder="1" applyAlignment="1">
      <alignment horizontal="center"/>
    </xf>
    <xf numFmtId="0" fontId="16" fillId="3" borderId="5" xfId="0" applyFont="1" applyFill="1" applyBorder="1" applyAlignment="1">
      <alignment horizontal="center"/>
    </xf>
    <xf numFmtId="0" fontId="16" fillId="3" borderId="0" xfId="0" applyFont="1" applyFill="1" applyBorder="1" applyAlignment="1">
      <alignment horizontal="center"/>
    </xf>
    <xf numFmtId="0" fontId="19" fillId="3" borderId="1" xfId="0" applyFont="1" applyFill="1" applyBorder="1" applyAlignment="1">
      <alignment horizontal="center"/>
    </xf>
    <xf numFmtId="14" fontId="1" fillId="2" borderId="0" xfId="0" applyNumberFormat="1" applyFont="1" applyFill="1" applyBorder="1" applyAlignment="1">
      <alignment horizontal="center"/>
    </xf>
    <xf numFmtId="14" fontId="1" fillId="3" borderId="0" xfId="0" applyNumberFormat="1" applyFont="1" applyFill="1" applyBorder="1" applyAlignment="1">
      <alignment horizontal="center"/>
    </xf>
    <xf numFmtId="2" fontId="13" fillId="0" borderId="0" xfId="0" applyNumberFormat="1" applyFont="1" applyBorder="1" applyAlignment="1">
      <alignment horizontal="right"/>
    </xf>
    <xf numFmtId="0" fontId="1" fillId="2" borderId="0" xfId="0" applyFont="1" applyFill="1" applyBorder="1" applyAlignment="1">
      <alignment horizontal="center"/>
    </xf>
    <xf numFmtId="0" fontId="1" fillId="3" borderId="0" xfId="0" applyFont="1" applyFill="1" applyBorder="1" applyAlignment="1">
      <alignment horizontal="center"/>
    </xf>
    <xf numFmtId="14" fontId="1" fillId="2" borderId="0" xfId="0" applyNumberFormat="1" applyFont="1" applyFill="1" applyBorder="1" applyAlignment="1">
      <alignment horizontal="center"/>
    </xf>
    <xf numFmtId="14" fontId="1" fillId="3" borderId="0" xfId="0" applyNumberFormat="1" applyFont="1" applyFill="1" applyBorder="1" applyAlignment="1">
      <alignment horizontal="center"/>
    </xf>
    <xf numFmtId="2" fontId="13" fillId="0" borderId="0" xfId="0" applyNumberFormat="1" applyFont="1" applyBorder="1" applyAlignment="1">
      <alignment horizontal="right"/>
    </xf>
    <xf numFmtId="0" fontId="1" fillId="2" borderId="0" xfId="0" applyFont="1" applyFill="1" applyBorder="1" applyAlignment="1">
      <alignment horizontal="center"/>
    </xf>
    <xf numFmtId="0" fontId="1" fillId="3" borderId="0" xfId="0" applyFont="1" applyFill="1" applyBorder="1" applyAlignment="1">
      <alignment horizontal="center"/>
    </xf>
    <xf numFmtId="0" fontId="1" fillId="2" borderId="0" xfId="0" applyFont="1" applyFill="1" applyBorder="1" applyAlignment="1">
      <alignment horizontal="center"/>
    </xf>
    <xf numFmtId="0" fontId="1" fillId="2" borderId="0"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3" xfId="0" applyFont="1" applyFill="1" applyBorder="1" applyAlignment="1">
      <alignment horizontal="center"/>
    </xf>
    <xf numFmtId="0" fontId="1" fillId="2" borderId="1" xfId="0" applyFont="1" applyFill="1" applyBorder="1" applyAlignment="1">
      <alignment horizontal="center"/>
    </xf>
    <xf numFmtId="14" fontId="1" fillId="2" borderId="0" xfId="0" applyNumberFormat="1" applyFont="1" applyFill="1" applyBorder="1" applyAlignment="1">
      <alignment horizontal="center"/>
    </xf>
    <xf numFmtId="164" fontId="1" fillId="2" borderId="5" xfId="0" applyNumberFormat="1" applyFont="1" applyFill="1" applyBorder="1" applyAlignment="1">
      <alignment horizontal="center"/>
    </xf>
    <xf numFmtId="164" fontId="1" fillId="2" borderId="0" xfId="0" applyNumberFormat="1" applyFont="1" applyFill="1" applyBorder="1" applyAlignment="1">
      <alignment horizontal="center"/>
    </xf>
    <xf numFmtId="164" fontId="8" fillId="2" borderId="1" xfId="0" applyNumberFormat="1" applyFont="1" applyFill="1" applyBorder="1" applyAlignment="1">
      <alignment horizontal="center"/>
    </xf>
    <xf numFmtId="0" fontId="1" fillId="2" borderId="5" xfId="0" applyFont="1" applyFill="1" applyBorder="1" applyAlignment="1">
      <alignment horizontal="center"/>
    </xf>
    <xf numFmtId="164" fontId="8" fillId="2" borderId="0" xfId="0" applyNumberFormat="1" applyFont="1" applyFill="1" applyBorder="1" applyAlignment="1">
      <alignment horizontal="center"/>
    </xf>
    <xf numFmtId="0" fontId="8" fillId="2" borderId="1" xfId="0" applyFont="1" applyFill="1" applyBorder="1" applyAlignment="1">
      <alignment horizontal="center"/>
    </xf>
    <xf numFmtId="0" fontId="15" fillId="2" borderId="0" xfId="0" applyFont="1" applyFill="1" applyBorder="1" applyAlignment="1">
      <alignment horizontal="center"/>
    </xf>
    <xf numFmtId="0" fontId="1" fillId="2" borderId="0"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3" xfId="0" applyFont="1" applyFill="1" applyBorder="1" applyAlignment="1">
      <alignment horizontal="center"/>
    </xf>
    <xf numFmtId="0" fontId="1" fillId="2" borderId="1" xfId="0" applyFont="1" applyFill="1" applyBorder="1" applyAlignment="1">
      <alignment horizontal="center"/>
    </xf>
    <xf numFmtId="14" fontId="1" fillId="2" borderId="0" xfId="0" applyNumberFormat="1" applyFont="1" applyFill="1" applyBorder="1" applyAlignment="1">
      <alignment horizontal="center"/>
    </xf>
    <xf numFmtId="164" fontId="1" fillId="2" borderId="5" xfId="0" applyNumberFormat="1" applyFont="1" applyFill="1" applyBorder="1" applyAlignment="1">
      <alignment horizontal="center"/>
    </xf>
    <xf numFmtId="164" fontId="1" fillId="2" borderId="0" xfId="0" applyNumberFormat="1" applyFont="1" applyFill="1" applyBorder="1" applyAlignment="1">
      <alignment horizontal="center"/>
    </xf>
    <xf numFmtId="164" fontId="8" fillId="2" borderId="1" xfId="0" applyNumberFormat="1" applyFont="1" applyFill="1" applyBorder="1" applyAlignment="1">
      <alignment horizontal="center"/>
    </xf>
    <xf numFmtId="0" fontId="1" fillId="2" borderId="5" xfId="0" applyFont="1" applyFill="1" applyBorder="1" applyAlignment="1">
      <alignment horizontal="center"/>
    </xf>
    <xf numFmtId="164" fontId="8" fillId="2" borderId="0" xfId="0" applyNumberFormat="1" applyFont="1" applyFill="1" applyBorder="1" applyAlignment="1">
      <alignment horizontal="center"/>
    </xf>
    <xf numFmtId="0" fontId="8" fillId="2" borderId="1" xfId="0" applyFont="1" applyFill="1" applyBorder="1" applyAlignment="1">
      <alignment horizontal="center"/>
    </xf>
    <xf numFmtId="14" fontId="15" fillId="2" borderId="0" xfId="0" applyNumberFormat="1" applyFont="1" applyFill="1" applyBorder="1" applyAlignment="1">
      <alignment horizontal="center"/>
    </xf>
    <xf numFmtId="0" fontId="15" fillId="2" borderId="0" xfId="0" applyFont="1" applyFill="1" applyBorder="1" applyAlignment="1">
      <alignment horizontal="center"/>
    </xf>
    <xf numFmtId="2" fontId="13" fillId="0" borderId="0" xfId="0" applyNumberFormat="1" applyFont="1" applyBorder="1" applyAlignment="1">
      <alignment horizontal="right"/>
    </xf>
    <xf numFmtId="0" fontId="1" fillId="2" borderId="0" xfId="0" applyFont="1" applyFill="1" applyBorder="1" applyAlignment="1">
      <alignment horizontal="center"/>
    </xf>
    <xf numFmtId="0" fontId="1" fillId="2" borderId="7" xfId="0" applyFont="1" applyFill="1" applyBorder="1" applyAlignment="1">
      <alignment horizontal="center"/>
    </xf>
    <xf numFmtId="0" fontId="1" fillId="2" borderId="3" xfId="0" applyFont="1" applyFill="1" applyBorder="1" applyAlignment="1">
      <alignment horizontal="center"/>
    </xf>
    <xf numFmtId="0" fontId="1" fillId="2" borderId="1" xfId="0" applyFont="1" applyFill="1" applyBorder="1" applyAlignment="1">
      <alignment horizontal="center"/>
    </xf>
    <xf numFmtId="14" fontId="1" fillId="2" borderId="0" xfId="0" applyNumberFormat="1" applyFont="1" applyFill="1" applyBorder="1" applyAlignment="1">
      <alignment horizontal="center"/>
    </xf>
    <xf numFmtId="164" fontId="1" fillId="2" borderId="5" xfId="0" applyNumberFormat="1" applyFont="1" applyFill="1" applyBorder="1" applyAlignment="1">
      <alignment horizontal="center"/>
    </xf>
    <xf numFmtId="164" fontId="1" fillId="2" borderId="0" xfId="0" applyNumberFormat="1" applyFont="1" applyFill="1" applyBorder="1" applyAlignment="1">
      <alignment horizontal="center"/>
    </xf>
    <xf numFmtId="164" fontId="8" fillId="2" borderId="1" xfId="0" applyNumberFormat="1" applyFont="1" applyFill="1" applyBorder="1" applyAlignment="1">
      <alignment horizontal="center"/>
    </xf>
    <xf numFmtId="14" fontId="1" fillId="2" borderId="6" xfId="0" applyNumberFormat="1" applyFont="1" applyFill="1" applyBorder="1" applyAlignment="1">
      <alignment horizontal="center"/>
    </xf>
    <xf numFmtId="0" fontId="1" fillId="2" borderId="5" xfId="0" applyFont="1" applyFill="1" applyBorder="1" applyAlignment="1">
      <alignment horizontal="center"/>
    </xf>
    <xf numFmtId="164" fontId="8" fillId="2" borderId="0" xfId="0" applyNumberFormat="1" applyFont="1" applyFill="1" applyBorder="1" applyAlignment="1">
      <alignment horizontal="center"/>
    </xf>
    <xf numFmtId="0" fontId="8" fillId="2" borderId="1" xfId="0" applyFont="1" applyFill="1" applyBorder="1" applyAlignment="1">
      <alignment horizontal="center"/>
    </xf>
    <xf numFmtId="14" fontId="15" fillId="2" borderId="0" xfId="0" applyNumberFormat="1" applyFont="1" applyFill="1" applyBorder="1" applyAlignment="1">
      <alignment horizontal="center"/>
    </xf>
    <xf numFmtId="0" fontId="15" fillId="2" borderId="0" xfId="0" applyFont="1" applyFill="1" applyBorder="1" applyAlignment="1">
      <alignment horizontal="center"/>
    </xf>
    <xf numFmtId="0" fontId="1" fillId="3" borderId="0" xfId="0" applyFont="1" applyFill="1" applyBorder="1" applyAlignment="1">
      <alignment horizontal="center"/>
    </xf>
    <xf numFmtId="0" fontId="1" fillId="3" borderId="0"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1" xfId="0" applyFont="1" applyFill="1" applyBorder="1" applyAlignment="1">
      <alignment horizontal="center"/>
    </xf>
    <xf numFmtId="0" fontId="1" fillId="3" borderId="6" xfId="0" applyFont="1" applyFill="1" applyBorder="1" applyAlignment="1">
      <alignment horizontal="center"/>
    </xf>
    <xf numFmtId="164" fontId="1" fillId="3" borderId="5" xfId="0" applyNumberFormat="1" applyFont="1" applyFill="1" applyBorder="1" applyAlignment="1">
      <alignment horizontal="center"/>
    </xf>
    <xf numFmtId="164" fontId="1" fillId="3" borderId="0" xfId="0" applyNumberFormat="1" applyFont="1" applyFill="1" applyBorder="1" applyAlignment="1">
      <alignment horizontal="center"/>
    </xf>
    <xf numFmtId="164" fontId="8" fillId="3" borderId="1" xfId="0" applyNumberFormat="1" applyFont="1" applyFill="1" applyBorder="1" applyAlignment="1">
      <alignment horizontal="center"/>
    </xf>
    <xf numFmtId="0" fontId="1" fillId="3" borderId="5" xfId="0" applyFont="1" applyFill="1" applyBorder="1" applyAlignment="1">
      <alignment horizontal="center"/>
    </xf>
    <xf numFmtId="0" fontId="8" fillId="3" borderId="1" xfId="0" applyFont="1" applyFill="1" applyBorder="1" applyAlignment="1">
      <alignment horizontal="center"/>
    </xf>
    <xf numFmtId="2" fontId="13" fillId="0" borderId="0" xfId="0" applyNumberFormat="1" applyFont="1" applyBorder="1" applyAlignment="1">
      <alignment horizontal="right"/>
    </xf>
    <xf numFmtId="0" fontId="1" fillId="3" borderId="0"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1" xfId="0" applyFont="1" applyFill="1" applyBorder="1" applyAlignment="1">
      <alignment horizontal="center"/>
    </xf>
    <xf numFmtId="0" fontId="1" fillId="3" borderId="6" xfId="0" applyFont="1" applyFill="1" applyBorder="1" applyAlignment="1">
      <alignment horizontal="center"/>
    </xf>
    <xf numFmtId="164" fontId="1" fillId="3" borderId="5" xfId="0" applyNumberFormat="1" applyFont="1" applyFill="1" applyBorder="1" applyAlignment="1">
      <alignment horizontal="center"/>
    </xf>
    <xf numFmtId="164" fontId="1" fillId="3" borderId="0" xfId="0" applyNumberFormat="1" applyFont="1" applyFill="1" applyBorder="1" applyAlignment="1">
      <alignment horizontal="center"/>
    </xf>
    <xf numFmtId="164" fontId="8" fillId="3" borderId="1" xfId="0" applyNumberFormat="1" applyFont="1" applyFill="1" applyBorder="1" applyAlignment="1">
      <alignment horizontal="center"/>
    </xf>
    <xf numFmtId="0" fontId="1" fillId="3" borderId="5" xfId="0" applyFont="1" applyFill="1" applyBorder="1" applyAlignment="1">
      <alignment horizontal="center"/>
    </xf>
    <xf numFmtId="0" fontId="8" fillId="3" borderId="1" xfId="0" applyFont="1" applyFill="1" applyBorder="1" applyAlignment="1">
      <alignment horizontal="center"/>
    </xf>
    <xf numFmtId="0" fontId="1" fillId="3" borderId="0"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1" xfId="0" applyFont="1" applyFill="1" applyBorder="1" applyAlignment="1">
      <alignment horizontal="center"/>
    </xf>
    <xf numFmtId="14" fontId="1" fillId="3" borderId="0" xfId="0" applyNumberFormat="1" applyFont="1" applyFill="1" applyBorder="1" applyAlignment="1">
      <alignment horizontal="center"/>
    </xf>
    <xf numFmtId="0" fontId="1" fillId="3" borderId="6" xfId="0" applyFont="1" applyFill="1" applyBorder="1" applyAlignment="1">
      <alignment horizontal="center"/>
    </xf>
    <xf numFmtId="164" fontId="1" fillId="3" borderId="5" xfId="0" applyNumberFormat="1" applyFont="1" applyFill="1" applyBorder="1" applyAlignment="1">
      <alignment horizontal="center"/>
    </xf>
    <xf numFmtId="164" fontId="1" fillId="3" borderId="0" xfId="0" applyNumberFormat="1" applyFont="1" applyFill="1" applyBorder="1" applyAlignment="1">
      <alignment horizontal="center"/>
    </xf>
    <xf numFmtId="164" fontId="8" fillId="3" borderId="1" xfId="0" applyNumberFormat="1" applyFont="1" applyFill="1" applyBorder="1" applyAlignment="1">
      <alignment horizontal="center"/>
    </xf>
    <xf numFmtId="0" fontId="1" fillId="3" borderId="5" xfId="0" applyFont="1" applyFill="1" applyBorder="1" applyAlignment="1">
      <alignment horizontal="center"/>
    </xf>
    <xf numFmtId="164" fontId="8" fillId="3" borderId="0" xfId="0" applyNumberFormat="1" applyFont="1" applyFill="1" applyBorder="1" applyAlignment="1">
      <alignment horizontal="center"/>
    </xf>
    <xf numFmtId="0" fontId="8" fillId="3" borderId="1" xfId="0" applyFont="1" applyFill="1" applyBorder="1" applyAlignment="1">
      <alignment horizontal="center"/>
    </xf>
    <xf numFmtId="2" fontId="13" fillId="0" borderId="0" xfId="0" applyNumberFormat="1" applyFont="1" applyBorder="1" applyAlignment="1">
      <alignment horizontal="right"/>
    </xf>
    <xf numFmtId="0" fontId="1" fillId="3" borderId="0"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1" xfId="0" applyFont="1" applyFill="1" applyBorder="1" applyAlignment="1">
      <alignment horizontal="center"/>
    </xf>
    <xf numFmtId="14" fontId="1" fillId="3" borderId="0" xfId="0" applyNumberFormat="1" applyFont="1" applyFill="1" applyBorder="1" applyAlignment="1">
      <alignment horizontal="center"/>
    </xf>
    <xf numFmtId="0" fontId="1" fillId="3" borderId="6" xfId="0" applyFont="1" applyFill="1" applyBorder="1" applyAlignment="1">
      <alignment horizontal="center"/>
    </xf>
    <xf numFmtId="164" fontId="1" fillId="3" borderId="5" xfId="0" applyNumberFormat="1" applyFont="1" applyFill="1" applyBorder="1" applyAlignment="1">
      <alignment horizontal="center"/>
    </xf>
    <xf numFmtId="164" fontId="1" fillId="3" borderId="0" xfId="0" applyNumberFormat="1" applyFont="1" applyFill="1" applyBorder="1" applyAlignment="1">
      <alignment horizontal="center"/>
    </xf>
    <xf numFmtId="164" fontId="8" fillId="3" borderId="1" xfId="0" applyNumberFormat="1" applyFont="1" applyFill="1" applyBorder="1" applyAlignment="1">
      <alignment horizontal="center"/>
    </xf>
    <xf numFmtId="0" fontId="1" fillId="3" borderId="5" xfId="0" applyFont="1" applyFill="1" applyBorder="1" applyAlignment="1">
      <alignment horizontal="center"/>
    </xf>
    <xf numFmtId="164" fontId="8" fillId="3" borderId="0" xfId="0" applyNumberFormat="1" applyFont="1" applyFill="1" applyBorder="1" applyAlignment="1">
      <alignment horizontal="center"/>
    </xf>
    <xf numFmtId="0" fontId="8" fillId="3" borderId="1" xfId="0" applyFont="1" applyFill="1" applyBorder="1" applyAlignment="1">
      <alignment horizontal="center"/>
    </xf>
    <xf numFmtId="14" fontId="1" fillId="3" borderId="0" xfId="0" applyNumberFormat="1" applyFont="1" applyFill="1" applyBorder="1" applyAlignment="1">
      <alignment horizontal="center"/>
    </xf>
    <xf numFmtId="0" fontId="1" fillId="3" borderId="0" xfId="0" applyFont="1" applyFill="1" applyBorder="1" applyAlignment="1">
      <alignment horizontal="center"/>
    </xf>
    <xf numFmtId="14" fontId="1" fillId="2" borderId="0" xfId="0" applyNumberFormat="1" applyFont="1" applyFill="1" applyBorder="1" applyAlignment="1">
      <alignment horizontal="center"/>
    </xf>
    <xf numFmtId="14" fontId="1" fillId="3" borderId="0" xfId="0" applyNumberFormat="1" applyFont="1" applyFill="1" applyBorder="1" applyAlignment="1">
      <alignment horizontal="center"/>
    </xf>
    <xf numFmtId="2" fontId="13" fillId="0" borderId="0" xfId="0" applyNumberFormat="1" applyFont="1" applyBorder="1" applyAlignment="1">
      <alignment horizontal="right"/>
    </xf>
    <xf numFmtId="0" fontId="1" fillId="2" borderId="0" xfId="0" applyFont="1" applyFill="1" applyBorder="1" applyAlignment="1">
      <alignment horizontal="center"/>
    </xf>
    <xf numFmtId="0" fontId="1" fillId="3" borderId="0" xfId="0" applyFont="1" applyFill="1" applyBorder="1" applyAlignment="1">
      <alignment horizontal="center"/>
    </xf>
    <xf numFmtId="16" fontId="1" fillId="2" borderId="0" xfId="0" applyNumberFormat="1" applyFont="1" applyFill="1" applyBorder="1" applyAlignment="1">
      <alignment horizontal="center"/>
    </xf>
    <xf numFmtId="2" fontId="13" fillId="0" borderId="0" xfId="0" applyNumberFormat="1" applyFont="1" applyAlignment="1">
      <alignment horizontal="right"/>
    </xf>
    <xf numFmtId="14" fontId="1" fillId="3" borderId="0" xfId="0" applyNumberFormat="1" applyFont="1" applyFill="1" applyBorder="1" applyAlignment="1">
      <alignment horizontal="center"/>
    </xf>
    <xf numFmtId="2" fontId="13" fillId="0" borderId="0" xfId="0" applyNumberFormat="1" applyFont="1" applyBorder="1" applyAlignment="1">
      <alignment horizontal="right"/>
    </xf>
    <xf numFmtId="0" fontId="1" fillId="2" borderId="0" xfId="0" applyFont="1" applyFill="1" applyBorder="1" applyAlignment="1">
      <alignment horizontal="center"/>
    </xf>
    <xf numFmtId="0" fontId="1" fillId="3" borderId="0" xfId="0" applyFont="1" applyFill="1" applyBorder="1" applyAlignment="1">
      <alignment horizontal="center"/>
    </xf>
    <xf numFmtId="16" fontId="1" fillId="2" borderId="0" xfId="0" applyNumberFormat="1" applyFont="1" applyFill="1" applyBorder="1" applyAlignment="1">
      <alignment horizontal="center"/>
    </xf>
    <xf numFmtId="14" fontId="1" fillId="2" borderId="0" xfId="0" applyNumberFormat="1" applyFont="1" applyFill="1" applyBorder="1" applyAlignment="1">
      <alignment horizontal="center"/>
    </xf>
    <xf numFmtId="14" fontId="1" fillId="3" borderId="0" xfId="0" applyNumberFormat="1" applyFont="1" applyFill="1" applyBorder="1" applyAlignment="1">
      <alignment horizontal="center"/>
    </xf>
    <xf numFmtId="0" fontId="1" fillId="2" borderId="0" xfId="0" applyFont="1" applyFill="1" applyBorder="1" applyAlignment="1">
      <alignment horizontal="center"/>
    </xf>
    <xf numFmtId="0" fontId="1" fillId="3" borderId="0" xfId="0" applyFont="1" applyFill="1" applyBorder="1" applyAlignment="1">
      <alignment horizontal="center"/>
    </xf>
    <xf numFmtId="14" fontId="1" fillId="2" borderId="0" xfId="0" applyNumberFormat="1" applyFont="1" applyFill="1" applyBorder="1" applyAlignment="1">
      <alignment horizontal="center"/>
    </xf>
    <xf numFmtId="14" fontId="1" fillId="3" borderId="0" xfId="0" applyNumberFormat="1" applyFont="1" applyFill="1" applyBorder="1" applyAlignment="1">
      <alignment horizontal="center"/>
    </xf>
    <xf numFmtId="2" fontId="1" fillId="0" borderId="2" xfId="0" applyNumberFormat="1" applyFont="1" applyBorder="1" applyAlignment="1"/>
    <xf numFmtId="2" fontId="13" fillId="0" borderId="2" xfId="0" applyNumberFormat="1" applyFont="1" applyBorder="1" applyAlignment="1">
      <alignment horizontal="right"/>
    </xf>
    <xf numFmtId="2" fontId="1" fillId="0" borderId="0" xfId="0" applyNumberFormat="1" applyFont="1" applyBorder="1" applyAlignment="1">
      <alignment horizontal="right"/>
    </xf>
    <xf numFmtId="2" fontId="13" fillId="0" borderId="0" xfId="0" applyNumberFormat="1" applyFont="1" applyBorder="1" applyAlignment="1">
      <alignment horizontal="right"/>
    </xf>
    <xf numFmtId="0" fontId="1" fillId="2" borderId="0" xfId="0" applyFont="1" applyFill="1" applyBorder="1" applyAlignment="1">
      <alignment horizontal="center"/>
    </xf>
    <xf numFmtId="0" fontId="1" fillId="3" borderId="0" xfId="0" applyFont="1" applyFill="1" applyBorder="1" applyAlignment="1">
      <alignment horizontal="center"/>
    </xf>
    <xf numFmtId="2" fontId="1" fillId="0" borderId="2" xfId="0" applyNumberFormat="1" applyFont="1" applyBorder="1" applyAlignment="1">
      <alignment horizontal="right"/>
    </xf>
    <xf numFmtId="2" fontId="1" fillId="0" borderId="0" xfId="0" applyNumberFormat="1" applyFont="1" applyAlignment="1"/>
    <xf numFmtId="2" fontId="1" fillId="0" borderId="0" xfId="0" applyNumberFormat="1" applyFont="1" applyAlignment="1">
      <alignment horizontal="right"/>
    </xf>
    <xf numFmtId="0" fontId="1" fillId="0" borderId="0" xfId="0" applyFont="1" applyAlignment="1">
      <alignment horizontal="center"/>
    </xf>
    <xf numFmtId="14" fontId="1" fillId="3" borderId="0" xfId="0" applyNumberFormat="1" applyFont="1" applyFill="1" applyBorder="1" applyAlignment="1">
      <alignment horizontal="center"/>
    </xf>
    <xf numFmtId="14" fontId="1" fillId="2" borderId="0" xfId="0" applyNumberFormat="1" applyFont="1" applyFill="1" applyBorder="1" applyAlignment="1">
      <alignment horizontal="center"/>
    </xf>
    <xf numFmtId="0" fontId="1" fillId="2" borderId="0" xfId="0" applyFont="1" applyFill="1" applyBorder="1" applyAlignment="1">
      <alignment horizontal="center"/>
    </xf>
    <xf numFmtId="0" fontId="1" fillId="3" borderId="0" xfId="0" applyFont="1" applyFill="1" applyBorder="1" applyAlignment="1">
      <alignment horizontal="center"/>
    </xf>
    <xf numFmtId="0" fontId="1" fillId="2" borderId="6" xfId="0" applyNumberFormat="1" applyFont="1" applyFill="1" applyBorder="1" applyAlignment="1">
      <alignment horizontal="center"/>
    </xf>
    <xf numFmtId="14" fontId="1" fillId="2" borderId="0" xfId="0" applyNumberFormat="1" applyFont="1" applyFill="1" applyBorder="1" applyAlignment="1">
      <alignment horizontal="center"/>
    </xf>
    <xf numFmtId="14" fontId="1" fillId="3" borderId="0" xfId="0" applyNumberFormat="1" applyFont="1" applyFill="1" applyBorder="1" applyAlignment="1">
      <alignment horizontal="center"/>
    </xf>
    <xf numFmtId="2" fontId="1" fillId="3" borderId="0" xfId="0" applyNumberFormat="1" applyFont="1" applyFill="1" applyBorder="1" applyAlignment="1">
      <alignment horizontal="center"/>
    </xf>
    <xf numFmtId="2" fontId="1" fillId="0" borderId="0" xfId="0" applyNumberFormat="1" applyFont="1" applyBorder="1" applyAlignment="1">
      <alignment horizontal="right"/>
    </xf>
    <xf numFmtId="2" fontId="13" fillId="0" borderId="0" xfId="0" applyNumberFormat="1" applyFont="1" applyBorder="1" applyAlignment="1">
      <alignment horizontal="right"/>
    </xf>
    <xf numFmtId="0" fontId="1" fillId="2" borderId="0" xfId="0" applyFont="1" applyFill="1" applyBorder="1" applyAlignment="1">
      <alignment horizontal="center"/>
    </xf>
    <xf numFmtId="0" fontId="1" fillId="3" borderId="0" xfId="0" applyFont="1" applyFill="1" applyBorder="1" applyAlignment="1">
      <alignment horizontal="center"/>
    </xf>
    <xf numFmtId="0" fontId="1" fillId="0" borderId="0" xfId="0" applyFont="1" applyBorder="1" applyAlignment="1">
      <alignment horizontal="center"/>
    </xf>
    <xf numFmtId="2" fontId="1" fillId="0" borderId="0" xfId="0" applyNumberFormat="1" applyFont="1" applyAlignment="1">
      <alignment horizontal="right"/>
    </xf>
    <xf numFmtId="0" fontId="1" fillId="0" borderId="0" xfId="0" applyFont="1" applyAlignment="1">
      <alignment horizontal="center"/>
    </xf>
    <xf numFmtId="14" fontId="1" fillId="3" borderId="0" xfId="0" applyNumberFormat="1" applyFont="1" applyFill="1" applyBorder="1" applyAlignment="1">
      <alignment horizontal="center"/>
    </xf>
    <xf numFmtId="14" fontId="1" fillId="2" borderId="0" xfId="0" applyNumberFormat="1" applyFont="1" applyFill="1" applyBorder="1" applyAlignment="1">
      <alignment horizontal="center"/>
    </xf>
    <xf numFmtId="2" fontId="13" fillId="0" borderId="0" xfId="0" applyNumberFormat="1" applyFont="1" applyBorder="1" applyAlignment="1">
      <alignment horizontal="right"/>
    </xf>
    <xf numFmtId="0" fontId="1" fillId="2" borderId="0" xfId="0" applyFont="1" applyFill="1" applyBorder="1" applyAlignment="1">
      <alignment horizontal="center"/>
    </xf>
    <xf numFmtId="0" fontId="1" fillId="3" borderId="0" xfId="0" applyFont="1" applyFill="1" applyBorder="1" applyAlignment="1">
      <alignment horizontal="center"/>
    </xf>
    <xf numFmtId="2" fontId="1" fillId="0" borderId="0" xfId="0" applyNumberFormat="1" applyFont="1" applyAlignment="1">
      <alignment horizontal="right"/>
    </xf>
    <xf numFmtId="0" fontId="1" fillId="0" borderId="0" xfId="0" applyFont="1" applyAlignment="1">
      <alignment horizontal="center"/>
    </xf>
    <xf numFmtId="0" fontId="1" fillId="2" borderId="0" xfId="0" applyFont="1" applyFill="1" applyBorder="1" applyAlignment="1">
      <alignment horizontal="center"/>
    </xf>
    <xf numFmtId="14" fontId="1" fillId="2" borderId="0" xfId="0" applyNumberFormat="1" applyFont="1" applyFill="1" applyBorder="1" applyAlignment="1">
      <alignment horizontal="center"/>
    </xf>
    <xf numFmtId="14" fontId="1" fillId="3" borderId="0" xfId="0" applyNumberFormat="1" applyFont="1" applyFill="1" applyBorder="1" applyAlignment="1">
      <alignment horizontal="center"/>
    </xf>
    <xf numFmtId="2" fontId="1" fillId="0" borderId="0" xfId="0" applyNumberFormat="1" applyFont="1" applyBorder="1" applyAlignment="1">
      <alignment horizontal="right"/>
    </xf>
    <xf numFmtId="2" fontId="13" fillId="0" borderId="0" xfId="0" applyNumberFormat="1" applyFont="1" applyBorder="1" applyAlignment="1">
      <alignment horizontal="right"/>
    </xf>
    <xf numFmtId="0" fontId="1" fillId="2" borderId="0" xfId="0" applyFont="1" applyFill="1" applyBorder="1" applyAlignment="1">
      <alignment horizontal="center"/>
    </xf>
    <xf numFmtId="0" fontId="1" fillId="3" borderId="0" xfId="0" applyFont="1" applyFill="1" applyBorder="1" applyAlignment="1">
      <alignment horizontal="center"/>
    </xf>
    <xf numFmtId="2" fontId="1" fillId="0" borderId="0" xfId="0" applyNumberFormat="1" applyFont="1" applyAlignment="1">
      <alignment horizontal="right"/>
    </xf>
    <xf numFmtId="2" fontId="1" fillId="0" borderId="0" xfId="0" applyNumberFormat="1" applyFont="1" applyAlignment="1"/>
    <xf numFmtId="0" fontId="1" fillId="0" borderId="0" xfId="0" applyFont="1" applyAlignment="1">
      <alignment horizontal="center"/>
    </xf>
    <xf numFmtId="2" fontId="13" fillId="0" borderId="0" xfId="0" applyNumberFormat="1" applyFont="1" applyAlignment="1">
      <alignment horizontal="right"/>
    </xf>
    <xf numFmtId="14" fontId="1" fillId="3" borderId="0" xfId="0" applyNumberFormat="1" applyFont="1" applyFill="1" applyBorder="1" applyAlignment="1">
      <alignment horizontal="center"/>
    </xf>
    <xf numFmtId="14" fontId="1" fillId="2" borderId="0" xfId="0" applyNumberFormat="1" applyFont="1" applyFill="1" applyBorder="1" applyAlignment="1">
      <alignment horizontal="center"/>
    </xf>
    <xf numFmtId="2" fontId="1" fillId="0" borderId="0" xfId="0" applyNumberFormat="1" applyFont="1" applyBorder="1" applyAlignment="1">
      <alignment horizontal="right"/>
    </xf>
    <xf numFmtId="2" fontId="13" fillId="0" borderId="0" xfId="0" applyNumberFormat="1" applyFont="1" applyBorder="1" applyAlignment="1">
      <alignment horizontal="right"/>
    </xf>
    <xf numFmtId="0" fontId="1" fillId="2" borderId="0" xfId="0" applyFont="1" applyFill="1" applyBorder="1" applyAlignment="1">
      <alignment horizontal="center"/>
    </xf>
    <xf numFmtId="0" fontId="1" fillId="3" borderId="0" xfId="0" applyFont="1" applyFill="1" applyBorder="1" applyAlignment="1">
      <alignment horizontal="center"/>
    </xf>
    <xf numFmtId="2" fontId="1" fillId="0" borderId="0" xfId="0" applyNumberFormat="1" applyFont="1" applyAlignment="1">
      <alignment horizontal="right"/>
    </xf>
    <xf numFmtId="2" fontId="1" fillId="0" borderId="0" xfId="0" applyNumberFormat="1" applyFont="1" applyAlignment="1"/>
    <xf numFmtId="0" fontId="1" fillId="0" borderId="0" xfId="0" applyFont="1" applyAlignment="1">
      <alignment horizontal="center"/>
    </xf>
    <xf numFmtId="2" fontId="13" fillId="0" borderId="0" xfId="0" applyNumberFormat="1" applyFont="1" applyAlignment="1">
      <alignment horizontal="right"/>
    </xf>
    <xf numFmtId="14" fontId="1" fillId="2" borderId="0" xfId="0" applyNumberFormat="1" applyFont="1" applyFill="1" applyBorder="1" applyAlignment="1">
      <alignment horizontal="center"/>
    </xf>
    <xf numFmtId="14" fontId="1" fillId="3" borderId="0" xfId="0" applyNumberFormat="1" applyFont="1" applyFill="1" applyBorder="1" applyAlignment="1">
      <alignment horizontal="center"/>
    </xf>
    <xf numFmtId="2" fontId="1" fillId="0" borderId="0" xfId="0" applyNumberFormat="1" applyFont="1" applyBorder="1" applyAlignment="1">
      <alignment horizontal="right"/>
    </xf>
    <xf numFmtId="2" fontId="13" fillId="0" borderId="0" xfId="0" applyNumberFormat="1" applyFont="1" applyBorder="1" applyAlignment="1">
      <alignment horizontal="right"/>
    </xf>
    <xf numFmtId="0" fontId="1" fillId="2" borderId="0" xfId="0" applyFont="1" applyFill="1" applyBorder="1" applyAlignment="1">
      <alignment horizontal="center"/>
    </xf>
    <xf numFmtId="0" fontId="1" fillId="3" borderId="0" xfId="0" applyFont="1" applyFill="1" applyBorder="1" applyAlignment="1">
      <alignment horizontal="center"/>
    </xf>
    <xf numFmtId="2" fontId="1" fillId="0" borderId="0" xfId="0" applyNumberFormat="1" applyFont="1" applyAlignment="1">
      <alignment horizontal="right"/>
    </xf>
    <xf numFmtId="2" fontId="1" fillId="0" borderId="0" xfId="0" applyNumberFormat="1" applyFont="1" applyAlignment="1"/>
    <xf numFmtId="2" fontId="14" fillId="0" borderId="0" xfId="0" applyNumberFormat="1" applyFont="1" applyAlignment="1">
      <alignment horizontal="right"/>
    </xf>
    <xf numFmtId="0" fontId="8" fillId="3" borderId="7" xfId="0" applyFont="1" applyFill="1" applyBorder="1" applyAlignment="1">
      <alignment horizontal="left"/>
    </xf>
    <xf numFmtId="0" fontId="1" fillId="0" borderId="0" xfId="0" applyFont="1" applyAlignment="1">
      <alignment horizontal="center"/>
    </xf>
    <xf numFmtId="2" fontId="1" fillId="0" borderId="0" xfId="0" applyNumberFormat="1" applyFont="1" applyBorder="1" applyAlignment="1"/>
    <xf numFmtId="14" fontId="1" fillId="3" borderId="0" xfId="0" applyNumberFormat="1" applyFont="1" applyFill="1" applyBorder="1" applyAlignment="1">
      <alignment horizontal="center"/>
    </xf>
    <xf numFmtId="14" fontId="1" fillId="2" borderId="0" xfId="0" applyNumberFormat="1" applyFont="1" applyFill="1" applyBorder="1" applyAlignment="1">
      <alignment horizontal="center"/>
    </xf>
    <xf numFmtId="2" fontId="1" fillId="0" borderId="0" xfId="0" applyNumberFormat="1" applyFont="1" applyBorder="1" applyAlignment="1">
      <alignment horizontal="right"/>
    </xf>
    <xf numFmtId="2" fontId="13" fillId="0" borderId="0" xfId="0" applyNumberFormat="1" applyFont="1" applyBorder="1" applyAlignment="1">
      <alignment horizontal="right"/>
    </xf>
    <xf numFmtId="0" fontId="1" fillId="2" borderId="0" xfId="0" applyFont="1" applyFill="1" applyBorder="1" applyAlignment="1">
      <alignment horizontal="center"/>
    </xf>
    <xf numFmtId="0" fontId="1" fillId="3" borderId="0" xfId="0" applyFont="1" applyFill="1" applyBorder="1" applyAlignment="1">
      <alignment horizontal="center"/>
    </xf>
    <xf numFmtId="0" fontId="1" fillId="0" borderId="0" xfId="0" applyFont="1" applyBorder="1" applyAlignment="1">
      <alignment horizontal="center"/>
    </xf>
    <xf numFmtId="2" fontId="1" fillId="0" borderId="0" xfId="0" applyNumberFormat="1" applyFont="1" applyAlignment="1">
      <alignment horizontal="right"/>
    </xf>
    <xf numFmtId="0" fontId="1" fillId="0" borderId="0" xfId="0" applyFont="1" applyAlignment="1">
      <alignment horizontal="center"/>
    </xf>
    <xf numFmtId="14" fontId="1" fillId="2" borderId="0" xfId="0" applyNumberFormat="1" applyFont="1" applyFill="1" applyBorder="1" applyAlignment="1">
      <alignment horizontal="left"/>
    </xf>
    <xf numFmtId="14" fontId="1" fillId="2" borderId="0" xfId="0" applyNumberFormat="1" applyFont="1" applyFill="1" applyBorder="1" applyAlignment="1">
      <alignment horizontal="center"/>
    </xf>
    <xf numFmtId="14" fontId="1" fillId="3" borderId="0" xfId="0" applyNumberFormat="1" applyFont="1" applyFill="1" applyBorder="1" applyAlignment="1">
      <alignment horizontal="center"/>
    </xf>
    <xf numFmtId="2" fontId="1" fillId="0" borderId="0" xfId="0" applyNumberFormat="1" applyFont="1" applyBorder="1" applyAlignment="1">
      <alignment horizontal="right"/>
    </xf>
    <xf numFmtId="2" fontId="13" fillId="0" borderId="0" xfId="0" applyNumberFormat="1" applyFont="1" applyBorder="1" applyAlignment="1">
      <alignment horizontal="right"/>
    </xf>
    <xf numFmtId="0" fontId="1" fillId="2" borderId="0" xfId="0" applyFont="1" applyFill="1" applyBorder="1" applyAlignment="1">
      <alignment horizontal="center"/>
    </xf>
    <xf numFmtId="0" fontId="1" fillId="3" borderId="0" xfId="0" applyFont="1" applyFill="1" applyBorder="1" applyAlignment="1">
      <alignment horizontal="center"/>
    </xf>
    <xf numFmtId="2" fontId="1" fillId="0" borderId="0" xfId="0" applyNumberFormat="1" applyFont="1" applyAlignment="1">
      <alignment horizontal="right"/>
    </xf>
    <xf numFmtId="0" fontId="1" fillId="0" borderId="0" xfId="0" applyFont="1" applyAlignment="1">
      <alignment horizontal="center"/>
    </xf>
    <xf numFmtId="2" fontId="13" fillId="0" borderId="0" xfId="0" applyNumberFormat="1" applyFont="1" applyAlignment="1">
      <alignment horizontal="right"/>
    </xf>
    <xf numFmtId="14" fontId="1" fillId="3" borderId="0" xfId="0" applyNumberFormat="1" applyFont="1" applyFill="1" applyBorder="1" applyAlignment="1">
      <alignment horizontal="center"/>
    </xf>
    <xf numFmtId="2" fontId="1" fillId="0" borderId="0" xfId="0" applyNumberFormat="1" applyFont="1" applyBorder="1" applyAlignment="1">
      <alignment horizontal="right"/>
    </xf>
    <xf numFmtId="0" fontId="1" fillId="2" borderId="0" xfId="0" applyFont="1" applyFill="1" applyBorder="1" applyAlignment="1">
      <alignment horizontal="center"/>
    </xf>
    <xf numFmtId="0" fontId="1" fillId="3" borderId="0" xfId="0" applyFont="1" applyFill="1" applyBorder="1" applyAlignment="1">
      <alignment horizontal="center"/>
    </xf>
    <xf numFmtId="2" fontId="1" fillId="0" borderId="0" xfId="0" applyNumberFormat="1" applyFont="1" applyAlignment="1">
      <alignment horizontal="right"/>
    </xf>
    <xf numFmtId="0" fontId="8" fillId="3" borderId="7" xfId="0" applyFont="1" applyFill="1" applyBorder="1" applyAlignment="1">
      <alignment horizontal="left"/>
    </xf>
    <xf numFmtId="16" fontId="1" fillId="2" borderId="0" xfId="0" applyNumberFormat="1" applyFont="1" applyFill="1" applyBorder="1" applyAlignment="1">
      <alignment horizontal="center"/>
    </xf>
    <xf numFmtId="0" fontId="1" fillId="0" borderId="0" xfId="0" applyFont="1" applyAlignment="1">
      <alignment horizontal="center"/>
    </xf>
    <xf numFmtId="0" fontId="8" fillId="2" borderId="7" xfId="0" applyFont="1" applyFill="1" applyBorder="1" applyAlignment="1">
      <alignment horizontal="left"/>
    </xf>
    <xf numFmtId="14" fontId="1" fillId="2" borderId="0" xfId="0" applyNumberFormat="1" applyFont="1" applyFill="1" applyBorder="1" applyAlignment="1">
      <alignment horizontal="center"/>
    </xf>
    <xf numFmtId="14" fontId="1" fillId="3" borderId="0" xfId="0" applyNumberFormat="1" applyFont="1" applyFill="1" applyBorder="1" applyAlignment="1">
      <alignment horizontal="center"/>
    </xf>
    <xf numFmtId="2" fontId="1" fillId="0" borderId="0" xfId="0" applyNumberFormat="1" applyFont="1" applyBorder="1" applyAlignment="1">
      <alignment horizontal="right"/>
    </xf>
    <xf numFmtId="2" fontId="13" fillId="0" borderId="0" xfId="0" applyNumberFormat="1" applyFont="1" applyBorder="1" applyAlignment="1">
      <alignment horizontal="right"/>
    </xf>
    <xf numFmtId="0" fontId="1" fillId="2" borderId="0" xfId="0" applyFont="1" applyFill="1" applyBorder="1" applyAlignment="1">
      <alignment horizontal="center"/>
    </xf>
    <xf numFmtId="0" fontId="1" fillId="3" borderId="0" xfId="0" applyFont="1" applyFill="1" applyBorder="1" applyAlignment="1">
      <alignment horizontal="center"/>
    </xf>
    <xf numFmtId="2" fontId="1" fillId="0" borderId="0" xfId="0" applyNumberFormat="1" applyFont="1" applyAlignment="1">
      <alignment horizontal="right"/>
    </xf>
    <xf numFmtId="0" fontId="1" fillId="0" borderId="0" xfId="0" applyFont="1" applyAlignment="1">
      <alignment horizontal="center"/>
    </xf>
    <xf numFmtId="14" fontId="1" fillId="2" borderId="0" xfId="0" applyNumberFormat="1" applyFont="1" applyFill="1" applyBorder="1" applyAlignment="1">
      <alignment horizontal="center"/>
    </xf>
    <xf numFmtId="0" fontId="1" fillId="2" borderId="0" xfId="0" applyFont="1" applyFill="1" applyBorder="1" applyAlignment="1">
      <alignment horizontal="center"/>
    </xf>
    <xf numFmtId="0" fontId="1" fillId="3" borderId="0" xfId="0" applyFont="1" applyFill="1" applyBorder="1" applyAlignment="1">
      <alignment horizontal="center"/>
    </xf>
    <xf numFmtId="0" fontId="1" fillId="3" borderId="0" xfId="0" applyFont="1" applyFill="1" applyBorder="1" applyAlignment="1">
      <alignment horizontal="center"/>
    </xf>
    <xf numFmtId="2" fontId="1" fillId="0" borderId="0" xfId="0" applyNumberFormat="1" applyFont="1" applyBorder="1" applyAlignment="1">
      <alignment horizontal="right"/>
    </xf>
    <xf numFmtId="2" fontId="13" fillId="0" borderId="0" xfId="0" applyNumberFormat="1" applyFont="1" applyBorder="1" applyAlignment="1">
      <alignment horizontal="right"/>
    </xf>
    <xf numFmtId="2" fontId="1" fillId="0" borderId="0" xfId="0" applyNumberFormat="1" applyFont="1" applyBorder="1" applyAlignment="1"/>
    <xf numFmtId="2" fontId="1" fillId="3" borderId="0" xfId="0" applyNumberFormat="1" applyFont="1" applyFill="1" applyBorder="1" applyAlignment="1">
      <alignment horizontal="center"/>
    </xf>
    <xf numFmtId="2" fontId="13" fillId="0" borderId="0" xfId="0" applyNumberFormat="1" applyFont="1" applyAlignment="1">
      <alignment horizontal="right"/>
    </xf>
    <xf numFmtId="2" fontId="1" fillId="2" borderId="0" xfId="0" applyNumberFormat="1" applyFont="1" applyFill="1" applyBorder="1" applyAlignment="1">
      <alignment horizontal="center"/>
    </xf>
    <xf numFmtId="2" fontId="17" fillId="4" borderId="4" xfId="0" applyNumberFormat="1" applyFont="1" applyFill="1" applyBorder="1" applyAlignment="1"/>
    <xf numFmtId="14" fontId="1" fillId="3" borderId="2" xfId="0" applyNumberFormat="1" applyFont="1" applyFill="1" applyBorder="1" applyAlignment="1">
      <alignment horizontal="center"/>
    </xf>
    <xf numFmtId="14" fontId="1" fillId="3" borderId="0" xfId="0" applyNumberFormat="1" applyFont="1" applyFill="1" applyBorder="1" applyAlignment="1">
      <alignment horizontal="center"/>
    </xf>
    <xf numFmtId="14" fontId="1" fillId="2" borderId="0" xfId="0" applyNumberFormat="1" applyFont="1" applyFill="1" applyBorder="1" applyAlignment="1">
      <alignment horizontal="center"/>
    </xf>
    <xf numFmtId="0" fontId="1" fillId="5" borderId="17"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18" xfId="0" applyFont="1" applyFill="1" applyBorder="1" applyAlignment="1">
      <alignment horizontal="center" vertical="center"/>
    </xf>
    <xf numFmtId="0" fontId="1" fillId="5" borderId="14" xfId="0" applyFont="1" applyFill="1" applyBorder="1" applyAlignment="1">
      <alignment horizontal="center" vertical="center"/>
    </xf>
    <xf numFmtId="0" fontId="1" fillId="5" borderId="15" xfId="0" applyFont="1" applyFill="1" applyBorder="1" applyAlignment="1">
      <alignment horizontal="center" vertical="center"/>
    </xf>
    <xf numFmtId="1" fontId="1" fillId="5" borderId="16" xfId="0" applyNumberFormat="1" applyFont="1" applyFill="1" applyBorder="1" applyAlignment="1">
      <alignment horizontal="center" vertical="center" wrapText="1"/>
    </xf>
    <xf numFmtId="1" fontId="1" fillId="5" borderId="13" xfId="0" applyNumberFormat="1" applyFont="1" applyFill="1" applyBorder="1" applyAlignment="1">
      <alignment horizontal="center" vertical="center" wrapText="1"/>
    </xf>
    <xf numFmtId="0" fontId="1" fillId="5" borderId="4"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5" borderId="20" xfId="0" applyFont="1" applyFill="1" applyBorder="1" applyAlignment="1">
      <alignment horizontal="center" vertical="center" wrapText="1"/>
    </xf>
    <xf numFmtId="0" fontId="1" fillId="5" borderId="19" xfId="0" applyFont="1" applyFill="1" applyBorder="1" applyAlignment="1">
      <alignment horizontal="center" vertical="center" wrapText="1"/>
    </xf>
    <xf numFmtId="14" fontId="17" fillId="4" borderId="0" xfId="0" applyNumberFormat="1" applyFont="1" applyFill="1" applyBorder="1" applyAlignment="1">
      <alignment horizontal="center"/>
    </xf>
    <xf numFmtId="2" fontId="1" fillId="0" borderId="2" xfId="0" applyNumberFormat="1" applyFont="1" applyBorder="1" applyAlignment="1">
      <alignment horizontal="center"/>
    </xf>
    <xf numFmtId="0" fontId="1" fillId="5" borderId="2" xfId="0" applyFont="1" applyFill="1" applyBorder="1" applyAlignment="1">
      <alignment horizontal="center" vertical="center"/>
    </xf>
    <xf numFmtId="0" fontId="1" fillId="5" borderId="0" xfId="0" applyFont="1" applyFill="1" applyBorder="1" applyAlignment="1">
      <alignment horizontal="center" vertical="center"/>
    </xf>
    <xf numFmtId="2" fontId="4" fillId="5" borderId="4" xfId="0" applyNumberFormat="1" applyFont="1" applyFill="1" applyBorder="1" applyAlignment="1">
      <alignment horizontal="left"/>
    </xf>
    <xf numFmtId="2" fontId="1" fillId="5" borderId="2" xfId="0" applyNumberFormat="1" applyFont="1" applyFill="1" applyBorder="1" applyAlignment="1">
      <alignment horizontal="right"/>
    </xf>
    <xf numFmtId="2" fontId="13" fillId="5" borderId="2" xfId="0" applyNumberFormat="1" applyFont="1" applyFill="1" applyBorder="1" applyAlignment="1">
      <alignment horizontal="right"/>
    </xf>
    <xf numFmtId="2" fontId="13" fillId="4" borderId="4" xfId="0" applyNumberFormat="1" applyFont="1" applyFill="1" applyBorder="1" applyAlignment="1">
      <alignment horizontal="right"/>
    </xf>
    <xf numFmtId="2" fontId="1" fillId="0" borderId="2" xfId="0" applyNumberFormat="1" applyFont="1" applyBorder="1" applyAlignment="1"/>
    <xf numFmtId="2" fontId="1" fillId="0" borderId="4" xfId="0" applyNumberFormat="1" applyFont="1" applyBorder="1" applyAlignment="1"/>
    <xf numFmtId="2" fontId="13" fillId="0" borderId="2" xfId="0" applyNumberFormat="1" applyFont="1" applyBorder="1" applyAlignment="1">
      <alignment horizontal="right"/>
    </xf>
    <xf numFmtId="2" fontId="1" fillId="0" borderId="0" xfId="0" applyNumberFormat="1" applyFont="1" applyBorder="1" applyAlignment="1">
      <alignment horizontal="right"/>
    </xf>
    <xf numFmtId="2" fontId="13" fillId="0" borderId="0" xfId="0" applyNumberFormat="1" applyFont="1" applyBorder="1" applyAlignment="1">
      <alignment horizontal="right"/>
    </xf>
    <xf numFmtId="0" fontId="1" fillId="2" borderId="0" xfId="0" applyFont="1" applyFill="1" applyBorder="1" applyAlignment="1">
      <alignment horizontal="center"/>
    </xf>
    <xf numFmtId="0" fontId="1" fillId="3" borderId="0" xfId="0" applyFont="1" applyFill="1" applyBorder="1" applyAlignment="1">
      <alignment horizontal="center"/>
    </xf>
    <xf numFmtId="2" fontId="14" fillId="4" borderId="4" xfId="0" applyNumberFormat="1" applyFont="1" applyFill="1" applyBorder="1" applyAlignment="1">
      <alignment horizontal="right"/>
    </xf>
    <xf numFmtId="0" fontId="1" fillId="0" borderId="0" xfId="0" applyFont="1" applyBorder="1" applyAlignment="1">
      <alignment horizontal="center"/>
    </xf>
    <xf numFmtId="0" fontId="17" fillId="4" borderId="0" xfId="0" applyFont="1" applyFill="1" applyBorder="1" applyAlignment="1">
      <alignment horizontal="center"/>
    </xf>
    <xf numFmtId="0" fontId="1" fillId="3" borderId="0" xfId="0" applyFont="1" applyFill="1" applyAlignment="1">
      <alignment horizontal="center"/>
    </xf>
    <xf numFmtId="0" fontId="1" fillId="2" borderId="0" xfId="0" applyFont="1" applyFill="1" applyAlignment="1">
      <alignment horizontal="center"/>
    </xf>
    <xf numFmtId="0" fontId="1" fillId="3" borderId="2" xfId="0" applyFont="1" applyFill="1" applyBorder="1" applyAlignment="1">
      <alignment horizontal="center"/>
    </xf>
    <xf numFmtId="2" fontId="17" fillId="4" borderId="4" xfId="0" applyNumberFormat="1" applyFont="1" applyFill="1" applyBorder="1" applyAlignment="1">
      <alignment horizontal="right"/>
    </xf>
    <xf numFmtId="2" fontId="1" fillId="0" borderId="2" xfId="0" applyNumberFormat="1" applyFont="1" applyBorder="1" applyAlignment="1">
      <alignment horizontal="right"/>
    </xf>
    <xf numFmtId="14" fontId="1" fillId="2" borderId="2" xfId="0" applyNumberFormat="1" applyFont="1" applyFill="1" applyBorder="1" applyAlignment="1">
      <alignment horizontal="center"/>
    </xf>
    <xf numFmtId="2" fontId="1" fillId="0" borderId="0" xfId="0" applyNumberFormat="1" applyFont="1" applyAlignment="1">
      <alignment horizontal="right"/>
    </xf>
    <xf numFmtId="2" fontId="1" fillId="0" borderId="0" xfId="0" applyNumberFormat="1" applyFont="1" applyAlignment="1"/>
    <xf numFmtId="2" fontId="1" fillId="0" borderId="0" xfId="0" applyNumberFormat="1" applyFont="1" applyFill="1" applyAlignment="1">
      <alignment horizontal="right"/>
    </xf>
    <xf numFmtId="2" fontId="13" fillId="0" borderId="0" xfId="0" applyNumberFormat="1" applyFont="1" applyFill="1" applyBorder="1" applyAlignment="1">
      <alignment horizontal="right"/>
    </xf>
    <xf numFmtId="0" fontId="8" fillId="2" borderId="4" xfId="0" applyFont="1" applyFill="1" applyBorder="1" applyAlignment="1">
      <alignment horizontal="center"/>
    </xf>
    <xf numFmtId="2" fontId="1" fillId="0" borderId="4" xfId="0" applyNumberFormat="1" applyFont="1" applyBorder="1" applyAlignment="1">
      <alignment horizontal="right"/>
    </xf>
    <xf numFmtId="2" fontId="13" fillId="0" borderId="4" xfId="0" applyNumberFormat="1" applyFont="1" applyBorder="1" applyAlignment="1">
      <alignment horizontal="right"/>
    </xf>
    <xf numFmtId="2" fontId="1" fillId="0" borderId="0" xfId="0" applyNumberFormat="1" applyFont="1" applyFill="1" applyBorder="1" applyAlignment="1"/>
    <xf numFmtId="2" fontId="17" fillId="4" borderId="0" xfId="0" applyNumberFormat="1" applyFont="1" applyFill="1" applyBorder="1" applyAlignment="1"/>
    <xf numFmtId="2" fontId="14" fillId="4" borderId="0" xfId="0" applyNumberFormat="1" applyFont="1" applyFill="1" applyBorder="1" applyAlignment="1">
      <alignment horizontal="right"/>
    </xf>
    <xf numFmtId="2" fontId="14" fillId="0" borderId="0" xfId="0" applyNumberFormat="1" applyFont="1" applyAlignment="1">
      <alignment horizontal="right"/>
    </xf>
    <xf numFmtId="0" fontId="8" fillId="3" borderId="7" xfId="0" applyFont="1" applyFill="1" applyBorder="1" applyAlignment="1">
      <alignment horizontal="left"/>
    </xf>
    <xf numFmtId="0" fontId="8" fillId="3" borderId="0" xfId="0" applyFont="1" applyFill="1" applyBorder="1" applyAlignment="1">
      <alignment horizontal="left"/>
    </xf>
    <xf numFmtId="0" fontId="8" fillId="3" borderId="3" xfId="0" applyFont="1" applyFill="1" applyBorder="1" applyAlignment="1">
      <alignment horizontal="left"/>
    </xf>
    <xf numFmtId="14" fontId="8" fillId="2" borderId="0" xfId="0" applyNumberFormat="1" applyFont="1" applyFill="1" applyBorder="1" applyAlignment="1">
      <alignment horizontal="center" vertical="center"/>
    </xf>
    <xf numFmtId="0" fontId="1" fillId="5" borderId="15" xfId="0" applyFont="1" applyFill="1" applyBorder="1" applyAlignment="1">
      <alignment horizontal="center" vertical="center" wrapText="1"/>
    </xf>
    <xf numFmtId="0" fontId="1" fillId="5" borderId="10" xfId="0" applyFont="1" applyFill="1" applyBorder="1" applyAlignment="1">
      <alignment horizontal="center" vertical="center" wrapText="1"/>
    </xf>
    <xf numFmtId="2" fontId="14" fillId="4" borderId="0" xfId="0" applyNumberFormat="1" applyFont="1" applyFill="1" applyAlignment="1">
      <alignment horizontal="right"/>
    </xf>
    <xf numFmtId="0" fontId="13" fillId="0" borderId="0" xfId="0" applyFont="1" applyBorder="1" applyAlignment="1">
      <alignment horizontal="right"/>
    </xf>
    <xf numFmtId="0" fontId="14" fillId="4" borderId="4" xfId="0" applyFont="1" applyFill="1" applyBorder="1" applyAlignment="1">
      <alignment horizontal="right"/>
    </xf>
    <xf numFmtId="0" fontId="13" fillId="0" borderId="2" xfId="0" applyFont="1" applyBorder="1" applyAlignment="1">
      <alignment horizontal="right"/>
    </xf>
    <xf numFmtId="16" fontId="1" fillId="2" borderId="0" xfId="0" applyNumberFormat="1" applyFont="1" applyFill="1" applyBorder="1" applyAlignment="1">
      <alignment horizontal="center"/>
    </xf>
    <xf numFmtId="16" fontId="1" fillId="3" borderId="0" xfId="0" applyNumberFormat="1" applyFont="1" applyFill="1" applyBorder="1" applyAlignment="1">
      <alignment horizontal="center"/>
    </xf>
    <xf numFmtId="0" fontId="1" fillId="2" borderId="2" xfId="0" applyFont="1" applyFill="1" applyBorder="1" applyAlignment="1">
      <alignment horizontal="center"/>
    </xf>
    <xf numFmtId="0" fontId="8" fillId="3" borderId="0" xfId="0" applyFont="1" applyFill="1" applyBorder="1" applyAlignment="1">
      <alignment horizontal="center"/>
    </xf>
    <xf numFmtId="2" fontId="1" fillId="0" borderId="0" xfId="0" applyNumberFormat="1" applyFont="1" applyFill="1" applyAlignment="1"/>
    <xf numFmtId="0" fontId="1" fillId="0" borderId="0" xfId="0" applyFont="1" applyAlignment="1">
      <alignment horizontal="center"/>
    </xf>
    <xf numFmtId="2" fontId="13" fillId="0" borderId="0" xfId="0" applyNumberFormat="1" applyFont="1" applyFill="1" applyAlignment="1">
      <alignment horizontal="right"/>
    </xf>
    <xf numFmtId="2" fontId="15" fillId="0" borderId="0" xfId="0" applyNumberFormat="1" applyFont="1" applyAlignment="1">
      <alignment horizontal="right"/>
    </xf>
    <xf numFmtId="2" fontId="15" fillId="0" borderId="0" xfId="0" applyNumberFormat="1" applyFont="1" applyBorder="1" applyAlignment="1">
      <alignment horizontal="right"/>
    </xf>
    <xf numFmtId="0" fontId="1" fillId="2" borderId="4" xfId="0" applyFont="1" applyFill="1" applyBorder="1" applyAlignment="1">
      <alignment horizontal="center"/>
    </xf>
    <xf numFmtId="0" fontId="1" fillId="3" borderId="4" xfId="0" applyFont="1" applyFill="1" applyBorder="1" applyAlignment="1">
      <alignment horizontal="center"/>
    </xf>
    <xf numFmtId="0" fontId="8" fillId="2" borderId="7" xfId="0" applyFont="1" applyFill="1" applyBorder="1" applyAlignment="1">
      <alignment horizontal="left"/>
    </xf>
    <xf numFmtId="0" fontId="8" fillId="2" borderId="0" xfId="0" applyFont="1" applyFill="1" applyBorder="1" applyAlignment="1">
      <alignment horizontal="left"/>
    </xf>
    <xf numFmtId="0" fontId="8" fillId="2" borderId="3" xfId="0" applyFont="1" applyFill="1" applyBorder="1" applyAlignment="1">
      <alignment horizontal="left"/>
    </xf>
    <xf numFmtId="2" fontId="1" fillId="0" borderId="0" xfId="0" applyNumberFormat="1" applyFont="1" applyFill="1" applyBorder="1" applyAlignment="1">
      <alignment horizontal="right"/>
    </xf>
    <xf numFmtId="2" fontId="13" fillId="0" borderId="4" xfId="0" applyNumberFormat="1" applyFont="1" applyFill="1" applyBorder="1" applyAlignment="1">
      <alignment horizontal="right"/>
    </xf>
    <xf numFmtId="2" fontId="1" fillId="0" borderId="4" xfId="0" applyNumberFormat="1" applyFont="1" applyFill="1" applyBorder="1" applyAlignment="1">
      <alignment horizontal="right"/>
    </xf>
    <xf numFmtId="0" fontId="8" fillId="2" borderId="0" xfId="0" applyFont="1" applyFill="1" applyBorder="1" applyAlignment="1">
      <alignment horizontal="center"/>
    </xf>
    <xf numFmtId="49" fontId="1" fillId="3" borderId="0" xfId="0" applyNumberFormat="1" applyFont="1" applyFill="1" applyBorder="1" applyAlignment="1">
      <alignment horizontal="center"/>
    </xf>
    <xf numFmtId="49" fontId="1" fillId="2" borderId="0" xfId="0" applyNumberFormat="1" applyFont="1" applyFill="1" applyBorder="1" applyAlignment="1">
      <alignment horizontal="center"/>
    </xf>
    <xf numFmtId="0" fontId="1" fillId="3" borderId="0" xfId="0" applyFont="1" applyFill="1" applyBorder="1" applyAlignment="1">
      <alignment horizontal="center" wrapText="1"/>
    </xf>
    <xf numFmtId="0" fontId="1" fillId="5" borderId="16" xfId="0" applyFont="1" applyFill="1" applyBorder="1" applyAlignment="1">
      <alignment horizontal="center" vertical="center" wrapText="1"/>
    </xf>
    <xf numFmtId="0" fontId="1" fillId="5" borderId="13" xfId="0" applyFont="1" applyFill="1" applyBorder="1" applyAlignment="1">
      <alignment horizontal="center" vertical="center" wrapText="1"/>
    </xf>
  </cellXfs>
  <cellStyles count="7">
    <cellStyle name="Prozent 2" xfId="1"/>
    <cellStyle name="Standard" xfId="0" builtinId="0"/>
    <cellStyle name="Standard 2" xfId="2"/>
    <cellStyle name="Standard 2 2" xfId="3"/>
    <cellStyle name="Standard 2 3" xfId="4"/>
    <cellStyle name="Standard 3" xfId="5"/>
    <cellStyle name="Standard 4"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30</xdr:col>
      <xdr:colOff>0</xdr:colOff>
      <xdr:row>34</xdr:row>
      <xdr:rowOff>0</xdr:rowOff>
    </xdr:from>
    <xdr:to>
      <xdr:col>36</xdr:col>
      <xdr:colOff>0</xdr:colOff>
      <xdr:row>38</xdr:row>
      <xdr:rowOff>87313</xdr:rowOff>
    </xdr:to>
    <xdr:sp macro="" textlink="">
      <xdr:nvSpPr>
        <xdr:cNvPr id="2" name="Textfeld 1"/>
        <xdr:cNvSpPr txBox="1"/>
      </xdr:nvSpPr>
      <xdr:spPr>
        <a:xfrm>
          <a:off x="11628438" y="3762375"/>
          <a:ext cx="2286000" cy="531813"/>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800" b="1">
              <a:latin typeface="Arial" panose="020B0604020202020204" pitchFamily="34" charset="0"/>
              <a:cs typeface="Arial" panose="020B0604020202020204" pitchFamily="34" charset="0"/>
            </a:rPr>
            <a:t>LIB</a:t>
          </a:r>
          <a:r>
            <a:rPr lang="de-DE" sz="800">
              <a:latin typeface="Arial" panose="020B0604020202020204" pitchFamily="34" charset="0"/>
              <a:cs typeface="Arial" panose="020B0604020202020204" pitchFamily="34" charset="0"/>
            </a:rPr>
            <a:t>:</a:t>
          </a:r>
          <a:r>
            <a:rPr lang="de-DE" sz="800" baseline="0">
              <a:latin typeface="Arial" panose="020B0604020202020204" pitchFamily="34" charset="0"/>
              <a:cs typeface="Arial" panose="020B0604020202020204" pitchFamily="34" charset="0"/>
            </a:rPr>
            <a:t> Australian Liberal Party</a:t>
          </a:r>
        </a:p>
        <a:p>
          <a:r>
            <a:rPr lang="de-DE" sz="800" b="1" baseline="0">
              <a:latin typeface="Arial" panose="020B0604020202020204" pitchFamily="34" charset="0"/>
              <a:cs typeface="Arial" panose="020B0604020202020204" pitchFamily="34" charset="0"/>
            </a:rPr>
            <a:t>CNT</a:t>
          </a:r>
          <a:r>
            <a:rPr lang="de-DE" sz="800" baseline="0">
              <a:latin typeface="Arial" panose="020B0604020202020204" pitchFamily="34" charset="0"/>
              <a:cs typeface="Arial" panose="020B0604020202020204" pitchFamily="34" charset="0"/>
            </a:rPr>
            <a:t>: Country National Party</a:t>
          </a:r>
        </a:p>
        <a:p>
          <a:r>
            <a:rPr lang="de-DE" sz="800" b="1" baseline="0">
              <a:latin typeface="Arial" panose="020B0604020202020204" pitchFamily="34" charset="0"/>
              <a:cs typeface="Arial" panose="020B0604020202020204" pitchFamily="34" charset="0"/>
            </a:rPr>
            <a:t>ALP</a:t>
          </a:r>
          <a:r>
            <a:rPr lang="de-DE" sz="800" baseline="0">
              <a:latin typeface="Arial" panose="020B0604020202020204" pitchFamily="34" charset="0"/>
              <a:cs typeface="Arial" panose="020B0604020202020204" pitchFamily="34" charset="0"/>
            </a:rPr>
            <a:t>: Australian Labour Party</a:t>
          </a:r>
          <a:endParaRPr lang="de-DE" sz="8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33</xdr:col>
      <xdr:colOff>39687</xdr:colOff>
      <xdr:row>7</xdr:row>
      <xdr:rowOff>31749</xdr:rowOff>
    </xdr:from>
    <xdr:to>
      <xdr:col>45</xdr:col>
      <xdr:colOff>333375</xdr:colOff>
      <xdr:row>23</xdr:row>
      <xdr:rowOff>71438</xdr:rowOff>
    </xdr:to>
    <xdr:sp macro="" textlink="">
      <xdr:nvSpPr>
        <xdr:cNvPr id="2" name="Textfeld 1"/>
        <xdr:cNvSpPr txBox="1"/>
      </xdr:nvSpPr>
      <xdr:spPr>
        <a:xfrm>
          <a:off x="12811125" y="1015999"/>
          <a:ext cx="4865688" cy="181768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800" b="1" baseline="0">
              <a:latin typeface="Arial" panose="020B0604020202020204" pitchFamily="34" charset="0"/>
              <a:cs typeface="Arial" panose="020B0604020202020204" pitchFamily="34" charset="0"/>
            </a:rPr>
            <a:t>IL</a:t>
          </a:r>
          <a:r>
            <a:rPr lang="de-DE" sz="800" baseline="0">
              <a:latin typeface="Arial" panose="020B0604020202020204" pitchFamily="34" charset="0"/>
              <a:cs typeface="Arial" panose="020B0604020202020204" pitchFamily="34" charset="0"/>
            </a:rPr>
            <a:t>: Homeland (Isamaa) until 1999; in 1999 merged with Pro Patria and formed Homeland - Pro Patria Union (Isamaaliit)</a:t>
          </a:r>
        </a:p>
        <a:p>
          <a:r>
            <a:rPr lang="de-DE" sz="800" b="1" baseline="0">
              <a:latin typeface="Arial" panose="020B0604020202020204" pitchFamily="34" charset="0"/>
              <a:cs typeface="Arial" panose="020B0604020202020204" pitchFamily="34" charset="0"/>
            </a:rPr>
            <a:t>ERSP</a:t>
          </a:r>
          <a:r>
            <a:rPr lang="de-DE" sz="800" baseline="0">
              <a:latin typeface="Arial" panose="020B0604020202020204" pitchFamily="34" charset="0"/>
              <a:cs typeface="Arial" panose="020B0604020202020204" pitchFamily="34" charset="0"/>
            </a:rPr>
            <a:t>: Estonian National Independence Party</a:t>
          </a:r>
        </a:p>
        <a:p>
          <a:r>
            <a:rPr lang="de-DE" sz="800" b="1" baseline="0">
              <a:latin typeface="Arial" panose="020B0604020202020204" pitchFamily="34" charset="0"/>
              <a:cs typeface="Arial" panose="020B0604020202020204" pitchFamily="34" charset="0"/>
            </a:rPr>
            <a:t>M</a:t>
          </a:r>
          <a:r>
            <a:rPr lang="de-DE" sz="800" baseline="0">
              <a:latin typeface="Arial" panose="020B0604020202020204" pitchFamily="34" charset="0"/>
              <a:cs typeface="Arial" panose="020B0604020202020204" pitchFamily="34" charset="0"/>
            </a:rPr>
            <a:t>: Moderates [merger of People’s Party (Estonian Social Democratic Party + Rural Centre Party) with Moderates; from 1999 on known as People's Party Moderates]</a:t>
          </a:r>
        </a:p>
        <a:p>
          <a:r>
            <a:rPr lang="de-DE" sz="800" baseline="0">
              <a:latin typeface="Arial" panose="020B0604020202020204" pitchFamily="34" charset="0"/>
              <a:cs typeface="Arial" panose="020B0604020202020204" pitchFamily="34" charset="0"/>
            </a:rPr>
            <a:t>-----</a:t>
          </a:r>
          <a:r>
            <a:rPr lang="de-DE" sz="800" b="1" baseline="0">
              <a:latin typeface="Arial" panose="020B0604020202020204" pitchFamily="34" charset="0"/>
              <a:cs typeface="Arial" panose="020B0604020202020204" pitchFamily="34" charset="0"/>
            </a:rPr>
            <a:t>SDE</a:t>
          </a:r>
          <a:r>
            <a:rPr lang="de-DE" sz="800" baseline="0">
              <a:latin typeface="Arial" panose="020B0604020202020204" pitchFamily="34" charset="0"/>
              <a:cs typeface="Arial" panose="020B0604020202020204" pitchFamily="34" charset="0"/>
            </a:rPr>
            <a:t> (since 2004): Social Democratic Party</a:t>
          </a:r>
        </a:p>
        <a:p>
          <a:r>
            <a:rPr lang="de-DE" sz="800" b="1" baseline="0">
              <a:latin typeface="Arial" panose="020B0604020202020204" pitchFamily="34" charset="0"/>
              <a:cs typeface="Arial" panose="020B0604020202020204" pitchFamily="34" charset="0"/>
            </a:rPr>
            <a:t>KMU</a:t>
          </a:r>
          <a:r>
            <a:rPr lang="de-DE" sz="800" baseline="0">
              <a:latin typeface="Arial" panose="020B0604020202020204" pitchFamily="34" charset="0"/>
              <a:cs typeface="Arial" panose="020B0604020202020204" pitchFamily="34" charset="0"/>
            </a:rPr>
            <a:t>: Estonian Coalition Party and Rural Union [formed from Estonian Coalition Party (KE or KMU-K), Estonian Rural Union (EM or KMU-M), Estonian Country People's Party (EME), Estonian Pensioners' and Families' League (EPPL) and Farmers' Assembly (PK)]</a:t>
          </a:r>
        </a:p>
        <a:p>
          <a:r>
            <a:rPr lang="de-DE" sz="800" b="1" baseline="0">
              <a:latin typeface="Arial" panose="020B0604020202020204" pitchFamily="34" charset="0"/>
              <a:cs typeface="Arial" panose="020B0604020202020204" pitchFamily="34" charset="0"/>
            </a:rPr>
            <a:t>KE</a:t>
          </a:r>
          <a:r>
            <a:rPr lang="de-DE" sz="800" baseline="0">
              <a:latin typeface="Arial" panose="020B0604020202020204" pitchFamily="34" charset="0"/>
              <a:cs typeface="Arial" panose="020B0604020202020204" pitchFamily="34" charset="0"/>
            </a:rPr>
            <a:t>: Estonian Centre Party</a:t>
          </a:r>
        </a:p>
        <a:p>
          <a:r>
            <a:rPr lang="de-DE" sz="800" b="1" baseline="0">
              <a:latin typeface="Arial" panose="020B0604020202020204" pitchFamily="34" charset="0"/>
              <a:cs typeface="Arial" panose="020B0604020202020204" pitchFamily="34" charset="0"/>
            </a:rPr>
            <a:t>RE</a:t>
          </a:r>
          <a:r>
            <a:rPr lang="de-DE" sz="800" baseline="0">
              <a:latin typeface="Arial" panose="020B0604020202020204" pitchFamily="34" charset="0"/>
              <a:cs typeface="Arial" panose="020B0604020202020204" pitchFamily="34" charset="0"/>
            </a:rPr>
            <a:t>: Estonian Reform Party</a:t>
          </a:r>
        </a:p>
        <a:p>
          <a:r>
            <a:rPr lang="de-DE" sz="800" b="1" baseline="0">
              <a:latin typeface="Arial" panose="020B0604020202020204" pitchFamily="34" charset="0"/>
              <a:cs typeface="Arial" panose="020B0604020202020204" pitchFamily="34" charset="0"/>
            </a:rPr>
            <a:t>RP</a:t>
          </a:r>
          <a:r>
            <a:rPr lang="de-DE" sz="800" baseline="0">
              <a:latin typeface="Arial" panose="020B0604020202020204" pitchFamily="34" charset="0"/>
              <a:cs typeface="Arial" panose="020B0604020202020204" pitchFamily="34" charset="0"/>
            </a:rPr>
            <a:t>: Union for the Republic Res Publica</a:t>
          </a:r>
        </a:p>
        <a:p>
          <a:r>
            <a:rPr lang="de-DE" sz="800" b="1" baseline="0">
              <a:latin typeface="Arial" panose="020B0604020202020204" pitchFamily="34" charset="0"/>
              <a:cs typeface="Arial" panose="020B0604020202020204" pitchFamily="34" charset="0"/>
            </a:rPr>
            <a:t>RL</a:t>
          </a:r>
          <a:r>
            <a:rPr lang="de-DE" sz="800" baseline="0">
              <a:latin typeface="Arial" panose="020B0604020202020204" pitchFamily="34" charset="0"/>
              <a:cs typeface="Arial" panose="020B0604020202020204" pitchFamily="34" charset="0"/>
            </a:rPr>
            <a:t>: Estonian People's Union</a:t>
          </a:r>
        </a:p>
        <a:p>
          <a:r>
            <a:rPr lang="de-DE" sz="800" b="1" baseline="0">
              <a:latin typeface="Arial" panose="020B0604020202020204" pitchFamily="34" charset="0"/>
              <a:cs typeface="Arial" panose="020B0604020202020204" pitchFamily="34" charset="0"/>
            </a:rPr>
            <a:t>IRL</a:t>
          </a:r>
          <a:r>
            <a:rPr lang="de-DE" sz="800" baseline="0">
              <a:latin typeface="Arial" panose="020B0604020202020204" pitchFamily="34" charset="0"/>
              <a:cs typeface="Arial" panose="020B0604020202020204" pitchFamily="34" charset="0"/>
            </a:rPr>
            <a:t>: Pro Patria and Res Publica Union [merger of Res Publica (RP) and Pro Patria Union (IL)]</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38</xdr:col>
      <xdr:colOff>0</xdr:colOff>
      <xdr:row>51</xdr:row>
      <xdr:rowOff>1</xdr:rowOff>
    </xdr:from>
    <xdr:to>
      <xdr:col>45</xdr:col>
      <xdr:colOff>7937</xdr:colOff>
      <xdr:row>66</xdr:row>
      <xdr:rowOff>79376</xdr:rowOff>
    </xdr:to>
    <xdr:sp macro="" textlink="">
      <xdr:nvSpPr>
        <xdr:cNvPr id="2" name="Textfeld 1"/>
        <xdr:cNvSpPr txBox="1"/>
      </xdr:nvSpPr>
      <xdr:spPr>
        <a:xfrm>
          <a:off x="14676438" y="5651501"/>
          <a:ext cx="2674937" cy="17462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800" b="1">
              <a:latin typeface="Arial" panose="020B0604020202020204" pitchFamily="34" charset="0"/>
              <a:cs typeface="Arial" panose="020B0604020202020204" pitchFamily="34" charset="0"/>
            </a:rPr>
            <a:t>KESK</a:t>
          </a:r>
          <a:r>
            <a:rPr lang="de-DE" sz="800">
              <a:latin typeface="Arial" panose="020B0604020202020204" pitchFamily="34" charset="0"/>
              <a:cs typeface="Arial" panose="020B0604020202020204" pitchFamily="34" charset="0"/>
            </a:rPr>
            <a:t>:</a:t>
          </a:r>
          <a:r>
            <a:rPr lang="de-DE" sz="800" baseline="0">
              <a:latin typeface="Arial" panose="020B0604020202020204" pitchFamily="34" charset="0"/>
              <a:cs typeface="Arial" panose="020B0604020202020204" pitchFamily="34" charset="0"/>
            </a:rPr>
            <a:t> Centre Party</a:t>
          </a:r>
        </a:p>
        <a:p>
          <a:r>
            <a:rPr lang="de-DE" sz="800" b="1" baseline="0">
              <a:latin typeface="Arial" panose="020B0604020202020204" pitchFamily="34" charset="0"/>
              <a:cs typeface="Arial" panose="020B0604020202020204" pitchFamily="34" charset="0"/>
            </a:rPr>
            <a:t>KOK</a:t>
          </a:r>
          <a:r>
            <a:rPr lang="de-DE" sz="800" baseline="0">
              <a:latin typeface="Arial" panose="020B0604020202020204" pitchFamily="34" charset="0"/>
              <a:cs typeface="Arial" panose="020B0604020202020204" pitchFamily="34" charset="0"/>
            </a:rPr>
            <a:t>: National Coalition</a:t>
          </a:r>
        </a:p>
        <a:p>
          <a:r>
            <a:rPr lang="de-DE" sz="800" b="1" baseline="0">
              <a:latin typeface="Arial" panose="020B0604020202020204" pitchFamily="34" charset="0"/>
              <a:cs typeface="Arial" panose="020B0604020202020204" pitchFamily="34" charset="0"/>
            </a:rPr>
            <a:t>RKP</a:t>
          </a:r>
          <a:r>
            <a:rPr lang="de-DE" sz="800" baseline="0">
              <a:latin typeface="Arial" panose="020B0604020202020204" pitchFamily="34" charset="0"/>
              <a:cs typeface="Arial" panose="020B0604020202020204" pitchFamily="34" charset="0"/>
            </a:rPr>
            <a:t>: Swedish People's Party</a:t>
          </a:r>
        </a:p>
        <a:p>
          <a:r>
            <a:rPr lang="de-DE" sz="800" b="1" baseline="0">
              <a:latin typeface="Arial" panose="020B0604020202020204" pitchFamily="34" charset="0"/>
              <a:cs typeface="Arial" panose="020B0604020202020204" pitchFamily="34" charset="0"/>
            </a:rPr>
            <a:t>LKP</a:t>
          </a:r>
          <a:r>
            <a:rPr lang="de-DE" sz="800" baseline="0">
              <a:latin typeface="Arial" panose="020B0604020202020204" pitchFamily="34" charset="0"/>
              <a:cs typeface="Arial" panose="020B0604020202020204" pitchFamily="34" charset="0"/>
            </a:rPr>
            <a:t>: Liberal People's Party</a:t>
          </a:r>
        </a:p>
        <a:p>
          <a:r>
            <a:rPr lang="de-DE" sz="800" b="1" baseline="0">
              <a:latin typeface="Arial" panose="020B0604020202020204" pitchFamily="34" charset="0"/>
              <a:cs typeface="Arial" panose="020B0604020202020204" pitchFamily="34" charset="0"/>
            </a:rPr>
            <a:t>SDP</a:t>
          </a:r>
          <a:r>
            <a:rPr lang="de-DE" sz="800" baseline="0">
              <a:latin typeface="Arial" panose="020B0604020202020204" pitchFamily="34" charset="0"/>
              <a:cs typeface="Arial" panose="020B0604020202020204" pitchFamily="34" charset="0"/>
            </a:rPr>
            <a:t>: Social Democrats</a:t>
          </a:r>
        </a:p>
        <a:p>
          <a:r>
            <a:rPr lang="de-DE" sz="800" b="1" baseline="0">
              <a:latin typeface="Arial" panose="020B0604020202020204" pitchFamily="34" charset="0"/>
              <a:cs typeface="Arial" panose="020B0604020202020204" pitchFamily="34" charset="0"/>
            </a:rPr>
            <a:t>SKDL</a:t>
          </a:r>
          <a:r>
            <a:rPr lang="de-DE" sz="800" baseline="0">
              <a:latin typeface="Arial" panose="020B0604020202020204" pitchFamily="34" charset="0"/>
              <a:cs typeface="Arial" panose="020B0604020202020204" pitchFamily="34" charset="0"/>
            </a:rPr>
            <a:t>: Finnish People's Democratic Union</a:t>
          </a:r>
        </a:p>
        <a:p>
          <a:r>
            <a:rPr lang="de-DE" sz="800" b="1" baseline="0">
              <a:latin typeface="Arial" panose="020B0604020202020204" pitchFamily="34" charset="0"/>
              <a:cs typeface="Arial" panose="020B0604020202020204" pitchFamily="34" charset="0"/>
            </a:rPr>
            <a:t>TPSL</a:t>
          </a:r>
          <a:r>
            <a:rPr lang="de-DE" sz="800" baseline="0">
              <a:latin typeface="Arial" panose="020B0604020202020204" pitchFamily="34" charset="0"/>
              <a:cs typeface="Arial" panose="020B0604020202020204" pitchFamily="34" charset="0"/>
            </a:rPr>
            <a:t>: Social Democratic League</a:t>
          </a:r>
        </a:p>
        <a:p>
          <a:r>
            <a:rPr lang="de-DE" sz="800" b="1">
              <a:latin typeface="Arial" panose="020B0604020202020204" pitchFamily="34" charset="0"/>
              <a:cs typeface="Arial" panose="020B0604020202020204" pitchFamily="34" charset="0"/>
            </a:rPr>
            <a:t>SMP</a:t>
          </a:r>
          <a:r>
            <a:rPr lang="de-DE" sz="800">
              <a:latin typeface="Arial" panose="020B0604020202020204" pitchFamily="34" charset="0"/>
              <a:cs typeface="Arial" panose="020B0604020202020204" pitchFamily="34" charset="0"/>
            </a:rPr>
            <a:t>: Finnish Rural Party</a:t>
          </a:r>
        </a:p>
        <a:p>
          <a:r>
            <a:rPr lang="de-DE" sz="800" b="1">
              <a:latin typeface="Arial" panose="020B0604020202020204" pitchFamily="34" charset="0"/>
              <a:cs typeface="Arial" panose="020B0604020202020204" pitchFamily="34" charset="0"/>
            </a:rPr>
            <a:t>SKL</a:t>
          </a:r>
          <a:r>
            <a:rPr lang="de-DE" sz="800">
              <a:latin typeface="Arial" panose="020B0604020202020204" pitchFamily="34" charset="0"/>
              <a:cs typeface="Arial" panose="020B0604020202020204" pitchFamily="34" charset="0"/>
            </a:rPr>
            <a:t>:</a:t>
          </a:r>
          <a:r>
            <a:rPr lang="de-DE" sz="800" baseline="0">
              <a:latin typeface="Arial" panose="020B0604020202020204" pitchFamily="34" charset="0"/>
              <a:cs typeface="Arial" panose="020B0604020202020204" pitchFamily="34" charset="0"/>
            </a:rPr>
            <a:t> Christian League</a:t>
          </a:r>
        </a:p>
        <a:p>
          <a:r>
            <a:rPr lang="de-DE" sz="800" baseline="0">
              <a:latin typeface="Arial" panose="020B0604020202020204" pitchFamily="34" charset="0"/>
              <a:cs typeface="Arial" panose="020B0604020202020204" pitchFamily="34" charset="0"/>
            </a:rPr>
            <a:t>-----</a:t>
          </a:r>
          <a:r>
            <a:rPr lang="de-DE" sz="800" b="1" baseline="0">
              <a:latin typeface="Arial" panose="020B0604020202020204" pitchFamily="34" charset="0"/>
              <a:cs typeface="Arial" panose="020B0604020202020204" pitchFamily="34" charset="0"/>
            </a:rPr>
            <a:t>KD</a:t>
          </a:r>
          <a:r>
            <a:rPr lang="de-DE" sz="800" baseline="0">
              <a:latin typeface="Arial" panose="020B0604020202020204" pitchFamily="34" charset="0"/>
              <a:cs typeface="Arial" panose="020B0604020202020204" pitchFamily="34" charset="0"/>
            </a:rPr>
            <a:t> (since 1999): Christian Democrats</a:t>
          </a:r>
        </a:p>
        <a:p>
          <a:r>
            <a:rPr lang="de-DE" sz="800" b="1" baseline="0">
              <a:latin typeface="Arial" panose="020B0604020202020204" pitchFamily="34" charset="0"/>
              <a:cs typeface="Arial" panose="020B0604020202020204" pitchFamily="34" charset="0"/>
            </a:rPr>
            <a:t>VAS</a:t>
          </a:r>
          <a:r>
            <a:rPr lang="de-DE" sz="800" baseline="0">
              <a:latin typeface="Arial" panose="020B0604020202020204" pitchFamily="34" charset="0"/>
              <a:cs typeface="Arial" panose="020B0604020202020204" pitchFamily="34" charset="0"/>
            </a:rPr>
            <a:t>: Left-Wing Alliance</a:t>
          </a:r>
        </a:p>
        <a:p>
          <a:r>
            <a:rPr lang="de-DE" sz="800" b="1" baseline="0">
              <a:latin typeface="Arial" panose="020B0604020202020204" pitchFamily="34" charset="0"/>
              <a:cs typeface="Arial" panose="020B0604020202020204" pitchFamily="34" charset="0"/>
            </a:rPr>
            <a:t>VIHR</a:t>
          </a:r>
          <a:r>
            <a:rPr lang="de-DE" sz="800" baseline="0">
              <a:latin typeface="Arial" panose="020B0604020202020204" pitchFamily="34" charset="0"/>
              <a:cs typeface="Arial" panose="020B0604020202020204" pitchFamily="34" charset="0"/>
            </a:rPr>
            <a:t>: Green League</a:t>
          </a:r>
          <a:endParaRPr lang="de-DE" sz="800">
            <a:latin typeface="Arial" panose="020B0604020202020204" pitchFamily="34" charset="0"/>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33</xdr:col>
      <xdr:colOff>119074</xdr:colOff>
      <xdr:row>13</xdr:row>
      <xdr:rowOff>31750</xdr:rowOff>
    </xdr:from>
    <xdr:to>
      <xdr:col>41</xdr:col>
      <xdr:colOff>127011</xdr:colOff>
      <xdr:row>35</xdr:row>
      <xdr:rowOff>103188</xdr:rowOff>
    </xdr:to>
    <xdr:sp macro="" textlink="">
      <xdr:nvSpPr>
        <xdr:cNvPr id="4" name="Textfeld 3"/>
        <xdr:cNvSpPr txBox="1"/>
      </xdr:nvSpPr>
      <xdr:spPr>
        <a:xfrm>
          <a:off x="12890512" y="1460500"/>
          <a:ext cx="3055937" cy="2516188"/>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prstClr val="black"/>
              </a:solidFill>
              <a:effectLst/>
              <a:uLnTx/>
              <a:uFillTx/>
              <a:latin typeface="Arial" panose="020B0604020202020204" pitchFamily="34" charset="0"/>
              <a:cs typeface="Arial" panose="020B0604020202020204" pitchFamily="34" charset="0"/>
            </a:rPr>
            <a:t>UMP</a:t>
          </a:r>
          <a:r>
            <a:rPr kumimoji="0" lang="de-DE" sz="800" b="0" i="0" u="none" strike="noStrike" kern="0" cap="none" spc="0" normalizeH="0" baseline="0" noProof="0">
              <a:ln>
                <a:noFill/>
              </a:ln>
              <a:solidFill>
                <a:prstClr val="black"/>
              </a:solidFill>
              <a:effectLst/>
              <a:uLnTx/>
              <a:uFillTx/>
              <a:latin typeface="Arial" panose="020B0604020202020204" pitchFamily="34" charset="0"/>
              <a:cs typeface="Arial" panose="020B0604020202020204" pitchFamily="34" charset="0"/>
            </a:rPr>
            <a:t> (since 2002): Union for a Presidential Majority</a:t>
          </a:r>
        </a:p>
        <a:p>
          <a:pPr>
            <a:lnSpc>
              <a:spcPct val="100000"/>
            </a:lnSpc>
            <a:spcBef>
              <a:spcPts val="0"/>
            </a:spcBef>
          </a:pPr>
          <a:r>
            <a:rPr lang="de-DE" sz="800" b="0">
              <a:latin typeface="Arial" panose="020B0604020202020204" pitchFamily="34" charset="0"/>
              <a:cs typeface="Arial" panose="020B0604020202020204" pitchFamily="34" charset="0"/>
            </a:rPr>
            <a:t>-----</a:t>
          </a:r>
          <a:r>
            <a:rPr lang="de-DE" sz="800" b="1">
              <a:latin typeface="Arial" panose="020B0604020202020204" pitchFamily="34" charset="0"/>
              <a:cs typeface="Arial" panose="020B0604020202020204" pitchFamily="34" charset="0"/>
            </a:rPr>
            <a:t>UDR </a:t>
          </a:r>
          <a:r>
            <a:rPr lang="de-DE" sz="800" b="0">
              <a:latin typeface="Arial" panose="020B0604020202020204" pitchFamily="34" charset="0"/>
              <a:cs typeface="Arial" panose="020B0604020202020204" pitchFamily="34" charset="0"/>
            </a:rPr>
            <a:t>(until 1976)</a:t>
          </a:r>
          <a:r>
            <a:rPr lang="de-DE" sz="800">
              <a:latin typeface="Arial" panose="020B0604020202020204" pitchFamily="34" charset="0"/>
              <a:cs typeface="Arial" panose="020B0604020202020204" pitchFamily="34" charset="0"/>
            </a:rPr>
            <a:t>:</a:t>
          </a:r>
          <a:r>
            <a:rPr lang="de-DE" sz="800" baseline="0">
              <a:latin typeface="Arial" panose="020B0604020202020204" pitchFamily="34" charset="0"/>
              <a:cs typeface="Arial" panose="020B0604020202020204" pitchFamily="34" charset="0"/>
            </a:rPr>
            <a:t> </a:t>
          </a:r>
          <a:r>
            <a:rPr lang="de-DE" sz="800">
              <a:latin typeface="Arial" panose="020B0604020202020204" pitchFamily="34" charset="0"/>
              <a:cs typeface="Arial" panose="020B0604020202020204" pitchFamily="34" charset="0"/>
            </a:rPr>
            <a:t>Gaullists, Union for the New Republic/</a:t>
          </a:r>
        </a:p>
        <a:p>
          <a:pPr>
            <a:lnSpc>
              <a:spcPct val="100000"/>
            </a:lnSpc>
            <a:spcBef>
              <a:spcPts val="0"/>
            </a:spcBef>
          </a:pPr>
          <a:r>
            <a:rPr lang="de-DE" sz="800">
              <a:latin typeface="Arial" panose="020B0604020202020204" pitchFamily="34" charset="0"/>
              <a:cs typeface="Arial" panose="020B0604020202020204" pitchFamily="34" charset="0"/>
            </a:rPr>
            <a:t>Union of Democrats for the Republic</a:t>
          </a:r>
          <a:endParaRPr lang="de-DE" sz="800" baseline="0">
            <a:latin typeface="Arial" panose="020B0604020202020204" pitchFamily="34" charset="0"/>
            <a:cs typeface="Arial" panose="020B0604020202020204" pitchFamily="34" charset="0"/>
          </a:endParaRPr>
        </a:p>
        <a:p>
          <a:pPr>
            <a:lnSpc>
              <a:spcPct val="100000"/>
            </a:lnSpc>
            <a:spcBef>
              <a:spcPts val="0"/>
            </a:spcBef>
          </a:pPr>
          <a:r>
            <a:rPr lang="de-DE" sz="800" baseline="0">
              <a:latin typeface="Arial" panose="020B0604020202020204" pitchFamily="34" charset="0"/>
              <a:cs typeface="Arial" panose="020B0604020202020204" pitchFamily="34" charset="0"/>
            </a:rPr>
            <a:t>-----</a:t>
          </a:r>
          <a:r>
            <a:rPr lang="de-DE" sz="800" b="1" baseline="0">
              <a:latin typeface="Arial" panose="020B0604020202020204" pitchFamily="34" charset="0"/>
              <a:cs typeface="Arial" panose="020B0604020202020204" pitchFamily="34" charset="0"/>
            </a:rPr>
            <a:t>RPR</a:t>
          </a:r>
          <a:r>
            <a:rPr lang="de-DE" sz="800" baseline="0">
              <a:latin typeface="Arial" panose="020B0604020202020204" pitchFamily="34" charset="0"/>
              <a:cs typeface="Arial" panose="020B0604020202020204" pitchFamily="34" charset="0"/>
            </a:rPr>
            <a:t> (</a:t>
          </a:r>
          <a:r>
            <a:rPr lang="de-DE" sz="800">
              <a:latin typeface="Arial" panose="020B0604020202020204" pitchFamily="34" charset="0"/>
              <a:cs typeface="Arial" panose="020B0604020202020204" pitchFamily="34" charset="0"/>
            </a:rPr>
            <a:t>1976-2002): Rally for the Republic</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prstClr val="black"/>
              </a:solidFill>
              <a:effectLst/>
              <a:uLnTx/>
              <a:uFillTx/>
              <a:latin typeface="Arial" panose="020B0604020202020204" pitchFamily="34" charset="0"/>
              <a:cs typeface="Arial" panose="020B0604020202020204" pitchFamily="34" charset="0"/>
            </a:rPr>
            <a:t>IND</a:t>
          </a:r>
          <a:r>
            <a:rPr kumimoji="0" lang="de-DE" sz="800" b="0" i="0" u="none" strike="noStrike" kern="0" cap="none" spc="0" normalizeH="0" baseline="0" noProof="0">
              <a:ln>
                <a:noFill/>
              </a:ln>
              <a:solidFill>
                <a:prstClr val="black"/>
              </a:solidFill>
              <a:effectLst/>
              <a:uLnTx/>
              <a:uFillTx/>
              <a:latin typeface="Arial" panose="020B0604020202020204" pitchFamily="34" charset="0"/>
              <a:cs typeface="Arial" panose="020B0604020202020204" pitchFamily="34" charset="0"/>
            </a:rPr>
            <a:t>: Independent Republicans/Republican Party (split from CONS in 1962)</a:t>
          </a:r>
        </a:p>
        <a:p>
          <a:pPr>
            <a:lnSpc>
              <a:spcPct val="100000"/>
            </a:lnSpc>
            <a:spcBef>
              <a:spcPts val="0"/>
            </a:spcBef>
          </a:pPr>
          <a:r>
            <a:rPr lang="de-DE" sz="800" b="1">
              <a:latin typeface="Arial" panose="020B0604020202020204" pitchFamily="34" charset="0"/>
              <a:cs typeface="Arial" panose="020B0604020202020204" pitchFamily="34" charset="0"/>
            </a:rPr>
            <a:t>CONS</a:t>
          </a:r>
          <a:r>
            <a:rPr lang="de-DE" sz="800">
              <a:latin typeface="Arial" panose="020B0604020202020204" pitchFamily="34" charset="0"/>
              <a:cs typeface="Arial" panose="020B0604020202020204" pitchFamily="34" charset="0"/>
            </a:rPr>
            <a:t>: National Centre of Independents and Peasants (Conservatives)</a:t>
          </a:r>
        </a:p>
        <a:p>
          <a:pPr>
            <a:lnSpc>
              <a:spcPct val="100000"/>
            </a:lnSpc>
            <a:spcBef>
              <a:spcPts val="0"/>
            </a:spcBef>
          </a:pPr>
          <a:r>
            <a:rPr lang="de-DE" sz="800" b="1">
              <a:latin typeface="Arial" panose="020B0604020202020204" pitchFamily="34" charset="0"/>
              <a:cs typeface="Arial" panose="020B0604020202020204" pitchFamily="34" charset="0"/>
            </a:rPr>
            <a:t>MRP</a:t>
          </a:r>
          <a:r>
            <a:rPr lang="de-DE" sz="800">
              <a:latin typeface="Arial" panose="020B0604020202020204" pitchFamily="34" charset="0"/>
              <a:cs typeface="Arial" panose="020B0604020202020204" pitchFamily="34" charset="0"/>
            </a:rPr>
            <a:t>: Popular Republican Movement</a:t>
          </a:r>
        </a:p>
        <a:p>
          <a:pPr>
            <a:lnSpc>
              <a:spcPct val="100000"/>
            </a:lnSpc>
            <a:spcBef>
              <a:spcPts val="0"/>
            </a:spcBef>
          </a:pPr>
          <a:r>
            <a:rPr lang="de-DE" sz="800" b="1">
              <a:latin typeface="Arial" panose="020B0604020202020204" pitchFamily="34" charset="0"/>
              <a:cs typeface="Arial" panose="020B0604020202020204" pitchFamily="34" charset="0"/>
            </a:rPr>
            <a:t>RSP</a:t>
          </a:r>
          <a:r>
            <a:rPr lang="de-DE" sz="800">
              <a:latin typeface="Arial" panose="020B0604020202020204" pitchFamily="34" charset="0"/>
              <a:cs typeface="Arial" panose="020B0604020202020204" pitchFamily="34" charset="0"/>
            </a:rPr>
            <a:t>:</a:t>
          </a:r>
          <a:r>
            <a:rPr lang="de-DE" sz="800" baseline="0">
              <a:latin typeface="Arial" panose="020B0604020202020204" pitchFamily="34" charset="0"/>
              <a:cs typeface="Arial" panose="020B0604020202020204" pitchFamily="34" charset="0"/>
            </a:rPr>
            <a:t> Radical Socialist Party</a:t>
          </a:r>
        </a:p>
        <a:p>
          <a:pPr>
            <a:lnSpc>
              <a:spcPct val="100000"/>
            </a:lnSpc>
            <a:spcBef>
              <a:spcPts val="0"/>
            </a:spcBef>
          </a:pPr>
          <a:r>
            <a:rPr lang="de-DE" sz="800" b="1" baseline="0">
              <a:latin typeface="Arial" panose="020B0604020202020204" pitchFamily="34" charset="0"/>
              <a:cs typeface="Arial" panose="020B0604020202020204" pitchFamily="34" charset="0"/>
            </a:rPr>
            <a:t>UDF</a:t>
          </a:r>
          <a:r>
            <a:rPr lang="de-DE" sz="800" baseline="0">
              <a:latin typeface="Arial" panose="020B0604020202020204" pitchFamily="34" charset="0"/>
              <a:cs typeface="Arial" panose="020B0604020202020204" pitchFamily="34" charset="0"/>
            </a:rPr>
            <a:t>: Union for French Democracy</a:t>
          </a:r>
        </a:p>
        <a:p>
          <a:pPr>
            <a:lnSpc>
              <a:spcPct val="100000"/>
            </a:lnSpc>
            <a:spcBef>
              <a:spcPts val="0"/>
            </a:spcBef>
          </a:pPr>
          <a:r>
            <a:rPr lang="de-DE" sz="800" baseline="0">
              <a:latin typeface="Arial" panose="020B0604020202020204" pitchFamily="34" charset="0"/>
              <a:cs typeface="Arial" panose="020B0604020202020204" pitchFamily="34" charset="0"/>
            </a:rPr>
            <a:t>-----</a:t>
          </a:r>
          <a:r>
            <a:rPr lang="de-DE" sz="800" b="1" baseline="0">
              <a:latin typeface="Arial" panose="020B0604020202020204" pitchFamily="34" charset="0"/>
              <a:cs typeface="Arial" panose="020B0604020202020204" pitchFamily="34" charset="0"/>
            </a:rPr>
            <a:t>PDM</a:t>
          </a:r>
          <a:r>
            <a:rPr lang="de-DE" sz="800" baseline="0">
              <a:latin typeface="Arial" panose="020B0604020202020204" pitchFamily="34" charset="0"/>
              <a:cs typeface="Arial" panose="020B0604020202020204" pitchFamily="34" charset="0"/>
            </a:rPr>
            <a:t> (until 1978): Democratic Centre</a:t>
          </a:r>
        </a:p>
        <a:p>
          <a:pPr>
            <a:lnSpc>
              <a:spcPct val="100000"/>
            </a:lnSpc>
            <a:spcBef>
              <a:spcPts val="0"/>
            </a:spcBef>
          </a:pPr>
          <a:r>
            <a:rPr lang="de-DE" sz="800" b="1" baseline="0">
              <a:latin typeface="Arial" panose="020B0604020202020204" pitchFamily="34" charset="0"/>
              <a:cs typeface="Arial" panose="020B0604020202020204" pitchFamily="34" charset="0"/>
            </a:rPr>
            <a:t>CDP</a:t>
          </a:r>
          <a:r>
            <a:rPr lang="de-DE" sz="800" baseline="0">
              <a:latin typeface="Arial" panose="020B0604020202020204" pitchFamily="34" charset="0"/>
              <a:cs typeface="Arial" panose="020B0604020202020204" pitchFamily="34" charset="0"/>
            </a:rPr>
            <a:t>: Centre Democracy and Progress</a:t>
          </a:r>
        </a:p>
        <a:p>
          <a:pPr>
            <a:lnSpc>
              <a:spcPct val="100000"/>
            </a:lnSpc>
            <a:spcBef>
              <a:spcPts val="0"/>
            </a:spcBef>
          </a:pPr>
          <a:r>
            <a:rPr lang="de-DE" sz="800" b="1" baseline="0">
              <a:latin typeface="Arial" panose="020B0604020202020204" pitchFamily="34" charset="0"/>
              <a:cs typeface="Arial" panose="020B0604020202020204" pitchFamily="34" charset="0"/>
            </a:rPr>
            <a:t>MRG</a:t>
          </a:r>
          <a:r>
            <a:rPr lang="de-DE" sz="800" baseline="0">
              <a:latin typeface="Arial" panose="020B0604020202020204" pitchFamily="34" charset="0"/>
              <a:cs typeface="Arial" panose="020B0604020202020204" pitchFamily="34" charset="0"/>
            </a:rPr>
            <a:t>: Left Radicals</a:t>
          </a:r>
        </a:p>
        <a:p>
          <a:pPr>
            <a:lnSpc>
              <a:spcPct val="100000"/>
            </a:lnSpc>
            <a:spcBef>
              <a:spcPts val="0"/>
            </a:spcBef>
          </a:pPr>
          <a:r>
            <a:rPr lang="de-DE" sz="800" b="1" baseline="0">
              <a:latin typeface="Arial" panose="020B0604020202020204" pitchFamily="34" charset="0"/>
              <a:cs typeface="Arial" panose="020B0604020202020204" pitchFamily="34" charset="0"/>
            </a:rPr>
            <a:t>PS</a:t>
          </a:r>
          <a:r>
            <a:rPr lang="de-DE" sz="800" baseline="0">
              <a:latin typeface="Arial" panose="020B0604020202020204" pitchFamily="34" charset="0"/>
              <a:cs typeface="Arial" panose="020B0604020202020204" pitchFamily="34" charset="0"/>
            </a:rPr>
            <a:t>: Socialist Party</a:t>
          </a:r>
        </a:p>
        <a:p>
          <a:pPr>
            <a:lnSpc>
              <a:spcPct val="100000"/>
            </a:lnSpc>
            <a:spcBef>
              <a:spcPts val="0"/>
            </a:spcBef>
          </a:pPr>
          <a:r>
            <a:rPr lang="de-DE" sz="800" b="1" baseline="0">
              <a:latin typeface="Arial" panose="020B0604020202020204" pitchFamily="34" charset="0"/>
              <a:cs typeface="Arial" panose="020B0604020202020204" pitchFamily="34" charset="0"/>
            </a:rPr>
            <a:t>PCF</a:t>
          </a:r>
          <a:r>
            <a:rPr lang="de-DE" sz="800" baseline="0">
              <a:latin typeface="Arial" panose="020B0604020202020204" pitchFamily="34" charset="0"/>
              <a:cs typeface="Arial" panose="020B0604020202020204" pitchFamily="34" charset="0"/>
            </a:rPr>
            <a:t>: Communist Party</a:t>
          </a:r>
        </a:p>
        <a:p>
          <a:pPr>
            <a:lnSpc>
              <a:spcPct val="100000"/>
            </a:lnSpc>
            <a:spcBef>
              <a:spcPts val="0"/>
            </a:spcBef>
          </a:pPr>
          <a:r>
            <a:rPr lang="de-DE" sz="800" b="1" baseline="0">
              <a:latin typeface="Arial" panose="020B0604020202020204" pitchFamily="34" charset="0"/>
              <a:cs typeface="Arial" panose="020B0604020202020204" pitchFamily="34" charset="0"/>
            </a:rPr>
            <a:t>GE</a:t>
          </a:r>
          <a:r>
            <a:rPr lang="de-DE" sz="800" baseline="0">
              <a:latin typeface="Arial" panose="020B0604020202020204" pitchFamily="34" charset="0"/>
              <a:cs typeface="Arial" panose="020B0604020202020204" pitchFamily="34" charset="0"/>
            </a:rPr>
            <a:t>: Generation Ecology</a:t>
          </a:r>
        </a:p>
        <a:p>
          <a:pPr>
            <a:lnSpc>
              <a:spcPct val="100000"/>
            </a:lnSpc>
            <a:spcBef>
              <a:spcPts val="0"/>
            </a:spcBef>
          </a:pPr>
          <a:r>
            <a:rPr lang="de-DE" sz="800" b="1" baseline="0">
              <a:latin typeface="Arial" panose="020B0604020202020204" pitchFamily="34" charset="0"/>
              <a:cs typeface="Arial" panose="020B0604020202020204" pitchFamily="34" charset="0"/>
            </a:rPr>
            <a:t>V</a:t>
          </a:r>
          <a:r>
            <a:rPr lang="de-DE" sz="800" baseline="0">
              <a:latin typeface="Arial" panose="020B0604020202020204" pitchFamily="34" charset="0"/>
              <a:cs typeface="Arial" panose="020B0604020202020204" pitchFamily="34" charset="0"/>
            </a:rPr>
            <a:t>: Greens</a:t>
          </a:r>
        </a:p>
        <a:p>
          <a:pPr>
            <a:lnSpc>
              <a:spcPct val="100000"/>
            </a:lnSpc>
            <a:spcBef>
              <a:spcPts val="0"/>
            </a:spcBef>
          </a:pPr>
          <a:r>
            <a:rPr lang="de-DE" sz="800" b="1" baseline="0">
              <a:latin typeface="Arial" panose="020B0604020202020204" pitchFamily="34" charset="0"/>
              <a:cs typeface="Arial" panose="020B0604020202020204" pitchFamily="34" charset="0"/>
            </a:rPr>
            <a:t>NC</a:t>
          </a:r>
          <a:r>
            <a:rPr lang="de-DE" sz="800" baseline="0">
              <a:latin typeface="Arial" panose="020B0604020202020204" pitchFamily="34" charset="0"/>
              <a:cs typeface="Arial" panose="020B0604020202020204" pitchFamily="34" charset="0"/>
            </a:rPr>
            <a:t>: New Centre</a:t>
          </a:r>
        </a:p>
        <a:p>
          <a:pPr>
            <a:lnSpc>
              <a:spcPct val="100000"/>
            </a:lnSpc>
            <a:spcBef>
              <a:spcPts val="0"/>
            </a:spcBef>
          </a:pPr>
          <a:endParaRPr lang="de-DE"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30</xdr:col>
      <xdr:colOff>1</xdr:colOff>
      <xdr:row>36</xdr:row>
      <xdr:rowOff>36</xdr:rowOff>
    </xdr:from>
    <xdr:to>
      <xdr:col>37</xdr:col>
      <xdr:colOff>1</xdr:colOff>
      <xdr:row>43</xdr:row>
      <xdr:rowOff>103223</xdr:rowOff>
    </xdr:to>
    <xdr:sp macro="" textlink="">
      <xdr:nvSpPr>
        <xdr:cNvPr id="2" name="Textfeld 1"/>
        <xdr:cNvSpPr txBox="1"/>
      </xdr:nvSpPr>
      <xdr:spPr>
        <a:xfrm>
          <a:off x="11628439" y="3984661"/>
          <a:ext cx="2667000" cy="881062"/>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800" b="1">
              <a:latin typeface="Arial" panose="020B0604020202020204" pitchFamily="34" charset="0"/>
              <a:cs typeface="Arial" panose="020B0604020202020204" pitchFamily="34" charset="0"/>
            </a:rPr>
            <a:t>CDU</a:t>
          </a:r>
          <a:r>
            <a:rPr lang="de-DE" sz="800">
              <a:latin typeface="Arial" panose="020B0604020202020204" pitchFamily="34" charset="0"/>
              <a:cs typeface="Arial" panose="020B0604020202020204" pitchFamily="34" charset="0"/>
            </a:rPr>
            <a:t>: Christian Democratic</a:t>
          </a:r>
          <a:r>
            <a:rPr lang="de-DE" sz="800" baseline="0">
              <a:latin typeface="Arial" panose="020B0604020202020204" pitchFamily="34" charset="0"/>
              <a:cs typeface="Arial" panose="020B0604020202020204" pitchFamily="34" charset="0"/>
            </a:rPr>
            <a:t> Union (CDU)</a:t>
          </a:r>
        </a:p>
        <a:p>
          <a:r>
            <a:rPr lang="de-DE" sz="800" b="1" baseline="0">
              <a:latin typeface="Arial" panose="020B0604020202020204" pitchFamily="34" charset="0"/>
              <a:cs typeface="Arial" panose="020B0604020202020204" pitchFamily="34" charset="0"/>
            </a:rPr>
            <a:t>CSU</a:t>
          </a:r>
          <a:r>
            <a:rPr lang="de-DE" sz="800" baseline="0">
              <a:latin typeface="Arial" panose="020B0604020202020204" pitchFamily="34" charset="0"/>
              <a:cs typeface="Arial" panose="020B0604020202020204" pitchFamily="34" charset="0"/>
            </a:rPr>
            <a:t>: Christian Social Union (CSU)</a:t>
          </a:r>
        </a:p>
        <a:p>
          <a:r>
            <a:rPr lang="de-DE" sz="800" b="1" baseline="0">
              <a:latin typeface="Arial" panose="020B0604020202020204" pitchFamily="34" charset="0"/>
              <a:cs typeface="Arial" panose="020B0604020202020204" pitchFamily="34" charset="0"/>
            </a:rPr>
            <a:t>DP</a:t>
          </a:r>
          <a:r>
            <a:rPr lang="de-DE" sz="800" baseline="0">
              <a:latin typeface="Arial" panose="020B0604020202020204" pitchFamily="34" charset="0"/>
              <a:cs typeface="Arial" panose="020B0604020202020204" pitchFamily="34" charset="0"/>
            </a:rPr>
            <a:t>: German Party (DP)</a:t>
          </a:r>
        </a:p>
        <a:p>
          <a:r>
            <a:rPr lang="de-DE" sz="800" b="1" baseline="0">
              <a:latin typeface="Arial" panose="020B0604020202020204" pitchFamily="34" charset="0"/>
              <a:cs typeface="Arial" panose="020B0604020202020204" pitchFamily="34" charset="0"/>
            </a:rPr>
            <a:t>FDP</a:t>
          </a:r>
          <a:r>
            <a:rPr lang="de-DE" sz="800" baseline="0">
              <a:latin typeface="Arial" panose="020B0604020202020204" pitchFamily="34" charset="0"/>
              <a:cs typeface="Arial" panose="020B0604020202020204" pitchFamily="34" charset="0"/>
            </a:rPr>
            <a:t>: Free Democrats (FDP)</a:t>
          </a:r>
        </a:p>
        <a:p>
          <a:r>
            <a:rPr lang="de-DE" sz="800" b="1" baseline="0">
              <a:latin typeface="Arial" panose="020B0604020202020204" pitchFamily="34" charset="0"/>
              <a:cs typeface="Arial" panose="020B0604020202020204" pitchFamily="34" charset="0"/>
            </a:rPr>
            <a:t>SPD</a:t>
          </a:r>
          <a:r>
            <a:rPr lang="de-DE" sz="800" baseline="0">
              <a:latin typeface="Arial" panose="020B0604020202020204" pitchFamily="34" charset="0"/>
              <a:cs typeface="Arial" panose="020B0604020202020204" pitchFamily="34" charset="0"/>
            </a:rPr>
            <a:t>: Social Democrats (SPD)</a:t>
          </a:r>
          <a:endParaRPr lang="de-DE" sz="800">
            <a:latin typeface="Arial" panose="020B0604020202020204" pitchFamily="34" charset="0"/>
            <a:cs typeface="Arial" panose="020B0604020202020204" pitchFamily="34" charset="0"/>
          </a:endParaRPr>
        </a:p>
        <a:p>
          <a:r>
            <a:rPr lang="de-DE" sz="800" b="1">
              <a:latin typeface="Arial" panose="020B0604020202020204" pitchFamily="34" charset="0"/>
              <a:cs typeface="Arial" panose="020B0604020202020204" pitchFamily="34" charset="0"/>
            </a:rPr>
            <a:t>G</a:t>
          </a:r>
          <a:r>
            <a:rPr lang="de-DE" sz="800">
              <a:latin typeface="Arial" panose="020B0604020202020204" pitchFamily="34" charset="0"/>
              <a:cs typeface="Arial" panose="020B0604020202020204" pitchFamily="34" charset="0"/>
            </a:rPr>
            <a:t>: Greens/Alliance</a:t>
          </a:r>
          <a:r>
            <a:rPr lang="de-DE" sz="800" baseline="0">
              <a:latin typeface="Arial" panose="020B0604020202020204" pitchFamily="34" charset="0"/>
              <a:cs typeface="Arial" panose="020B0604020202020204" pitchFamily="34" charset="0"/>
            </a:rPr>
            <a:t> 90 (G)</a:t>
          </a:r>
          <a:endParaRPr lang="de-DE" sz="800">
            <a:latin typeface="Arial" panose="020B0604020202020204" pitchFamily="34" charset="0"/>
            <a:cs typeface="Arial" panose="020B0604020202020204" pitchFamily="34" charset="0"/>
          </a:endParaRPr>
        </a:p>
        <a:p>
          <a:endParaRPr lang="de-DE" sz="800">
            <a:latin typeface="Arial" panose="020B0604020202020204" pitchFamily="34" charset="0"/>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24</xdr:col>
      <xdr:colOff>1</xdr:colOff>
      <xdr:row>31</xdr:row>
      <xdr:rowOff>0</xdr:rowOff>
    </xdr:from>
    <xdr:to>
      <xdr:col>35</xdr:col>
      <xdr:colOff>1</xdr:colOff>
      <xdr:row>41</xdr:row>
      <xdr:rowOff>103188</xdr:rowOff>
    </xdr:to>
    <xdr:sp macro="" textlink="">
      <xdr:nvSpPr>
        <xdr:cNvPr id="3" name="Textfeld 2"/>
        <xdr:cNvSpPr txBox="1"/>
      </xdr:nvSpPr>
      <xdr:spPr>
        <a:xfrm>
          <a:off x="9318626" y="3429000"/>
          <a:ext cx="4103688" cy="1214438"/>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800" b="1">
              <a:latin typeface="Arial" panose="020B0604020202020204" pitchFamily="34" charset="0"/>
              <a:cs typeface="Arial" panose="020B0604020202020204" pitchFamily="34" charset="0"/>
            </a:rPr>
            <a:t>ND</a:t>
          </a:r>
          <a:r>
            <a:rPr lang="de-DE" sz="800">
              <a:latin typeface="Arial" panose="020B0604020202020204" pitchFamily="34" charset="0"/>
              <a:cs typeface="Arial" panose="020B0604020202020204" pitchFamily="34" charset="0"/>
            </a:rPr>
            <a:t>: New Democracy</a:t>
          </a:r>
        </a:p>
        <a:p>
          <a:r>
            <a:rPr lang="de-DE" sz="800" baseline="0">
              <a:latin typeface="Arial" panose="020B0604020202020204" pitchFamily="34" charset="0"/>
              <a:cs typeface="Arial" panose="020B0604020202020204" pitchFamily="34" charset="0"/>
            </a:rPr>
            <a:t>-----</a:t>
          </a:r>
          <a:r>
            <a:rPr lang="de-DE" sz="800" b="1" baseline="0">
              <a:latin typeface="Arial" panose="020B0604020202020204" pitchFamily="34" charset="0"/>
              <a:cs typeface="Arial" panose="020B0604020202020204" pitchFamily="34" charset="0"/>
            </a:rPr>
            <a:t>ERE</a:t>
          </a:r>
          <a:r>
            <a:rPr lang="de-DE" sz="800" baseline="0">
              <a:latin typeface="Arial" panose="020B0604020202020204" pitchFamily="34" charset="0"/>
              <a:cs typeface="Arial" panose="020B0604020202020204" pitchFamily="34" charset="0"/>
            </a:rPr>
            <a:t> (until 1974): </a:t>
          </a:r>
          <a:r>
            <a:rPr lang="de-DE" sz="800">
              <a:latin typeface="Arial" panose="020B0604020202020204" pitchFamily="34" charset="0"/>
              <a:cs typeface="Arial" panose="020B0604020202020204" pitchFamily="34" charset="0"/>
            </a:rPr>
            <a:t>National Radical Union</a:t>
          </a:r>
        </a:p>
        <a:p>
          <a:r>
            <a:rPr lang="de-DE" sz="800" b="1">
              <a:latin typeface="Arial" panose="020B0604020202020204" pitchFamily="34" charset="0"/>
              <a:cs typeface="Arial" panose="020B0604020202020204" pitchFamily="34" charset="0"/>
            </a:rPr>
            <a:t>KP</a:t>
          </a:r>
          <a:r>
            <a:rPr lang="de-DE" sz="800">
              <a:latin typeface="Arial" panose="020B0604020202020204" pitchFamily="34" charset="0"/>
              <a:cs typeface="Arial" panose="020B0604020202020204" pitchFamily="34" charset="0"/>
            </a:rPr>
            <a:t>: Progressives</a:t>
          </a:r>
        </a:p>
        <a:p>
          <a:r>
            <a:rPr lang="de-DE" sz="800" b="1">
              <a:latin typeface="Arial" panose="020B0604020202020204" pitchFamily="34" charset="0"/>
              <a:cs typeface="Arial" panose="020B0604020202020204" pitchFamily="34" charset="0"/>
            </a:rPr>
            <a:t>CD</a:t>
          </a:r>
          <a:r>
            <a:rPr lang="de-DE" sz="800">
              <a:latin typeface="Arial" panose="020B0604020202020204" pitchFamily="34" charset="0"/>
              <a:cs typeface="Arial" panose="020B0604020202020204" pitchFamily="34" charset="0"/>
            </a:rPr>
            <a:t>: Centre Union</a:t>
          </a:r>
        </a:p>
        <a:p>
          <a:r>
            <a:rPr lang="de-DE" sz="800">
              <a:latin typeface="Arial" panose="020B0604020202020204" pitchFamily="34" charset="0"/>
              <a:cs typeface="Arial" panose="020B0604020202020204" pitchFamily="34" charset="0"/>
            </a:rPr>
            <a:t>-----succeeded</a:t>
          </a:r>
          <a:r>
            <a:rPr lang="de-DE" sz="800" baseline="0">
              <a:latin typeface="Arial" panose="020B0604020202020204" pitchFamily="34" charset="0"/>
              <a:cs typeface="Arial" panose="020B0604020202020204" pitchFamily="34" charset="0"/>
            </a:rPr>
            <a:t> by Union of the Democratic Centre in 1976</a:t>
          </a:r>
        </a:p>
        <a:p>
          <a:r>
            <a:rPr lang="de-DE" sz="800" baseline="0">
              <a:latin typeface="Arial" panose="020B0604020202020204" pitchFamily="34" charset="0"/>
              <a:cs typeface="Arial" panose="020B0604020202020204" pitchFamily="34" charset="0"/>
            </a:rPr>
            <a:t>-----Diss-CU: dissident (anti-Papandreou) faction of CU</a:t>
          </a:r>
        </a:p>
        <a:p>
          <a:r>
            <a:rPr lang="de-DE" sz="800" b="1" baseline="0">
              <a:latin typeface="Arial" panose="020B0604020202020204" pitchFamily="34" charset="0"/>
              <a:cs typeface="Arial" panose="020B0604020202020204" pitchFamily="34" charset="0"/>
            </a:rPr>
            <a:t>PASOK</a:t>
          </a:r>
          <a:r>
            <a:rPr lang="de-DE" sz="800" baseline="0">
              <a:latin typeface="Arial" panose="020B0604020202020204" pitchFamily="34" charset="0"/>
              <a:cs typeface="Arial" panose="020B0604020202020204" pitchFamily="34" charset="0"/>
            </a:rPr>
            <a:t>: Pan-Hellenic Socialist Movement</a:t>
          </a:r>
          <a:endParaRPr lang="de-DE" sz="800">
            <a:latin typeface="Arial" panose="020B0604020202020204" pitchFamily="34" charset="0"/>
            <a:cs typeface="Arial" panose="020B0604020202020204" pitchFamily="34" charset="0"/>
          </a:endParaRPr>
        </a:p>
        <a:p>
          <a:r>
            <a:rPr lang="de-DE" sz="800" b="1">
              <a:latin typeface="Arial" panose="020B0604020202020204" pitchFamily="34" charset="0"/>
              <a:cs typeface="Arial" panose="020B0604020202020204" pitchFamily="34" charset="0"/>
            </a:rPr>
            <a:t>SYRIZA</a:t>
          </a:r>
          <a:r>
            <a:rPr lang="de-DE" sz="800">
              <a:latin typeface="Arial" panose="020B0604020202020204" pitchFamily="34" charset="0"/>
              <a:cs typeface="Arial" panose="020B0604020202020204" pitchFamily="34" charset="0"/>
            </a:rPr>
            <a:t>:</a:t>
          </a:r>
          <a:r>
            <a:rPr lang="de-DE" sz="800" baseline="0">
              <a:latin typeface="Arial" panose="020B0604020202020204" pitchFamily="34" charset="0"/>
              <a:cs typeface="Arial" panose="020B0604020202020204" pitchFamily="34" charset="0"/>
            </a:rPr>
            <a:t> </a:t>
          </a:r>
          <a:r>
            <a:rPr lang="de-DE" sz="800">
              <a:latin typeface="Arial" panose="020B0604020202020204" pitchFamily="34" charset="0"/>
              <a:cs typeface="Arial" panose="020B0604020202020204" pitchFamily="34" charset="0"/>
            </a:rPr>
            <a:t>Coalition of the Left and Progress (SAP Synaspismós tīs Aristerás)</a:t>
          </a:r>
        </a:p>
        <a:p>
          <a:r>
            <a:rPr lang="de-DE" sz="800" b="1">
              <a:latin typeface="Arial" panose="020B0604020202020204" pitchFamily="34" charset="0"/>
              <a:cs typeface="Arial" panose="020B0604020202020204" pitchFamily="34" charset="0"/>
            </a:rPr>
            <a:t>DIMAR</a:t>
          </a:r>
          <a:r>
            <a:rPr lang="de-DE" sz="800">
              <a:latin typeface="Arial" panose="020B0604020202020204" pitchFamily="34" charset="0"/>
              <a:cs typeface="Arial" panose="020B0604020202020204" pitchFamily="34" charset="0"/>
            </a:rPr>
            <a:t>: Democratic Left</a:t>
          </a:r>
        </a:p>
        <a:p>
          <a:endParaRPr lang="de-DE" sz="800">
            <a:latin typeface="Arial" panose="020B0604020202020204" pitchFamily="34" charset="0"/>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33</xdr:col>
      <xdr:colOff>79375</xdr:colOff>
      <xdr:row>15</xdr:row>
      <xdr:rowOff>71437</xdr:rowOff>
    </xdr:from>
    <xdr:to>
      <xdr:col>45</xdr:col>
      <xdr:colOff>373063</xdr:colOff>
      <xdr:row>31</xdr:row>
      <xdr:rowOff>39688</xdr:rowOff>
    </xdr:to>
    <xdr:sp macro="" textlink="">
      <xdr:nvSpPr>
        <xdr:cNvPr id="2" name="Textfeld 1"/>
        <xdr:cNvSpPr txBox="1"/>
      </xdr:nvSpPr>
      <xdr:spPr>
        <a:xfrm>
          <a:off x="12850813" y="1944687"/>
          <a:ext cx="4865688" cy="1746251"/>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800" b="1" baseline="0">
              <a:latin typeface="Arial" panose="020B0604020202020204" pitchFamily="34" charset="0"/>
              <a:cs typeface="Arial" panose="020B0604020202020204" pitchFamily="34" charset="0"/>
            </a:rPr>
            <a:t>MDF</a:t>
          </a:r>
          <a:r>
            <a:rPr lang="de-DE" sz="800" baseline="0">
              <a:latin typeface="Arial" panose="020B0604020202020204" pitchFamily="34" charset="0"/>
              <a:cs typeface="Arial" panose="020B0604020202020204" pitchFamily="34" charset="0"/>
            </a:rPr>
            <a:t>: Hungarian Democratic Forum</a:t>
          </a:r>
        </a:p>
        <a:p>
          <a:r>
            <a:rPr lang="de-DE" sz="800" b="1" baseline="0">
              <a:latin typeface="Arial" panose="020B0604020202020204" pitchFamily="34" charset="0"/>
              <a:cs typeface="Arial" panose="020B0604020202020204" pitchFamily="34" charset="0"/>
            </a:rPr>
            <a:t>FKGP</a:t>
          </a:r>
          <a:r>
            <a:rPr lang="de-DE" sz="800" baseline="0">
              <a:latin typeface="Arial" panose="020B0604020202020204" pitchFamily="34" charset="0"/>
              <a:cs typeface="Arial" panose="020B0604020202020204" pitchFamily="34" charset="0"/>
            </a:rPr>
            <a:t>: Independent Smallholders Party</a:t>
          </a:r>
        </a:p>
        <a:p>
          <a:r>
            <a:rPr lang="de-DE" sz="800" b="1" baseline="0">
              <a:latin typeface="Arial" panose="020B0604020202020204" pitchFamily="34" charset="0"/>
              <a:cs typeface="Arial" panose="020B0604020202020204" pitchFamily="34" charset="0"/>
            </a:rPr>
            <a:t>KDNP</a:t>
          </a:r>
          <a:r>
            <a:rPr lang="de-DE" sz="800" baseline="0">
              <a:latin typeface="Arial" panose="020B0604020202020204" pitchFamily="34" charset="0"/>
              <a:cs typeface="Arial" panose="020B0604020202020204" pitchFamily="34" charset="0"/>
            </a:rPr>
            <a:t>: Christian Democratic People's Party</a:t>
          </a:r>
        </a:p>
        <a:p>
          <a:r>
            <a:rPr lang="de-DE" sz="800" b="1" baseline="0">
              <a:latin typeface="Arial" panose="020B0604020202020204" pitchFamily="34" charset="0"/>
              <a:cs typeface="Arial" panose="020B0604020202020204" pitchFamily="34" charset="0"/>
            </a:rPr>
            <a:t>MSZP</a:t>
          </a:r>
          <a:r>
            <a:rPr lang="de-DE" sz="800" baseline="0">
              <a:latin typeface="Arial" panose="020B0604020202020204" pitchFamily="34" charset="0"/>
              <a:cs typeface="Arial" panose="020B0604020202020204" pitchFamily="34" charset="0"/>
            </a:rPr>
            <a:t>: Hungarian Socialist Party</a:t>
          </a:r>
        </a:p>
        <a:p>
          <a:r>
            <a:rPr lang="de-DE" sz="800" b="1" baseline="0">
              <a:latin typeface="Arial" panose="020B0604020202020204" pitchFamily="34" charset="0"/>
              <a:cs typeface="Arial" panose="020B0604020202020204" pitchFamily="34" charset="0"/>
            </a:rPr>
            <a:t>SZDSZ</a:t>
          </a:r>
          <a:r>
            <a:rPr lang="de-DE" sz="800" baseline="0">
              <a:latin typeface="Arial" panose="020B0604020202020204" pitchFamily="34" charset="0"/>
              <a:cs typeface="Arial" panose="020B0604020202020204" pitchFamily="34" charset="0"/>
            </a:rPr>
            <a:t>: Alliance of Free Democrats</a:t>
          </a:r>
        </a:p>
        <a:p>
          <a:r>
            <a:rPr lang="de-DE" sz="800" b="1" baseline="0">
              <a:latin typeface="Arial" panose="020B0604020202020204" pitchFamily="34" charset="0"/>
              <a:cs typeface="Arial" panose="020B0604020202020204" pitchFamily="34" charset="0"/>
            </a:rPr>
            <a:t>FIDESZ</a:t>
          </a:r>
          <a:r>
            <a:rPr lang="de-DE" sz="800" baseline="0">
              <a:latin typeface="Arial" panose="020B0604020202020204" pitchFamily="34" charset="0"/>
              <a:cs typeface="Arial" panose="020B0604020202020204" pitchFamily="34" charset="0"/>
            </a:rPr>
            <a:t>: Hungarian Civic Union (FIDESZ) [In 2002 FIDESZ was in an electoral coalition with the Hungarian Democratic Forum (MDF) and in 2006, 2010 as in 2014 with the Christian Democratic People’s Party (KDNP).]</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29</xdr:col>
      <xdr:colOff>119061</xdr:colOff>
      <xdr:row>8</xdr:row>
      <xdr:rowOff>7937</xdr:rowOff>
    </xdr:from>
    <xdr:to>
      <xdr:col>34</xdr:col>
      <xdr:colOff>238124</xdr:colOff>
      <xdr:row>18</xdr:row>
      <xdr:rowOff>55562</xdr:rowOff>
    </xdr:to>
    <xdr:sp macro="" textlink="">
      <xdr:nvSpPr>
        <xdr:cNvPr id="4" name="Textfeld 3"/>
        <xdr:cNvSpPr txBox="1"/>
      </xdr:nvSpPr>
      <xdr:spPr>
        <a:xfrm>
          <a:off x="11271249" y="881062"/>
          <a:ext cx="2024063" cy="1158875"/>
        </a:xfrm>
        <a:prstGeom prst="rect">
          <a:avLst/>
        </a:prstGeom>
        <a:solidFill>
          <a:schemeClr val="bg1">
            <a:lumMod val="85000"/>
          </a:schemeClr>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IP</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Independence Party II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SDP: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Social Democrats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PP</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Progressive Party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PA: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People’s Alliance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CP</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Citizens’ Party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SDA: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Social Democratic Alliance</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LG</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Left-Greens</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ULL: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Union of Liberals and Leftists </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25</xdr:col>
      <xdr:colOff>47626</xdr:colOff>
      <xdr:row>8</xdr:row>
      <xdr:rowOff>23812</xdr:rowOff>
    </xdr:from>
    <xdr:to>
      <xdr:col>29</xdr:col>
      <xdr:colOff>71438</xdr:colOff>
      <xdr:row>16</xdr:row>
      <xdr:rowOff>47625</xdr:rowOff>
    </xdr:to>
    <xdr:sp macro="" textlink="">
      <xdr:nvSpPr>
        <xdr:cNvPr id="3" name="Textfeld 2"/>
        <xdr:cNvSpPr txBox="1"/>
      </xdr:nvSpPr>
      <xdr:spPr>
        <a:xfrm>
          <a:off x="9675814" y="896937"/>
          <a:ext cx="1547812" cy="912813"/>
        </a:xfrm>
        <a:prstGeom prst="rect">
          <a:avLst/>
        </a:prstGeom>
        <a:solidFill>
          <a:schemeClr val="bg1">
            <a:lumMod val="85000"/>
          </a:schemeClr>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FF</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Fianna Fail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FG: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Fine Gael</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LAB</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Irish Labour Party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PD: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Progressive Democrats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DL</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Democratic Left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GP: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Green Party </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36</xdr:col>
      <xdr:colOff>373062</xdr:colOff>
      <xdr:row>9</xdr:row>
      <xdr:rowOff>71436</xdr:rowOff>
    </xdr:from>
    <xdr:to>
      <xdr:col>43</xdr:col>
      <xdr:colOff>325437</xdr:colOff>
      <xdr:row>49</xdr:row>
      <xdr:rowOff>103188</xdr:rowOff>
    </xdr:to>
    <xdr:sp macro="" textlink="">
      <xdr:nvSpPr>
        <xdr:cNvPr id="4" name="Textfeld 3"/>
        <xdr:cNvSpPr txBox="1"/>
      </xdr:nvSpPr>
      <xdr:spPr>
        <a:xfrm>
          <a:off x="14192250" y="1277936"/>
          <a:ext cx="2619375" cy="4476752"/>
        </a:xfrm>
        <a:prstGeom prst="rect">
          <a:avLst/>
        </a:prstGeom>
        <a:solidFill>
          <a:schemeClr val="bg1">
            <a:lumMod val="85000"/>
          </a:schemeClr>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DC</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Christian Democratic Party</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a:t>
          </a: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PPI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(since 1994): Italian Popular Party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PSDI:</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Social Democratic Party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a:t>
          </a: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RnP</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(2005-2007): Rose in the Fist</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PRI: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Republican Party</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PSI</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Socialist Party</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PSU: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United Socialist Party (only in 1968, as a coalition of PSI and PSDI)</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PLI</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Liberal Party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FI</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Forza Italia</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PDL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(2007-2013)</a:t>
          </a: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The People of Freedom (electoral alliance and merger of Forza Italia and National Alliance)</a:t>
          </a:r>
          <a:endPar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AN: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National Alliance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LN: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Northern League</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PDS</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Party of the Democratic Left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RI</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Dini List – Italian Renewal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DCpA</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Christian Democracy for the Autonomies</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NPSI: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New Italian Socialist Party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RC: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Communist Refoundation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SDI:</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Italian Democratic Socialists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PCDI:</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Party of the Italian Communists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CCD:</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Christian Democratic Centre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UD:</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Democratic Union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UDEUR:</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Union of  Democrats for Europe</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DEM: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The Democrats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DPL: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Di Pietro List</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PD</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Democratic Party</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a:t>
          </a: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ULIVO</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(1995-2007): The Olive Tree (centre-left electoral alliance)</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Greens</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UDC: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Union of the Centre</a:t>
          </a:r>
        </a:p>
        <a:p>
          <a:pPr marL="0" marR="0" lvl="0" indent="0" defTabSz="914400" eaLnBrk="1" fontAlgn="auto" latinLnBrk="0" hangingPunct="1">
            <a:lnSpc>
              <a:spcPct val="100000"/>
            </a:lnSpc>
            <a:spcBef>
              <a:spcPts val="0"/>
            </a:spcBef>
            <a:spcAft>
              <a:spcPts val="0"/>
            </a:spcAft>
            <a:buClrTx/>
            <a:buSzTx/>
            <a:buFontTx/>
            <a:buNone/>
            <a:tabLst/>
            <a:defRPr/>
          </a:pPr>
          <a:r>
            <a:rPr lang="de-DE" sz="800" b="1" i="0" baseline="0">
              <a:effectLst/>
              <a:latin typeface="Arial" panose="020B0604020202020204" pitchFamily="34" charset="0"/>
              <a:ea typeface="+mn-ea"/>
              <a:cs typeface="Arial" panose="020B0604020202020204" pitchFamily="34" charset="0"/>
            </a:rPr>
            <a:t>NCD:</a:t>
          </a:r>
          <a:r>
            <a:rPr lang="de-DE" sz="800" b="0" i="0" baseline="0">
              <a:effectLst/>
              <a:latin typeface="Arial" panose="020B0604020202020204" pitchFamily="34" charset="0"/>
              <a:ea typeface="+mn-ea"/>
              <a:cs typeface="Arial" panose="020B0604020202020204" pitchFamily="34" charset="0"/>
            </a:rPr>
            <a:t> New Centre-Right</a:t>
          </a:r>
          <a:endParaRPr lang="de-DE" sz="8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IR:</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Italian Radicals</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SC: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Civic Choice-Monti for Italy</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NCD-UDC: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Popular Area (coalition of New Centre-Right and Union of the Centre)</a:t>
          </a:r>
          <a:endPar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25</xdr:col>
      <xdr:colOff>111125</xdr:colOff>
      <xdr:row>8</xdr:row>
      <xdr:rowOff>0</xdr:rowOff>
    </xdr:from>
    <xdr:to>
      <xdr:col>32</xdr:col>
      <xdr:colOff>63500</xdr:colOff>
      <xdr:row>24</xdr:row>
      <xdr:rowOff>7938</xdr:rowOff>
    </xdr:to>
    <xdr:sp macro="" textlink="">
      <xdr:nvSpPr>
        <xdr:cNvPr id="3" name="Textfeld 2"/>
        <xdr:cNvSpPr txBox="1"/>
      </xdr:nvSpPr>
      <xdr:spPr>
        <a:xfrm>
          <a:off x="9739313" y="873125"/>
          <a:ext cx="2619375" cy="1785938"/>
        </a:xfrm>
        <a:prstGeom prst="rect">
          <a:avLst/>
        </a:prstGeom>
        <a:solidFill>
          <a:schemeClr val="bg1">
            <a:lumMod val="85000"/>
          </a:schemeClr>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LDP</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Liberal Democratic Party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NLC:</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New Liberal Club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SDP: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Social Democratic Party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JRP</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Japan Renewal Party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CGP: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Komei Party, Komeito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JNP</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Japan New Party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DSP</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Democratic Socialist Party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UDS: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United Democratic Socialists</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LP</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Liberal Party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CP</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New Conservative Party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PNP</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People’s New Party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NPS: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(New) Sakigake Party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NCP: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New Conservative Party </a:t>
          </a:r>
          <a:endPar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DPJ</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Democratic Party of Japan </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1</xdr:colOff>
      <xdr:row>28</xdr:row>
      <xdr:rowOff>0</xdr:rowOff>
    </xdr:from>
    <xdr:to>
      <xdr:col>32</xdr:col>
      <xdr:colOff>1</xdr:colOff>
      <xdr:row>32</xdr:row>
      <xdr:rowOff>87313</xdr:rowOff>
    </xdr:to>
    <xdr:sp macro="" textlink="">
      <xdr:nvSpPr>
        <xdr:cNvPr id="3" name="Textfeld 2"/>
        <xdr:cNvSpPr txBox="1"/>
      </xdr:nvSpPr>
      <xdr:spPr>
        <a:xfrm>
          <a:off x="10104439" y="3095625"/>
          <a:ext cx="2286000" cy="531813"/>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800" b="1">
              <a:latin typeface="Arial" panose="020B0604020202020204" pitchFamily="34" charset="0"/>
              <a:cs typeface="Arial" panose="020B0604020202020204" pitchFamily="34" charset="0"/>
            </a:rPr>
            <a:t>ÖVP</a:t>
          </a:r>
          <a:r>
            <a:rPr lang="de-DE" sz="800" b="0">
              <a:latin typeface="Arial" panose="020B0604020202020204" pitchFamily="34" charset="0"/>
              <a:cs typeface="Arial" panose="020B0604020202020204" pitchFamily="34" charset="0"/>
            </a:rPr>
            <a:t>:</a:t>
          </a:r>
          <a:r>
            <a:rPr lang="de-DE" sz="800" b="0" baseline="0">
              <a:latin typeface="Arial" panose="020B0604020202020204" pitchFamily="34" charset="0"/>
              <a:cs typeface="Arial" panose="020B0604020202020204" pitchFamily="34" charset="0"/>
            </a:rPr>
            <a:t> People's Party</a:t>
          </a:r>
        </a:p>
        <a:p>
          <a:r>
            <a:rPr lang="de-DE" sz="800" b="1" baseline="0">
              <a:latin typeface="Arial" panose="020B0604020202020204" pitchFamily="34" charset="0"/>
              <a:cs typeface="Arial" panose="020B0604020202020204" pitchFamily="34" charset="0"/>
            </a:rPr>
            <a:t>SPÖ</a:t>
          </a:r>
          <a:r>
            <a:rPr lang="de-DE" sz="800" b="0" baseline="0">
              <a:latin typeface="Arial" panose="020B0604020202020204" pitchFamily="34" charset="0"/>
              <a:cs typeface="Arial" panose="020B0604020202020204" pitchFamily="34" charset="0"/>
            </a:rPr>
            <a:t>: Socialist Party</a:t>
          </a:r>
        </a:p>
        <a:p>
          <a:r>
            <a:rPr lang="de-DE" sz="800" b="1">
              <a:latin typeface="Arial" panose="020B0604020202020204" pitchFamily="34" charset="0"/>
              <a:cs typeface="Arial" panose="020B0604020202020204" pitchFamily="34" charset="0"/>
            </a:rPr>
            <a:t>FPÖ</a:t>
          </a:r>
          <a:r>
            <a:rPr lang="de-DE" sz="800">
              <a:latin typeface="Arial" panose="020B0604020202020204" pitchFamily="34" charset="0"/>
              <a:cs typeface="Arial" panose="020B0604020202020204" pitchFamily="34" charset="0"/>
            </a:rPr>
            <a:t>: Freedom Party</a:t>
          </a:r>
        </a:p>
        <a:p>
          <a:endParaRPr lang="de-DE" sz="800">
            <a:latin typeface="Arial" panose="020B0604020202020204" pitchFamily="34" charset="0"/>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41</xdr:col>
      <xdr:colOff>71435</xdr:colOff>
      <xdr:row>14</xdr:row>
      <xdr:rowOff>87315</xdr:rowOff>
    </xdr:from>
    <xdr:to>
      <xdr:col>47</xdr:col>
      <xdr:colOff>198437</xdr:colOff>
      <xdr:row>44</xdr:row>
      <xdr:rowOff>3</xdr:rowOff>
    </xdr:to>
    <xdr:sp macro="" textlink="">
      <xdr:nvSpPr>
        <xdr:cNvPr id="2" name="Textfeld 1"/>
        <xdr:cNvSpPr txBox="1"/>
      </xdr:nvSpPr>
      <xdr:spPr>
        <a:xfrm>
          <a:off x="15890873" y="1849440"/>
          <a:ext cx="3079752" cy="3246438"/>
        </a:xfrm>
        <a:prstGeom prst="rect">
          <a:avLst/>
        </a:prstGeom>
        <a:solidFill>
          <a:schemeClr val="bg1">
            <a:lumMod val="85000"/>
          </a:schemeClr>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ts val="8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LC</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a:t>
          </a:r>
          <a:r>
            <a:rPr kumimoji="0" lang="lv-LV"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Latvia's Way</a:t>
          </a:r>
          <a:endParaRPr kumimoji="0" lang="de-CH"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endParaRPr>
        </a:p>
        <a:p>
          <a:pPr marL="0" marR="0" lvl="0" indent="0" defTabSz="914400" eaLnBrk="1" fontAlgn="auto" latinLnBrk="0" hangingPunct="1">
            <a:lnSpc>
              <a:spcPts val="800"/>
            </a:lnSpc>
            <a:spcBef>
              <a:spcPts val="0"/>
            </a:spcBef>
            <a:spcAft>
              <a:spcPts val="0"/>
            </a:spcAft>
            <a:buClrTx/>
            <a:buSzTx/>
            <a:buFontTx/>
            <a:buNone/>
            <a:tabLst/>
            <a:defRPr/>
          </a:pPr>
          <a:r>
            <a:rPr kumimoji="0" lang="de-CH"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LZS</a:t>
          </a:r>
          <a:r>
            <a:rPr kumimoji="0" lang="de-CH"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a:t>
          </a:r>
          <a:r>
            <a:rPr kumimoji="0" lang="lv-LV"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Latvian Farmers’ Union</a:t>
          </a:r>
          <a:endParaRPr kumimoji="0" lang="de-CH"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endParaRPr>
        </a:p>
        <a:p>
          <a:pPr marL="0" marR="0" lvl="0" indent="0" defTabSz="914400" eaLnBrk="1" fontAlgn="auto" latinLnBrk="0" hangingPunct="1">
            <a:lnSpc>
              <a:spcPts val="800"/>
            </a:lnSpc>
            <a:spcBef>
              <a:spcPts val="0"/>
            </a:spcBef>
            <a:spcAft>
              <a:spcPts val="0"/>
            </a:spcAft>
            <a:buClrTx/>
            <a:buSzTx/>
            <a:buFontTx/>
            <a:buNone/>
            <a:tabLst/>
            <a:defRPr/>
          </a:pPr>
          <a:r>
            <a:rPr kumimoji="0" lang="de-CH"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TPA</a:t>
          </a:r>
          <a:r>
            <a:rPr kumimoji="0" lang="de-CH"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Political Union of Economists</a:t>
          </a:r>
          <a:r>
            <a:rPr kumimoji="0" lang="lv-LV"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a:t>
          </a:r>
          <a:endParaRPr kumimoji="0" lang="de-CH"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endParaRPr>
        </a:p>
        <a:p>
          <a:pPr marL="0" marR="0" lvl="0" indent="0" defTabSz="914400" eaLnBrk="1" fontAlgn="auto" latinLnBrk="0" hangingPunct="1">
            <a:lnSpc>
              <a:spcPts val="800"/>
            </a:lnSpc>
            <a:spcBef>
              <a:spcPts val="0"/>
            </a:spcBef>
            <a:spcAft>
              <a:spcPts val="0"/>
            </a:spcAft>
            <a:buClrTx/>
            <a:buSzTx/>
            <a:buFontTx/>
            <a:buNone/>
            <a:tabLst/>
            <a:defRPr/>
          </a:pPr>
          <a:r>
            <a:rPr kumimoji="0" lang="de-CH"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DPS: </a:t>
          </a:r>
          <a:r>
            <a:rPr kumimoji="0" lang="lv-LV"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Democratic Centre Party (DPS Saimnieks)</a:t>
          </a:r>
          <a:endParaRPr kumimoji="0" lang="de-CH"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endParaRPr>
        </a:p>
        <a:p>
          <a:pPr marL="0" marR="0" lvl="0" indent="0" defTabSz="914400" eaLnBrk="1" fontAlgn="auto" latinLnBrk="0" hangingPunct="1">
            <a:lnSpc>
              <a:spcPts val="8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since 1995: Democratic Party "Master"</a:t>
          </a:r>
        </a:p>
        <a:p>
          <a:pPr marL="0" marR="0" lvl="0" indent="0" defTabSz="914400" eaLnBrk="1" fontAlgn="auto" latinLnBrk="0" hangingPunct="1">
            <a:lnSpc>
              <a:spcPts val="800"/>
            </a:lnSpc>
            <a:spcBef>
              <a:spcPts val="0"/>
            </a:spcBef>
            <a:spcAft>
              <a:spcPts val="0"/>
            </a:spcAft>
            <a:buClrTx/>
            <a:buSzTx/>
            <a:buFontTx/>
            <a:buNone/>
            <a:tabLst/>
            <a:defRPr/>
          </a:pPr>
          <a:r>
            <a:rPr kumimoji="0" lang="de-CH"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TB: </a:t>
          </a:r>
          <a:r>
            <a:rPr kumimoji="0" lang="de-CH"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For Homeland (Fatherland) and Freedom</a:t>
          </a:r>
        </a:p>
        <a:p>
          <a:pPr marL="0" marR="0" lvl="0" indent="0" defTabSz="914400" eaLnBrk="1" fontAlgn="auto" latinLnBrk="0" hangingPunct="1">
            <a:lnSpc>
              <a:spcPts val="800"/>
            </a:lnSpc>
            <a:spcBef>
              <a:spcPts val="0"/>
            </a:spcBef>
            <a:spcAft>
              <a:spcPts val="0"/>
            </a:spcAft>
            <a:buClrTx/>
            <a:buSzTx/>
            <a:buFontTx/>
            <a:buNone/>
            <a:tabLst/>
            <a:defRPr/>
          </a:pPr>
          <a:r>
            <a:rPr kumimoji="0" lang="de-CH"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LNNK:</a:t>
          </a:r>
          <a:r>
            <a:rPr kumimoji="0" lang="de-CH"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Latvian National Independence Movement (in 1995 in alliance with Latvian Green Party)</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TB/LNNK: </a:t>
          </a:r>
          <a:r>
            <a:rPr kumimoji="0" lang="de-CH"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Alliance for Homeland and Freedom / Latvian National Independence Movement [the two parties merged in 1997]</a:t>
          </a:r>
        </a:p>
        <a:p>
          <a:pPr marL="0" marR="0" lvl="0" indent="0" defTabSz="914400" eaLnBrk="1" fontAlgn="auto" latinLnBrk="0" hangingPunct="1">
            <a:lnSpc>
              <a:spcPts val="800"/>
            </a:lnSpc>
            <a:spcBef>
              <a:spcPts val="0"/>
            </a:spcBef>
            <a:spcAft>
              <a:spcPts val="0"/>
            </a:spcAft>
            <a:buClrTx/>
            <a:buSzTx/>
            <a:buFontTx/>
            <a:buNone/>
            <a:tabLst/>
            <a:defRPr/>
          </a:pPr>
          <a:r>
            <a:rPr kumimoji="0" lang="de-CH"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LVP</a:t>
          </a:r>
          <a:r>
            <a:rPr kumimoji="0" lang="de-CH"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Latvia's Unity Party</a:t>
          </a:r>
        </a:p>
        <a:p>
          <a:pPr marL="0" marR="0" lvl="0" indent="0" defTabSz="914400" eaLnBrk="1" fontAlgn="auto" latinLnBrk="0" hangingPunct="1">
            <a:lnSpc>
              <a:spcPts val="800"/>
            </a:lnSpc>
            <a:spcBef>
              <a:spcPts val="0"/>
            </a:spcBef>
            <a:spcAft>
              <a:spcPts val="0"/>
            </a:spcAft>
            <a:buClrTx/>
            <a:buSzTx/>
            <a:buFontTx/>
            <a:buNone/>
            <a:tabLst/>
            <a:defRPr/>
          </a:pPr>
          <a:r>
            <a:rPr kumimoji="0" lang="de-CH"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LZS:</a:t>
          </a:r>
          <a:r>
            <a:rPr kumimoji="0" lang="de-CH"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United list of Latvia's Farmers' Union and Latvian Christian Democratic Union and Latgale Democratic Party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JP:</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New Party</a:t>
          </a:r>
        </a:p>
        <a:p>
          <a:pPr marL="0" marR="0" lvl="0" indent="0" defTabSz="914400" eaLnBrk="1" fontAlgn="auto" latinLnBrk="0" hangingPunct="1">
            <a:lnSpc>
              <a:spcPts val="8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LSDA:</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Latvian Social-Democratic Alliance</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TP:</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Peoples’ Party	 </a:t>
          </a:r>
        </a:p>
        <a:p>
          <a:pPr marL="0" marR="0" lvl="0" indent="0" defTabSz="914400" eaLnBrk="1" fontAlgn="auto" latinLnBrk="0" hangingPunct="1">
            <a:lnSpc>
              <a:spcPts val="8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JL:</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New Era</a:t>
          </a:r>
        </a:p>
        <a:p>
          <a:pPr marL="0" marR="0" lvl="0" indent="0" defTabSz="914400" eaLnBrk="1" fontAlgn="auto" latinLnBrk="0" hangingPunct="1">
            <a:lnSpc>
              <a:spcPts val="8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ZZS</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Union of Greens and Farmers</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LPP:</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Latvia's First Party</a:t>
          </a:r>
        </a:p>
        <a:p>
          <a:pPr marL="0" marR="0" lvl="0" indent="0" defTabSz="914400" eaLnBrk="1" fontAlgn="auto" latinLnBrk="0" hangingPunct="1">
            <a:lnSpc>
              <a:spcPts val="8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LPP/LC: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Latvia’s First Party and Latvia’s Way</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PS</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Civic Union</a:t>
          </a:r>
        </a:p>
        <a:p>
          <a:pPr marL="0" marR="0" lvl="0" indent="0" defTabSz="914400" eaLnBrk="1" fontAlgn="auto" latinLnBrk="0" hangingPunct="1">
            <a:lnSpc>
              <a:spcPts val="8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V</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Unity [founded before the election 2010 as an alliance of the New Era Party, Civic Union, and the Society for Other Politics]</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ZRP</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Zatlers Reform Party</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NA</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National Union</a:t>
          </a:r>
        </a:p>
        <a:p>
          <a:pPr marL="0" marR="0" lvl="0" indent="0" defTabSz="914400" eaLnBrk="1" fontAlgn="auto" latinLnBrk="0" hangingPunct="1">
            <a:lnSpc>
              <a:spcPts val="800"/>
            </a:lnSpc>
            <a:spcBef>
              <a:spcPts val="0"/>
            </a:spcBef>
            <a:spcAft>
              <a:spcPts val="0"/>
            </a:spcAft>
            <a:buClrTx/>
            <a:buSzTx/>
            <a:buFontTx/>
            <a:buNone/>
            <a:tabLst/>
            <a:defRPr/>
          </a:pPr>
          <a:endPar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ts val="800"/>
            </a:lnSpc>
            <a:spcBef>
              <a:spcPts val="0"/>
            </a:spcBef>
            <a:spcAft>
              <a:spcPts val="0"/>
            </a:spcAft>
            <a:buClrTx/>
            <a:buSzTx/>
            <a:buFontTx/>
            <a:buNone/>
            <a:tabLst/>
            <a:defRPr/>
          </a:pPr>
          <a:endPar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33</xdr:col>
      <xdr:colOff>63498</xdr:colOff>
      <xdr:row>10</xdr:row>
      <xdr:rowOff>23813</xdr:rowOff>
    </xdr:from>
    <xdr:to>
      <xdr:col>45</xdr:col>
      <xdr:colOff>31749</xdr:colOff>
      <xdr:row>31</xdr:row>
      <xdr:rowOff>95250</xdr:rowOff>
    </xdr:to>
    <xdr:sp macro="" textlink="">
      <xdr:nvSpPr>
        <xdr:cNvPr id="2" name="Textfeld 1"/>
        <xdr:cNvSpPr txBox="1"/>
      </xdr:nvSpPr>
      <xdr:spPr>
        <a:xfrm>
          <a:off x="12834936" y="1341438"/>
          <a:ext cx="4540251" cy="2405062"/>
        </a:xfrm>
        <a:prstGeom prst="rect">
          <a:avLst/>
        </a:prstGeom>
        <a:solidFill>
          <a:schemeClr val="bg1">
            <a:lumMod val="85000"/>
          </a:schemeClr>
        </a:solidFill>
        <a:ln w="9525" cmpd="sng">
          <a:solidFill>
            <a:sysClr val="window" lastClr="FFFFFF">
              <a:shade val="50000"/>
            </a:sysClr>
          </a:solidFill>
        </a:ln>
        <a:effectLst/>
      </xdr:spPr>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LDDP: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Lithunian Democratic Labour Party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CH"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TS-LK</a:t>
          </a:r>
          <a:r>
            <a:rPr kumimoji="0" lang="de-CH"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Homeland Union - Lithuanian Conservatives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CH"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LKDP: </a:t>
          </a:r>
          <a:r>
            <a:rPr kumimoji="0" lang="lt-LT"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Lithuanian Christian Democratic Party</a:t>
          </a:r>
          <a:endParaRPr kumimoji="0" lang="de-CH"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LCS</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Lithuanian Centre Union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CH"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LLS:</a:t>
          </a:r>
          <a:r>
            <a:rPr kumimoji="0" lang="de-CH"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a:t>
          </a:r>
          <a:r>
            <a:rPr kumimoji="0" lang="lt-LT"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Lithuanian Liberal Union</a:t>
          </a:r>
          <a:endParaRPr kumimoji="0" lang="de-CH"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NS-SL:</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New Union - Social Liberals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LSDP: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Lithuanian Social-Democratic Party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in 2000 and 2004: Social-Democratic Coalition of Algirdas Brazauskas "Working for Lithuania" [comprised of Lithuanian Democratic Labour Party; Lithuanian Social Democratic Party; Union of Lithuanian Russians; Party of New Democracy]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DP:</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Labour Party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CH"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LPPU:</a:t>
          </a:r>
          <a:r>
            <a:rPr kumimoji="0" lang="de-CH"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a:t>
          </a:r>
          <a:r>
            <a:rPr kumimoji="0" lang="lt-LT"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Lithuanian Peasant’s People Union</a:t>
          </a:r>
          <a:r>
            <a:rPr kumimoji="0" lang="de-CH"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[former Union for Farmers and New Democratic Party]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LCU:</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Liberal and Centre Union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CH"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CDP:</a:t>
          </a:r>
          <a:r>
            <a:rPr kumimoji="0" lang="de-CH"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a:t>
          </a:r>
          <a:r>
            <a:rPr kumimoji="0" lang="lt-LT"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Civic Democratic Party</a:t>
          </a:r>
          <a:endParaRPr kumimoji="0" lang="de-CH"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NRP:</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Nation’s Resurrection Party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CH"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LMLR:</a:t>
          </a:r>
          <a:r>
            <a:rPr kumimoji="0" lang="de-CH"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a:t>
          </a:r>
          <a:r>
            <a:rPr kumimoji="0" lang="lt-LT"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Liberal Movement of Lithuanian Republic</a:t>
          </a:r>
          <a:endParaRPr kumimoji="0" lang="de-CH"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PTT:</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Party Order and Justice</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CH"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LLRA:</a:t>
          </a:r>
          <a:r>
            <a:rPr kumimoji="0" lang="de-CH"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a:t>
          </a:r>
          <a:r>
            <a:rPr kumimoji="0" lang="lt-LT"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Electoral Action of the Lithuanian Poles</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29</xdr:col>
      <xdr:colOff>79375</xdr:colOff>
      <xdr:row>8</xdr:row>
      <xdr:rowOff>47626</xdr:rowOff>
    </xdr:from>
    <xdr:to>
      <xdr:col>36</xdr:col>
      <xdr:colOff>31750</xdr:colOff>
      <xdr:row>14</xdr:row>
      <xdr:rowOff>7938</xdr:rowOff>
    </xdr:to>
    <xdr:sp macro="" textlink="">
      <xdr:nvSpPr>
        <xdr:cNvPr id="3" name="Textfeld 2"/>
        <xdr:cNvSpPr txBox="1"/>
      </xdr:nvSpPr>
      <xdr:spPr>
        <a:xfrm>
          <a:off x="11231563" y="1143001"/>
          <a:ext cx="2619375" cy="627062"/>
        </a:xfrm>
        <a:prstGeom prst="rect">
          <a:avLst/>
        </a:prstGeom>
        <a:solidFill>
          <a:schemeClr val="bg1">
            <a:lumMod val="85000"/>
          </a:schemeClr>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LSAP</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Socialist Workers’ Party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CSP:</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Christian Social Party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DP: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Democratic Party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GLEI-GAP: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The Greens</a:t>
          </a:r>
          <a:endPar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25</xdr:col>
      <xdr:colOff>134938</xdr:colOff>
      <xdr:row>8</xdr:row>
      <xdr:rowOff>47625</xdr:rowOff>
    </xdr:from>
    <xdr:to>
      <xdr:col>32</xdr:col>
      <xdr:colOff>87313</xdr:colOff>
      <xdr:row>12</xdr:row>
      <xdr:rowOff>39688</xdr:rowOff>
    </xdr:to>
    <xdr:sp macro="" textlink="">
      <xdr:nvSpPr>
        <xdr:cNvPr id="2" name="Textfeld 1"/>
        <xdr:cNvSpPr txBox="1"/>
      </xdr:nvSpPr>
      <xdr:spPr>
        <a:xfrm>
          <a:off x="9858376" y="1143000"/>
          <a:ext cx="2619375" cy="436563"/>
        </a:xfrm>
        <a:prstGeom prst="rect">
          <a:avLst/>
        </a:prstGeom>
        <a:solidFill>
          <a:schemeClr val="bg1">
            <a:lumMod val="85000"/>
          </a:schemeClr>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PN</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Nationalist Party</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MLP: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Malta Labour Party</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30</xdr:col>
      <xdr:colOff>7937</xdr:colOff>
      <xdr:row>54</xdr:row>
      <xdr:rowOff>71450</xdr:rowOff>
    </xdr:from>
    <xdr:to>
      <xdr:col>36</xdr:col>
      <xdr:colOff>341312</xdr:colOff>
      <xdr:row>68</xdr:row>
      <xdr:rowOff>95250</xdr:rowOff>
    </xdr:to>
    <xdr:sp macro="" textlink="">
      <xdr:nvSpPr>
        <xdr:cNvPr id="4" name="Textfeld 3"/>
        <xdr:cNvSpPr txBox="1"/>
      </xdr:nvSpPr>
      <xdr:spPr>
        <a:xfrm>
          <a:off x="11541125" y="6056325"/>
          <a:ext cx="2619375" cy="1579550"/>
        </a:xfrm>
        <a:prstGeom prst="rect">
          <a:avLst/>
        </a:prstGeom>
        <a:solidFill>
          <a:schemeClr val="bg1">
            <a:lumMod val="85000"/>
          </a:schemeClr>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PvdA</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Labour Party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PPR:</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Political Party of the Radicals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KVP: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Catholic People’s Party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CDA</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Christian Democratic Appeal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DS’70: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Democratic Socialists’ 70</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D66</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Democrats’ 66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CU</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Christian Union</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VVD: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People’s Party for Freedom and Democracy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CHU</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Christian Historical Union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ARP</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Anti Revolutionary Party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LPF</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List Pim Fortuyn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PPR: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Radical Political Party </a:t>
          </a:r>
          <a:endPar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25</xdr:col>
      <xdr:colOff>0</xdr:colOff>
      <xdr:row>20</xdr:row>
      <xdr:rowOff>0</xdr:rowOff>
    </xdr:from>
    <xdr:to>
      <xdr:col>31</xdr:col>
      <xdr:colOff>333375</xdr:colOff>
      <xdr:row>27</xdr:row>
      <xdr:rowOff>31750</xdr:rowOff>
    </xdr:to>
    <xdr:sp macro="" textlink="">
      <xdr:nvSpPr>
        <xdr:cNvPr id="5" name="Textfeld 4"/>
        <xdr:cNvSpPr txBox="1"/>
      </xdr:nvSpPr>
      <xdr:spPr>
        <a:xfrm>
          <a:off x="9628188" y="2206625"/>
          <a:ext cx="2619375" cy="809625"/>
        </a:xfrm>
        <a:prstGeom prst="rect">
          <a:avLst/>
        </a:prstGeom>
        <a:solidFill>
          <a:schemeClr val="bg1">
            <a:lumMod val="85000"/>
          </a:schemeClr>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U</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United Party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A:</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Alliance</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NP: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National Party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LAB</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Labour Party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NZF: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New Zealand First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PC</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Progressive Coalition</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25</xdr:col>
      <xdr:colOff>111125</xdr:colOff>
      <xdr:row>36</xdr:row>
      <xdr:rowOff>39687</xdr:rowOff>
    </xdr:from>
    <xdr:to>
      <xdr:col>32</xdr:col>
      <xdr:colOff>63500</xdr:colOff>
      <xdr:row>44</xdr:row>
      <xdr:rowOff>63500</xdr:rowOff>
    </xdr:to>
    <xdr:sp macro="" textlink="">
      <xdr:nvSpPr>
        <xdr:cNvPr id="4" name="Textfeld 3"/>
        <xdr:cNvSpPr txBox="1"/>
      </xdr:nvSpPr>
      <xdr:spPr>
        <a:xfrm>
          <a:off x="9739313" y="4024312"/>
          <a:ext cx="2619375" cy="912813"/>
        </a:xfrm>
        <a:prstGeom prst="rect">
          <a:avLst/>
        </a:prstGeom>
        <a:solidFill>
          <a:schemeClr val="bg1">
            <a:lumMod val="85000"/>
          </a:schemeClr>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DNA</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Labour Party</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SV: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Socialist Left Party</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SP</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Centre Party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KRF: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Christian People’s Party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H</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Conservatives (Hoyre)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V: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Liberals (Venstre)</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FrP: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Progress Party (Fremskrittspartiet)</a:t>
          </a:r>
          <a:endPar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33</xdr:col>
      <xdr:colOff>47629</xdr:colOff>
      <xdr:row>15</xdr:row>
      <xdr:rowOff>23811</xdr:rowOff>
    </xdr:from>
    <xdr:to>
      <xdr:col>40</xdr:col>
      <xdr:colOff>4</xdr:colOff>
      <xdr:row>36</xdr:row>
      <xdr:rowOff>71438</xdr:rowOff>
    </xdr:to>
    <xdr:sp macro="" textlink="">
      <xdr:nvSpPr>
        <xdr:cNvPr id="5" name="Textfeld 4"/>
        <xdr:cNvSpPr txBox="1"/>
      </xdr:nvSpPr>
      <xdr:spPr>
        <a:xfrm>
          <a:off x="12819067" y="1897061"/>
          <a:ext cx="2619375" cy="2381252"/>
        </a:xfrm>
        <a:prstGeom prst="rect">
          <a:avLst/>
        </a:prstGeom>
        <a:solidFill>
          <a:schemeClr val="bg1">
            <a:lumMod val="85000"/>
          </a:schemeClr>
        </a:solidFill>
        <a:ln w="9525" cmpd="sng">
          <a:solidFill>
            <a:sysClr val="window" lastClr="FFFFFF">
              <a:shade val="50000"/>
            </a:sysClr>
          </a:solidFill>
        </a:ln>
        <a:effectLst/>
      </xdr:spPr>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PiS:</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Law an Justice</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former </a:t>
          </a: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PC</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Center Agreement Party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ZChN:</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Christian National Union</a:t>
          </a:r>
        </a:p>
        <a:p>
          <a:pPr marL="360000" marR="0" lvl="0" indent="-457200" algn="l" defTabSz="914400" eaLnBrk="1" fontAlgn="auto" latinLnBrk="0" hangingPunct="1">
            <a:lnSpc>
              <a:spcPct val="100000"/>
            </a:lnSpc>
            <a:spcBef>
              <a:spcPts val="0"/>
            </a:spcBef>
            <a:spcAft>
              <a:spcPts val="0"/>
            </a:spcAft>
            <a:buClrTx/>
            <a:buSzTx/>
            <a:buFontTx/>
            <a:buNone/>
            <a:tabLst/>
            <a:defRPr/>
          </a:pP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Election 1991: Major part of the </a:t>
          </a: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WAK</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Catholic Election Action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PL:</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Peasant Alliance</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UD</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Democratic Union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KLD:</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Liberal Democratic Congress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PChD:</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Party of Christian Democrats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SLCh:</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Peasant Christian Alliance </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PSL:</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Polish Peasant Party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SLD:</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Alliance of the Democratic Left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AWS:</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Solidarity Election Action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UW:</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Freedom Union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UP:</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Labour Union </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SdPL:</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Polish Social Democracy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SRP</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Self-Defence of Polish Republic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LPR:</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League of Polish Families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PO:</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Civic Platform</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25</xdr:col>
      <xdr:colOff>95251</xdr:colOff>
      <xdr:row>28</xdr:row>
      <xdr:rowOff>7954</xdr:rowOff>
    </xdr:from>
    <xdr:to>
      <xdr:col>32</xdr:col>
      <xdr:colOff>47626</xdr:colOff>
      <xdr:row>33</xdr:row>
      <xdr:rowOff>87313</xdr:rowOff>
    </xdr:to>
    <xdr:sp macro="" textlink="">
      <xdr:nvSpPr>
        <xdr:cNvPr id="6" name="Textfeld 5"/>
        <xdr:cNvSpPr txBox="1"/>
      </xdr:nvSpPr>
      <xdr:spPr>
        <a:xfrm>
          <a:off x="9723439" y="3325829"/>
          <a:ext cx="2619375" cy="634984"/>
        </a:xfrm>
        <a:prstGeom prst="rect">
          <a:avLst/>
        </a:prstGeom>
        <a:solidFill>
          <a:schemeClr val="bg1">
            <a:lumMod val="85000"/>
          </a:schemeClr>
        </a:solidFill>
        <a:ln w="9525" cmpd="sng">
          <a:solidFill>
            <a:sysClr val="window" lastClr="FFFFFF">
              <a:shade val="50000"/>
            </a:sysClr>
          </a:solidFill>
        </a:ln>
        <a:effectLst/>
      </xdr:spPr>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PS</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Socialist Party </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PSD: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Social Democrats, Popular Democrats (former PPD)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CDS-PP</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Centre Social Democrats, Popular Party </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PPM: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Popular Monarchist Party </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37</xdr:col>
      <xdr:colOff>37522</xdr:colOff>
      <xdr:row>5</xdr:row>
      <xdr:rowOff>89188</xdr:rowOff>
    </xdr:from>
    <xdr:to>
      <xdr:col>43</xdr:col>
      <xdr:colOff>222826</xdr:colOff>
      <xdr:row>30</xdr:row>
      <xdr:rowOff>111124</xdr:rowOff>
    </xdr:to>
    <xdr:sp macro="" textlink="">
      <xdr:nvSpPr>
        <xdr:cNvPr id="4" name="Textfeld 3"/>
        <xdr:cNvSpPr txBox="1"/>
      </xdr:nvSpPr>
      <xdr:spPr>
        <a:xfrm>
          <a:off x="14332960" y="851188"/>
          <a:ext cx="2471304" cy="2800061"/>
        </a:xfrm>
        <a:prstGeom prst="rect">
          <a:avLst/>
        </a:prstGeom>
        <a:solidFill>
          <a:schemeClr val="bg1">
            <a:lumMod val="85000"/>
          </a:schemeClr>
        </a:solidFill>
        <a:ln w="9525" cmpd="sng">
          <a:solidFill>
            <a:sysClr val="window" lastClr="FFFFFF">
              <a:shade val="50000"/>
            </a:sysClr>
          </a:solidFill>
        </a:ln>
        <a:effectLst/>
      </xdr:spPr>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PSD</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Social Democratic Party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former </a:t>
          </a: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PDSR</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Party of Social Democracy from Romania</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former </a:t>
          </a: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NSF</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National Salvation Front = Democratic National Salvation Front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in 2008: electoral alliance with the Conservatory Party under the name Political  Alliance PSD+PC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PNL: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National Liberal Party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CH"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MER</a:t>
          </a:r>
          <a:r>
            <a:rPr kumimoji="0" lang="de-CH"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a:t>
          </a:r>
          <a:r>
            <a:rPr kumimoji="0" lang="vi-VN"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Ecological Movement from Romania</a:t>
          </a:r>
          <a:endParaRPr kumimoji="0" lang="de-CH"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PDAR:</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Democratic Agrarian Party from Romania</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PUNR: </a:t>
          </a:r>
          <a:r>
            <a:rPr kumimoji="0" lang="vi-VN"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Party of National Unity of Romanians </a:t>
          </a:r>
          <a:r>
            <a:rPr kumimoji="0" lang="de-CH"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CDR:</a:t>
          </a:r>
          <a:r>
            <a:rPr kumimoji="0" lang="de-CH"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a:t>
          </a:r>
          <a:r>
            <a:rPr kumimoji="0" lang="vi-VN"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Democratic Convention from Romania</a:t>
          </a:r>
          <a:endParaRPr kumimoji="0" lang="de-CH"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PD</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Democratic Party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former National Salvation Front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CH"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UDMR:</a:t>
          </a:r>
          <a:r>
            <a:rPr kumimoji="0" lang="de-CH"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a:t>
          </a:r>
          <a:r>
            <a:rPr kumimoji="0" lang="vi-VN"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Democratic Union of Hungarians from Romania</a:t>
          </a:r>
          <a:endParaRPr kumimoji="0" lang="de-CH"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de-CH"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PUR:</a:t>
          </a:r>
          <a:r>
            <a:rPr kumimoji="0" lang="de-CH"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Humanist  Party of Romania</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PD-L</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Democrat-Liberal Party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UNPR: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National Union for Romania’s Progress </a:t>
          </a: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PC: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Conservative Party of Romania</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PLR: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Liberal Reformist Party</a:t>
          </a:r>
          <a:endPar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34</xdr:col>
      <xdr:colOff>0</xdr:colOff>
      <xdr:row>9</xdr:row>
      <xdr:rowOff>0</xdr:rowOff>
    </xdr:from>
    <xdr:to>
      <xdr:col>43</xdr:col>
      <xdr:colOff>0</xdr:colOff>
      <xdr:row>32</xdr:row>
      <xdr:rowOff>87313</xdr:rowOff>
    </xdr:to>
    <xdr:sp macro="" textlink="">
      <xdr:nvSpPr>
        <xdr:cNvPr id="3" name="Textfeld 2"/>
        <xdr:cNvSpPr txBox="1"/>
      </xdr:nvSpPr>
      <xdr:spPr>
        <a:xfrm>
          <a:off x="13152438" y="984250"/>
          <a:ext cx="3429000" cy="2643188"/>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800" b="1">
              <a:latin typeface="Arial" panose="020B0604020202020204" pitchFamily="34" charset="0"/>
              <a:cs typeface="Arial" panose="020B0604020202020204" pitchFamily="34" charset="0"/>
            </a:rPr>
            <a:t>CVP </a:t>
          </a:r>
          <a:r>
            <a:rPr lang="de-DE" sz="800" b="0">
              <a:latin typeface="Arial" panose="020B0604020202020204" pitchFamily="34" charset="0"/>
              <a:cs typeface="Arial" panose="020B0604020202020204" pitchFamily="34" charset="0"/>
            </a:rPr>
            <a:t>(until 2001)</a:t>
          </a:r>
          <a:r>
            <a:rPr lang="de-DE" sz="800">
              <a:latin typeface="Arial" panose="020B0604020202020204" pitchFamily="34" charset="0"/>
              <a:cs typeface="Arial" panose="020B0604020202020204" pitchFamily="34" charset="0"/>
            </a:rPr>
            <a:t>:</a:t>
          </a:r>
          <a:r>
            <a:rPr lang="de-DE" sz="800" baseline="0">
              <a:latin typeface="Arial" panose="020B0604020202020204" pitchFamily="34" charset="0"/>
              <a:cs typeface="Arial" panose="020B0604020202020204" pitchFamily="34" charset="0"/>
            </a:rPr>
            <a:t> Christian People's Party (flemish, until 1967: Catholic Party)</a:t>
          </a:r>
        </a:p>
        <a:p>
          <a:r>
            <a:rPr lang="de-DE" sz="800" baseline="0">
              <a:latin typeface="Arial" panose="020B0604020202020204" pitchFamily="34" charset="0"/>
              <a:cs typeface="Arial" panose="020B0604020202020204" pitchFamily="34" charset="0"/>
            </a:rPr>
            <a:t>-----</a:t>
          </a:r>
          <a:r>
            <a:rPr lang="de-DE" sz="800" b="1" baseline="0">
              <a:latin typeface="Arial" panose="020B0604020202020204" pitchFamily="34" charset="0"/>
              <a:cs typeface="Arial" panose="020B0604020202020204" pitchFamily="34" charset="0"/>
            </a:rPr>
            <a:t>CD&amp;V </a:t>
          </a:r>
          <a:r>
            <a:rPr lang="de-DE" sz="800" b="0" baseline="0">
              <a:latin typeface="Arial" panose="020B0604020202020204" pitchFamily="34" charset="0"/>
              <a:cs typeface="Arial" panose="020B0604020202020204" pitchFamily="34" charset="0"/>
            </a:rPr>
            <a:t>(since 2001)</a:t>
          </a:r>
          <a:r>
            <a:rPr lang="de-DE" sz="800" baseline="0">
              <a:latin typeface="Arial" panose="020B0604020202020204" pitchFamily="34" charset="0"/>
              <a:cs typeface="Arial" panose="020B0604020202020204" pitchFamily="34" charset="0"/>
            </a:rPr>
            <a:t>: Christian Democrat &amp; Flemish (2007 in alliance with New Flemish Alliance, N-VA)</a:t>
          </a:r>
        </a:p>
        <a:p>
          <a:r>
            <a:rPr lang="de-DE" sz="800" b="1" baseline="0">
              <a:latin typeface="Arial" panose="020B0604020202020204" pitchFamily="34" charset="0"/>
              <a:cs typeface="Arial" panose="020B0604020202020204" pitchFamily="34" charset="0"/>
            </a:rPr>
            <a:t>LP</a:t>
          </a:r>
          <a:r>
            <a:rPr lang="de-DE" sz="800" baseline="0">
              <a:latin typeface="Arial" panose="020B0604020202020204" pitchFamily="34" charset="0"/>
              <a:cs typeface="Arial" panose="020B0604020202020204" pitchFamily="34" charset="0"/>
            </a:rPr>
            <a:t>: Liberal Party</a:t>
          </a:r>
        </a:p>
        <a:p>
          <a:r>
            <a:rPr lang="de-DE" sz="800" b="1" baseline="0">
              <a:latin typeface="Arial" panose="020B0604020202020204" pitchFamily="34" charset="0"/>
              <a:cs typeface="Arial" panose="020B0604020202020204" pitchFamily="34" charset="0"/>
            </a:rPr>
            <a:t>SP</a:t>
          </a:r>
          <a:r>
            <a:rPr lang="de-DE" sz="800" baseline="0">
              <a:latin typeface="Arial" panose="020B0604020202020204" pitchFamily="34" charset="0"/>
              <a:cs typeface="Arial" panose="020B0604020202020204" pitchFamily="34" charset="0"/>
            </a:rPr>
            <a:t>: Socialist Party</a:t>
          </a:r>
        </a:p>
        <a:p>
          <a:r>
            <a:rPr lang="de-DE" sz="800" b="1" baseline="0">
              <a:latin typeface="Arial" panose="020B0604020202020204" pitchFamily="34" charset="0"/>
              <a:cs typeface="Arial" panose="020B0604020202020204" pitchFamily="34" charset="0"/>
            </a:rPr>
            <a:t>PSC </a:t>
          </a:r>
          <a:r>
            <a:rPr lang="de-DE" sz="800" b="0" baseline="0">
              <a:latin typeface="Arial" panose="020B0604020202020204" pitchFamily="34" charset="0"/>
              <a:cs typeface="Arial" panose="020B0604020202020204" pitchFamily="34" charset="0"/>
            </a:rPr>
            <a:t>(until 2002)</a:t>
          </a:r>
          <a:r>
            <a:rPr lang="de-DE" sz="800" baseline="0">
              <a:latin typeface="Arial" panose="020B0604020202020204" pitchFamily="34" charset="0"/>
              <a:cs typeface="Arial" panose="020B0604020202020204" pitchFamily="34" charset="0"/>
            </a:rPr>
            <a:t>: Christian Social Party (francophone)</a:t>
          </a:r>
        </a:p>
        <a:p>
          <a:r>
            <a:rPr lang="de-DE" sz="800" baseline="0">
              <a:latin typeface="Arial" panose="020B0604020202020204" pitchFamily="34" charset="0"/>
              <a:cs typeface="Arial" panose="020B0604020202020204" pitchFamily="34" charset="0"/>
            </a:rPr>
            <a:t>-----</a:t>
          </a:r>
          <a:r>
            <a:rPr lang="de-DE" sz="800" b="1" baseline="0">
              <a:latin typeface="Arial" panose="020B0604020202020204" pitchFamily="34" charset="0"/>
              <a:cs typeface="Arial" panose="020B0604020202020204" pitchFamily="34" charset="0"/>
            </a:rPr>
            <a:t>CDH </a:t>
          </a:r>
          <a:r>
            <a:rPr lang="de-DE" sz="800" b="0" baseline="0">
              <a:latin typeface="Arial" panose="020B0604020202020204" pitchFamily="34" charset="0"/>
              <a:cs typeface="Arial" panose="020B0604020202020204" pitchFamily="34" charset="0"/>
            </a:rPr>
            <a:t>(since 2002)</a:t>
          </a:r>
          <a:r>
            <a:rPr lang="de-DE" sz="800" baseline="0">
              <a:latin typeface="Arial" panose="020B0604020202020204" pitchFamily="34" charset="0"/>
              <a:cs typeface="Arial" panose="020B0604020202020204" pitchFamily="34" charset="0"/>
            </a:rPr>
            <a:t>: Democratic Humanist Centre</a:t>
          </a:r>
        </a:p>
        <a:p>
          <a:r>
            <a:rPr lang="de-DE" sz="800" b="1" baseline="0">
              <a:latin typeface="Arial" panose="020B0604020202020204" pitchFamily="34" charset="0"/>
              <a:cs typeface="Arial" panose="020B0604020202020204" pitchFamily="34" charset="0"/>
            </a:rPr>
            <a:t>PVV </a:t>
          </a:r>
          <a:r>
            <a:rPr lang="de-DE" sz="800" b="0" baseline="0">
              <a:latin typeface="Arial" panose="020B0604020202020204" pitchFamily="34" charset="0"/>
              <a:cs typeface="Arial" panose="020B0604020202020204" pitchFamily="34" charset="0"/>
            </a:rPr>
            <a:t>(until 1992)</a:t>
          </a:r>
          <a:r>
            <a:rPr lang="de-DE" sz="800" baseline="0">
              <a:latin typeface="Arial" panose="020B0604020202020204" pitchFamily="34" charset="0"/>
              <a:cs typeface="Arial" panose="020B0604020202020204" pitchFamily="34" charset="0"/>
            </a:rPr>
            <a:t>: Party of Liberty and Progress</a:t>
          </a:r>
        </a:p>
        <a:p>
          <a:r>
            <a:rPr lang="de-DE" sz="800" baseline="0">
              <a:latin typeface="Arial" panose="020B0604020202020204" pitchFamily="34" charset="0"/>
              <a:cs typeface="Arial" panose="020B0604020202020204" pitchFamily="34" charset="0"/>
            </a:rPr>
            <a:t>-----</a:t>
          </a:r>
          <a:r>
            <a:rPr lang="de-DE" sz="800" b="1" baseline="0">
              <a:latin typeface="Arial" panose="020B0604020202020204" pitchFamily="34" charset="0"/>
              <a:cs typeface="Arial" panose="020B0604020202020204" pitchFamily="34" charset="0"/>
            </a:rPr>
            <a:t>VLD</a:t>
          </a:r>
          <a:r>
            <a:rPr lang="de-DE" sz="800" baseline="0">
              <a:latin typeface="Arial" panose="020B0604020202020204" pitchFamily="34" charset="0"/>
              <a:cs typeface="Arial" panose="020B0604020202020204" pitchFamily="34" charset="0"/>
            </a:rPr>
            <a:t> (since 1992): Flemish Liberals and Democrats</a:t>
          </a:r>
        </a:p>
        <a:p>
          <a:r>
            <a:rPr lang="de-DE" sz="800" b="1" baseline="0">
              <a:latin typeface="Arial" panose="020B0604020202020204" pitchFamily="34" charset="0"/>
              <a:cs typeface="Arial" panose="020B0604020202020204" pitchFamily="34" charset="0"/>
            </a:rPr>
            <a:t>VU</a:t>
          </a:r>
          <a:r>
            <a:rPr lang="de-DE" sz="800" baseline="0">
              <a:latin typeface="Arial" panose="020B0604020202020204" pitchFamily="34" charset="0"/>
              <a:cs typeface="Arial" panose="020B0604020202020204" pitchFamily="34" charset="0"/>
            </a:rPr>
            <a:t>: Flemish/People's Union</a:t>
          </a:r>
        </a:p>
        <a:p>
          <a:r>
            <a:rPr lang="de-DE" sz="800" b="1">
              <a:latin typeface="Arial" panose="020B0604020202020204" pitchFamily="34" charset="0"/>
              <a:cs typeface="Arial" panose="020B0604020202020204" pitchFamily="34" charset="0"/>
            </a:rPr>
            <a:t>RW</a:t>
          </a:r>
          <a:r>
            <a:rPr lang="de-DE" sz="800">
              <a:latin typeface="Arial" panose="020B0604020202020204" pitchFamily="34" charset="0"/>
              <a:cs typeface="Arial" panose="020B0604020202020204" pitchFamily="34" charset="0"/>
            </a:rPr>
            <a:t>: Walloon Rally</a:t>
          </a:r>
        </a:p>
        <a:p>
          <a:r>
            <a:rPr lang="de-DE" sz="800" b="1">
              <a:latin typeface="Arial" panose="020B0604020202020204" pitchFamily="34" charset="0"/>
              <a:cs typeface="Arial" panose="020B0604020202020204" pitchFamily="34" charset="0"/>
            </a:rPr>
            <a:t>FDF</a:t>
          </a:r>
          <a:r>
            <a:rPr lang="de-DE" sz="800">
              <a:latin typeface="Arial" panose="020B0604020202020204" pitchFamily="34" charset="0"/>
              <a:cs typeface="Arial" panose="020B0604020202020204" pitchFamily="34" charset="0"/>
            </a:rPr>
            <a:t>: Francophone Democratic Front</a:t>
          </a:r>
        </a:p>
        <a:p>
          <a:r>
            <a:rPr lang="de-DE" sz="800" b="1">
              <a:latin typeface="Arial" panose="020B0604020202020204" pitchFamily="34" charset="0"/>
              <a:cs typeface="Arial" panose="020B0604020202020204" pitchFamily="34" charset="0"/>
            </a:rPr>
            <a:t>PRL</a:t>
          </a:r>
          <a:r>
            <a:rPr lang="de-DE" sz="800">
              <a:latin typeface="Arial" panose="020B0604020202020204" pitchFamily="34" charset="0"/>
              <a:cs typeface="Arial" panose="020B0604020202020204" pitchFamily="34" charset="0"/>
            </a:rPr>
            <a:t>: Francophone Liberal Reform Party</a:t>
          </a:r>
        </a:p>
        <a:p>
          <a:r>
            <a:rPr lang="de-DE" sz="800">
              <a:latin typeface="Arial" panose="020B0604020202020204" pitchFamily="34" charset="0"/>
              <a:cs typeface="Arial" panose="020B0604020202020204" pitchFamily="34" charset="0"/>
            </a:rPr>
            <a:t>-----1995: Alliance with FDF</a:t>
          </a:r>
        </a:p>
        <a:p>
          <a:r>
            <a:rPr lang="de-DE" sz="800">
              <a:latin typeface="Arial" panose="020B0604020202020204" pitchFamily="34" charset="0"/>
              <a:cs typeface="Arial" panose="020B0604020202020204" pitchFamily="34" charset="0"/>
            </a:rPr>
            <a:t>-----1999:</a:t>
          </a:r>
          <a:r>
            <a:rPr lang="de-DE" sz="800" baseline="0">
              <a:latin typeface="Arial" panose="020B0604020202020204" pitchFamily="34" charset="0"/>
              <a:cs typeface="Arial" panose="020B0604020202020204" pitchFamily="34" charset="0"/>
            </a:rPr>
            <a:t> Fédération PRL-FDF-MCC</a:t>
          </a:r>
        </a:p>
        <a:p>
          <a:r>
            <a:rPr lang="de-DE" sz="800" baseline="0">
              <a:latin typeface="Arial" panose="020B0604020202020204" pitchFamily="34" charset="0"/>
              <a:cs typeface="Arial" panose="020B0604020202020204" pitchFamily="34" charset="0"/>
            </a:rPr>
            <a:t>-----</a:t>
          </a:r>
          <a:r>
            <a:rPr lang="de-DE" sz="800" b="1" baseline="0">
              <a:latin typeface="Arial" panose="020B0604020202020204" pitchFamily="34" charset="0"/>
              <a:cs typeface="Arial" panose="020B0604020202020204" pitchFamily="34" charset="0"/>
            </a:rPr>
            <a:t>MR</a:t>
          </a:r>
          <a:r>
            <a:rPr lang="de-DE" sz="800" baseline="0">
              <a:latin typeface="Arial" panose="020B0604020202020204" pitchFamily="34" charset="0"/>
              <a:cs typeface="Arial" panose="020B0604020202020204" pitchFamily="34" charset="0"/>
            </a:rPr>
            <a:t> (since 2002): Reform Movement</a:t>
          </a:r>
          <a:endParaRPr lang="de-DE" sz="800">
            <a:latin typeface="Arial" panose="020B0604020202020204" pitchFamily="34" charset="0"/>
            <a:cs typeface="Arial" panose="020B0604020202020204" pitchFamily="34" charset="0"/>
          </a:endParaRPr>
        </a:p>
        <a:p>
          <a:r>
            <a:rPr lang="de-DE" sz="800" b="1">
              <a:latin typeface="Arial" panose="020B0604020202020204" pitchFamily="34" charset="0"/>
              <a:cs typeface="Arial" panose="020B0604020202020204" pitchFamily="34" charset="0"/>
            </a:rPr>
            <a:t>PS</a:t>
          </a:r>
          <a:r>
            <a:rPr lang="de-DE" sz="800">
              <a:latin typeface="Arial" panose="020B0604020202020204" pitchFamily="34" charset="0"/>
              <a:cs typeface="Arial" panose="020B0604020202020204" pitchFamily="34" charset="0"/>
            </a:rPr>
            <a:t>:</a:t>
          </a:r>
          <a:r>
            <a:rPr lang="de-DE" sz="800" baseline="0">
              <a:latin typeface="Arial" panose="020B0604020202020204" pitchFamily="34" charset="0"/>
              <a:cs typeface="Arial" panose="020B0604020202020204" pitchFamily="34" charset="0"/>
            </a:rPr>
            <a:t> Francophone Socialist Party</a:t>
          </a:r>
        </a:p>
        <a:p>
          <a:r>
            <a:rPr lang="de-DE" sz="800" b="1" baseline="0">
              <a:latin typeface="Arial" panose="020B0604020202020204" pitchFamily="34" charset="0"/>
              <a:cs typeface="Arial" panose="020B0604020202020204" pitchFamily="34" charset="0"/>
            </a:rPr>
            <a:t>SP.a</a:t>
          </a:r>
          <a:r>
            <a:rPr lang="de-DE" sz="800" baseline="0">
              <a:latin typeface="Arial" panose="020B0604020202020204" pitchFamily="34" charset="0"/>
              <a:cs typeface="Arial" panose="020B0604020202020204" pitchFamily="34" charset="0"/>
            </a:rPr>
            <a:t>: Socialist Party Different</a:t>
          </a:r>
        </a:p>
        <a:p>
          <a:r>
            <a:rPr lang="de-DE" sz="800" b="1" baseline="0">
              <a:latin typeface="Arial" panose="020B0604020202020204" pitchFamily="34" charset="0"/>
              <a:cs typeface="Arial" panose="020B0604020202020204" pitchFamily="34" charset="0"/>
            </a:rPr>
            <a:t>ECOLO</a:t>
          </a:r>
          <a:r>
            <a:rPr lang="de-DE" sz="800" baseline="0">
              <a:latin typeface="Arial" panose="020B0604020202020204" pitchFamily="34" charset="0"/>
              <a:cs typeface="Arial" panose="020B0604020202020204" pitchFamily="34" charset="0"/>
            </a:rPr>
            <a:t>: Greens (francophone)</a:t>
          </a:r>
        </a:p>
        <a:p>
          <a:r>
            <a:rPr lang="de-DE" sz="800" b="1" baseline="0">
              <a:latin typeface="Arial" panose="020B0604020202020204" pitchFamily="34" charset="0"/>
              <a:cs typeface="Arial" panose="020B0604020202020204" pitchFamily="34" charset="0"/>
            </a:rPr>
            <a:t>AGALEV</a:t>
          </a:r>
          <a:r>
            <a:rPr lang="de-DE" sz="800" baseline="0">
              <a:latin typeface="Arial" panose="020B0604020202020204" pitchFamily="34" charset="0"/>
              <a:cs typeface="Arial" panose="020B0604020202020204" pitchFamily="34" charset="0"/>
            </a:rPr>
            <a:t>: Greens (flemish)</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37</xdr:col>
      <xdr:colOff>36633</xdr:colOff>
      <xdr:row>17</xdr:row>
      <xdr:rowOff>95250</xdr:rowOff>
    </xdr:from>
    <xdr:to>
      <xdr:col>44</xdr:col>
      <xdr:colOff>261936</xdr:colOff>
      <xdr:row>48</xdr:row>
      <xdr:rowOff>71439</xdr:rowOff>
    </xdr:to>
    <xdr:sp macro="" textlink="">
      <xdr:nvSpPr>
        <xdr:cNvPr id="6" name="Textfeld 5"/>
        <xdr:cNvSpPr txBox="1"/>
      </xdr:nvSpPr>
      <xdr:spPr>
        <a:xfrm>
          <a:off x="14332071" y="2190750"/>
          <a:ext cx="2892303" cy="3421064"/>
        </a:xfrm>
        <a:prstGeom prst="rect">
          <a:avLst/>
        </a:prstGeom>
        <a:solidFill>
          <a:schemeClr val="bg1">
            <a:lumMod val="85000"/>
          </a:schemeClr>
        </a:solidFill>
        <a:ln w="9525" cmpd="sng">
          <a:solidFill>
            <a:sysClr val="window" lastClr="FFFFFF">
              <a:shade val="50000"/>
            </a:sysClr>
          </a:solidFill>
        </a:ln>
        <a:effectLst/>
      </xdr:spPr>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VPN: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Public Against Violence Union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since 1992: Public Against Violence - Civic Democratic Union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KDH: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Christian Democratic Movement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DS:</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Democratic Party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HZDS</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Movement for a Democratic Slovakia</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----- 1994: HZDS was in an electoral alliance with the Peasants Party of Slovakia</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since 2006: </a:t>
          </a: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LS-HZDS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SNS</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Slovak National Party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SDL: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Party of the Democratic Left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----- 1996: relabeling form postco1 to leftsoc1</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DUS:</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Democratic Union of Slovakia (splinter from HZDS)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ADSR</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Alliance of Democrats of the Slovak Republic (splinter from HZDS, merged into DUS in 1994)</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NDS</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National Democratic Party (splinter from SNS)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ZRS: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Association of Slovak Workers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SDK: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The Slovak Democratic Coalition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SMK:</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Party of the Hungarian Coalition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SOP</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Party of Civic Understanding</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SDKU:</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Slovak Democratic and Christian Union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----- 2006: Merged with Democratic Party (DS) to </a:t>
          </a: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SDKU-DS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ANO:</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Alliance of New Citizens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Smer:</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Direction/Social Democracy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----- 2004: SDL and SDA merged with Smer to </a:t>
          </a: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Smer-SD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SaS:</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Freedom and Solidarity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Most-Híd:</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The Bridge</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37</xdr:col>
      <xdr:colOff>63499</xdr:colOff>
      <xdr:row>9</xdr:row>
      <xdr:rowOff>23812</xdr:rowOff>
    </xdr:from>
    <xdr:to>
      <xdr:col>44</xdr:col>
      <xdr:colOff>214312</xdr:colOff>
      <xdr:row>28</xdr:row>
      <xdr:rowOff>39688</xdr:rowOff>
    </xdr:to>
    <xdr:sp macro="" textlink="">
      <xdr:nvSpPr>
        <xdr:cNvPr id="4" name="Textfeld 3"/>
        <xdr:cNvSpPr txBox="1"/>
      </xdr:nvSpPr>
      <xdr:spPr>
        <a:xfrm>
          <a:off x="14358937" y="1230312"/>
          <a:ext cx="2817813" cy="2127251"/>
        </a:xfrm>
        <a:prstGeom prst="rect">
          <a:avLst/>
        </a:prstGeom>
        <a:solidFill>
          <a:schemeClr val="bg1">
            <a:lumMod val="85000"/>
          </a:schemeClr>
        </a:solidFill>
        <a:ln w="9525" cmpd="sng">
          <a:solidFill>
            <a:sysClr val="window" lastClr="FFFFFF">
              <a:shade val="50000"/>
            </a:sysClr>
          </a:solidFill>
        </a:ln>
        <a:effectLst/>
      </xdr:spPr>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LDS</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Liberal Democracy of Slovenia</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SKD:</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Slovenian Christian Democratic Party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SD:</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Social Democrats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ZLSD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(until 2008)</a:t>
          </a: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United List of Social Democrats </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SDS</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Social Democratic Party of Slovenia</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ZS: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Greens of Slovenia</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SLS</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Slovenian People's Party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DeSUS: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Democratic Party of Pensioners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SLS-SKD: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Slovenian People's Party and Slovenian Christian Democrats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NSi:</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New Slovenia and People's Christian Party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ZARES:</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Party for Real/New Politics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DL: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Civic List</a:t>
          </a:r>
          <a:b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b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DLGV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(until 2012): Citizens’ Alliance of Gregor Virant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PS: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Positive Slovenia</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ZaAB: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Alliance of Alenka Bratusek</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MC: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Party of Miro Cerar</a:t>
          </a:r>
          <a:endPar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25</xdr:col>
      <xdr:colOff>95250</xdr:colOff>
      <xdr:row>6</xdr:row>
      <xdr:rowOff>7938</xdr:rowOff>
    </xdr:from>
    <xdr:to>
      <xdr:col>32</xdr:col>
      <xdr:colOff>47625</xdr:colOff>
      <xdr:row>10</xdr:row>
      <xdr:rowOff>55563</xdr:rowOff>
    </xdr:to>
    <xdr:sp macro="" textlink="">
      <xdr:nvSpPr>
        <xdr:cNvPr id="4" name="Textfeld 3"/>
        <xdr:cNvSpPr txBox="1"/>
      </xdr:nvSpPr>
      <xdr:spPr>
        <a:xfrm>
          <a:off x="9723438" y="4659313"/>
          <a:ext cx="2619375" cy="492125"/>
        </a:xfrm>
        <a:prstGeom prst="rect">
          <a:avLst/>
        </a:prstGeom>
        <a:solidFill>
          <a:schemeClr val="bg1">
            <a:lumMod val="85000"/>
          </a:schemeClr>
        </a:solidFill>
        <a:ln w="9525" cmpd="sng">
          <a:solidFill>
            <a:sysClr val="window" lastClr="FFFFFF">
              <a:shade val="50000"/>
            </a:sysClr>
          </a:solidFill>
        </a:ln>
        <a:effectLst/>
      </xdr:spPr>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PSOE</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Socialist Party </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UCD: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Union of the Democratic Centre </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PP: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People's Party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25</xdr:col>
      <xdr:colOff>95254</xdr:colOff>
      <xdr:row>8</xdr:row>
      <xdr:rowOff>63510</xdr:rowOff>
    </xdr:from>
    <xdr:to>
      <xdr:col>32</xdr:col>
      <xdr:colOff>47629</xdr:colOff>
      <xdr:row>15</xdr:row>
      <xdr:rowOff>95260</xdr:rowOff>
    </xdr:to>
    <xdr:sp macro="" textlink="">
      <xdr:nvSpPr>
        <xdr:cNvPr id="5" name="Textfeld 4"/>
        <xdr:cNvSpPr txBox="1"/>
      </xdr:nvSpPr>
      <xdr:spPr>
        <a:xfrm>
          <a:off x="9723442" y="936635"/>
          <a:ext cx="2619375" cy="809625"/>
        </a:xfrm>
        <a:prstGeom prst="rect">
          <a:avLst/>
        </a:prstGeom>
        <a:solidFill>
          <a:schemeClr val="bg1">
            <a:lumMod val="85000"/>
          </a:schemeClr>
        </a:solidFill>
        <a:ln w="9525" cmpd="sng">
          <a:solidFill>
            <a:sysClr val="window" lastClr="FFFFFF">
              <a:shade val="50000"/>
            </a:sysClr>
          </a:solidFill>
        </a:ln>
        <a:effectLst/>
      </xdr:spPr>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S</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Social Democrats </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C: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Agrarian Party, Center Party </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KDS</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Christian Democratic Union  </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M: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Conservatives, Moderate Unity Party </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FP: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People’s Party (The Liberals)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MP: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Green Party</a:t>
          </a:r>
          <a:endPar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37</xdr:col>
      <xdr:colOff>31751</xdr:colOff>
      <xdr:row>10</xdr:row>
      <xdr:rowOff>7958</xdr:rowOff>
    </xdr:from>
    <xdr:to>
      <xdr:col>42</xdr:col>
      <xdr:colOff>63501</xdr:colOff>
      <xdr:row>17</xdr:row>
      <xdr:rowOff>39708</xdr:rowOff>
    </xdr:to>
    <xdr:sp macro="" textlink="">
      <xdr:nvSpPr>
        <xdr:cNvPr id="3" name="Textfeld 2"/>
        <xdr:cNvSpPr txBox="1"/>
      </xdr:nvSpPr>
      <xdr:spPr>
        <a:xfrm>
          <a:off x="14231939" y="1103333"/>
          <a:ext cx="1936750" cy="809625"/>
        </a:xfrm>
        <a:prstGeom prst="rect">
          <a:avLst/>
        </a:prstGeom>
        <a:solidFill>
          <a:schemeClr val="bg1">
            <a:lumMod val="85000"/>
          </a:schemeClr>
        </a:solidFill>
        <a:ln w="9525" cmpd="sng">
          <a:solidFill>
            <a:sysClr val="window" lastClr="FFFFFF">
              <a:shade val="50000"/>
            </a:sysClr>
          </a:solidFill>
        </a:ln>
        <a:effectLst/>
      </xdr:spPr>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SPS</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Social Democrats </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CVP: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Christian Democrats  </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FDP: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Radical Democrats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SVP</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Swiss People’s Party  </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BDP: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Conservative Democratic Party </a:t>
          </a:r>
          <a:endPar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25</xdr:col>
      <xdr:colOff>15875</xdr:colOff>
      <xdr:row>8</xdr:row>
      <xdr:rowOff>7938</xdr:rowOff>
    </xdr:from>
    <xdr:to>
      <xdr:col>29</xdr:col>
      <xdr:colOff>15875</xdr:colOff>
      <xdr:row>12</xdr:row>
      <xdr:rowOff>47626</xdr:rowOff>
    </xdr:to>
    <xdr:sp macro="" textlink="">
      <xdr:nvSpPr>
        <xdr:cNvPr id="3" name="Textfeld 2"/>
        <xdr:cNvSpPr txBox="1"/>
      </xdr:nvSpPr>
      <xdr:spPr>
        <a:xfrm>
          <a:off x="9644063" y="881063"/>
          <a:ext cx="1524000" cy="484188"/>
        </a:xfrm>
        <a:prstGeom prst="rect">
          <a:avLst/>
        </a:prstGeom>
        <a:solidFill>
          <a:schemeClr val="bg1">
            <a:lumMod val="85000"/>
          </a:schemeClr>
        </a:solidFill>
        <a:ln w="9525" cmpd="sng">
          <a:solidFill>
            <a:sysClr val="window" lastClr="FFFFFF">
              <a:shade val="50000"/>
            </a:sysClr>
          </a:solidFill>
        </a:ln>
        <a:effectLst/>
      </xdr:spPr>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LAB</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Labour Party </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CON: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Conservative Party </a:t>
          </a: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LIB: </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Liberal Democrats </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29</xdr:col>
      <xdr:colOff>63499</xdr:colOff>
      <xdr:row>8</xdr:row>
      <xdr:rowOff>103188</xdr:rowOff>
    </xdr:from>
    <xdr:to>
      <xdr:col>33</xdr:col>
      <xdr:colOff>63499</xdr:colOff>
      <xdr:row>11</xdr:row>
      <xdr:rowOff>95251</xdr:rowOff>
    </xdr:to>
    <xdr:sp macro="" textlink="">
      <xdr:nvSpPr>
        <xdr:cNvPr id="7" name="Textfeld 6"/>
        <xdr:cNvSpPr txBox="1"/>
      </xdr:nvSpPr>
      <xdr:spPr>
        <a:xfrm>
          <a:off x="11215687" y="976313"/>
          <a:ext cx="1524000" cy="325438"/>
        </a:xfrm>
        <a:prstGeom prst="rect">
          <a:avLst/>
        </a:prstGeom>
        <a:solidFill>
          <a:schemeClr val="bg1">
            <a:lumMod val="85000"/>
          </a:schemeClr>
        </a:solidFill>
        <a:ln w="9525" cmpd="sng">
          <a:solidFill>
            <a:sysClr val="window" lastClr="FFFFFF">
              <a:shade val="50000"/>
            </a:sysClr>
          </a:solidFill>
        </a:ln>
        <a:effectLst/>
      </xdr:spPr>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RP</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Republican Party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DP</a:t>
          </a:r>
          <a:r>
            <a:rPr kumimoji="0" lang="de-DE" sz="800" b="0" i="0" u="none" strike="noStrike" kern="0" cap="none" spc="0" normalizeH="0" baseline="0" noProof="0">
              <a:ln>
                <a:noFill/>
              </a:ln>
              <a:solidFill>
                <a:sysClr val="windowText" lastClr="000000"/>
              </a:solidFill>
              <a:effectLst/>
              <a:uLnTx/>
              <a:uFillTx/>
              <a:latin typeface="Arial" panose="020B0604020202020204" pitchFamily="34" charset="0"/>
              <a:cs typeface="Arial" panose="020B0604020202020204" pitchFamily="34" charset="0"/>
            </a:rPr>
            <a:t>: Democratic Party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33</xdr:col>
      <xdr:colOff>119138</xdr:colOff>
      <xdr:row>10</xdr:row>
      <xdr:rowOff>95250</xdr:rowOff>
    </xdr:from>
    <xdr:to>
      <xdr:col>42</xdr:col>
      <xdr:colOff>119138</xdr:colOff>
      <xdr:row>38</xdr:row>
      <xdr:rowOff>7938</xdr:rowOff>
    </xdr:to>
    <xdr:sp macro="" textlink="">
      <xdr:nvSpPr>
        <xdr:cNvPr id="2" name="Textfeld 1"/>
        <xdr:cNvSpPr txBox="1"/>
      </xdr:nvSpPr>
      <xdr:spPr>
        <a:xfrm>
          <a:off x="12890576" y="1412875"/>
          <a:ext cx="3429000" cy="3024188"/>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800" b="1" baseline="0">
              <a:latin typeface="Arial" panose="020B0604020202020204" pitchFamily="34" charset="0"/>
              <a:cs typeface="Arial" panose="020B0604020202020204" pitchFamily="34" charset="0"/>
            </a:rPr>
            <a:t>BSP</a:t>
          </a:r>
          <a:r>
            <a:rPr lang="de-DE" sz="800" baseline="0">
              <a:latin typeface="Arial" panose="020B0604020202020204" pitchFamily="34" charset="0"/>
              <a:cs typeface="Arial" panose="020B0604020202020204" pitchFamily="34" charset="0"/>
            </a:rPr>
            <a:t>: Bulgarian Socialist Party</a:t>
          </a:r>
        </a:p>
        <a:p>
          <a:pPr lvl="0"/>
          <a:r>
            <a:rPr lang="de-DE" sz="800" b="1" baseline="0">
              <a:latin typeface="Arial" panose="020B0604020202020204" pitchFamily="34" charset="0"/>
              <a:cs typeface="Arial" panose="020B0604020202020204" pitchFamily="34" charset="0"/>
            </a:rPr>
            <a:t>BSP/CDL</a:t>
          </a:r>
          <a:r>
            <a:rPr lang="de-DE" sz="800" baseline="0">
              <a:latin typeface="Arial" panose="020B0604020202020204" pitchFamily="34" charset="0"/>
              <a:cs typeface="Arial" panose="020B0604020202020204" pitchFamily="34" charset="0"/>
            </a:rPr>
            <a:t>: Coalition for the Democratic Left [comprised of Bulgarian Socialist Party; Bulgarian Agrarian People's Union - Alexander Stanboliski and PC "Ecoglasnost"]</a:t>
          </a:r>
        </a:p>
        <a:p>
          <a:pPr lvl="0"/>
          <a:r>
            <a:rPr lang="de-DE" sz="800" b="1" baseline="0">
              <a:latin typeface="Arial" panose="020B0604020202020204" pitchFamily="34" charset="0"/>
              <a:cs typeface="Arial" panose="020B0604020202020204" pitchFamily="34" charset="0"/>
            </a:rPr>
            <a:t>BSP/KB</a:t>
          </a:r>
          <a:r>
            <a:rPr lang="de-DE" sz="800" baseline="0">
              <a:latin typeface="Arial" panose="020B0604020202020204" pitchFamily="34" charset="0"/>
              <a:cs typeface="Arial" panose="020B0604020202020204" pitchFamily="34" charset="0"/>
            </a:rPr>
            <a:t>: Bulgarian Socialist Party as part of the Coalition for Bulgaria (see KB)</a:t>
          </a:r>
        </a:p>
        <a:p>
          <a:pPr lvl="0"/>
          <a:r>
            <a:rPr lang="de-DE" sz="800" b="1" baseline="0">
              <a:latin typeface="Arial" panose="020B0604020202020204" pitchFamily="34" charset="0"/>
              <a:cs typeface="Arial" panose="020B0604020202020204" pitchFamily="34" charset="0"/>
            </a:rPr>
            <a:t>KB</a:t>
          </a:r>
          <a:r>
            <a:rPr lang="de-DE" sz="800" baseline="0">
              <a:latin typeface="Arial" panose="020B0604020202020204" pitchFamily="34" charset="0"/>
              <a:cs typeface="Arial" panose="020B0604020202020204" pitchFamily="34" charset="0"/>
            </a:rPr>
            <a:t>: Coalition for Bulgaria [comprised of Bulgarian Socialist Party, "Social Democrats" Political Movement, United Labour Block, Bulgarian Agrarian Union "Al. Stamboliyski - 1899", Union for the Fatherland, Social-Liberal Progress Alliance, "Forward Bulgaria" Movement, Communist Party of Bulgaria, "Trakiya" Political Club, "Roma" Civil Alliance]</a:t>
          </a:r>
        </a:p>
        <a:p>
          <a:pPr lvl="0"/>
          <a:r>
            <a:rPr lang="de-DE" sz="800" b="1" baseline="0">
              <a:latin typeface="Arial" panose="020B0604020202020204" pitchFamily="34" charset="0"/>
              <a:cs typeface="Arial" panose="020B0604020202020204" pitchFamily="34" charset="0"/>
            </a:rPr>
            <a:t>SDS</a:t>
          </a:r>
          <a:r>
            <a:rPr lang="de-DE" sz="800" baseline="0">
              <a:latin typeface="Arial" panose="020B0604020202020204" pitchFamily="34" charset="0"/>
              <a:cs typeface="Arial" panose="020B0604020202020204" pitchFamily="34" charset="0"/>
            </a:rPr>
            <a:t>: Union of Democratic Forces [1997-2008: Participated as major party in the alliance of the United Democratic Forces; also part of the electoral alliance were the Bulgarian Agrarian People’s Union (BZNS), Democratic Party (DP) and the Bulgarian Social Democratic Party]</a:t>
          </a:r>
        </a:p>
        <a:p>
          <a:r>
            <a:rPr lang="de-DE" sz="800" b="1" baseline="0">
              <a:latin typeface="Arial" panose="020B0604020202020204" pitchFamily="34" charset="0"/>
              <a:cs typeface="Arial" panose="020B0604020202020204" pitchFamily="34" charset="0"/>
            </a:rPr>
            <a:t>BZNS</a:t>
          </a:r>
          <a:r>
            <a:rPr lang="de-DE" sz="800" baseline="0">
              <a:latin typeface="Arial" panose="020B0604020202020204" pitchFamily="34" charset="0"/>
              <a:cs typeface="Arial" panose="020B0604020202020204" pitchFamily="34" charset="0"/>
            </a:rPr>
            <a:t>: Bulgarian National People's Union</a:t>
          </a:r>
        </a:p>
        <a:p>
          <a:r>
            <a:rPr lang="de-DE" sz="800" b="1" baseline="0">
              <a:latin typeface="Arial" panose="020B0604020202020204" pitchFamily="34" charset="0"/>
              <a:cs typeface="Arial" panose="020B0604020202020204" pitchFamily="34" charset="0"/>
            </a:rPr>
            <a:t>NDSV</a:t>
          </a:r>
          <a:r>
            <a:rPr lang="de-DE" sz="800" baseline="0">
              <a:latin typeface="Arial" panose="020B0604020202020204" pitchFamily="34" charset="0"/>
              <a:cs typeface="Arial" panose="020B0604020202020204" pitchFamily="34" charset="0"/>
            </a:rPr>
            <a:t>: </a:t>
          </a:r>
          <a:r>
            <a:rPr lang="vi-VN" sz="800" baseline="0">
              <a:latin typeface="Arial" panose="020B0604020202020204" pitchFamily="34" charset="0"/>
              <a:cs typeface="Arial" panose="020B0604020202020204" pitchFamily="34" charset="0"/>
            </a:rPr>
            <a:t>National Movement for Stability and Progress [Until 2007: National Movement Simeon II</a:t>
          </a:r>
          <a:r>
            <a:rPr lang="de-CH" sz="800" baseline="0">
              <a:latin typeface="Arial" panose="020B0604020202020204" pitchFamily="34" charset="0"/>
              <a:cs typeface="Arial" panose="020B0604020202020204" pitchFamily="34" charset="0"/>
            </a:rPr>
            <a:t>]</a:t>
          </a:r>
        </a:p>
        <a:p>
          <a:r>
            <a:rPr lang="de-CH" sz="800" b="1" baseline="0">
              <a:latin typeface="Arial" panose="020B0604020202020204" pitchFamily="34" charset="0"/>
              <a:cs typeface="Arial" panose="020B0604020202020204" pitchFamily="34" charset="0"/>
            </a:rPr>
            <a:t>DPS</a:t>
          </a:r>
          <a:r>
            <a:rPr lang="de-CH" sz="800" baseline="0">
              <a:latin typeface="Arial" panose="020B0604020202020204" pitchFamily="34" charset="0"/>
              <a:cs typeface="Arial" panose="020B0604020202020204" pitchFamily="34" charset="0"/>
            </a:rPr>
            <a:t>: Movement for Rights and Freedoms [2001-2011: Participated as major party in the Coalition of Movement for Rights and Freedoms; also part of the alliance were the Liberal Union and Euroroma]</a:t>
          </a:r>
        </a:p>
        <a:p>
          <a:r>
            <a:rPr lang="de-CH" sz="800" b="1" baseline="0">
              <a:latin typeface="Arial" panose="020B0604020202020204" pitchFamily="34" charset="0"/>
              <a:cs typeface="Arial" panose="020B0604020202020204" pitchFamily="34" charset="0"/>
            </a:rPr>
            <a:t>GERB</a:t>
          </a:r>
          <a:r>
            <a:rPr lang="de-CH" sz="800" baseline="0">
              <a:latin typeface="Arial" panose="020B0604020202020204" pitchFamily="34" charset="0"/>
              <a:cs typeface="Arial" panose="020B0604020202020204" pitchFamily="34" charset="0"/>
            </a:rPr>
            <a:t>: Citizens for European Development of Bulgaria</a:t>
          </a:r>
        </a:p>
        <a:p>
          <a:r>
            <a:rPr lang="de-CH" sz="800" b="1" baseline="0">
              <a:latin typeface="Arial" panose="020B0604020202020204" pitchFamily="34" charset="0"/>
              <a:cs typeface="Arial" panose="020B0604020202020204" pitchFamily="34" charset="0"/>
            </a:rPr>
            <a:t>RB: </a:t>
          </a:r>
          <a:r>
            <a:rPr lang="de-CH" sz="800" b="0" baseline="0">
              <a:latin typeface="Arial" panose="020B0604020202020204" pitchFamily="34" charset="0"/>
              <a:cs typeface="Arial" panose="020B0604020202020204" pitchFamily="34" charset="0"/>
            </a:rPr>
            <a:t>Reformist Bloc</a:t>
          </a:r>
          <a:endParaRPr lang="de-DE" sz="800" b="0" baseline="0">
            <a:latin typeface="Arial" panose="020B0604020202020204" pitchFamily="34" charset="0"/>
            <a:cs typeface="Arial" panose="020B0604020202020204" pitchFamily="34" charset="0"/>
          </a:endParaRPr>
        </a:p>
        <a:p>
          <a:r>
            <a:rPr lang="de-DE" sz="800" b="1" baseline="0">
              <a:latin typeface="Arial" panose="020B0604020202020204" pitchFamily="34" charset="0"/>
              <a:cs typeface="Arial" panose="020B0604020202020204" pitchFamily="34" charset="0"/>
            </a:rPr>
            <a:t>ABV:</a:t>
          </a:r>
          <a:r>
            <a:rPr lang="de-DE" sz="800" b="0" baseline="0">
              <a:latin typeface="Arial" panose="020B0604020202020204" pitchFamily="34" charset="0"/>
              <a:cs typeface="Arial" panose="020B0604020202020204" pitchFamily="34" charset="0"/>
            </a:rPr>
            <a:t> Alternative for Bulgarian Revival</a:t>
          </a:r>
          <a:endParaRPr lang="de-CH" sz="800" b="1" baseline="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26</xdr:col>
      <xdr:colOff>1</xdr:colOff>
      <xdr:row>28</xdr:row>
      <xdr:rowOff>1</xdr:rowOff>
    </xdr:from>
    <xdr:to>
      <xdr:col>32</xdr:col>
      <xdr:colOff>1</xdr:colOff>
      <xdr:row>32</xdr:row>
      <xdr:rowOff>31751</xdr:rowOff>
    </xdr:to>
    <xdr:sp macro="" textlink="">
      <xdr:nvSpPr>
        <xdr:cNvPr id="3" name="Textfeld 2"/>
        <xdr:cNvSpPr txBox="1"/>
      </xdr:nvSpPr>
      <xdr:spPr>
        <a:xfrm>
          <a:off x="10104439" y="3095626"/>
          <a:ext cx="2286000" cy="4762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800" b="1">
              <a:latin typeface="Arial" panose="020B0604020202020204" pitchFamily="34" charset="0"/>
              <a:cs typeface="Arial" panose="020B0604020202020204" pitchFamily="34" charset="0"/>
            </a:rPr>
            <a:t>PC</a:t>
          </a:r>
          <a:r>
            <a:rPr lang="de-DE" sz="800">
              <a:latin typeface="Arial" panose="020B0604020202020204" pitchFamily="34" charset="0"/>
              <a:cs typeface="Arial" panose="020B0604020202020204" pitchFamily="34" charset="0"/>
            </a:rPr>
            <a:t>:</a:t>
          </a:r>
          <a:r>
            <a:rPr lang="de-DE" sz="800" baseline="0">
              <a:latin typeface="Arial" panose="020B0604020202020204" pitchFamily="34" charset="0"/>
              <a:cs typeface="Arial" panose="020B0604020202020204" pitchFamily="34" charset="0"/>
            </a:rPr>
            <a:t> Progressive Conservative Party</a:t>
          </a:r>
        </a:p>
        <a:p>
          <a:r>
            <a:rPr lang="de-DE" sz="800" b="1" baseline="0">
              <a:latin typeface="Arial" panose="020B0604020202020204" pitchFamily="34" charset="0"/>
              <a:cs typeface="Arial" panose="020B0604020202020204" pitchFamily="34" charset="0"/>
            </a:rPr>
            <a:t>LIB</a:t>
          </a:r>
          <a:r>
            <a:rPr lang="de-DE" sz="800" baseline="0">
              <a:latin typeface="Arial" panose="020B0604020202020204" pitchFamily="34" charset="0"/>
              <a:cs typeface="Arial" panose="020B0604020202020204" pitchFamily="34" charset="0"/>
            </a:rPr>
            <a:t>: Liberal Party</a:t>
          </a:r>
          <a:endParaRPr lang="de-DE" sz="800">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37</xdr:col>
      <xdr:colOff>47624</xdr:colOff>
      <xdr:row>16</xdr:row>
      <xdr:rowOff>7938</xdr:rowOff>
    </xdr:from>
    <xdr:to>
      <xdr:col>45</xdr:col>
      <xdr:colOff>468311</xdr:colOff>
      <xdr:row>31</xdr:row>
      <xdr:rowOff>0</xdr:rowOff>
    </xdr:to>
    <xdr:sp macro="" textlink="">
      <xdr:nvSpPr>
        <xdr:cNvPr id="2" name="Textfeld 1"/>
        <xdr:cNvSpPr txBox="1"/>
      </xdr:nvSpPr>
      <xdr:spPr>
        <a:xfrm>
          <a:off x="14343062" y="4214813"/>
          <a:ext cx="3468687" cy="1658937"/>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800" b="1">
              <a:latin typeface="Arial" panose="020B0604020202020204" pitchFamily="34" charset="0"/>
              <a:cs typeface="Arial" panose="020B0604020202020204" pitchFamily="34" charset="0"/>
            </a:rPr>
            <a:t>SDP</a:t>
          </a:r>
          <a:r>
            <a:rPr lang="de-DE" sz="800">
              <a:latin typeface="Arial" panose="020B0604020202020204" pitchFamily="34" charset="0"/>
              <a:cs typeface="Arial" panose="020B0604020202020204" pitchFamily="34" charset="0"/>
            </a:rPr>
            <a:t>:</a:t>
          </a:r>
          <a:r>
            <a:rPr lang="de-DE" sz="800" baseline="0">
              <a:latin typeface="Arial" panose="020B0604020202020204" pitchFamily="34" charset="0"/>
              <a:cs typeface="Arial" panose="020B0604020202020204" pitchFamily="34" charset="0"/>
            </a:rPr>
            <a:t> Social Democratic Party of Croatia (Socijaldemokratska Partija Hrvatska)</a:t>
          </a:r>
        </a:p>
        <a:p>
          <a:r>
            <a:rPr lang="de-DE" sz="800" b="1" baseline="0">
              <a:latin typeface="Arial" panose="020B0604020202020204" pitchFamily="34" charset="0"/>
              <a:cs typeface="Arial" panose="020B0604020202020204" pitchFamily="34" charset="0"/>
            </a:rPr>
            <a:t>HSLS</a:t>
          </a:r>
          <a:r>
            <a:rPr lang="de-DE" sz="800" baseline="0">
              <a:latin typeface="Arial" panose="020B0604020202020204" pitchFamily="34" charset="0"/>
              <a:cs typeface="Arial" panose="020B0604020202020204" pitchFamily="34" charset="0"/>
            </a:rPr>
            <a:t>: Croatian Social Liberal Party (Hrvatska Socijalno Liberalna Stranka)</a:t>
          </a:r>
        </a:p>
        <a:p>
          <a:r>
            <a:rPr lang="de-DE" sz="800" b="1" baseline="0">
              <a:latin typeface="Arial" panose="020B0604020202020204" pitchFamily="34" charset="0"/>
              <a:cs typeface="Arial" panose="020B0604020202020204" pitchFamily="34" charset="0"/>
            </a:rPr>
            <a:t>HSS: </a:t>
          </a:r>
          <a:r>
            <a:rPr lang="de-DE" sz="800" b="0" baseline="0">
              <a:latin typeface="Arial" panose="020B0604020202020204" pitchFamily="34" charset="0"/>
              <a:cs typeface="Arial" panose="020B0604020202020204" pitchFamily="34" charset="0"/>
            </a:rPr>
            <a:t>Croatian Peasant Party (Hrvatska Seljačka Stranka)</a:t>
          </a:r>
        </a:p>
        <a:p>
          <a:r>
            <a:rPr lang="de-DE" sz="800" b="1" baseline="0">
              <a:latin typeface="Arial" panose="020B0604020202020204" pitchFamily="34" charset="0"/>
              <a:cs typeface="Arial" panose="020B0604020202020204" pitchFamily="34" charset="0"/>
            </a:rPr>
            <a:t>HNS: </a:t>
          </a:r>
          <a:r>
            <a:rPr lang="de-DE" sz="800" b="0" baseline="0">
              <a:latin typeface="Arial" panose="020B0604020202020204" pitchFamily="34" charset="0"/>
              <a:cs typeface="Arial" panose="020B0604020202020204" pitchFamily="34" charset="0"/>
            </a:rPr>
            <a:t>Croatian People’s Party (Hrvatska Narodna)</a:t>
          </a:r>
        </a:p>
        <a:p>
          <a:r>
            <a:rPr lang="de-DE" sz="800" b="1" baseline="0">
              <a:latin typeface="Arial" panose="020B0604020202020204" pitchFamily="34" charset="0"/>
              <a:cs typeface="Arial" panose="020B0604020202020204" pitchFamily="34" charset="0"/>
            </a:rPr>
            <a:t>Libra: </a:t>
          </a:r>
          <a:r>
            <a:rPr lang="de-DE" sz="800" b="0" baseline="0">
              <a:latin typeface="Arial" panose="020B0604020202020204" pitchFamily="34" charset="0"/>
              <a:cs typeface="Arial" panose="020B0604020202020204" pitchFamily="34" charset="0"/>
            </a:rPr>
            <a:t>Party of Liberal Democrats</a:t>
          </a:r>
        </a:p>
        <a:p>
          <a:r>
            <a:rPr lang="de-DE" sz="800" b="1" baseline="0">
              <a:latin typeface="Arial" panose="020B0604020202020204" pitchFamily="34" charset="0"/>
              <a:cs typeface="Arial" panose="020B0604020202020204" pitchFamily="34" charset="0"/>
            </a:rPr>
            <a:t>LS: </a:t>
          </a:r>
          <a:r>
            <a:rPr lang="de-DE" sz="800" b="0" baseline="0">
              <a:latin typeface="Arial" panose="020B0604020202020204" pitchFamily="34" charset="0"/>
              <a:cs typeface="Arial" panose="020B0604020202020204" pitchFamily="34" charset="0"/>
            </a:rPr>
            <a:t>Liberal Party (Liberalna Stranka)</a:t>
          </a:r>
        </a:p>
        <a:p>
          <a:r>
            <a:rPr lang="de-DE" sz="800" b="1" baseline="0">
              <a:latin typeface="Arial" panose="020B0604020202020204" pitchFamily="34" charset="0"/>
              <a:cs typeface="Arial" panose="020B0604020202020204" pitchFamily="34" charset="0"/>
            </a:rPr>
            <a:t>HDZ: </a:t>
          </a:r>
          <a:r>
            <a:rPr lang="de-DE" sz="800" b="0" baseline="0">
              <a:latin typeface="Arial" panose="020B0604020202020204" pitchFamily="34" charset="0"/>
              <a:cs typeface="Arial" panose="020B0604020202020204" pitchFamily="34" charset="0"/>
            </a:rPr>
            <a:t>Croatian Democratic Union (Hrvatska Demokratska Zajednica)</a:t>
          </a:r>
        </a:p>
        <a:p>
          <a:r>
            <a:rPr lang="de-DE" sz="800" b="1" baseline="0">
              <a:latin typeface="Arial" panose="020B0604020202020204" pitchFamily="34" charset="0"/>
              <a:cs typeface="Arial" panose="020B0604020202020204" pitchFamily="34" charset="0"/>
            </a:rPr>
            <a:t>DC: </a:t>
          </a:r>
          <a:r>
            <a:rPr lang="de-DE" sz="800" b="0" baseline="0">
              <a:latin typeface="Arial" panose="020B0604020202020204" pitchFamily="34" charset="0"/>
              <a:cs typeface="Arial" panose="020B0604020202020204" pitchFamily="34" charset="0"/>
            </a:rPr>
            <a:t>Democratic Center (Demokratski Centar)</a:t>
          </a:r>
        </a:p>
        <a:p>
          <a:r>
            <a:rPr lang="de-DE" sz="800" b="1" baseline="0">
              <a:latin typeface="Arial" panose="020B0604020202020204" pitchFamily="34" charset="0"/>
              <a:cs typeface="Arial" panose="020B0604020202020204" pitchFamily="34" charset="0"/>
            </a:rPr>
            <a:t>SDSS: </a:t>
          </a:r>
          <a:r>
            <a:rPr lang="de-DE" sz="800" b="0" baseline="0">
              <a:latin typeface="Arial" panose="020B0604020202020204" pitchFamily="34" charset="0"/>
              <a:cs typeface="Arial" panose="020B0604020202020204" pitchFamily="34" charset="0"/>
            </a:rPr>
            <a:t>Independent Democratic Serb Party (Samostalna demokratska srpska stranka)</a:t>
          </a:r>
        </a:p>
        <a:p>
          <a:r>
            <a:rPr lang="de-DE" sz="800" b="1" baseline="0">
              <a:latin typeface="Arial" panose="020B0604020202020204" pitchFamily="34" charset="0"/>
              <a:cs typeface="Arial" panose="020B0604020202020204" pitchFamily="34" charset="0"/>
            </a:rPr>
            <a:t>IDS: </a:t>
          </a:r>
          <a:r>
            <a:rPr lang="de-DE" sz="800" b="0" baseline="0">
              <a:latin typeface="Arial" panose="020B0604020202020204" pitchFamily="34" charset="0"/>
              <a:cs typeface="Arial" panose="020B0604020202020204" pitchFamily="34" charset="0"/>
            </a:rPr>
            <a:t>Istrian Democratic Assembly (Istarski Demokratski Sabor)</a:t>
          </a:r>
          <a:endParaRPr lang="de-DE" sz="800" b="0">
            <a:latin typeface="Arial" panose="020B0604020202020204" pitchFamily="34" charset="0"/>
            <a:cs typeface="Arial" panose="020B060402020202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29</xdr:col>
      <xdr:colOff>182563</xdr:colOff>
      <xdr:row>13</xdr:row>
      <xdr:rowOff>15875</xdr:rowOff>
    </xdr:from>
    <xdr:to>
      <xdr:col>38</xdr:col>
      <xdr:colOff>182563</xdr:colOff>
      <xdr:row>22</xdr:row>
      <xdr:rowOff>71438</xdr:rowOff>
    </xdr:to>
    <xdr:sp macro="" textlink="">
      <xdr:nvSpPr>
        <xdr:cNvPr id="2" name="Textfeld 1"/>
        <xdr:cNvSpPr txBox="1"/>
      </xdr:nvSpPr>
      <xdr:spPr>
        <a:xfrm>
          <a:off x="11430001" y="1778000"/>
          <a:ext cx="3429000" cy="944563"/>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800" b="1" baseline="0">
              <a:latin typeface="Arial" panose="020B0604020202020204" pitchFamily="34" charset="0"/>
              <a:cs typeface="Arial" panose="020B0604020202020204" pitchFamily="34" charset="0"/>
            </a:rPr>
            <a:t>DIKO</a:t>
          </a:r>
          <a:r>
            <a:rPr lang="de-CH" sz="800" b="0" baseline="0">
              <a:latin typeface="Arial" panose="020B0604020202020204" pitchFamily="34" charset="0"/>
              <a:cs typeface="Arial" panose="020B0604020202020204" pitchFamily="34" charset="0"/>
            </a:rPr>
            <a:t>: The Democratic Party</a:t>
          </a:r>
        </a:p>
        <a:p>
          <a:r>
            <a:rPr lang="de-CH" sz="800" b="1" baseline="0">
              <a:latin typeface="Arial" panose="020B0604020202020204" pitchFamily="34" charset="0"/>
              <a:cs typeface="Arial" panose="020B0604020202020204" pitchFamily="34" charset="0"/>
            </a:rPr>
            <a:t>AKEL</a:t>
          </a:r>
          <a:r>
            <a:rPr lang="de-CH" sz="800" b="0" baseline="0">
              <a:latin typeface="Arial" panose="020B0604020202020204" pitchFamily="34" charset="0"/>
              <a:cs typeface="Arial" panose="020B0604020202020204" pitchFamily="34" charset="0"/>
            </a:rPr>
            <a:t>: Progressive Party of the Working People, The Communist Party</a:t>
          </a:r>
        </a:p>
        <a:p>
          <a:r>
            <a:rPr lang="de-CH" sz="800" b="1" baseline="0">
              <a:latin typeface="Arial" panose="020B0604020202020204" pitchFamily="34" charset="0"/>
              <a:cs typeface="Arial" panose="020B0604020202020204" pitchFamily="34" charset="0"/>
            </a:rPr>
            <a:t>DISY</a:t>
          </a:r>
          <a:r>
            <a:rPr lang="de-CH" sz="800" b="0" baseline="0">
              <a:latin typeface="Arial" panose="020B0604020202020204" pitchFamily="34" charset="0"/>
              <a:cs typeface="Arial" panose="020B0604020202020204" pitchFamily="34" charset="0"/>
            </a:rPr>
            <a:t>: The Democratic Rally</a:t>
          </a:r>
        </a:p>
        <a:p>
          <a:r>
            <a:rPr lang="de-CH" sz="800" b="1" baseline="0">
              <a:latin typeface="Arial" panose="020B0604020202020204" pitchFamily="34" charset="0"/>
              <a:cs typeface="Arial" panose="020B0604020202020204" pitchFamily="34" charset="0"/>
            </a:rPr>
            <a:t>EDI</a:t>
          </a:r>
          <a:r>
            <a:rPr lang="de-CH" sz="800" b="0" baseline="0">
              <a:latin typeface="Arial" panose="020B0604020202020204" pitchFamily="34" charset="0"/>
              <a:cs typeface="Arial" panose="020B0604020202020204" pitchFamily="34" charset="0"/>
            </a:rPr>
            <a:t>: Free/United Democrats</a:t>
          </a:r>
        </a:p>
        <a:p>
          <a:r>
            <a:rPr lang="de-CH" sz="800" b="1" baseline="0">
              <a:latin typeface="Arial" panose="020B0604020202020204" pitchFamily="34" charset="0"/>
              <a:cs typeface="Arial" panose="020B0604020202020204" pitchFamily="34" charset="0"/>
            </a:rPr>
            <a:t>EDEK</a:t>
          </a:r>
          <a:r>
            <a:rPr lang="de-CH" sz="800" b="0" baseline="0">
              <a:latin typeface="Arial" panose="020B0604020202020204" pitchFamily="34" charset="0"/>
              <a:cs typeface="Arial" panose="020B0604020202020204" pitchFamily="34" charset="0"/>
            </a:rPr>
            <a:t>: Social Democrats Movement; former United Democratic Union of Cyprus, The Socialist Party </a:t>
          </a:r>
        </a:p>
        <a:p>
          <a:r>
            <a:rPr lang="de-CH" sz="800" b="1" baseline="0">
              <a:latin typeface="Arial" panose="020B0604020202020204" pitchFamily="34" charset="0"/>
              <a:cs typeface="Arial" panose="020B0604020202020204" pitchFamily="34" charset="0"/>
            </a:rPr>
            <a:t>EVROKO</a:t>
          </a:r>
          <a:r>
            <a:rPr lang="de-CH" sz="800" b="0" baseline="0">
              <a:latin typeface="Arial" panose="020B0604020202020204" pitchFamily="34" charset="0"/>
              <a:cs typeface="Arial" panose="020B0604020202020204" pitchFamily="34" charset="0"/>
            </a:rPr>
            <a:t>: European Party</a:t>
          </a:r>
          <a:endParaRPr lang="de-CH" sz="800" b="1" baseline="0">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33</xdr:col>
      <xdr:colOff>126999</xdr:colOff>
      <xdr:row>16</xdr:row>
      <xdr:rowOff>55564</xdr:rowOff>
    </xdr:from>
    <xdr:to>
      <xdr:col>46</xdr:col>
      <xdr:colOff>1587</xdr:colOff>
      <xdr:row>30</xdr:row>
      <xdr:rowOff>47625</xdr:rowOff>
    </xdr:to>
    <xdr:sp macro="" textlink="">
      <xdr:nvSpPr>
        <xdr:cNvPr id="2" name="Textfeld 1"/>
        <xdr:cNvSpPr txBox="1"/>
      </xdr:nvSpPr>
      <xdr:spPr>
        <a:xfrm>
          <a:off x="12898437" y="2039939"/>
          <a:ext cx="4827588" cy="1547811"/>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800" b="1" baseline="0">
              <a:latin typeface="Arial" panose="020B0604020202020204" pitchFamily="34" charset="0"/>
              <a:cs typeface="Arial" panose="020B0604020202020204" pitchFamily="34" charset="0"/>
            </a:rPr>
            <a:t>OF</a:t>
          </a:r>
          <a:r>
            <a:rPr lang="de-DE" sz="800" baseline="0">
              <a:latin typeface="Arial" panose="020B0604020202020204" pitchFamily="34" charset="0"/>
              <a:cs typeface="Arial" panose="020B0604020202020204" pitchFamily="34" charset="0"/>
            </a:rPr>
            <a:t>: Civic Forum</a:t>
          </a:r>
        </a:p>
        <a:p>
          <a:r>
            <a:rPr lang="de-DE" sz="800" b="1" baseline="0">
              <a:latin typeface="Arial" panose="020B0604020202020204" pitchFamily="34" charset="0"/>
              <a:cs typeface="Arial" panose="020B0604020202020204" pitchFamily="34" charset="0"/>
            </a:rPr>
            <a:t>HSD-SMS</a:t>
          </a:r>
          <a:r>
            <a:rPr lang="de-DE" sz="800" baseline="0">
              <a:latin typeface="Arial" panose="020B0604020202020204" pitchFamily="34" charset="0"/>
              <a:cs typeface="Arial" panose="020B0604020202020204" pitchFamily="34" charset="0"/>
            </a:rPr>
            <a:t>: Movement for Self-Governing Democracy - Society for Moravia and Silezia</a:t>
          </a:r>
        </a:p>
        <a:p>
          <a:r>
            <a:rPr lang="de-DE" sz="800" b="1" baseline="0">
              <a:latin typeface="Arial" panose="020B0604020202020204" pitchFamily="34" charset="0"/>
              <a:cs typeface="Arial" panose="020B0604020202020204" pitchFamily="34" charset="0"/>
            </a:rPr>
            <a:t>KDU-CSL</a:t>
          </a:r>
          <a:r>
            <a:rPr lang="de-DE" sz="800" baseline="0">
              <a:latin typeface="Arial" panose="020B0604020202020204" pitchFamily="34" charset="0"/>
              <a:cs typeface="Arial" panose="020B0604020202020204" pitchFamily="34" charset="0"/>
            </a:rPr>
            <a:t>: Christian Democratic Union - Czechoslovak People's Party</a:t>
          </a:r>
        </a:p>
        <a:p>
          <a:r>
            <a:rPr lang="de-DE" sz="800" b="1" baseline="0">
              <a:latin typeface="Arial" panose="020B0604020202020204" pitchFamily="34" charset="0"/>
              <a:cs typeface="Arial" panose="020B0604020202020204" pitchFamily="34" charset="0"/>
            </a:rPr>
            <a:t>ODS</a:t>
          </a:r>
          <a:r>
            <a:rPr lang="de-DE" sz="800" baseline="0">
              <a:latin typeface="Arial" panose="020B0604020202020204" pitchFamily="34" charset="0"/>
              <a:cs typeface="Arial" panose="020B0604020202020204" pitchFamily="34" charset="0"/>
            </a:rPr>
            <a:t>: Civic Democratic Party [1992: in alliance with Christian Democratic Party, KDS, merged in 1996]</a:t>
          </a:r>
        </a:p>
        <a:p>
          <a:r>
            <a:rPr lang="de-DE" sz="800" b="1" baseline="0">
              <a:latin typeface="Arial" panose="020B0604020202020204" pitchFamily="34" charset="0"/>
              <a:cs typeface="Arial" panose="020B0604020202020204" pitchFamily="34" charset="0"/>
            </a:rPr>
            <a:t>ODA</a:t>
          </a:r>
          <a:r>
            <a:rPr lang="de-DE" sz="800" baseline="0">
              <a:latin typeface="Arial" panose="020B0604020202020204" pitchFamily="34" charset="0"/>
              <a:cs typeface="Arial" panose="020B0604020202020204" pitchFamily="34" charset="0"/>
            </a:rPr>
            <a:t>: Civic Democratic Alliance</a:t>
          </a:r>
        </a:p>
        <a:p>
          <a:r>
            <a:rPr lang="de-DE" sz="800" b="1" baseline="0">
              <a:latin typeface="Arial" panose="020B0604020202020204" pitchFamily="34" charset="0"/>
              <a:cs typeface="Arial" panose="020B0604020202020204" pitchFamily="34" charset="0"/>
            </a:rPr>
            <a:t>CSSD</a:t>
          </a:r>
          <a:r>
            <a:rPr lang="de-DE" sz="800" baseline="0">
              <a:latin typeface="Arial" panose="020B0604020202020204" pitchFamily="34" charset="0"/>
              <a:cs typeface="Arial" panose="020B0604020202020204" pitchFamily="34" charset="0"/>
            </a:rPr>
            <a:t>: Czech Social Democratic Party</a:t>
          </a:r>
        </a:p>
        <a:p>
          <a:r>
            <a:rPr lang="de-DE" sz="800" b="1" baseline="0">
              <a:latin typeface="Arial" panose="020B0604020202020204" pitchFamily="34" charset="0"/>
              <a:cs typeface="Arial" panose="020B0604020202020204" pitchFamily="34" charset="0"/>
            </a:rPr>
            <a:t>US-DEU</a:t>
          </a:r>
          <a:r>
            <a:rPr lang="de-DE" sz="800" baseline="0">
              <a:latin typeface="Arial" panose="020B0604020202020204" pitchFamily="34" charset="0"/>
              <a:cs typeface="Arial" panose="020B0604020202020204" pitchFamily="34" charset="0"/>
            </a:rPr>
            <a:t>: Freedom Union-Democratic Union</a:t>
          </a:r>
        </a:p>
        <a:p>
          <a:r>
            <a:rPr lang="de-DE" sz="800" b="1" baseline="0">
              <a:latin typeface="Arial" panose="020B0604020202020204" pitchFamily="34" charset="0"/>
              <a:cs typeface="Arial" panose="020B0604020202020204" pitchFamily="34" charset="0"/>
            </a:rPr>
            <a:t>SZ</a:t>
          </a:r>
          <a:r>
            <a:rPr lang="de-DE" sz="800" baseline="0">
              <a:latin typeface="Arial" panose="020B0604020202020204" pitchFamily="34" charset="0"/>
              <a:cs typeface="Arial" panose="020B0604020202020204" pitchFamily="34" charset="0"/>
            </a:rPr>
            <a:t>: Green Party</a:t>
          </a:r>
        </a:p>
        <a:p>
          <a:r>
            <a:rPr lang="de-DE" sz="800" b="1" baseline="0">
              <a:latin typeface="Arial" panose="020B0604020202020204" pitchFamily="34" charset="0"/>
              <a:cs typeface="Arial" panose="020B0604020202020204" pitchFamily="34" charset="0"/>
            </a:rPr>
            <a:t>TOP 09</a:t>
          </a:r>
          <a:r>
            <a:rPr lang="de-DE" sz="800" baseline="0">
              <a:latin typeface="Arial" panose="020B0604020202020204" pitchFamily="34" charset="0"/>
              <a:cs typeface="Arial" panose="020B0604020202020204" pitchFamily="34" charset="0"/>
            </a:rPr>
            <a:t>: TOP 09</a:t>
          </a:r>
        </a:p>
        <a:p>
          <a:r>
            <a:rPr lang="de-DE" sz="800" b="1" baseline="0">
              <a:latin typeface="Arial" panose="020B0604020202020204" pitchFamily="34" charset="0"/>
              <a:cs typeface="Arial" panose="020B0604020202020204" pitchFamily="34" charset="0"/>
            </a:rPr>
            <a:t>VV</a:t>
          </a:r>
          <a:r>
            <a:rPr lang="de-DE" sz="800" baseline="0">
              <a:latin typeface="Arial" panose="020B0604020202020204" pitchFamily="34" charset="0"/>
              <a:cs typeface="Arial" panose="020B0604020202020204" pitchFamily="34" charset="0"/>
            </a:rPr>
            <a:t>: Public Affairs</a:t>
          </a:r>
          <a:endParaRPr lang="de-DE" sz="1100" b="0" i="0" u="none" strike="noStrike" baseline="0">
            <a:solidFill>
              <a:schemeClr val="dk1"/>
            </a:solidFill>
            <a:effectLst/>
            <a:latin typeface="+mn-lt"/>
            <a:ea typeface="+mn-ea"/>
            <a:cs typeface="+mn-cs"/>
          </a:endParaRPr>
        </a:p>
        <a:p>
          <a:r>
            <a:rPr lang="de-DE" sz="800" b="1" i="0" u="none" strike="noStrike" baseline="0">
              <a:solidFill>
                <a:schemeClr val="dk1"/>
              </a:solidFill>
              <a:effectLst/>
              <a:latin typeface="Arial" panose="020B0604020202020204" pitchFamily="34" charset="0"/>
              <a:ea typeface="+mn-ea"/>
              <a:cs typeface="Arial" panose="020B0604020202020204" pitchFamily="34" charset="0"/>
            </a:rPr>
            <a:t>LIDEM</a:t>
          </a:r>
          <a:r>
            <a:rPr lang="de-DE" sz="800" b="0" i="0" u="none" strike="noStrike" baseline="0">
              <a:solidFill>
                <a:schemeClr val="dk1"/>
              </a:solidFill>
              <a:effectLst/>
              <a:latin typeface="Arial" panose="020B0604020202020204" pitchFamily="34" charset="0"/>
              <a:ea typeface="+mn-ea"/>
              <a:cs typeface="Arial" panose="020B0604020202020204" pitchFamily="34" charset="0"/>
            </a:rPr>
            <a:t>: Liberal Democracy</a:t>
          </a:r>
          <a:endParaRPr lang="de-DE" sz="400" b="0" i="0" u="none" strike="noStrike" baseline="0">
            <a:solidFill>
              <a:schemeClr val="dk1"/>
            </a:solidFill>
            <a:effectLst/>
            <a:latin typeface="Arial" panose="020B0604020202020204" pitchFamily="34" charset="0"/>
            <a:ea typeface="+mn-ea"/>
            <a:cs typeface="Arial" panose="020B0604020202020204" pitchFamily="34" charset="0"/>
          </a:endParaRPr>
        </a:p>
        <a:p>
          <a:r>
            <a:rPr lang="de-DE" sz="800" b="1" i="0" u="none" strike="noStrike" baseline="0">
              <a:solidFill>
                <a:schemeClr val="dk1"/>
              </a:solidFill>
              <a:effectLst/>
              <a:latin typeface="Arial" panose="020B0604020202020204" pitchFamily="34" charset="0"/>
              <a:ea typeface="+mn-ea"/>
              <a:cs typeface="Arial" panose="020B0604020202020204" pitchFamily="34" charset="0"/>
            </a:rPr>
            <a:t>ANO: </a:t>
          </a:r>
          <a:r>
            <a:rPr lang="de-DE" sz="800" b="0" i="0" u="none" strike="noStrike" baseline="0">
              <a:solidFill>
                <a:schemeClr val="dk1"/>
              </a:solidFill>
              <a:effectLst/>
              <a:latin typeface="Arial" panose="020B0604020202020204" pitchFamily="34" charset="0"/>
              <a:ea typeface="+mn-ea"/>
              <a:cs typeface="Arial" panose="020B0604020202020204" pitchFamily="34" charset="0"/>
            </a:rPr>
            <a:t>Action of Dissatisfied Citizens</a:t>
          </a:r>
          <a:endParaRPr lang="de-DE" sz="1100" b="1" i="0" u="none" strike="noStrike"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30</xdr:col>
      <xdr:colOff>0</xdr:colOff>
      <xdr:row>33</xdr:row>
      <xdr:rowOff>0</xdr:rowOff>
    </xdr:from>
    <xdr:to>
      <xdr:col>37</xdr:col>
      <xdr:colOff>0</xdr:colOff>
      <xdr:row>44</xdr:row>
      <xdr:rowOff>39688</xdr:rowOff>
    </xdr:to>
    <xdr:sp macro="" textlink="">
      <xdr:nvSpPr>
        <xdr:cNvPr id="5" name="Textfeld 4"/>
        <xdr:cNvSpPr txBox="1"/>
      </xdr:nvSpPr>
      <xdr:spPr>
        <a:xfrm>
          <a:off x="11628438" y="3651250"/>
          <a:ext cx="2667000" cy="1262063"/>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800" b="1">
              <a:latin typeface="Arial" panose="020B0604020202020204" pitchFamily="34" charset="0"/>
              <a:cs typeface="Arial" panose="020B0604020202020204" pitchFamily="34" charset="0"/>
            </a:rPr>
            <a:t>SD</a:t>
          </a:r>
          <a:r>
            <a:rPr lang="de-DE" sz="800">
              <a:latin typeface="Arial" panose="020B0604020202020204" pitchFamily="34" charset="0"/>
              <a:cs typeface="Arial" panose="020B0604020202020204" pitchFamily="34" charset="0"/>
            </a:rPr>
            <a:t>: Social</a:t>
          </a:r>
          <a:r>
            <a:rPr lang="de-DE" sz="800" baseline="0">
              <a:latin typeface="Arial" panose="020B0604020202020204" pitchFamily="34" charset="0"/>
              <a:cs typeface="Arial" panose="020B0604020202020204" pitchFamily="34" charset="0"/>
            </a:rPr>
            <a:t> Democrats</a:t>
          </a:r>
        </a:p>
        <a:p>
          <a:r>
            <a:rPr lang="de-DE" sz="800" b="1" baseline="0">
              <a:latin typeface="Arial" panose="020B0604020202020204" pitchFamily="34" charset="0"/>
              <a:cs typeface="Arial" panose="020B0604020202020204" pitchFamily="34" charset="0"/>
            </a:rPr>
            <a:t>RV</a:t>
          </a:r>
          <a:r>
            <a:rPr lang="de-DE" sz="800" baseline="0">
              <a:latin typeface="Arial" panose="020B0604020202020204" pitchFamily="34" charset="0"/>
              <a:cs typeface="Arial" panose="020B0604020202020204" pitchFamily="34" charset="0"/>
            </a:rPr>
            <a:t>: Radical Party (Social Liberal Party)</a:t>
          </a:r>
        </a:p>
        <a:p>
          <a:r>
            <a:rPr lang="de-DE" sz="800" b="1" baseline="0">
              <a:latin typeface="Arial" panose="020B0604020202020204" pitchFamily="34" charset="0"/>
              <a:cs typeface="Arial" panose="020B0604020202020204" pitchFamily="34" charset="0"/>
            </a:rPr>
            <a:t>DRF</a:t>
          </a:r>
          <a:r>
            <a:rPr lang="de-DE" sz="800" baseline="0">
              <a:latin typeface="Arial" panose="020B0604020202020204" pitchFamily="34" charset="0"/>
              <a:cs typeface="Arial" panose="020B0604020202020204" pitchFamily="34" charset="0"/>
            </a:rPr>
            <a:t>: Justice Party</a:t>
          </a:r>
        </a:p>
        <a:p>
          <a:r>
            <a:rPr lang="de-DE" sz="800" b="1" baseline="0">
              <a:latin typeface="Arial" panose="020B0604020202020204" pitchFamily="34" charset="0"/>
              <a:cs typeface="Arial" panose="020B0604020202020204" pitchFamily="34" charset="0"/>
            </a:rPr>
            <a:t>LIB</a:t>
          </a:r>
          <a:r>
            <a:rPr lang="de-DE" sz="800" baseline="0">
              <a:latin typeface="Arial" panose="020B0604020202020204" pitchFamily="34" charset="0"/>
              <a:cs typeface="Arial" panose="020B0604020202020204" pitchFamily="34" charset="0"/>
            </a:rPr>
            <a:t>: Liberals (Venstre)</a:t>
          </a:r>
        </a:p>
        <a:p>
          <a:r>
            <a:rPr lang="de-DE" sz="800" b="1" baseline="0">
              <a:latin typeface="Arial" panose="020B0604020202020204" pitchFamily="34" charset="0"/>
              <a:cs typeface="Arial" panose="020B0604020202020204" pitchFamily="34" charset="0"/>
            </a:rPr>
            <a:t>KF</a:t>
          </a:r>
          <a:r>
            <a:rPr lang="de-DE" sz="800" baseline="0">
              <a:latin typeface="Arial" panose="020B0604020202020204" pitchFamily="34" charset="0"/>
              <a:cs typeface="Arial" panose="020B0604020202020204" pitchFamily="34" charset="0"/>
            </a:rPr>
            <a:t>: Conservative People's Party</a:t>
          </a:r>
        </a:p>
        <a:p>
          <a:r>
            <a:rPr lang="de-DE" sz="800" b="1">
              <a:latin typeface="Arial" panose="020B0604020202020204" pitchFamily="34" charset="0"/>
              <a:cs typeface="Arial" panose="020B0604020202020204" pitchFamily="34" charset="0"/>
            </a:rPr>
            <a:t>CD</a:t>
          </a:r>
          <a:r>
            <a:rPr lang="de-DE" sz="800">
              <a:latin typeface="Arial" panose="020B0604020202020204" pitchFamily="34" charset="0"/>
              <a:cs typeface="Arial" panose="020B0604020202020204" pitchFamily="34" charset="0"/>
            </a:rPr>
            <a:t>: Centre Democrats</a:t>
          </a:r>
        </a:p>
        <a:p>
          <a:r>
            <a:rPr lang="de-DE" sz="800" b="1">
              <a:latin typeface="Arial" panose="020B0604020202020204" pitchFamily="34" charset="0"/>
              <a:cs typeface="Arial" panose="020B0604020202020204" pitchFamily="34" charset="0"/>
            </a:rPr>
            <a:t>KRF</a:t>
          </a:r>
          <a:r>
            <a:rPr lang="de-DE" sz="800">
              <a:latin typeface="Arial" panose="020B0604020202020204" pitchFamily="34" charset="0"/>
              <a:cs typeface="Arial" panose="020B0604020202020204" pitchFamily="34" charset="0"/>
            </a:rPr>
            <a:t>: Christian People's Party</a:t>
          </a:r>
        </a:p>
        <a:p>
          <a:r>
            <a:rPr lang="de-DE" sz="800" b="1">
              <a:latin typeface="Arial" panose="020B0604020202020204" pitchFamily="34" charset="0"/>
              <a:cs typeface="Arial" panose="020B0604020202020204" pitchFamily="34" charset="0"/>
            </a:rPr>
            <a:t>SPP</a:t>
          </a:r>
          <a:r>
            <a:rPr lang="de-DE" sz="800">
              <a:latin typeface="Arial" panose="020B0604020202020204" pitchFamily="34" charset="0"/>
              <a:cs typeface="Arial" panose="020B0604020202020204" pitchFamily="34" charset="0"/>
            </a:rPr>
            <a:t>: Socialist People's</a:t>
          </a:r>
          <a:r>
            <a:rPr lang="de-DE" sz="800" baseline="0">
              <a:latin typeface="Arial" panose="020B0604020202020204" pitchFamily="34" charset="0"/>
              <a:cs typeface="Arial" panose="020B0604020202020204" pitchFamily="34" charset="0"/>
            </a:rPr>
            <a:t> Party</a:t>
          </a:r>
          <a:endParaRPr lang="de-DE" sz="800">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5.xml"/><Relationship Id="rId1" Type="http://schemas.openxmlformats.org/officeDocument/2006/relationships/printerSettings" Target="../printerSettings/printerSettings15.bin"/><Relationship Id="rId4"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6.xml"/><Relationship Id="rId1" Type="http://schemas.openxmlformats.org/officeDocument/2006/relationships/printerSettings" Target="../printerSettings/printerSettings16.bin"/><Relationship Id="rId4"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7.xml"/><Relationship Id="rId1" Type="http://schemas.openxmlformats.org/officeDocument/2006/relationships/printerSettings" Target="../printerSettings/printerSettings17.bin"/><Relationship Id="rId4"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8.xml"/><Relationship Id="rId1" Type="http://schemas.openxmlformats.org/officeDocument/2006/relationships/printerSettings" Target="../printerSettings/printerSettings18.bin"/><Relationship Id="rId4"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19.xml"/><Relationship Id="rId1" Type="http://schemas.openxmlformats.org/officeDocument/2006/relationships/printerSettings" Target="../printerSettings/printerSettings19.bin"/><Relationship Id="rId4"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0.xml"/><Relationship Id="rId1" Type="http://schemas.openxmlformats.org/officeDocument/2006/relationships/printerSettings" Target="../printerSettings/printerSettings20.bin"/><Relationship Id="rId4"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1.xml"/><Relationship Id="rId1" Type="http://schemas.openxmlformats.org/officeDocument/2006/relationships/printerSettings" Target="../printerSettings/printerSettings21.bin"/><Relationship Id="rId4"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2.xml"/><Relationship Id="rId1" Type="http://schemas.openxmlformats.org/officeDocument/2006/relationships/printerSettings" Target="../printerSettings/printerSettings22.bin"/><Relationship Id="rId4"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23.xml"/><Relationship Id="rId1" Type="http://schemas.openxmlformats.org/officeDocument/2006/relationships/printerSettings" Target="../printerSettings/printerSettings23.bin"/><Relationship Id="rId4"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drawing" Target="../drawings/drawing24.xml"/><Relationship Id="rId1" Type="http://schemas.openxmlformats.org/officeDocument/2006/relationships/printerSettings" Target="../printerSettings/printerSettings24.bin"/><Relationship Id="rId4"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drawing" Target="../drawings/drawing25.xml"/><Relationship Id="rId1" Type="http://schemas.openxmlformats.org/officeDocument/2006/relationships/printerSettings" Target="../printerSettings/printerSettings25.bin"/><Relationship Id="rId4"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26.vml"/><Relationship Id="rId2" Type="http://schemas.openxmlformats.org/officeDocument/2006/relationships/drawing" Target="../drawings/drawing26.xml"/><Relationship Id="rId1" Type="http://schemas.openxmlformats.org/officeDocument/2006/relationships/printerSettings" Target="../printerSettings/printerSettings26.bin"/><Relationship Id="rId4"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27.vml"/><Relationship Id="rId2" Type="http://schemas.openxmlformats.org/officeDocument/2006/relationships/drawing" Target="../drawings/drawing27.xml"/><Relationship Id="rId1" Type="http://schemas.openxmlformats.org/officeDocument/2006/relationships/printerSettings" Target="../printerSettings/printerSettings27.bin"/><Relationship Id="rId4"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28.vml"/><Relationship Id="rId2" Type="http://schemas.openxmlformats.org/officeDocument/2006/relationships/drawing" Target="../drawings/drawing28.xml"/><Relationship Id="rId1" Type="http://schemas.openxmlformats.org/officeDocument/2006/relationships/printerSettings" Target="../printerSettings/printerSettings28.bin"/><Relationship Id="rId4"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29.vml"/><Relationship Id="rId2" Type="http://schemas.openxmlformats.org/officeDocument/2006/relationships/drawing" Target="../drawings/drawing29.xml"/><Relationship Id="rId1" Type="http://schemas.openxmlformats.org/officeDocument/2006/relationships/printerSettings" Target="../printerSettings/printerSettings29.bin"/><Relationship Id="rId4"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30.vml"/><Relationship Id="rId2" Type="http://schemas.openxmlformats.org/officeDocument/2006/relationships/drawing" Target="../drawings/drawing30.xml"/><Relationship Id="rId1" Type="http://schemas.openxmlformats.org/officeDocument/2006/relationships/printerSettings" Target="../printerSettings/printerSettings30.bin"/><Relationship Id="rId4"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31.vml"/><Relationship Id="rId2" Type="http://schemas.openxmlformats.org/officeDocument/2006/relationships/drawing" Target="../drawings/drawing31.xml"/><Relationship Id="rId1" Type="http://schemas.openxmlformats.org/officeDocument/2006/relationships/printerSettings" Target="../printerSettings/printerSettings31.bin"/><Relationship Id="rId4"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32.vml"/><Relationship Id="rId2" Type="http://schemas.openxmlformats.org/officeDocument/2006/relationships/drawing" Target="../drawings/drawing32.xml"/><Relationship Id="rId1" Type="http://schemas.openxmlformats.org/officeDocument/2006/relationships/printerSettings" Target="../printerSettings/printerSettings32.bin"/><Relationship Id="rId4"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33.vml"/><Relationship Id="rId2" Type="http://schemas.openxmlformats.org/officeDocument/2006/relationships/drawing" Target="../drawings/drawing33.xml"/><Relationship Id="rId1" Type="http://schemas.openxmlformats.org/officeDocument/2006/relationships/printerSettings" Target="../printerSettings/printerSettings33.bin"/><Relationship Id="rId4"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34.vml"/><Relationship Id="rId2" Type="http://schemas.openxmlformats.org/officeDocument/2006/relationships/drawing" Target="../drawings/drawing34.xml"/><Relationship Id="rId1" Type="http://schemas.openxmlformats.org/officeDocument/2006/relationships/printerSettings" Target="../printerSettings/printerSettings34.bin"/><Relationship Id="rId4"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35.vml"/><Relationship Id="rId2" Type="http://schemas.openxmlformats.org/officeDocument/2006/relationships/drawing" Target="../drawings/drawing35.xml"/><Relationship Id="rId1" Type="http://schemas.openxmlformats.org/officeDocument/2006/relationships/printerSettings" Target="../printerSettings/printerSettings35.bin"/><Relationship Id="rId4"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3" Type="http://schemas.openxmlformats.org/officeDocument/2006/relationships/vmlDrawing" Target="../drawings/vmlDrawing36.vml"/><Relationship Id="rId2" Type="http://schemas.openxmlformats.org/officeDocument/2006/relationships/drawing" Target="../drawings/drawing36.xml"/><Relationship Id="rId1" Type="http://schemas.openxmlformats.org/officeDocument/2006/relationships/printerSettings" Target="../printerSettings/printerSettings36.bin"/><Relationship Id="rId4" Type="http://schemas.openxmlformats.org/officeDocument/2006/relationships/comments" Target="../comments36.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94"/>
  <sheetViews>
    <sheetView zoomScale="120" zoomScaleNormal="120" workbookViewId="0">
      <pane xSplit="1" ySplit="5" topLeftCell="E96" activePane="bottomRight" state="frozen"/>
      <selection pane="topRight" activeCell="B1" sqref="B1"/>
      <selection pane="bottomLeft" activeCell="A6" sqref="A6"/>
      <selection pane="bottomRight" activeCell="F126" sqref="F126"/>
    </sheetView>
  </sheetViews>
  <sheetFormatPr baseColWidth="10" defaultColWidth="10.7109375" defaultRowHeight="9" x14ac:dyDescent="0.15"/>
  <cols>
    <col min="1" max="1" width="5.85546875" style="59" customWidth="1"/>
    <col min="2" max="6" width="7.85546875" style="5" customWidth="1"/>
    <col min="7" max="18" width="4.5703125" style="5" customWidth="1"/>
    <col min="19" max="19" width="7.85546875" style="60" customWidth="1"/>
    <col min="20" max="21" width="7.85546875" style="5" customWidth="1"/>
    <col min="22" max="53" width="5.7109375" style="5" customWidth="1"/>
    <col min="54" max="16384" width="10.7109375" style="5"/>
  </cols>
  <sheetData>
    <row r="1" spans="1:53" s="2" customFormat="1" ht="15" customHeight="1" x14ac:dyDescent="0.2">
      <c r="A1" s="16"/>
      <c r="B1" s="22" t="s">
        <v>14</v>
      </c>
      <c r="S1" s="20"/>
    </row>
    <row r="2" spans="1:53" s="2" customFormat="1" ht="15" customHeight="1" x14ac:dyDescent="0.2">
      <c r="A2" s="16"/>
      <c r="B2" s="22" t="s">
        <v>48</v>
      </c>
      <c r="S2" s="20"/>
    </row>
    <row r="3" spans="1:53" s="19" customFormat="1" x14ac:dyDescent="0.15">
      <c r="A3" s="53"/>
      <c r="G3" s="799"/>
      <c r="H3" s="799"/>
      <c r="I3" s="799"/>
      <c r="J3" s="799"/>
      <c r="K3" s="799"/>
      <c r="L3" s="799"/>
      <c r="M3" s="799"/>
      <c r="O3" s="799"/>
      <c r="P3" s="799"/>
      <c r="Q3" s="799"/>
      <c r="S3" s="21"/>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2" t="s">
        <v>23</v>
      </c>
      <c r="AU5" s="351" t="s">
        <v>24</v>
      </c>
      <c r="AV5" s="351" t="s">
        <v>25</v>
      </c>
      <c r="AW5" s="353" t="s">
        <v>1217</v>
      </c>
      <c r="AX5" s="351" t="s">
        <v>23</v>
      </c>
      <c r="AY5" s="351" t="s">
        <v>24</v>
      </c>
      <c r="AZ5" s="351" t="s">
        <v>25</v>
      </c>
      <c r="BA5" s="354" t="s">
        <v>1217</v>
      </c>
    </row>
    <row r="6" spans="1:53" s="257" customFormat="1" x14ac:dyDescent="0.15">
      <c r="A6" s="240">
        <v>1959</v>
      </c>
      <c r="B6" s="241"/>
      <c r="C6" s="798" t="s">
        <v>148</v>
      </c>
      <c r="D6" s="798"/>
      <c r="E6" s="240">
        <v>0</v>
      </c>
      <c r="F6" s="241"/>
      <c r="G6" s="242">
        <v>12</v>
      </c>
      <c r="H6" s="243"/>
      <c r="I6" s="243"/>
      <c r="J6" s="244">
        <v>12</v>
      </c>
      <c r="K6" s="245">
        <f>G6/J6*100</f>
        <v>100</v>
      </c>
      <c r="L6" s="245">
        <f>H6/J6*100</f>
        <v>0</v>
      </c>
      <c r="M6" s="245">
        <f>I6/J6*100</f>
        <v>0</v>
      </c>
      <c r="N6" s="246">
        <f>SUM(K6:M6)</f>
        <v>100</v>
      </c>
      <c r="O6" s="247">
        <v>63.1</v>
      </c>
      <c r="P6" s="248"/>
      <c r="Q6" s="248"/>
      <c r="R6" s="249">
        <f>SUM(O6:Q6)</f>
        <v>63.1</v>
      </c>
      <c r="S6" s="250">
        <v>2</v>
      </c>
      <c r="T6" s="251"/>
      <c r="U6" s="252"/>
      <c r="V6" s="253" t="s">
        <v>72</v>
      </c>
      <c r="W6" s="254" t="s">
        <v>74</v>
      </c>
      <c r="X6" s="254" t="s">
        <v>11</v>
      </c>
      <c r="Y6" s="255">
        <v>47.5</v>
      </c>
      <c r="Z6" s="254" t="s">
        <v>73</v>
      </c>
      <c r="AA6" s="254" t="s">
        <v>75</v>
      </c>
      <c r="AB6" s="254" t="s">
        <v>11</v>
      </c>
      <c r="AC6" s="254">
        <v>15.6</v>
      </c>
      <c r="AD6" s="256"/>
      <c r="AG6" s="258"/>
      <c r="AL6" s="256"/>
      <c r="AO6" s="258"/>
      <c r="AS6" s="258"/>
      <c r="AW6" s="258"/>
      <c r="AX6" s="326"/>
      <c r="AY6" s="326"/>
      <c r="AZ6" s="326"/>
      <c r="BA6" s="259"/>
    </row>
    <row r="7" spans="1:53" s="257" customFormat="1" x14ac:dyDescent="0.15">
      <c r="A7" s="240">
        <v>1959</v>
      </c>
      <c r="B7" s="241"/>
      <c r="C7" s="798" t="s">
        <v>148</v>
      </c>
      <c r="D7" s="798"/>
      <c r="E7" s="240">
        <v>365</v>
      </c>
      <c r="F7" s="241"/>
      <c r="G7" s="242">
        <v>12</v>
      </c>
      <c r="H7" s="243"/>
      <c r="I7" s="243"/>
      <c r="J7" s="244">
        <v>12</v>
      </c>
      <c r="K7" s="245">
        <f>G7/J7*100</f>
        <v>100</v>
      </c>
      <c r="L7" s="245">
        <f>H7/J7*100</f>
        <v>0</v>
      </c>
      <c r="M7" s="245">
        <f>I7/J7*100</f>
        <v>0</v>
      </c>
      <c r="N7" s="246">
        <f>SUM(K7:M7)</f>
        <v>100</v>
      </c>
      <c r="O7" s="247">
        <v>63.1</v>
      </c>
      <c r="P7" s="248"/>
      <c r="Q7" s="248"/>
      <c r="R7" s="249">
        <f>SUM(O7:Q7)</f>
        <v>63.1</v>
      </c>
      <c r="S7" s="250">
        <v>2</v>
      </c>
      <c r="T7" s="251"/>
      <c r="U7" s="252"/>
      <c r="V7" s="253" t="s">
        <v>72</v>
      </c>
      <c r="W7" s="254" t="s">
        <v>74</v>
      </c>
      <c r="X7" s="254" t="s">
        <v>11</v>
      </c>
      <c r="Y7" s="255">
        <v>47.5</v>
      </c>
      <c r="Z7" s="254" t="s">
        <v>73</v>
      </c>
      <c r="AA7" s="254" t="s">
        <v>75</v>
      </c>
      <c r="AB7" s="254" t="s">
        <v>11</v>
      </c>
      <c r="AC7" s="254">
        <v>15.6</v>
      </c>
      <c r="AD7" s="256"/>
      <c r="AG7" s="258"/>
      <c r="AL7" s="256"/>
      <c r="AO7" s="258"/>
      <c r="AS7" s="258"/>
      <c r="AW7" s="258"/>
      <c r="AX7" s="326"/>
      <c r="AY7" s="326"/>
      <c r="AZ7" s="326"/>
      <c r="BA7" s="259"/>
    </row>
    <row r="8" spans="1:53" s="100" customFormat="1" x14ac:dyDescent="0.15">
      <c r="A8" s="87">
        <v>1960</v>
      </c>
      <c r="B8" s="88"/>
      <c r="C8" s="786" t="s">
        <v>148</v>
      </c>
      <c r="D8" s="786"/>
      <c r="E8" s="87">
        <v>0</v>
      </c>
      <c r="F8" s="87"/>
      <c r="G8" s="89">
        <v>12</v>
      </c>
      <c r="H8" s="87"/>
      <c r="I8" s="87"/>
      <c r="J8" s="90">
        <v>12</v>
      </c>
      <c r="K8" s="77">
        <f>G8/J8*100</f>
        <v>100</v>
      </c>
      <c r="L8" s="77">
        <f>H8/J8*100</f>
        <v>0</v>
      </c>
      <c r="M8" s="77">
        <f>I8/J8*100</f>
        <v>0</v>
      </c>
      <c r="N8" s="78">
        <f>SUM(K8:M8)</f>
        <v>100</v>
      </c>
      <c r="O8" s="91">
        <v>63.1</v>
      </c>
      <c r="P8" s="92"/>
      <c r="Q8" s="92"/>
      <c r="R8" s="93">
        <f>SUM(O8:Q8)</f>
        <v>63.1</v>
      </c>
      <c r="S8" s="94">
        <v>2</v>
      </c>
      <c r="T8" s="95"/>
      <c r="U8" s="85"/>
      <c r="V8" s="96" t="s">
        <v>72</v>
      </c>
      <c r="W8" s="97" t="s">
        <v>74</v>
      </c>
      <c r="X8" s="97" t="s">
        <v>11</v>
      </c>
      <c r="Y8" s="98">
        <v>47.5</v>
      </c>
      <c r="Z8" s="97" t="s">
        <v>73</v>
      </c>
      <c r="AA8" s="97" t="s">
        <v>75</v>
      </c>
      <c r="AB8" s="97" t="s">
        <v>11</v>
      </c>
      <c r="AC8" s="97">
        <v>15.6</v>
      </c>
      <c r="AD8" s="96"/>
      <c r="AE8" s="97"/>
      <c r="AF8" s="97"/>
      <c r="AG8" s="98"/>
      <c r="AH8" s="97"/>
      <c r="AI8" s="97"/>
      <c r="AJ8" s="97"/>
      <c r="AK8" s="97"/>
      <c r="AL8" s="96"/>
      <c r="AM8" s="97"/>
      <c r="AN8" s="97"/>
      <c r="AO8" s="98"/>
      <c r="AP8" s="96"/>
      <c r="AQ8" s="97"/>
      <c r="AR8" s="97"/>
      <c r="AS8" s="98"/>
      <c r="AT8" s="99"/>
      <c r="AW8" s="98"/>
      <c r="AX8" s="324"/>
      <c r="AY8" s="324"/>
      <c r="AZ8" s="324"/>
      <c r="BA8" s="330"/>
    </row>
    <row r="9" spans="1:53" s="100" customFormat="1" x14ac:dyDescent="0.15">
      <c r="A9" s="87">
        <v>1960</v>
      </c>
      <c r="B9" s="88"/>
      <c r="C9" s="786" t="s">
        <v>148</v>
      </c>
      <c r="D9" s="786"/>
      <c r="E9" s="87">
        <v>366</v>
      </c>
      <c r="F9" s="87"/>
      <c r="G9" s="89">
        <v>12</v>
      </c>
      <c r="H9" s="87"/>
      <c r="I9" s="87"/>
      <c r="J9" s="90">
        <v>12</v>
      </c>
      <c r="K9" s="77">
        <f t="shared" ref="K9:K15" si="0">G9/J9*100</f>
        <v>100</v>
      </c>
      <c r="L9" s="77">
        <f t="shared" ref="L9:L15" si="1">H9/J9*100</f>
        <v>0</v>
      </c>
      <c r="M9" s="77">
        <f t="shared" ref="M9:M15" si="2">I9/J9*100</f>
        <v>0</v>
      </c>
      <c r="N9" s="78">
        <f t="shared" ref="N9:N72" si="3">SUM(K9:M9)</f>
        <v>100</v>
      </c>
      <c r="O9" s="91">
        <v>63.1</v>
      </c>
      <c r="P9" s="92"/>
      <c r="Q9" s="92"/>
      <c r="R9" s="93">
        <f t="shared" ref="R9:R72" si="4">SUM(O9:Q9)</f>
        <v>63.1</v>
      </c>
      <c r="S9" s="94">
        <v>2</v>
      </c>
      <c r="T9" s="95"/>
      <c r="U9" s="85"/>
      <c r="V9" s="96" t="s">
        <v>72</v>
      </c>
      <c r="W9" s="97" t="s">
        <v>74</v>
      </c>
      <c r="X9" s="97" t="s">
        <v>11</v>
      </c>
      <c r="Y9" s="98">
        <v>47.5</v>
      </c>
      <c r="Z9" s="97" t="s">
        <v>73</v>
      </c>
      <c r="AA9" s="97" t="s">
        <v>75</v>
      </c>
      <c r="AB9" s="97" t="s">
        <v>11</v>
      </c>
      <c r="AC9" s="97">
        <v>15.6</v>
      </c>
      <c r="AD9" s="96"/>
      <c r="AE9" s="97"/>
      <c r="AF9" s="97"/>
      <c r="AG9" s="98"/>
      <c r="AH9" s="97"/>
      <c r="AI9" s="97"/>
      <c r="AJ9" s="97"/>
      <c r="AK9" s="97"/>
      <c r="AL9" s="96"/>
      <c r="AM9" s="97"/>
      <c r="AN9" s="97"/>
      <c r="AO9" s="98"/>
      <c r="AP9" s="96"/>
      <c r="AQ9" s="97"/>
      <c r="AR9" s="97"/>
      <c r="AS9" s="98"/>
      <c r="AT9" s="99"/>
      <c r="AW9" s="98"/>
      <c r="AX9" s="324"/>
      <c r="AY9" s="324"/>
      <c r="AZ9" s="324"/>
      <c r="BA9" s="330"/>
    </row>
    <row r="10" spans="1:53" s="100" customFormat="1" x14ac:dyDescent="0.15">
      <c r="A10" s="87">
        <v>1961</v>
      </c>
      <c r="B10" s="88"/>
      <c r="C10" s="786" t="s">
        <v>148</v>
      </c>
      <c r="D10" s="786"/>
      <c r="E10" s="87">
        <v>356</v>
      </c>
      <c r="F10" s="87"/>
      <c r="G10" s="89">
        <v>12</v>
      </c>
      <c r="H10" s="87"/>
      <c r="I10" s="87"/>
      <c r="J10" s="90">
        <v>12</v>
      </c>
      <c r="K10" s="77">
        <f t="shared" si="0"/>
        <v>100</v>
      </c>
      <c r="L10" s="77">
        <f t="shared" si="1"/>
        <v>0</v>
      </c>
      <c r="M10" s="77">
        <f t="shared" si="2"/>
        <v>0</v>
      </c>
      <c r="N10" s="78">
        <f t="shared" si="3"/>
        <v>100</v>
      </c>
      <c r="O10" s="91">
        <v>63.1</v>
      </c>
      <c r="P10" s="92"/>
      <c r="Q10" s="92"/>
      <c r="R10" s="93">
        <f t="shared" si="4"/>
        <v>63.1</v>
      </c>
      <c r="S10" s="102">
        <v>2</v>
      </c>
      <c r="T10" s="95"/>
      <c r="U10" s="85"/>
      <c r="V10" s="96" t="s">
        <v>72</v>
      </c>
      <c r="W10" s="97" t="s">
        <v>74</v>
      </c>
      <c r="X10" s="97" t="s">
        <v>11</v>
      </c>
      <c r="Y10" s="98">
        <v>47.5</v>
      </c>
      <c r="Z10" s="97" t="s">
        <v>73</v>
      </c>
      <c r="AA10" s="97" t="s">
        <v>75</v>
      </c>
      <c r="AB10" s="97" t="s">
        <v>11</v>
      </c>
      <c r="AC10" s="97">
        <v>15.6</v>
      </c>
      <c r="AD10" s="96"/>
      <c r="AE10" s="97"/>
      <c r="AF10" s="97"/>
      <c r="AG10" s="98"/>
      <c r="AH10" s="97"/>
      <c r="AI10" s="97"/>
      <c r="AJ10" s="97"/>
      <c r="AK10" s="97"/>
      <c r="AL10" s="96"/>
      <c r="AM10" s="97"/>
      <c r="AN10" s="97"/>
      <c r="AO10" s="98"/>
      <c r="AP10" s="96"/>
      <c r="AQ10" s="97"/>
      <c r="AR10" s="97"/>
      <c r="AS10" s="98"/>
      <c r="AT10" s="99"/>
      <c r="AW10" s="98"/>
      <c r="AX10" s="324"/>
      <c r="AY10" s="324"/>
      <c r="AZ10" s="324"/>
      <c r="BA10" s="330"/>
    </row>
    <row r="11" spans="1:53" s="391" customFormat="1" x14ac:dyDescent="0.15">
      <c r="A11" s="199">
        <v>1961</v>
      </c>
      <c r="B11" s="380">
        <v>22638</v>
      </c>
      <c r="C11" s="785" t="s">
        <v>149</v>
      </c>
      <c r="D11" s="785"/>
      <c r="E11" s="199">
        <f>365-E10</f>
        <v>9</v>
      </c>
      <c r="F11" s="199">
        <v>1</v>
      </c>
      <c r="G11" s="381">
        <v>12</v>
      </c>
      <c r="H11" s="199"/>
      <c r="I11" s="199"/>
      <c r="J11" s="382">
        <v>12</v>
      </c>
      <c r="K11" s="338">
        <f>G11/J11*100</f>
        <v>100</v>
      </c>
      <c r="L11" s="338">
        <f t="shared" si="1"/>
        <v>0</v>
      </c>
      <c r="M11" s="338">
        <f t="shared" si="2"/>
        <v>0</v>
      </c>
      <c r="N11" s="339">
        <f t="shared" si="3"/>
        <v>100</v>
      </c>
      <c r="O11" s="383">
        <v>50.8</v>
      </c>
      <c r="P11" s="384"/>
      <c r="Q11" s="384"/>
      <c r="R11" s="385">
        <f t="shared" si="4"/>
        <v>50.8</v>
      </c>
      <c r="S11" s="386">
        <v>2</v>
      </c>
      <c r="T11" s="342">
        <v>22624</v>
      </c>
      <c r="U11" s="355">
        <v>22638</v>
      </c>
      <c r="V11" s="387" t="s">
        <v>72</v>
      </c>
      <c r="W11" s="388" t="s">
        <v>74</v>
      </c>
      <c r="X11" s="388" t="s">
        <v>11</v>
      </c>
      <c r="Y11" s="389">
        <v>36.9</v>
      </c>
      <c r="Z11" s="388" t="s">
        <v>73</v>
      </c>
      <c r="AA11" s="388" t="s">
        <v>75</v>
      </c>
      <c r="AB11" s="388" t="s">
        <v>11</v>
      </c>
      <c r="AC11" s="388">
        <v>13.9</v>
      </c>
      <c r="AD11" s="387"/>
      <c r="AE11" s="388"/>
      <c r="AF11" s="388"/>
      <c r="AG11" s="389"/>
      <c r="AH11" s="388"/>
      <c r="AI11" s="388"/>
      <c r="AJ11" s="388"/>
      <c r="AK11" s="388"/>
      <c r="AL11" s="387"/>
      <c r="AM11" s="388"/>
      <c r="AN11" s="388"/>
      <c r="AO11" s="389"/>
      <c r="AP11" s="387"/>
      <c r="AQ11" s="388"/>
      <c r="AR11" s="388"/>
      <c r="AS11" s="389"/>
      <c r="AT11" s="390"/>
      <c r="AW11" s="389"/>
      <c r="AX11" s="392"/>
      <c r="AY11" s="392"/>
      <c r="AZ11" s="392"/>
      <c r="BA11" s="393"/>
    </row>
    <row r="12" spans="1:53" s="391" customFormat="1" x14ac:dyDescent="0.15">
      <c r="A12" s="199">
        <v>1962</v>
      </c>
      <c r="B12" s="380"/>
      <c r="C12" s="785" t="s">
        <v>149</v>
      </c>
      <c r="D12" s="785"/>
      <c r="E12" s="199">
        <v>0</v>
      </c>
      <c r="F12" s="199"/>
      <c r="G12" s="381">
        <v>12</v>
      </c>
      <c r="H12" s="199"/>
      <c r="I12" s="199"/>
      <c r="J12" s="382">
        <v>12</v>
      </c>
      <c r="K12" s="338">
        <f t="shared" si="0"/>
        <v>100</v>
      </c>
      <c r="L12" s="338">
        <f t="shared" si="1"/>
        <v>0</v>
      </c>
      <c r="M12" s="338">
        <f t="shared" si="2"/>
        <v>0</v>
      </c>
      <c r="N12" s="339">
        <f t="shared" si="3"/>
        <v>100</v>
      </c>
      <c r="O12" s="383">
        <v>50.8</v>
      </c>
      <c r="P12" s="384"/>
      <c r="Q12" s="384"/>
      <c r="R12" s="385">
        <f t="shared" si="4"/>
        <v>50.8</v>
      </c>
      <c r="S12" s="386">
        <v>2</v>
      </c>
      <c r="T12" s="342"/>
      <c r="U12" s="355"/>
      <c r="V12" s="387" t="s">
        <v>72</v>
      </c>
      <c r="W12" s="388" t="s">
        <v>74</v>
      </c>
      <c r="X12" s="388" t="s">
        <v>11</v>
      </c>
      <c r="Y12" s="389">
        <v>36.9</v>
      </c>
      <c r="Z12" s="388" t="s">
        <v>73</v>
      </c>
      <c r="AA12" s="388" t="s">
        <v>75</v>
      </c>
      <c r="AB12" s="388" t="s">
        <v>11</v>
      </c>
      <c r="AC12" s="388">
        <v>13.9</v>
      </c>
      <c r="AD12" s="387"/>
      <c r="AE12" s="388"/>
      <c r="AF12" s="388"/>
      <c r="AG12" s="389"/>
      <c r="AH12" s="388"/>
      <c r="AI12" s="388"/>
      <c r="AJ12" s="388"/>
      <c r="AK12" s="388"/>
      <c r="AL12" s="387"/>
      <c r="AM12" s="388"/>
      <c r="AN12" s="388"/>
      <c r="AO12" s="389"/>
      <c r="AP12" s="387"/>
      <c r="AQ12" s="388"/>
      <c r="AR12" s="388"/>
      <c r="AS12" s="389"/>
      <c r="AT12" s="390"/>
      <c r="AW12" s="389"/>
      <c r="AX12" s="392"/>
      <c r="AY12" s="392"/>
      <c r="AZ12" s="392"/>
      <c r="BA12" s="393"/>
    </row>
    <row r="13" spans="1:53" s="391" customFormat="1" x14ac:dyDescent="0.15">
      <c r="A13" s="199">
        <v>1962</v>
      </c>
      <c r="B13" s="380"/>
      <c r="C13" s="785" t="s">
        <v>149</v>
      </c>
      <c r="D13" s="785"/>
      <c r="E13" s="199">
        <f>365-E12</f>
        <v>365</v>
      </c>
      <c r="F13" s="199"/>
      <c r="G13" s="381">
        <v>12</v>
      </c>
      <c r="H13" s="199"/>
      <c r="I13" s="199"/>
      <c r="J13" s="382">
        <v>12</v>
      </c>
      <c r="K13" s="338">
        <f t="shared" si="0"/>
        <v>100</v>
      </c>
      <c r="L13" s="338">
        <f t="shared" si="1"/>
        <v>0</v>
      </c>
      <c r="M13" s="338">
        <f t="shared" si="2"/>
        <v>0</v>
      </c>
      <c r="N13" s="339">
        <f t="shared" si="3"/>
        <v>100</v>
      </c>
      <c r="O13" s="383">
        <v>50.8</v>
      </c>
      <c r="P13" s="384"/>
      <c r="Q13" s="384"/>
      <c r="R13" s="385">
        <f t="shared" si="4"/>
        <v>50.8</v>
      </c>
      <c r="S13" s="386">
        <v>2</v>
      </c>
      <c r="T13" s="342"/>
      <c r="U13" s="355"/>
      <c r="V13" s="387" t="s">
        <v>72</v>
      </c>
      <c r="W13" s="388" t="s">
        <v>74</v>
      </c>
      <c r="X13" s="388" t="s">
        <v>11</v>
      </c>
      <c r="Y13" s="389">
        <v>36.9</v>
      </c>
      <c r="Z13" s="388" t="s">
        <v>73</v>
      </c>
      <c r="AA13" s="388" t="s">
        <v>75</v>
      </c>
      <c r="AB13" s="388" t="s">
        <v>11</v>
      </c>
      <c r="AC13" s="388">
        <v>13.9</v>
      </c>
      <c r="AD13" s="387"/>
      <c r="AE13" s="388"/>
      <c r="AF13" s="388"/>
      <c r="AG13" s="389"/>
      <c r="AH13" s="388"/>
      <c r="AI13" s="388"/>
      <c r="AJ13" s="388"/>
      <c r="AK13" s="388"/>
      <c r="AL13" s="387"/>
      <c r="AM13" s="388"/>
      <c r="AN13" s="388"/>
      <c r="AO13" s="389"/>
      <c r="AP13" s="387"/>
      <c r="AQ13" s="388"/>
      <c r="AR13" s="388"/>
      <c r="AS13" s="389"/>
      <c r="AT13" s="390"/>
      <c r="AW13" s="389"/>
      <c r="AX13" s="392"/>
      <c r="AY13" s="392"/>
      <c r="AZ13" s="392"/>
      <c r="BA13" s="393"/>
    </row>
    <row r="14" spans="1:53" s="391" customFormat="1" x14ac:dyDescent="0.15">
      <c r="A14" s="199">
        <v>1962.6</v>
      </c>
      <c r="B14" s="380"/>
      <c r="C14" s="785" t="s">
        <v>149</v>
      </c>
      <c r="D14" s="785"/>
      <c r="E14" s="199">
        <v>350</v>
      </c>
      <c r="F14" s="199"/>
      <c r="G14" s="381">
        <v>12</v>
      </c>
      <c r="H14" s="199"/>
      <c r="I14" s="199"/>
      <c r="J14" s="382">
        <v>12</v>
      </c>
      <c r="K14" s="338">
        <f t="shared" si="0"/>
        <v>100</v>
      </c>
      <c r="L14" s="338">
        <f t="shared" si="1"/>
        <v>0</v>
      </c>
      <c r="M14" s="338">
        <f t="shared" si="2"/>
        <v>0</v>
      </c>
      <c r="N14" s="339">
        <f t="shared" si="3"/>
        <v>100</v>
      </c>
      <c r="O14" s="383">
        <v>50.8</v>
      </c>
      <c r="P14" s="384"/>
      <c r="Q14" s="384"/>
      <c r="R14" s="385">
        <f t="shared" si="4"/>
        <v>50.8</v>
      </c>
      <c r="S14" s="386">
        <v>2</v>
      </c>
      <c r="T14" s="342"/>
      <c r="U14" s="355"/>
      <c r="V14" s="387" t="s">
        <v>72</v>
      </c>
      <c r="W14" s="388" t="s">
        <v>74</v>
      </c>
      <c r="X14" s="388" t="s">
        <v>11</v>
      </c>
      <c r="Y14" s="389">
        <v>36.9</v>
      </c>
      <c r="Z14" s="388" t="s">
        <v>73</v>
      </c>
      <c r="AA14" s="388" t="s">
        <v>75</v>
      </c>
      <c r="AB14" s="388" t="s">
        <v>11</v>
      </c>
      <c r="AC14" s="388">
        <v>13.9</v>
      </c>
      <c r="AD14" s="387"/>
      <c r="AE14" s="388"/>
      <c r="AF14" s="388"/>
      <c r="AG14" s="389"/>
      <c r="AH14" s="388"/>
      <c r="AI14" s="388"/>
      <c r="AJ14" s="388"/>
      <c r="AK14" s="388"/>
      <c r="AL14" s="387"/>
      <c r="AM14" s="388"/>
      <c r="AN14" s="388"/>
      <c r="AO14" s="389"/>
      <c r="AP14" s="387"/>
      <c r="AQ14" s="388"/>
      <c r="AR14" s="388"/>
      <c r="AS14" s="389"/>
      <c r="AT14" s="390"/>
      <c r="AW14" s="389"/>
      <c r="AX14" s="392"/>
      <c r="AY14" s="392"/>
      <c r="AZ14" s="392"/>
      <c r="BA14" s="393"/>
    </row>
    <row r="15" spans="1:53" s="100" customFormat="1" x14ac:dyDescent="0.15">
      <c r="A15" s="87">
        <v>1963.05714285714</v>
      </c>
      <c r="B15" s="88">
        <v>23362</v>
      </c>
      <c r="C15" s="786" t="s">
        <v>150</v>
      </c>
      <c r="D15" s="786"/>
      <c r="E15" s="87">
        <f>365-E14</f>
        <v>15</v>
      </c>
      <c r="F15" s="87">
        <v>1</v>
      </c>
      <c r="G15" s="89">
        <v>12</v>
      </c>
      <c r="H15" s="87"/>
      <c r="I15" s="87"/>
      <c r="J15" s="90">
        <v>12</v>
      </c>
      <c r="K15" s="77">
        <f t="shared" si="0"/>
        <v>100</v>
      </c>
      <c r="L15" s="77">
        <f t="shared" si="1"/>
        <v>0</v>
      </c>
      <c r="M15" s="77">
        <f t="shared" si="2"/>
        <v>0</v>
      </c>
      <c r="N15" s="78">
        <f t="shared" si="3"/>
        <v>100</v>
      </c>
      <c r="O15" s="91">
        <v>59</v>
      </c>
      <c r="P15" s="92"/>
      <c r="Q15" s="92"/>
      <c r="R15" s="93">
        <f t="shared" si="4"/>
        <v>59</v>
      </c>
      <c r="S15" s="102">
        <v>2</v>
      </c>
      <c r="T15" s="95">
        <v>23345</v>
      </c>
      <c r="U15" s="85">
        <v>23362</v>
      </c>
      <c r="V15" s="96" t="s">
        <v>72</v>
      </c>
      <c r="W15" s="97" t="s">
        <v>74</v>
      </c>
      <c r="X15" s="97" t="s">
        <v>11</v>
      </c>
      <c r="Y15" s="98">
        <v>42.6</v>
      </c>
      <c r="Z15" s="97" t="s">
        <v>73</v>
      </c>
      <c r="AA15" s="97" t="s">
        <v>75</v>
      </c>
      <c r="AB15" s="97" t="s">
        <v>11</v>
      </c>
      <c r="AC15" s="97">
        <v>16.399999999999999</v>
      </c>
      <c r="AD15" s="96"/>
      <c r="AE15" s="97"/>
      <c r="AF15" s="97"/>
      <c r="AG15" s="98"/>
      <c r="AH15" s="97"/>
      <c r="AI15" s="97"/>
      <c r="AJ15" s="97"/>
      <c r="AK15" s="97"/>
      <c r="AL15" s="96"/>
      <c r="AM15" s="97"/>
      <c r="AN15" s="97"/>
      <c r="AO15" s="98"/>
      <c r="AP15" s="96"/>
      <c r="AQ15" s="97"/>
      <c r="AR15" s="97"/>
      <c r="AS15" s="98"/>
      <c r="AT15" s="99"/>
      <c r="AW15" s="98"/>
      <c r="AX15" s="324"/>
      <c r="AY15" s="324"/>
      <c r="AZ15" s="324"/>
      <c r="BA15" s="330"/>
    </row>
    <row r="16" spans="1:53" s="100" customFormat="1" x14ac:dyDescent="0.15">
      <c r="A16" s="87">
        <v>1963.5142857142901</v>
      </c>
      <c r="B16" s="88"/>
      <c r="C16" s="786" t="s">
        <v>150</v>
      </c>
      <c r="D16" s="786"/>
      <c r="E16" s="87">
        <v>0</v>
      </c>
      <c r="F16" s="87"/>
      <c r="G16" s="89">
        <v>12</v>
      </c>
      <c r="H16" s="87"/>
      <c r="I16" s="87"/>
      <c r="J16" s="90">
        <v>12</v>
      </c>
      <c r="K16" s="77">
        <f>G16/J16*100</f>
        <v>100</v>
      </c>
      <c r="L16" s="77">
        <f>H16/J16*100</f>
        <v>0</v>
      </c>
      <c r="M16" s="77">
        <f>I16/J16*100</f>
        <v>0</v>
      </c>
      <c r="N16" s="78">
        <f t="shared" si="3"/>
        <v>100</v>
      </c>
      <c r="O16" s="91">
        <v>59</v>
      </c>
      <c r="P16" s="92"/>
      <c r="Q16" s="92"/>
      <c r="R16" s="93">
        <f t="shared" si="4"/>
        <v>59</v>
      </c>
      <c r="S16" s="102">
        <v>2</v>
      </c>
      <c r="T16" s="95"/>
      <c r="U16" s="85"/>
      <c r="V16" s="96" t="s">
        <v>72</v>
      </c>
      <c r="W16" s="97" t="s">
        <v>74</v>
      </c>
      <c r="X16" s="97" t="s">
        <v>11</v>
      </c>
      <c r="Y16" s="98">
        <v>42.6</v>
      </c>
      <c r="Z16" s="97" t="s">
        <v>73</v>
      </c>
      <c r="AA16" s="97" t="s">
        <v>75</v>
      </c>
      <c r="AB16" s="97" t="s">
        <v>11</v>
      </c>
      <c r="AC16" s="97">
        <v>16.399999999999999</v>
      </c>
      <c r="AD16" s="96"/>
      <c r="AE16" s="97"/>
      <c r="AF16" s="97"/>
      <c r="AG16" s="98"/>
      <c r="AH16" s="97"/>
      <c r="AI16" s="97"/>
      <c r="AJ16" s="97"/>
      <c r="AK16" s="97"/>
      <c r="AL16" s="96"/>
      <c r="AM16" s="97"/>
      <c r="AN16" s="97"/>
      <c r="AO16" s="98"/>
      <c r="AP16" s="96"/>
      <c r="AQ16" s="97"/>
      <c r="AR16" s="97"/>
      <c r="AS16" s="98"/>
      <c r="AT16" s="99"/>
      <c r="AW16" s="98"/>
      <c r="AX16" s="324"/>
      <c r="AY16" s="324"/>
      <c r="AZ16" s="324"/>
      <c r="BA16" s="330"/>
    </row>
    <row r="17" spans="1:53" s="100" customFormat="1" x14ac:dyDescent="0.15">
      <c r="A17" s="87">
        <v>1963.9714285714299</v>
      </c>
      <c r="B17" s="88"/>
      <c r="C17" s="786" t="s">
        <v>150</v>
      </c>
      <c r="D17" s="786"/>
      <c r="E17" s="87">
        <v>366</v>
      </c>
      <c r="F17" s="87"/>
      <c r="G17" s="89">
        <v>12</v>
      </c>
      <c r="H17" s="87"/>
      <c r="I17" s="87"/>
      <c r="J17" s="90">
        <v>12</v>
      </c>
      <c r="K17" s="77">
        <f t="shared" ref="K17:K24" si="5">G17/J17*100</f>
        <v>100</v>
      </c>
      <c r="L17" s="77">
        <f t="shared" ref="L17:L24" si="6">H17/J17*100</f>
        <v>0</v>
      </c>
      <c r="M17" s="77">
        <f t="shared" ref="M17:M24" si="7">I17/J17*100</f>
        <v>0</v>
      </c>
      <c r="N17" s="78">
        <f t="shared" si="3"/>
        <v>100</v>
      </c>
      <c r="O17" s="91">
        <v>59</v>
      </c>
      <c r="P17" s="92"/>
      <c r="Q17" s="92"/>
      <c r="R17" s="93">
        <f t="shared" si="4"/>
        <v>59</v>
      </c>
      <c r="S17" s="102">
        <v>2</v>
      </c>
      <c r="T17" s="95"/>
      <c r="U17" s="85"/>
      <c r="V17" s="96" t="s">
        <v>72</v>
      </c>
      <c r="W17" s="97" t="s">
        <v>74</v>
      </c>
      <c r="X17" s="97" t="s">
        <v>11</v>
      </c>
      <c r="Y17" s="98">
        <v>42.6</v>
      </c>
      <c r="Z17" s="97" t="s">
        <v>73</v>
      </c>
      <c r="AA17" s="97" t="s">
        <v>75</v>
      </c>
      <c r="AB17" s="97" t="s">
        <v>11</v>
      </c>
      <c r="AC17" s="97">
        <v>16.399999999999999</v>
      </c>
      <c r="AD17" s="96"/>
      <c r="AE17" s="97"/>
      <c r="AF17" s="97"/>
      <c r="AG17" s="98"/>
      <c r="AH17" s="97"/>
      <c r="AI17" s="97"/>
      <c r="AJ17" s="97"/>
      <c r="AK17" s="97"/>
      <c r="AL17" s="96"/>
      <c r="AM17" s="97"/>
      <c r="AN17" s="97"/>
      <c r="AO17" s="98"/>
      <c r="AP17" s="96"/>
      <c r="AQ17" s="97"/>
      <c r="AR17" s="97"/>
      <c r="AS17" s="98"/>
      <c r="AT17" s="99"/>
      <c r="AW17" s="98"/>
      <c r="AX17" s="324"/>
      <c r="AY17" s="324"/>
      <c r="AZ17" s="324"/>
      <c r="BA17" s="330"/>
    </row>
    <row r="18" spans="1:53" s="100" customFormat="1" x14ac:dyDescent="0.15">
      <c r="A18" s="87">
        <v>1965</v>
      </c>
      <c r="B18" s="88"/>
      <c r="C18" s="786" t="s">
        <v>150</v>
      </c>
      <c r="D18" s="786"/>
      <c r="E18" s="87">
        <v>0</v>
      </c>
      <c r="F18" s="87"/>
      <c r="G18" s="89">
        <v>12</v>
      </c>
      <c r="H18" s="87"/>
      <c r="I18" s="87"/>
      <c r="J18" s="90">
        <v>12</v>
      </c>
      <c r="K18" s="77">
        <f t="shared" si="5"/>
        <v>100</v>
      </c>
      <c r="L18" s="77">
        <f t="shared" si="6"/>
        <v>0</v>
      </c>
      <c r="M18" s="77">
        <f t="shared" si="7"/>
        <v>0</v>
      </c>
      <c r="N18" s="78">
        <f t="shared" si="3"/>
        <v>100</v>
      </c>
      <c r="O18" s="91">
        <v>59</v>
      </c>
      <c r="P18" s="92"/>
      <c r="Q18" s="92"/>
      <c r="R18" s="93">
        <f t="shared" si="4"/>
        <v>59</v>
      </c>
      <c r="S18" s="102">
        <v>2</v>
      </c>
      <c r="T18" s="95"/>
      <c r="U18" s="85"/>
      <c r="V18" s="96" t="s">
        <v>72</v>
      </c>
      <c r="W18" s="97" t="s">
        <v>74</v>
      </c>
      <c r="X18" s="97" t="s">
        <v>11</v>
      </c>
      <c r="Y18" s="98">
        <v>42.6</v>
      </c>
      <c r="Z18" s="97" t="s">
        <v>73</v>
      </c>
      <c r="AA18" s="97" t="s">
        <v>75</v>
      </c>
      <c r="AB18" s="97" t="s">
        <v>11</v>
      </c>
      <c r="AC18" s="97">
        <v>16.399999999999999</v>
      </c>
      <c r="AD18" s="96"/>
      <c r="AE18" s="97"/>
      <c r="AF18" s="97"/>
      <c r="AG18" s="98"/>
      <c r="AH18" s="97"/>
      <c r="AI18" s="97"/>
      <c r="AJ18" s="97"/>
      <c r="AK18" s="97"/>
      <c r="AL18" s="96"/>
      <c r="AM18" s="97"/>
      <c r="AN18" s="97"/>
      <c r="AO18" s="98"/>
      <c r="AP18" s="96"/>
      <c r="AQ18" s="97"/>
      <c r="AR18" s="97"/>
      <c r="AS18" s="98"/>
      <c r="AT18" s="99"/>
      <c r="AW18" s="98"/>
      <c r="AX18" s="324"/>
      <c r="AY18" s="324"/>
      <c r="AZ18" s="324"/>
      <c r="BA18" s="330"/>
    </row>
    <row r="19" spans="1:53" s="100" customFormat="1" x14ac:dyDescent="0.15">
      <c r="A19" s="87">
        <v>1964.88571428572</v>
      </c>
      <c r="B19" s="88"/>
      <c r="C19" s="786" t="s">
        <v>150</v>
      </c>
      <c r="D19" s="786"/>
      <c r="E19" s="87">
        <f>365-E18</f>
        <v>365</v>
      </c>
      <c r="F19" s="87"/>
      <c r="G19" s="89">
        <v>12</v>
      </c>
      <c r="H19" s="87"/>
      <c r="I19" s="87"/>
      <c r="J19" s="90">
        <v>12</v>
      </c>
      <c r="K19" s="77">
        <f t="shared" si="5"/>
        <v>100</v>
      </c>
      <c r="L19" s="77">
        <f t="shared" si="6"/>
        <v>0</v>
      </c>
      <c r="M19" s="77">
        <f t="shared" si="7"/>
        <v>0</v>
      </c>
      <c r="N19" s="78">
        <f t="shared" si="3"/>
        <v>100</v>
      </c>
      <c r="O19" s="91">
        <v>59</v>
      </c>
      <c r="P19" s="92"/>
      <c r="Q19" s="92"/>
      <c r="R19" s="93">
        <f t="shared" si="4"/>
        <v>59</v>
      </c>
      <c r="S19" s="102">
        <v>2</v>
      </c>
      <c r="T19" s="95"/>
      <c r="U19" s="85"/>
      <c r="V19" s="96" t="s">
        <v>72</v>
      </c>
      <c r="W19" s="97" t="s">
        <v>74</v>
      </c>
      <c r="X19" s="97" t="s">
        <v>11</v>
      </c>
      <c r="Y19" s="98">
        <v>42.6</v>
      </c>
      <c r="Z19" s="97" t="s">
        <v>73</v>
      </c>
      <c r="AA19" s="97" t="s">
        <v>75</v>
      </c>
      <c r="AB19" s="97" t="s">
        <v>11</v>
      </c>
      <c r="AC19" s="97">
        <v>16.399999999999999</v>
      </c>
      <c r="AD19" s="96"/>
      <c r="AE19" s="97"/>
      <c r="AF19" s="97"/>
      <c r="AG19" s="98"/>
      <c r="AH19" s="97"/>
      <c r="AI19" s="97"/>
      <c r="AJ19" s="97"/>
      <c r="AK19" s="97"/>
      <c r="AL19" s="96"/>
      <c r="AM19" s="97"/>
      <c r="AN19" s="97"/>
      <c r="AO19" s="98"/>
      <c r="AP19" s="96"/>
      <c r="AQ19" s="97"/>
      <c r="AR19" s="97"/>
      <c r="AS19" s="98"/>
      <c r="AT19" s="99"/>
      <c r="AW19" s="98"/>
      <c r="AX19" s="324"/>
      <c r="AY19" s="324"/>
      <c r="AZ19" s="324"/>
      <c r="BA19" s="330"/>
    </row>
    <row r="20" spans="1:53" s="100" customFormat="1" x14ac:dyDescent="0.15">
      <c r="A20" s="87">
        <v>1966</v>
      </c>
      <c r="B20" s="88"/>
      <c r="C20" s="786" t="s">
        <v>150</v>
      </c>
      <c r="D20" s="786"/>
      <c r="E20" s="87">
        <v>25</v>
      </c>
      <c r="F20" s="87"/>
      <c r="G20" s="89">
        <v>12</v>
      </c>
      <c r="H20" s="87"/>
      <c r="I20" s="87"/>
      <c r="J20" s="90">
        <v>12</v>
      </c>
      <c r="K20" s="77">
        <f t="shared" si="5"/>
        <v>100</v>
      </c>
      <c r="L20" s="77">
        <f t="shared" si="6"/>
        <v>0</v>
      </c>
      <c r="M20" s="77">
        <f t="shared" si="7"/>
        <v>0</v>
      </c>
      <c r="N20" s="78">
        <f t="shared" si="3"/>
        <v>100</v>
      </c>
      <c r="O20" s="91">
        <v>59</v>
      </c>
      <c r="P20" s="92"/>
      <c r="Q20" s="92"/>
      <c r="R20" s="93">
        <f t="shared" si="4"/>
        <v>59</v>
      </c>
      <c r="S20" s="102">
        <v>2</v>
      </c>
      <c r="T20" s="95"/>
      <c r="U20" s="85"/>
      <c r="V20" s="96" t="s">
        <v>72</v>
      </c>
      <c r="W20" s="97" t="s">
        <v>74</v>
      </c>
      <c r="X20" s="97" t="s">
        <v>11</v>
      </c>
      <c r="Y20" s="98">
        <v>42.6</v>
      </c>
      <c r="Z20" s="97" t="s">
        <v>73</v>
      </c>
      <c r="AA20" s="97" t="s">
        <v>75</v>
      </c>
      <c r="AB20" s="97" t="s">
        <v>11</v>
      </c>
      <c r="AC20" s="97">
        <v>16.399999999999999</v>
      </c>
      <c r="AD20" s="96"/>
      <c r="AE20" s="97"/>
      <c r="AF20" s="97"/>
      <c r="AG20" s="98"/>
      <c r="AH20" s="97"/>
      <c r="AI20" s="97"/>
      <c r="AJ20" s="97"/>
      <c r="AK20" s="97"/>
      <c r="AL20" s="96"/>
      <c r="AM20" s="97"/>
      <c r="AN20" s="97"/>
      <c r="AO20" s="98"/>
      <c r="AP20" s="96"/>
      <c r="AQ20" s="97"/>
      <c r="AR20" s="97"/>
      <c r="AS20" s="98"/>
      <c r="AT20" s="99"/>
      <c r="AW20" s="98"/>
      <c r="AX20" s="324"/>
      <c r="AY20" s="324"/>
      <c r="AZ20" s="324"/>
      <c r="BA20" s="330"/>
    </row>
    <row r="21" spans="1:53" s="391" customFormat="1" x14ac:dyDescent="0.15">
      <c r="A21" s="199">
        <v>1965.8</v>
      </c>
      <c r="B21" s="380">
        <v>24133</v>
      </c>
      <c r="C21" s="785" t="s">
        <v>151</v>
      </c>
      <c r="D21" s="785"/>
      <c r="E21" s="199">
        <v>322</v>
      </c>
      <c r="F21" s="199">
        <v>2</v>
      </c>
      <c r="G21" s="381">
        <v>12</v>
      </c>
      <c r="H21" s="199"/>
      <c r="I21" s="199"/>
      <c r="J21" s="382">
        <v>12</v>
      </c>
      <c r="K21" s="338">
        <f>G21/J21*100</f>
        <v>100</v>
      </c>
      <c r="L21" s="338">
        <f>H21/J21*100</f>
        <v>0</v>
      </c>
      <c r="M21" s="338">
        <f>I21/J21*100</f>
        <v>0</v>
      </c>
      <c r="N21" s="339">
        <f t="shared" si="3"/>
        <v>100</v>
      </c>
      <c r="O21" s="383">
        <v>59</v>
      </c>
      <c r="P21" s="384"/>
      <c r="Q21" s="384"/>
      <c r="R21" s="385">
        <f t="shared" si="4"/>
        <v>59</v>
      </c>
      <c r="S21" s="386">
        <v>2</v>
      </c>
      <c r="T21" s="342"/>
      <c r="U21" s="355">
        <v>24130</v>
      </c>
      <c r="V21" s="387" t="s">
        <v>72</v>
      </c>
      <c r="W21" s="388" t="s">
        <v>74</v>
      </c>
      <c r="X21" s="388" t="s">
        <v>11</v>
      </c>
      <c r="Y21" s="389">
        <v>42.6</v>
      </c>
      <c r="Z21" s="388" t="s">
        <v>73</v>
      </c>
      <c r="AA21" s="388" t="s">
        <v>75</v>
      </c>
      <c r="AB21" s="388" t="s">
        <v>11</v>
      </c>
      <c r="AC21" s="388">
        <v>16.399999999999999</v>
      </c>
      <c r="AD21" s="387"/>
      <c r="AE21" s="388"/>
      <c r="AF21" s="388"/>
      <c r="AG21" s="389"/>
      <c r="AH21" s="388"/>
      <c r="AI21" s="388"/>
      <c r="AJ21" s="388"/>
      <c r="AK21" s="388"/>
      <c r="AL21" s="387"/>
      <c r="AM21" s="388"/>
      <c r="AN21" s="388"/>
      <c r="AO21" s="389"/>
      <c r="AP21" s="387"/>
      <c r="AQ21" s="388"/>
      <c r="AR21" s="388"/>
      <c r="AS21" s="389"/>
      <c r="AT21" s="390"/>
      <c r="AW21" s="389"/>
      <c r="AX21" s="392"/>
      <c r="AY21" s="392"/>
      <c r="AZ21" s="392"/>
      <c r="BA21" s="393"/>
    </row>
    <row r="22" spans="1:53" s="100" customFormat="1" x14ac:dyDescent="0.15">
      <c r="A22" s="87">
        <v>1965.8</v>
      </c>
      <c r="B22" s="88">
        <v>24455</v>
      </c>
      <c r="C22" s="786" t="s">
        <v>152</v>
      </c>
      <c r="D22" s="786"/>
      <c r="E22" s="87">
        <v>18</v>
      </c>
      <c r="F22" s="87">
        <v>1</v>
      </c>
      <c r="G22" s="89">
        <v>12</v>
      </c>
      <c r="H22" s="87"/>
      <c r="I22" s="87"/>
      <c r="J22" s="90">
        <v>12</v>
      </c>
      <c r="K22" s="77">
        <f t="shared" si="5"/>
        <v>100</v>
      </c>
      <c r="L22" s="77">
        <f t="shared" si="6"/>
        <v>0</v>
      </c>
      <c r="M22" s="77">
        <f t="shared" si="7"/>
        <v>0</v>
      </c>
      <c r="N22" s="78">
        <f t="shared" si="3"/>
        <v>100</v>
      </c>
      <c r="O22" s="91">
        <v>66.099999999999994</v>
      </c>
      <c r="P22" s="92"/>
      <c r="Q22" s="92"/>
      <c r="R22" s="93">
        <f t="shared" si="4"/>
        <v>66.099999999999994</v>
      </c>
      <c r="S22" s="102">
        <v>2</v>
      </c>
      <c r="T22" s="95">
        <v>24437</v>
      </c>
      <c r="U22" s="85">
        <v>24455</v>
      </c>
      <c r="V22" s="96" t="s">
        <v>72</v>
      </c>
      <c r="W22" s="97" t="s">
        <v>74</v>
      </c>
      <c r="X22" s="97" t="s">
        <v>11</v>
      </c>
      <c r="Y22" s="98">
        <v>49.2</v>
      </c>
      <c r="Z22" s="97" t="s">
        <v>73</v>
      </c>
      <c r="AA22" s="97" t="s">
        <v>75</v>
      </c>
      <c r="AB22" s="97" t="s">
        <v>11</v>
      </c>
      <c r="AC22" s="97">
        <v>16.899999999999999</v>
      </c>
      <c r="AD22" s="96"/>
      <c r="AE22" s="97"/>
      <c r="AF22" s="97"/>
      <c r="AG22" s="98"/>
      <c r="AH22" s="97"/>
      <c r="AI22" s="97"/>
      <c r="AJ22" s="97"/>
      <c r="AK22" s="97"/>
      <c r="AL22" s="96"/>
      <c r="AM22" s="97"/>
      <c r="AN22" s="97"/>
      <c r="AO22" s="98"/>
      <c r="AP22" s="96"/>
      <c r="AQ22" s="97"/>
      <c r="AR22" s="97"/>
      <c r="AS22" s="98"/>
      <c r="AT22" s="99"/>
      <c r="AW22" s="98"/>
      <c r="AX22" s="324"/>
      <c r="AY22" s="324"/>
      <c r="AZ22" s="324"/>
      <c r="BA22" s="330"/>
    </row>
    <row r="23" spans="1:53" s="100" customFormat="1" x14ac:dyDescent="0.15">
      <c r="A23" s="87">
        <v>1967</v>
      </c>
      <c r="B23" s="88"/>
      <c r="C23" s="786" t="s">
        <v>152</v>
      </c>
      <c r="D23" s="786"/>
      <c r="E23" s="87">
        <v>351</v>
      </c>
      <c r="F23" s="87"/>
      <c r="G23" s="89">
        <v>12</v>
      </c>
      <c r="H23" s="87"/>
      <c r="I23" s="87"/>
      <c r="J23" s="90">
        <v>12</v>
      </c>
      <c r="K23" s="77">
        <f t="shared" si="5"/>
        <v>100</v>
      </c>
      <c r="L23" s="77">
        <f t="shared" si="6"/>
        <v>0</v>
      </c>
      <c r="M23" s="77">
        <f t="shared" si="7"/>
        <v>0</v>
      </c>
      <c r="N23" s="78">
        <f t="shared" si="3"/>
        <v>100</v>
      </c>
      <c r="O23" s="91">
        <v>66.099999999999994</v>
      </c>
      <c r="P23" s="92"/>
      <c r="Q23" s="92"/>
      <c r="R23" s="93">
        <f t="shared" si="4"/>
        <v>66.099999999999994</v>
      </c>
      <c r="S23" s="102">
        <v>2</v>
      </c>
      <c r="T23" s="95"/>
      <c r="U23" s="85"/>
      <c r="V23" s="96" t="s">
        <v>72</v>
      </c>
      <c r="W23" s="97" t="s">
        <v>74</v>
      </c>
      <c r="X23" s="97" t="s">
        <v>11</v>
      </c>
      <c r="Y23" s="98">
        <v>49.2</v>
      </c>
      <c r="Z23" s="97" t="s">
        <v>73</v>
      </c>
      <c r="AA23" s="97" t="s">
        <v>75</v>
      </c>
      <c r="AB23" s="97" t="s">
        <v>11</v>
      </c>
      <c r="AC23" s="97">
        <v>16.899999999999999</v>
      </c>
      <c r="AD23" s="96"/>
      <c r="AE23" s="97"/>
      <c r="AF23" s="97"/>
      <c r="AG23" s="98"/>
      <c r="AH23" s="97"/>
      <c r="AI23" s="97"/>
      <c r="AJ23" s="97"/>
      <c r="AK23" s="97"/>
      <c r="AL23" s="96"/>
      <c r="AM23" s="97"/>
      <c r="AN23" s="97"/>
      <c r="AO23" s="98"/>
      <c r="AP23" s="96"/>
      <c r="AQ23" s="97"/>
      <c r="AR23" s="97"/>
      <c r="AS23" s="98"/>
      <c r="AT23" s="99"/>
      <c r="AW23" s="98"/>
      <c r="AX23" s="324"/>
      <c r="AY23" s="324"/>
      <c r="AZ23" s="324"/>
      <c r="BA23" s="330"/>
    </row>
    <row r="24" spans="1:53" s="391" customFormat="1" x14ac:dyDescent="0.15">
      <c r="A24" s="199">
        <v>1966.7142857142901</v>
      </c>
      <c r="B24" s="380">
        <v>24824</v>
      </c>
      <c r="C24" s="785" t="s">
        <v>153</v>
      </c>
      <c r="D24" s="785"/>
      <c r="E24" s="199">
        <f>365-E23</f>
        <v>14</v>
      </c>
      <c r="F24" s="199">
        <v>3</v>
      </c>
      <c r="G24" s="381">
        <v>11</v>
      </c>
      <c r="H24" s="199"/>
      <c r="I24" s="199"/>
      <c r="J24" s="382">
        <v>11</v>
      </c>
      <c r="K24" s="338">
        <f t="shared" si="5"/>
        <v>100</v>
      </c>
      <c r="L24" s="338">
        <f t="shared" si="6"/>
        <v>0</v>
      </c>
      <c r="M24" s="338">
        <f t="shared" si="7"/>
        <v>0</v>
      </c>
      <c r="N24" s="339">
        <f t="shared" si="3"/>
        <v>100</v>
      </c>
      <c r="O24" s="383">
        <v>66.099999999999994</v>
      </c>
      <c r="P24" s="384"/>
      <c r="Q24" s="384"/>
      <c r="R24" s="385">
        <f t="shared" si="4"/>
        <v>66.099999999999994</v>
      </c>
      <c r="S24" s="386">
        <v>2</v>
      </c>
      <c r="T24" s="342"/>
      <c r="U24" s="355">
        <v>24824</v>
      </c>
      <c r="V24" s="387" t="s">
        <v>72</v>
      </c>
      <c r="W24" s="388" t="s">
        <v>74</v>
      </c>
      <c r="X24" s="388" t="s">
        <v>11</v>
      </c>
      <c r="Y24" s="389">
        <v>49.2</v>
      </c>
      <c r="Z24" s="388" t="s">
        <v>73</v>
      </c>
      <c r="AA24" s="388" t="s">
        <v>75</v>
      </c>
      <c r="AB24" s="388" t="s">
        <v>11</v>
      </c>
      <c r="AC24" s="388">
        <v>16.899999999999999</v>
      </c>
      <c r="AD24" s="387"/>
      <c r="AE24" s="388"/>
      <c r="AF24" s="388"/>
      <c r="AG24" s="389"/>
      <c r="AH24" s="388"/>
      <c r="AI24" s="388"/>
      <c r="AJ24" s="388"/>
      <c r="AK24" s="388"/>
      <c r="AL24" s="387"/>
      <c r="AM24" s="388"/>
      <c r="AN24" s="388"/>
      <c r="AO24" s="389"/>
      <c r="AP24" s="387"/>
      <c r="AQ24" s="388"/>
      <c r="AR24" s="388"/>
      <c r="AS24" s="389"/>
      <c r="AT24" s="390"/>
      <c r="AW24" s="389"/>
      <c r="AX24" s="392"/>
      <c r="AY24" s="392"/>
      <c r="AZ24" s="392"/>
      <c r="BA24" s="393"/>
    </row>
    <row r="25" spans="1:53" s="391" customFormat="1" x14ac:dyDescent="0.15">
      <c r="A25" s="199">
        <v>1968</v>
      </c>
      <c r="B25" s="380"/>
      <c r="C25" s="785" t="s">
        <v>153</v>
      </c>
      <c r="D25" s="785"/>
      <c r="E25" s="199">
        <v>9</v>
      </c>
      <c r="F25" s="199"/>
      <c r="G25" s="381">
        <v>11</v>
      </c>
      <c r="H25" s="199"/>
      <c r="I25" s="199"/>
      <c r="J25" s="382">
        <v>11</v>
      </c>
      <c r="K25" s="338">
        <f>G25/J25*100</f>
        <v>100</v>
      </c>
      <c r="L25" s="338">
        <f>H25/J25*100</f>
        <v>0</v>
      </c>
      <c r="M25" s="338">
        <f>I25/J25*100</f>
        <v>0</v>
      </c>
      <c r="N25" s="339">
        <f t="shared" si="3"/>
        <v>100</v>
      </c>
      <c r="O25" s="383">
        <v>66.099999999999994</v>
      </c>
      <c r="P25" s="384"/>
      <c r="Q25" s="384"/>
      <c r="R25" s="385">
        <f t="shared" si="4"/>
        <v>66.099999999999994</v>
      </c>
      <c r="S25" s="386">
        <v>2</v>
      </c>
      <c r="T25" s="342"/>
      <c r="U25" s="355"/>
      <c r="V25" s="387" t="s">
        <v>72</v>
      </c>
      <c r="W25" s="388" t="s">
        <v>74</v>
      </c>
      <c r="X25" s="388" t="s">
        <v>11</v>
      </c>
      <c r="Y25" s="389">
        <v>49.2</v>
      </c>
      <c r="Z25" s="388" t="s">
        <v>73</v>
      </c>
      <c r="AA25" s="388" t="s">
        <v>75</v>
      </c>
      <c r="AB25" s="388" t="s">
        <v>11</v>
      </c>
      <c r="AC25" s="388">
        <v>16.899999999999999</v>
      </c>
      <c r="AD25" s="387"/>
      <c r="AE25" s="388"/>
      <c r="AF25" s="388"/>
      <c r="AG25" s="389"/>
      <c r="AH25" s="388"/>
      <c r="AI25" s="388"/>
      <c r="AJ25" s="388"/>
      <c r="AK25" s="388"/>
      <c r="AL25" s="387"/>
      <c r="AM25" s="388"/>
      <c r="AN25" s="388"/>
      <c r="AO25" s="389"/>
      <c r="AP25" s="387"/>
      <c r="AQ25" s="388"/>
      <c r="AR25" s="388"/>
      <c r="AS25" s="389"/>
      <c r="AT25" s="390"/>
      <c r="AW25" s="389"/>
      <c r="AX25" s="392"/>
      <c r="AY25" s="392"/>
      <c r="AZ25" s="392"/>
      <c r="BA25" s="393"/>
    </row>
    <row r="26" spans="1:53" s="100" customFormat="1" x14ac:dyDescent="0.15">
      <c r="A26" s="87">
        <v>1967.62857142857</v>
      </c>
      <c r="B26" s="88">
        <v>24847</v>
      </c>
      <c r="C26" s="786" t="s">
        <v>154</v>
      </c>
      <c r="D26" s="786"/>
      <c r="E26" s="87">
        <v>49</v>
      </c>
      <c r="F26" s="87">
        <v>2</v>
      </c>
      <c r="G26" s="89">
        <v>12</v>
      </c>
      <c r="H26" s="87"/>
      <c r="I26" s="87"/>
      <c r="J26" s="90">
        <v>12</v>
      </c>
      <c r="K26" s="77">
        <f>G26/J26*100</f>
        <v>100</v>
      </c>
      <c r="L26" s="77">
        <f>H26/J26*100</f>
        <v>0</v>
      </c>
      <c r="M26" s="77">
        <f>I26/J26*100</f>
        <v>0</v>
      </c>
      <c r="N26" s="78">
        <f t="shared" si="3"/>
        <v>100</v>
      </c>
      <c r="O26" s="91">
        <v>66.099999999999994</v>
      </c>
      <c r="P26" s="92"/>
      <c r="Q26" s="92"/>
      <c r="R26" s="93">
        <f t="shared" si="4"/>
        <v>66.099999999999994</v>
      </c>
      <c r="S26" s="102">
        <v>2</v>
      </c>
      <c r="T26" s="95"/>
      <c r="U26" s="85">
        <v>24847</v>
      </c>
      <c r="V26" s="96" t="s">
        <v>72</v>
      </c>
      <c r="W26" s="97" t="s">
        <v>74</v>
      </c>
      <c r="X26" s="97" t="s">
        <v>11</v>
      </c>
      <c r="Y26" s="98">
        <v>49.2</v>
      </c>
      <c r="Z26" s="97" t="s">
        <v>73</v>
      </c>
      <c r="AA26" s="97" t="s">
        <v>75</v>
      </c>
      <c r="AB26" s="97" t="s">
        <v>11</v>
      </c>
      <c r="AC26" s="97">
        <v>16.899999999999999</v>
      </c>
      <c r="AD26" s="96"/>
      <c r="AE26" s="97"/>
      <c r="AF26" s="97"/>
      <c r="AG26" s="98"/>
      <c r="AH26" s="97"/>
      <c r="AI26" s="97"/>
      <c r="AJ26" s="97"/>
      <c r="AK26" s="97"/>
      <c r="AL26" s="96"/>
      <c r="AM26" s="97"/>
      <c r="AN26" s="97"/>
      <c r="AO26" s="98"/>
      <c r="AP26" s="96"/>
      <c r="AQ26" s="97"/>
      <c r="AR26" s="97"/>
      <c r="AS26" s="98"/>
      <c r="AT26" s="99"/>
      <c r="AW26" s="98"/>
      <c r="AX26" s="324"/>
      <c r="AY26" s="324"/>
      <c r="AZ26" s="324"/>
      <c r="BA26" s="330"/>
    </row>
    <row r="27" spans="1:53" s="100" customFormat="1" x14ac:dyDescent="0.15">
      <c r="A27" s="87">
        <v>1967.62857142857</v>
      </c>
      <c r="B27" s="108">
        <v>24896</v>
      </c>
      <c r="C27" s="786" t="s">
        <v>154</v>
      </c>
      <c r="D27" s="786"/>
      <c r="E27" s="87">
        <v>308</v>
      </c>
      <c r="F27" s="109">
        <v>0</v>
      </c>
      <c r="G27" s="89">
        <v>12</v>
      </c>
      <c r="H27" s="87"/>
      <c r="I27" s="87"/>
      <c r="J27" s="90">
        <v>12</v>
      </c>
      <c r="K27" s="77">
        <f t="shared" ref="K27:K33" si="8">G27/J27*100</f>
        <v>100</v>
      </c>
      <c r="L27" s="77">
        <f t="shared" ref="L27:L33" si="9">H27/J27*100</f>
        <v>0</v>
      </c>
      <c r="M27" s="77">
        <f t="shared" ref="M27:M33" si="10">I27/J27*100</f>
        <v>0</v>
      </c>
      <c r="N27" s="78">
        <f t="shared" si="3"/>
        <v>100</v>
      </c>
      <c r="O27" s="91">
        <v>66.099999999999994</v>
      </c>
      <c r="P27" s="92"/>
      <c r="Q27" s="92"/>
      <c r="R27" s="93">
        <f t="shared" si="4"/>
        <v>66.099999999999994</v>
      </c>
      <c r="S27" s="102">
        <v>2</v>
      </c>
      <c r="T27" s="95"/>
      <c r="U27" s="85"/>
      <c r="V27" s="96" t="s">
        <v>72</v>
      </c>
      <c r="W27" s="97" t="s">
        <v>74</v>
      </c>
      <c r="X27" s="97" t="s">
        <v>11</v>
      </c>
      <c r="Y27" s="98">
        <v>49.2</v>
      </c>
      <c r="Z27" s="97" t="s">
        <v>73</v>
      </c>
      <c r="AA27" s="97" t="s">
        <v>75</v>
      </c>
      <c r="AB27" s="97" t="s">
        <v>11</v>
      </c>
      <c r="AC27" s="97">
        <v>16.899999999999999</v>
      </c>
      <c r="AD27" s="96"/>
      <c r="AE27" s="97"/>
      <c r="AF27" s="97"/>
      <c r="AG27" s="98"/>
      <c r="AH27" s="97"/>
      <c r="AI27" s="97"/>
      <c r="AJ27" s="97"/>
      <c r="AK27" s="97"/>
      <c r="AL27" s="96"/>
      <c r="AM27" s="97"/>
      <c r="AN27" s="97"/>
      <c r="AO27" s="98"/>
      <c r="AP27" s="96"/>
      <c r="AQ27" s="97"/>
      <c r="AR27" s="97"/>
      <c r="AS27" s="98"/>
      <c r="AT27" s="99"/>
      <c r="AW27" s="98"/>
      <c r="AX27" s="324"/>
      <c r="AY27" s="324"/>
      <c r="AZ27" s="324"/>
      <c r="BA27" s="330"/>
    </row>
    <row r="28" spans="1:53" s="100" customFormat="1" x14ac:dyDescent="0.15">
      <c r="A28" s="87">
        <v>1969</v>
      </c>
      <c r="B28" s="88"/>
      <c r="C28" s="786" t="s">
        <v>154</v>
      </c>
      <c r="D28" s="786"/>
      <c r="E28" s="87">
        <v>314</v>
      </c>
      <c r="F28" s="87"/>
      <c r="G28" s="89">
        <v>12</v>
      </c>
      <c r="H28" s="87"/>
      <c r="I28" s="87"/>
      <c r="J28" s="90">
        <v>12</v>
      </c>
      <c r="K28" s="77">
        <f t="shared" si="8"/>
        <v>100</v>
      </c>
      <c r="L28" s="77">
        <f t="shared" si="9"/>
        <v>0</v>
      </c>
      <c r="M28" s="77">
        <f t="shared" si="10"/>
        <v>0</v>
      </c>
      <c r="N28" s="78">
        <f t="shared" si="3"/>
        <v>100</v>
      </c>
      <c r="O28" s="91">
        <v>66.099999999999994</v>
      </c>
      <c r="P28" s="92"/>
      <c r="Q28" s="92"/>
      <c r="R28" s="93">
        <f t="shared" si="4"/>
        <v>66.099999999999994</v>
      </c>
      <c r="S28" s="102">
        <v>2</v>
      </c>
      <c r="T28" s="95"/>
      <c r="U28" s="85"/>
      <c r="V28" s="96" t="s">
        <v>72</v>
      </c>
      <c r="W28" s="97" t="s">
        <v>74</v>
      </c>
      <c r="X28" s="97" t="s">
        <v>11</v>
      </c>
      <c r="Y28" s="98">
        <v>49.2</v>
      </c>
      <c r="Z28" s="97" t="s">
        <v>73</v>
      </c>
      <c r="AA28" s="97" t="s">
        <v>75</v>
      </c>
      <c r="AB28" s="97" t="s">
        <v>11</v>
      </c>
      <c r="AC28" s="97">
        <v>16.899999999999999</v>
      </c>
      <c r="AD28" s="96"/>
      <c r="AE28" s="97"/>
      <c r="AF28" s="97"/>
      <c r="AG28" s="98"/>
      <c r="AH28" s="97"/>
      <c r="AI28" s="97"/>
      <c r="AJ28" s="97"/>
      <c r="AK28" s="97"/>
      <c r="AL28" s="96"/>
      <c r="AM28" s="97"/>
      <c r="AN28" s="97"/>
      <c r="AO28" s="98"/>
      <c r="AP28" s="96"/>
      <c r="AQ28" s="97"/>
      <c r="AR28" s="97"/>
      <c r="AS28" s="98"/>
      <c r="AT28" s="99"/>
      <c r="AW28" s="98"/>
      <c r="AX28" s="324"/>
      <c r="AY28" s="324"/>
      <c r="AZ28" s="324"/>
      <c r="BA28" s="330"/>
    </row>
    <row r="29" spans="1:53" s="391" customFormat="1" x14ac:dyDescent="0.15">
      <c r="A29" s="199">
        <v>1968.5428571428599</v>
      </c>
      <c r="B29" s="380">
        <v>25518</v>
      </c>
      <c r="C29" s="785" t="s">
        <v>155</v>
      </c>
      <c r="D29" s="785"/>
      <c r="E29" s="199">
        <f>365-E28</f>
        <v>51</v>
      </c>
      <c r="F29" s="199">
        <v>1</v>
      </c>
      <c r="G29" s="381">
        <v>13</v>
      </c>
      <c r="H29" s="199"/>
      <c r="I29" s="199"/>
      <c r="J29" s="382">
        <v>13</v>
      </c>
      <c r="K29" s="338">
        <f>G29/J29*100</f>
        <v>100</v>
      </c>
      <c r="L29" s="338">
        <f t="shared" si="9"/>
        <v>0</v>
      </c>
      <c r="M29" s="338">
        <f t="shared" si="10"/>
        <v>0</v>
      </c>
      <c r="N29" s="339">
        <f t="shared" si="3"/>
        <v>100</v>
      </c>
      <c r="O29" s="383">
        <v>52.8</v>
      </c>
      <c r="P29" s="384"/>
      <c r="Q29" s="384"/>
      <c r="R29" s="385">
        <f t="shared" si="4"/>
        <v>52.8</v>
      </c>
      <c r="S29" s="386">
        <v>2</v>
      </c>
      <c r="T29" s="342">
        <v>25501</v>
      </c>
      <c r="U29" s="355">
        <v>25518</v>
      </c>
      <c r="V29" s="387" t="s">
        <v>72</v>
      </c>
      <c r="W29" s="388" t="s">
        <v>74</v>
      </c>
      <c r="X29" s="388" t="s">
        <v>11</v>
      </c>
      <c r="Y29" s="389">
        <v>36.799999999999997</v>
      </c>
      <c r="Z29" s="388" t="s">
        <v>73</v>
      </c>
      <c r="AA29" s="388" t="s">
        <v>75</v>
      </c>
      <c r="AB29" s="388" t="s">
        <v>11</v>
      </c>
      <c r="AC29" s="388">
        <v>16</v>
      </c>
      <c r="AD29" s="387"/>
      <c r="AE29" s="388"/>
      <c r="AF29" s="388"/>
      <c r="AG29" s="389"/>
      <c r="AH29" s="388"/>
      <c r="AI29" s="388"/>
      <c r="AJ29" s="388"/>
      <c r="AK29" s="388"/>
      <c r="AL29" s="387"/>
      <c r="AM29" s="388"/>
      <c r="AN29" s="388"/>
      <c r="AO29" s="389"/>
      <c r="AP29" s="387"/>
      <c r="AQ29" s="388"/>
      <c r="AR29" s="388"/>
      <c r="AS29" s="389"/>
      <c r="AT29" s="390"/>
      <c r="AW29" s="389"/>
      <c r="AX29" s="392"/>
      <c r="AY29" s="392"/>
      <c r="AZ29" s="392"/>
      <c r="BA29" s="393"/>
    </row>
    <row r="30" spans="1:53" s="391" customFormat="1" x14ac:dyDescent="0.15">
      <c r="A30" s="199">
        <v>1970</v>
      </c>
      <c r="B30" s="380"/>
      <c r="C30" s="785" t="s">
        <v>155</v>
      </c>
      <c r="D30" s="785"/>
      <c r="E30" s="199">
        <v>0</v>
      </c>
      <c r="F30" s="199"/>
      <c r="G30" s="381">
        <v>13</v>
      </c>
      <c r="H30" s="199"/>
      <c r="I30" s="199"/>
      <c r="J30" s="382">
        <v>13</v>
      </c>
      <c r="K30" s="338">
        <f t="shared" si="8"/>
        <v>100</v>
      </c>
      <c r="L30" s="338">
        <f t="shared" si="9"/>
        <v>0</v>
      </c>
      <c r="M30" s="338">
        <f t="shared" si="10"/>
        <v>0</v>
      </c>
      <c r="N30" s="339">
        <f t="shared" si="3"/>
        <v>100</v>
      </c>
      <c r="O30" s="383">
        <v>52.8</v>
      </c>
      <c r="P30" s="384"/>
      <c r="Q30" s="384"/>
      <c r="R30" s="385">
        <f t="shared" si="4"/>
        <v>52.8</v>
      </c>
      <c r="S30" s="386">
        <v>2</v>
      </c>
      <c r="T30" s="342"/>
      <c r="U30" s="355"/>
      <c r="V30" s="387" t="s">
        <v>72</v>
      </c>
      <c r="W30" s="388" t="s">
        <v>74</v>
      </c>
      <c r="X30" s="388" t="s">
        <v>11</v>
      </c>
      <c r="Y30" s="389">
        <v>36.799999999999997</v>
      </c>
      <c r="Z30" s="388" t="s">
        <v>73</v>
      </c>
      <c r="AA30" s="388" t="s">
        <v>75</v>
      </c>
      <c r="AB30" s="388" t="s">
        <v>11</v>
      </c>
      <c r="AC30" s="388">
        <v>16</v>
      </c>
      <c r="AD30" s="387"/>
      <c r="AE30" s="388"/>
      <c r="AF30" s="388"/>
      <c r="AG30" s="389"/>
      <c r="AH30" s="388"/>
      <c r="AI30" s="388"/>
      <c r="AJ30" s="388"/>
      <c r="AK30" s="388"/>
      <c r="AL30" s="387"/>
      <c r="AM30" s="388"/>
      <c r="AN30" s="388"/>
      <c r="AO30" s="389"/>
      <c r="AP30" s="387"/>
      <c r="AQ30" s="388"/>
      <c r="AR30" s="388"/>
      <c r="AS30" s="389"/>
      <c r="AT30" s="390"/>
      <c r="AW30" s="389"/>
      <c r="AX30" s="392"/>
      <c r="AY30" s="392"/>
      <c r="AZ30" s="392"/>
      <c r="BA30" s="393"/>
    </row>
    <row r="31" spans="1:53" s="391" customFormat="1" x14ac:dyDescent="0.15">
      <c r="A31" s="199">
        <v>1970</v>
      </c>
      <c r="B31" s="380"/>
      <c r="C31" s="785" t="s">
        <v>155</v>
      </c>
      <c r="D31" s="785"/>
      <c r="E31" s="199">
        <f>365-E30</f>
        <v>365</v>
      </c>
      <c r="F31" s="199"/>
      <c r="G31" s="381">
        <v>13</v>
      </c>
      <c r="H31" s="199"/>
      <c r="I31" s="199"/>
      <c r="J31" s="382">
        <v>13</v>
      </c>
      <c r="K31" s="338">
        <f t="shared" si="8"/>
        <v>100</v>
      </c>
      <c r="L31" s="338">
        <f t="shared" si="9"/>
        <v>0</v>
      </c>
      <c r="M31" s="338">
        <f t="shared" si="10"/>
        <v>0</v>
      </c>
      <c r="N31" s="339">
        <f t="shared" si="3"/>
        <v>100</v>
      </c>
      <c r="O31" s="383">
        <v>52.8</v>
      </c>
      <c r="P31" s="384"/>
      <c r="Q31" s="384"/>
      <c r="R31" s="385">
        <f t="shared" si="4"/>
        <v>52.8</v>
      </c>
      <c r="S31" s="386">
        <v>2</v>
      </c>
      <c r="T31" s="342"/>
      <c r="U31" s="355"/>
      <c r="V31" s="387" t="s">
        <v>72</v>
      </c>
      <c r="W31" s="388" t="s">
        <v>74</v>
      </c>
      <c r="X31" s="388" t="s">
        <v>11</v>
      </c>
      <c r="Y31" s="389">
        <v>36.799999999999997</v>
      </c>
      <c r="Z31" s="388" t="s">
        <v>73</v>
      </c>
      <c r="AA31" s="388" t="s">
        <v>75</v>
      </c>
      <c r="AB31" s="388" t="s">
        <v>11</v>
      </c>
      <c r="AC31" s="388">
        <v>16</v>
      </c>
      <c r="AD31" s="387"/>
      <c r="AE31" s="388"/>
      <c r="AF31" s="388"/>
      <c r="AG31" s="389"/>
      <c r="AH31" s="388"/>
      <c r="AI31" s="388"/>
      <c r="AJ31" s="388"/>
      <c r="AK31" s="388"/>
      <c r="AL31" s="387"/>
      <c r="AM31" s="388"/>
      <c r="AN31" s="388"/>
      <c r="AO31" s="389"/>
      <c r="AP31" s="387"/>
      <c r="AQ31" s="388"/>
      <c r="AR31" s="388"/>
      <c r="AS31" s="389"/>
      <c r="AT31" s="390"/>
      <c r="AW31" s="389"/>
      <c r="AX31" s="392"/>
      <c r="AY31" s="392"/>
      <c r="AZ31" s="392"/>
      <c r="BA31" s="393"/>
    </row>
    <row r="32" spans="1:53" s="391" customFormat="1" x14ac:dyDescent="0.15">
      <c r="A32" s="199">
        <v>1971</v>
      </c>
      <c r="B32" s="380"/>
      <c r="C32" s="785" t="s">
        <v>155</v>
      </c>
      <c r="D32" s="785"/>
      <c r="E32" s="199">
        <v>79</v>
      </c>
      <c r="F32" s="199"/>
      <c r="G32" s="381">
        <v>13</v>
      </c>
      <c r="H32" s="199"/>
      <c r="I32" s="199"/>
      <c r="J32" s="382">
        <v>13</v>
      </c>
      <c r="K32" s="338">
        <f t="shared" si="8"/>
        <v>100</v>
      </c>
      <c r="L32" s="338">
        <f t="shared" si="9"/>
        <v>0</v>
      </c>
      <c r="M32" s="338">
        <f t="shared" si="10"/>
        <v>0</v>
      </c>
      <c r="N32" s="339">
        <f t="shared" si="3"/>
        <v>100</v>
      </c>
      <c r="O32" s="383">
        <v>52.8</v>
      </c>
      <c r="P32" s="384"/>
      <c r="Q32" s="384"/>
      <c r="R32" s="385">
        <f t="shared" si="4"/>
        <v>52.8</v>
      </c>
      <c r="S32" s="386">
        <v>2</v>
      </c>
      <c r="T32" s="342"/>
      <c r="U32" s="355"/>
      <c r="V32" s="387" t="s">
        <v>72</v>
      </c>
      <c r="W32" s="388" t="s">
        <v>74</v>
      </c>
      <c r="X32" s="388" t="s">
        <v>11</v>
      </c>
      <c r="Y32" s="389">
        <v>36.799999999999997</v>
      </c>
      <c r="Z32" s="388" t="s">
        <v>73</v>
      </c>
      <c r="AA32" s="388" t="s">
        <v>75</v>
      </c>
      <c r="AB32" s="388" t="s">
        <v>11</v>
      </c>
      <c r="AC32" s="388">
        <v>16</v>
      </c>
      <c r="AD32" s="387"/>
      <c r="AE32" s="388"/>
      <c r="AF32" s="388"/>
      <c r="AG32" s="389"/>
      <c r="AH32" s="388"/>
      <c r="AI32" s="388"/>
      <c r="AJ32" s="388"/>
      <c r="AK32" s="388"/>
      <c r="AL32" s="387"/>
      <c r="AM32" s="388"/>
      <c r="AN32" s="388"/>
      <c r="AO32" s="389"/>
      <c r="AP32" s="387"/>
      <c r="AQ32" s="388"/>
      <c r="AR32" s="388"/>
      <c r="AS32" s="389"/>
      <c r="AT32" s="390"/>
      <c r="AW32" s="389"/>
      <c r="AX32" s="392"/>
      <c r="AY32" s="392"/>
      <c r="AZ32" s="392"/>
      <c r="BA32" s="393"/>
    </row>
    <row r="33" spans="1:53" s="100" customFormat="1" x14ac:dyDescent="0.15">
      <c r="A33" s="87">
        <v>1971</v>
      </c>
      <c r="B33" s="88">
        <v>26013</v>
      </c>
      <c r="C33" s="786" t="s">
        <v>156</v>
      </c>
      <c r="D33" s="786"/>
      <c r="E33" s="87">
        <v>286</v>
      </c>
      <c r="F33" s="87">
        <v>2</v>
      </c>
      <c r="G33" s="89">
        <v>13</v>
      </c>
      <c r="H33" s="87"/>
      <c r="I33" s="87"/>
      <c r="J33" s="90">
        <v>13</v>
      </c>
      <c r="K33" s="77">
        <f t="shared" si="8"/>
        <v>100</v>
      </c>
      <c r="L33" s="77">
        <f t="shared" si="9"/>
        <v>0</v>
      </c>
      <c r="M33" s="77">
        <f t="shared" si="10"/>
        <v>0</v>
      </c>
      <c r="N33" s="78">
        <f t="shared" si="3"/>
        <v>100</v>
      </c>
      <c r="O33" s="91">
        <v>52.8</v>
      </c>
      <c r="P33" s="92"/>
      <c r="Q33" s="92"/>
      <c r="R33" s="93">
        <f t="shared" si="4"/>
        <v>52.8</v>
      </c>
      <c r="S33" s="102">
        <v>2</v>
      </c>
      <c r="T33" s="95"/>
      <c r="U33" s="85">
        <v>26013</v>
      </c>
      <c r="V33" s="96" t="s">
        <v>72</v>
      </c>
      <c r="W33" s="97" t="s">
        <v>74</v>
      </c>
      <c r="X33" s="97" t="s">
        <v>11</v>
      </c>
      <c r="Y33" s="98">
        <v>36.799999999999997</v>
      </c>
      <c r="Z33" s="97" t="s">
        <v>73</v>
      </c>
      <c r="AA33" s="97" t="s">
        <v>75</v>
      </c>
      <c r="AB33" s="97" t="s">
        <v>11</v>
      </c>
      <c r="AC33" s="97">
        <v>16</v>
      </c>
      <c r="AD33" s="96"/>
      <c r="AE33" s="97"/>
      <c r="AF33" s="97"/>
      <c r="AG33" s="98"/>
      <c r="AH33" s="97"/>
      <c r="AI33" s="97"/>
      <c r="AJ33" s="97"/>
      <c r="AK33" s="97"/>
      <c r="AL33" s="96"/>
      <c r="AM33" s="97"/>
      <c r="AN33" s="97"/>
      <c r="AO33" s="98"/>
      <c r="AP33" s="96"/>
      <c r="AQ33" s="97"/>
      <c r="AR33" s="97"/>
      <c r="AS33" s="98"/>
      <c r="AT33" s="99"/>
      <c r="AW33" s="98"/>
      <c r="AX33" s="324"/>
      <c r="AY33" s="324"/>
      <c r="AZ33" s="324"/>
      <c r="BA33" s="330"/>
    </row>
    <row r="34" spans="1:53" s="100" customFormat="1" x14ac:dyDescent="0.15">
      <c r="A34" s="87">
        <v>1972</v>
      </c>
      <c r="B34" s="88"/>
      <c r="C34" s="786" t="s">
        <v>156</v>
      </c>
      <c r="D34" s="786"/>
      <c r="E34" s="87">
        <v>353</v>
      </c>
      <c r="F34" s="87"/>
      <c r="G34" s="89">
        <v>13</v>
      </c>
      <c r="H34" s="87"/>
      <c r="I34" s="87"/>
      <c r="J34" s="90">
        <v>13</v>
      </c>
      <c r="K34" s="77">
        <f t="shared" ref="K34:K41" si="11">G34/J34*100</f>
        <v>100</v>
      </c>
      <c r="L34" s="77">
        <f t="shared" ref="L34:L41" si="12">H34/J34*100</f>
        <v>0</v>
      </c>
      <c r="M34" s="77">
        <f t="shared" ref="M34:M41" si="13">I34/J34*100</f>
        <v>0</v>
      </c>
      <c r="N34" s="78">
        <f t="shared" si="3"/>
        <v>100</v>
      </c>
      <c r="O34" s="91">
        <v>52.8</v>
      </c>
      <c r="P34" s="92"/>
      <c r="Q34" s="92"/>
      <c r="R34" s="93">
        <f t="shared" si="4"/>
        <v>52.8</v>
      </c>
      <c r="S34" s="102">
        <v>2</v>
      </c>
      <c r="T34" s="95"/>
      <c r="U34" s="85"/>
      <c r="V34" s="96" t="s">
        <v>72</v>
      </c>
      <c r="W34" s="97" t="s">
        <v>74</v>
      </c>
      <c r="X34" s="97" t="s">
        <v>11</v>
      </c>
      <c r="Y34" s="98">
        <v>36.799999999999997</v>
      </c>
      <c r="Z34" s="97" t="s">
        <v>73</v>
      </c>
      <c r="AA34" s="97" t="s">
        <v>75</v>
      </c>
      <c r="AB34" s="97" t="s">
        <v>11</v>
      </c>
      <c r="AC34" s="97">
        <v>16</v>
      </c>
      <c r="AD34" s="96"/>
      <c r="AE34" s="97"/>
      <c r="AF34" s="97"/>
      <c r="AG34" s="98"/>
      <c r="AH34" s="97"/>
      <c r="AI34" s="97"/>
      <c r="AJ34" s="97"/>
      <c r="AK34" s="97"/>
      <c r="AL34" s="96"/>
      <c r="AM34" s="97"/>
      <c r="AN34" s="97"/>
      <c r="AO34" s="98"/>
      <c r="AP34" s="96"/>
      <c r="AQ34" s="97"/>
      <c r="AR34" s="97"/>
      <c r="AS34" s="98"/>
      <c r="AT34" s="99"/>
      <c r="AW34" s="98"/>
      <c r="AX34" s="324"/>
      <c r="AY34" s="324"/>
      <c r="AZ34" s="324"/>
      <c r="BA34" s="330"/>
    </row>
    <row r="35" spans="1:53" s="391" customFormat="1" x14ac:dyDescent="0.15">
      <c r="A35" s="199">
        <v>1972</v>
      </c>
      <c r="B35" s="380">
        <v>26652</v>
      </c>
      <c r="C35" s="785" t="s">
        <v>157</v>
      </c>
      <c r="D35" s="785"/>
      <c r="E35" s="199">
        <v>13</v>
      </c>
      <c r="F35" s="199">
        <v>1</v>
      </c>
      <c r="G35" s="381"/>
      <c r="H35" s="199"/>
      <c r="I35" s="199">
        <v>27</v>
      </c>
      <c r="J35" s="382">
        <v>27</v>
      </c>
      <c r="K35" s="338">
        <f t="shared" si="11"/>
        <v>0</v>
      </c>
      <c r="L35" s="338">
        <f t="shared" si="12"/>
        <v>0</v>
      </c>
      <c r="M35" s="338">
        <f t="shared" si="13"/>
        <v>100</v>
      </c>
      <c r="N35" s="339">
        <f t="shared" si="3"/>
        <v>100</v>
      </c>
      <c r="O35" s="383"/>
      <c r="P35" s="384"/>
      <c r="Q35" s="384">
        <v>53.6</v>
      </c>
      <c r="R35" s="385">
        <f t="shared" si="4"/>
        <v>53.6</v>
      </c>
      <c r="S35" s="386">
        <v>1</v>
      </c>
      <c r="T35" s="342">
        <v>26635</v>
      </c>
      <c r="U35" s="355">
        <v>26652</v>
      </c>
      <c r="V35" s="387" t="s">
        <v>78</v>
      </c>
      <c r="W35" s="388" t="s">
        <v>20</v>
      </c>
      <c r="X35" s="388" t="s">
        <v>12</v>
      </c>
      <c r="Y35" s="389">
        <v>53.6</v>
      </c>
      <c r="Z35" s="388"/>
      <c r="AA35" s="388"/>
      <c r="AB35" s="388"/>
      <c r="AC35" s="388"/>
      <c r="AD35" s="387"/>
      <c r="AE35" s="388"/>
      <c r="AF35" s="388"/>
      <c r="AG35" s="389"/>
      <c r="AH35" s="388"/>
      <c r="AI35" s="388"/>
      <c r="AJ35" s="388"/>
      <c r="AK35" s="388"/>
      <c r="AL35" s="387"/>
      <c r="AM35" s="388"/>
      <c r="AN35" s="388"/>
      <c r="AO35" s="389"/>
      <c r="AP35" s="387"/>
      <c r="AQ35" s="388"/>
      <c r="AR35" s="388"/>
      <c r="AS35" s="389"/>
      <c r="AT35" s="390"/>
      <c r="AW35" s="389"/>
      <c r="AX35" s="392"/>
      <c r="AY35" s="392"/>
      <c r="AZ35" s="392"/>
      <c r="BA35" s="393"/>
    </row>
    <row r="36" spans="1:53" s="391" customFormat="1" x14ac:dyDescent="0.15">
      <c r="A36" s="199">
        <v>1973</v>
      </c>
      <c r="B36" s="380"/>
      <c r="C36" s="785" t="s">
        <v>157</v>
      </c>
      <c r="D36" s="785"/>
      <c r="E36" s="199">
        <v>0</v>
      </c>
      <c r="F36" s="199"/>
      <c r="G36" s="381"/>
      <c r="H36" s="199"/>
      <c r="I36" s="199">
        <v>27</v>
      </c>
      <c r="J36" s="382">
        <v>27</v>
      </c>
      <c r="K36" s="338">
        <f t="shared" si="11"/>
        <v>0</v>
      </c>
      <c r="L36" s="338">
        <f t="shared" si="12"/>
        <v>0</v>
      </c>
      <c r="M36" s="338">
        <f t="shared" si="13"/>
        <v>100</v>
      </c>
      <c r="N36" s="339">
        <f t="shared" si="3"/>
        <v>100</v>
      </c>
      <c r="O36" s="383"/>
      <c r="P36" s="384"/>
      <c r="Q36" s="384">
        <v>53.6</v>
      </c>
      <c r="R36" s="385">
        <f t="shared" si="4"/>
        <v>53.6</v>
      </c>
      <c r="S36" s="386">
        <v>1</v>
      </c>
      <c r="T36" s="342"/>
      <c r="U36" s="355"/>
      <c r="V36" s="387" t="s">
        <v>78</v>
      </c>
      <c r="W36" s="388" t="s">
        <v>20</v>
      </c>
      <c r="X36" s="388" t="s">
        <v>12</v>
      </c>
      <c r="Y36" s="389">
        <v>53.6</v>
      </c>
      <c r="Z36" s="388"/>
      <c r="AA36" s="388"/>
      <c r="AB36" s="388"/>
      <c r="AC36" s="388"/>
      <c r="AD36" s="387"/>
      <c r="AE36" s="388"/>
      <c r="AF36" s="388"/>
      <c r="AG36" s="389"/>
      <c r="AH36" s="388"/>
      <c r="AI36" s="388"/>
      <c r="AJ36" s="388"/>
      <c r="AK36" s="388"/>
      <c r="AL36" s="387"/>
      <c r="AM36" s="388"/>
      <c r="AN36" s="388"/>
      <c r="AO36" s="389"/>
      <c r="AP36" s="387"/>
      <c r="AQ36" s="388"/>
      <c r="AR36" s="388"/>
      <c r="AS36" s="389"/>
      <c r="AT36" s="390"/>
      <c r="AW36" s="389"/>
      <c r="AX36" s="392"/>
      <c r="AY36" s="392"/>
      <c r="AZ36" s="392"/>
      <c r="BA36" s="393"/>
    </row>
    <row r="37" spans="1:53" s="391" customFormat="1" x14ac:dyDescent="0.15">
      <c r="A37" s="199">
        <v>1973</v>
      </c>
      <c r="B37" s="380"/>
      <c r="C37" s="785" t="s">
        <v>157</v>
      </c>
      <c r="D37" s="785"/>
      <c r="E37" s="199">
        <f>365-E36</f>
        <v>365</v>
      </c>
      <c r="F37" s="199"/>
      <c r="G37" s="381"/>
      <c r="H37" s="199"/>
      <c r="I37" s="199">
        <v>27</v>
      </c>
      <c r="J37" s="382">
        <v>27</v>
      </c>
      <c r="K37" s="338">
        <f t="shared" si="11"/>
        <v>0</v>
      </c>
      <c r="L37" s="338">
        <f t="shared" si="12"/>
        <v>0</v>
      </c>
      <c r="M37" s="338">
        <f t="shared" si="13"/>
        <v>100</v>
      </c>
      <c r="N37" s="339">
        <f t="shared" si="3"/>
        <v>100</v>
      </c>
      <c r="O37" s="383"/>
      <c r="P37" s="384"/>
      <c r="Q37" s="384">
        <v>53.6</v>
      </c>
      <c r="R37" s="385">
        <f t="shared" si="4"/>
        <v>53.6</v>
      </c>
      <c r="S37" s="386">
        <v>1</v>
      </c>
      <c r="T37" s="342"/>
      <c r="U37" s="355"/>
      <c r="V37" s="387" t="s">
        <v>78</v>
      </c>
      <c r="W37" s="388" t="s">
        <v>20</v>
      </c>
      <c r="X37" s="388" t="s">
        <v>12</v>
      </c>
      <c r="Y37" s="389">
        <v>53.6</v>
      </c>
      <c r="Z37" s="388"/>
      <c r="AA37" s="388"/>
      <c r="AB37" s="388"/>
      <c r="AC37" s="388"/>
      <c r="AD37" s="387"/>
      <c r="AE37" s="388"/>
      <c r="AF37" s="388"/>
      <c r="AG37" s="389"/>
      <c r="AH37" s="388"/>
      <c r="AI37" s="388"/>
      <c r="AJ37" s="388"/>
      <c r="AK37" s="388"/>
      <c r="AL37" s="387"/>
      <c r="AM37" s="388"/>
      <c r="AN37" s="388"/>
      <c r="AO37" s="389"/>
      <c r="AP37" s="387"/>
      <c r="AQ37" s="388"/>
      <c r="AR37" s="388"/>
      <c r="AS37" s="389"/>
      <c r="AT37" s="390"/>
      <c r="AW37" s="389"/>
      <c r="AX37" s="392"/>
      <c r="AY37" s="392"/>
      <c r="AZ37" s="392"/>
      <c r="BA37" s="393"/>
    </row>
    <row r="38" spans="1:53" s="391" customFormat="1" x14ac:dyDescent="0.15">
      <c r="A38" s="199">
        <v>1974</v>
      </c>
      <c r="B38" s="380"/>
      <c r="C38" s="785" t="s">
        <v>157</v>
      </c>
      <c r="D38" s="785"/>
      <c r="E38" s="199">
        <v>162</v>
      </c>
      <c r="F38" s="199"/>
      <c r="G38" s="381"/>
      <c r="H38" s="199"/>
      <c r="I38" s="199">
        <v>27</v>
      </c>
      <c r="J38" s="382">
        <v>27</v>
      </c>
      <c r="K38" s="338">
        <f t="shared" si="11"/>
        <v>0</v>
      </c>
      <c r="L38" s="338">
        <f t="shared" si="12"/>
        <v>0</v>
      </c>
      <c r="M38" s="338">
        <f t="shared" si="13"/>
        <v>100</v>
      </c>
      <c r="N38" s="339">
        <f t="shared" si="3"/>
        <v>100</v>
      </c>
      <c r="O38" s="383"/>
      <c r="P38" s="384"/>
      <c r="Q38" s="384">
        <v>53.6</v>
      </c>
      <c r="R38" s="385">
        <f t="shared" si="4"/>
        <v>53.6</v>
      </c>
      <c r="S38" s="386">
        <v>1</v>
      </c>
      <c r="T38" s="342"/>
      <c r="U38" s="355"/>
      <c r="V38" s="387" t="s">
        <v>78</v>
      </c>
      <c r="W38" s="388" t="s">
        <v>20</v>
      </c>
      <c r="X38" s="388" t="s">
        <v>12</v>
      </c>
      <c r="Y38" s="389">
        <v>53.6</v>
      </c>
      <c r="Z38" s="388"/>
      <c r="AA38" s="388"/>
      <c r="AB38" s="388"/>
      <c r="AC38" s="388"/>
      <c r="AD38" s="387"/>
      <c r="AE38" s="388"/>
      <c r="AF38" s="388"/>
      <c r="AG38" s="389"/>
      <c r="AH38" s="388"/>
      <c r="AI38" s="388"/>
      <c r="AJ38" s="388"/>
      <c r="AK38" s="388"/>
      <c r="AL38" s="387"/>
      <c r="AM38" s="388"/>
      <c r="AN38" s="388"/>
      <c r="AO38" s="389"/>
      <c r="AP38" s="387"/>
      <c r="AQ38" s="388"/>
      <c r="AR38" s="388"/>
      <c r="AS38" s="389"/>
      <c r="AT38" s="390"/>
      <c r="AW38" s="389"/>
      <c r="AX38" s="392"/>
      <c r="AY38" s="392"/>
      <c r="AZ38" s="392"/>
      <c r="BA38" s="393"/>
    </row>
    <row r="39" spans="1:53" s="100" customFormat="1" x14ac:dyDescent="0.15">
      <c r="A39" s="87">
        <v>1974</v>
      </c>
      <c r="B39" s="88">
        <v>27192</v>
      </c>
      <c r="C39" s="786" t="s">
        <v>158</v>
      </c>
      <c r="D39" s="786"/>
      <c r="E39" s="87">
        <f>365-E38</f>
        <v>203</v>
      </c>
      <c r="F39" s="87">
        <v>1</v>
      </c>
      <c r="G39" s="89"/>
      <c r="H39" s="87"/>
      <c r="I39" s="87">
        <v>27</v>
      </c>
      <c r="J39" s="90">
        <v>27</v>
      </c>
      <c r="K39" s="77">
        <f t="shared" si="11"/>
        <v>0</v>
      </c>
      <c r="L39" s="77">
        <f t="shared" si="12"/>
        <v>0</v>
      </c>
      <c r="M39" s="77">
        <f t="shared" si="13"/>
        <v>100</v>
      </c>
      <c r="N39" s="78">
        <f t="shared" si="3"/>
        <v>100</v>
      </c>
      <c r="O39" s="91"/>
      <c r="P39" s="92"/>
      <c r="Q39" s="92">
        <v>52</v>
      </c>
      <c r="R39" s="93">
        <f t="shared" si="4"/>
        <v>52</v>
      </c>
      <c r="S39" s="102">
        <v>1</v>
      </c>
      <c r="T39" s="95">
        <v>27167</v>
      </c>
      <c r="U39" s="85">
        <v>27192</v>
      </c>
      <c r="V39" s="96" t="s">
        <v>78</v>
      </c>
      <c r="W39" s="97" t="s">
        <v>20</v>
      </c>
      <c r="X39" s="97" t="s">
        <v>12</v>
      </c>
      <c r="Y39" s="98">
        <v>52</v>
      </c>
      <c r="Z39" s="97"/>
      <c r="AA39" s="97"/>
      <c r="AB39" s="97"/>
      <c r="AC39" s="97"/>
      <c r="AD39" s="96"/>
      <c r="AE39" s="97"/>
      <c r="AF39" s="97"/>
      <c r="AG39" s="98"/>
      <c r="AH39" s="97"/>
      <c r="AI39" s="97"/>
      <c r="AJ39" s="97"/>
      <c r="AK39" s="97"/>
      <c r="AL39" s="96"/>
      <c r="AM39" s="97"/>
      <c r="AN39" s="97"/>
      <c r="AO39" s="98"/>
      <c r="AP39" s="96"/>
      <c r="AQ39" s="97"/>
      <c r="AR39" s="97"/>
      <c r="AS39" s="98"/>
      <c r="AT39" s="99"/>
      <c r="AW39" s="98"/>
      <c r="AX39" s="324"/>
      <c r="AY39" s="324"/>
      <c r="AZ39" s="324"/>
      <c r="BA39" s="330"/>
    </row>
    <row r="40" spans="1:53" s="100" customFormat="1" x14ac:dyDescent="0.15">
      <c r="A40" s="87">
        <v>1975</v>
      </c>
      <c r="B40" s="88"/>
      <c r="C40" s="786" t="s">
        <v>158</v>
      </c>
      <c r="D40" s="786"/>
      <c r="E40" s="87">
        <v>315</v>
      </c>
      <c r="F40" s="87"/>
      <c r="G40" s="89"/>
      <c r="H40" s="87"/>
      <c r="I40" s="87">
        <v>27</v>
      </c>
      <c r="J40" s="90">
        <v>27</v>
      </c>
      <c r="K40" s="77">
        <f t="shared" si="11"/>
        <v>0</v>
      </c>
      <c r="L40" s="77">
        <f t="shared" si="12"/>
        <v>0</v>
      </c>
      <c r="M40" s="77">
        <f t="shared" si="13"/>
        <v>100</v>
      </c>
      <c r="N40" s="78">
        <f t="shared" si="3"/>
        <v>100</v>
      </c>
      <c r="O40" s="91"/>
      <c r="P40" s="92"/>
      <c r="Q40" s="92">
        <v>52</v>
      </c>
      <c r="R40" s="93">
        <f t="shared" si="4"/>
        <v>52</v>
      </c>
      <c r="S40" s="102">
        <v>1</v>
      </c>
      <c r="T40" s="95"/>
      <c r="U40" s="85"/>
      <c r="V40" s="96" t="s">
        <v>78</v>
      </c>
      <c r="W40" s="97" t="s">
        <v>20</v>
      </c>
      <c r="X40" s="97" t="s">
        <v>12</v>
      </c>
      <c r="Y40" s="98">
        <v>52</v>
      </c>
      <c r="Z40" s="97"/>
      <c r="AA40" s="97"/>
      <c r="AB40" s="97"/>
      <c r="AC40" s="97"/>
      <c r="AD40" s="96"/>
      <c r="AE40" s="97"/>
      <c r="AF40" s="97"/>
      <c r="AG40" s="98"/>
      <c r="AH40" s="97"/>
      <c r="AI40" s="97"/>
      <c r="AJ40" s="97"/>
      <c r="AK40" s="97"/>
      <c r="AL40" s="96"/>
      <c r="AM40" s="97"/>
      <c r="AN40" s="97"/>
      <c r="AO40" s="98"/>
      <c r="AP40" s="96"/>
      <c r="AQ40" s="97"/>
      <c r="AR40" s="97"/>
      <c r="AS40" s="98"/>
      <c r="AT40" s="99"/>
      <c r="AW40" s="98"/>
      <c r="AX40" s="324"/>
      <c r="AY40" s="324"/>
      <c r="AZ40" s="324"/>
      <c r="BA40" s="330"/>
    </row>
    <row r="41" spans="1:53" s="391" customFormat="1" x14ac:dyDescent="0.15">
      <c r="A41" s="199">
        <v>1975</v>
      </c>
      <c r="B41" s="380">
        <v>27710</v>
      </c>
      <c r="C41" s="785" t="s">
        <v>159</v>
      </c>
      <c r="D41" s="785"/>
      <c r="E41" s="199">
        <v>36</v>
      </c>
      <c r="F41" s="199">
        <v>6</v>
      </c>
      <c r="G41" s="381">
        <v>15</v>
      </c>
      <c r="H41" s="199"/>
      <c r="I41" s="199"/>
      <c r="J41" s="382">
        <v>15</v>
      </c>
      <c r="K41" s="338">
        <f t="shared" si="11"/>
        <v>100</v>
      </c>
      <c r="L41" s="338">
        <f t="shared" si="12"/>
        <v>0</v>
      </c>
      <c r="M41" s="338">
        <f t="shared" si="13"/>
        <v>0</v>
      </c>
      <c r="N41" s="339">
        <f t="shared" si="3"/>
        <v>100</v>
      </c>
      <c r="O41" s="383">
        <v>48</v>
      </c>
      <c r="P41" s="384"/>
      <c r="Q41" s="384"/>
      <c r="R41" s="385">
        <f>SUM(O41:Q41)</f>
        <v>48</v>
      </c>
      <c r="S41" s="386">
        <v>5</v>
      </c>
      <c r="T41" s="342"/>
      <c r="U41" s="355">
        <v>27710</v>
      </c>
      <c r="V41" s="387" t="s">
        <v>72</v>
      </c>
      <c r="W41" s="388" t="s">
        <v>74</v>
      </c>
      <c r="X41" s="388" t="s">
        <v>11</v>
      </c>
      <c r="Y41" s="389">
        <v>31.5</v>
      </c>
      <c r="Z41" s="388" t="s">
        <v>73</v>
      </c>
      <c r="AA41" s="388" t="s">
        <v>75</v>
      </c>
      <c r="AB41" s="388" t="s">
        <v>11</v>
      </c>
      <c r="AC41" s="388">
        <v>16.5</v>
      </c>
      <c r="AD41" s="387"/>
      <c r="AE41" s="388"/>
      <c r="AF41" s="388"/>
      <c r="AG41" s="389"/>
      <c r="AH41" s="388"/>
      <c r="AI41" s="388"/>
      <c r="AJ41" s="388"/>
      <c r="AK41" s="388"/>
      <c r="AL41" s="387"/>
      <c r="AM41" s="388"/>
      <c r="AN41" s="388"/>
      <c r="AO41" s="389"/>
      <c r="AP41" s="387"/>
      <c r="AQ41" s="388"/>
      <c r="AR41" s="388"/>
      <c r="AS41" s="389"/>
      <c r="AT41" s="390"/>
      <c r="AW41" s="389"/>
      <c r="AX41" s="392"/>
      <c r="AY41" s="392"/>
      <c r="AZ41" s="392"/>
      <c r="BA41" s="393"/>
    </row>
    <row r="42" spans="1:53" s="100" customFormat="1" x14ac:dyDescent="0.15">
      <c r="A42" s="87">
        <v>1975</v>
      </c>
      <c r="B42" s="88">
        <v>27746</v>
      </c>
      <c r="C42" s="786" t="s">
        <v>160</v>
      </c>
      <c r="D42" s="786"/>
      <c r="E42" s="87">
        <v>14</v>
      </c>
      <c r="F42" s="87">
        <v>1</v>
      </c>
      <c r="G42" s="89">
        <v>12</v>
      </c>
      <c r="H42" s="87"/>
      <c r="I42" s="87"/>
      <c r="J42" s="90">
        <v>12</v>
      </c>
      <c r="K42" s="77">
        <f t="shared" ref="K42:K48" si="14">G42/J42*100</f>
        <v>100</v>
      </c>
      <c r="L42" s="77">
        <f t="shared" ref="L42:L48" si="15">H42/J42*100</f>
        <v>0</v>
      </c>
      <c r="M42" s="77">
        <f t="shared" ref="M42:M48" si="16">I42/J42*100</f>
        <v>0</v>
      </c>
      <c r="N42" s="78">
        <f t="shared" si="3"/>
        <v>100</v>
      </c>
      <c r="O42" s="91">
        <v>71.599999999999994</v>
      </c>
      <c r="P42" s="92"/>
      <c r="Q42" s="92"/>
      <c r="R42" s="93">
        <f t="shared" si="4"/>
        <v>71.599999999999994</v>
      </c>
      <c r="S42" s="102">
        <v>2</v>
      </c>
      <c r="T42" s="95">
        <v>27741</v>
      </c>
      <c r="U42" s="85">
        <v>27746</v>
      </c>
      <c r="V42" s="96" t="s">
        <v>72</v>
      </c>
      <c r="W42" s="97" t="s">
        <v>74</v>
      </c>
      <c r="X42" s="97" t="s">
        <v>11</v>
      </c>
      <c r="Y42" s="98">
        <v>53.5</v>
      </c>
      <c r="Z42" s="97" t="s">
        <v>73</v>
      </c>
      <c r="AA42" s="97" t="s">
        <v>75</v>
      </c>
      <c r="AB42" s="97" t="s">
        <v>11</v>
      </c>
      <c r="AC42" s="97">
        <v>18.100000000000001</v>
      </c>
      <c r="AD42" s="96"/>
      <c r="AE42" s="97"/>
      <c r="AF42" s="97"/>
      <c r="AG42" s="98"/>
      <c r="AH42" s="97"/>
      <c r="AI42" s="97"/>
      <c r="AJ42" s="97"/>
      <c r="AK42" s="97"/>
      <c r="AL42" s="96"/>
      <c r="AM42" s="97"/>
      <c r="AN42" s="97"/>
      <c r="AO42" s="98"/>
      <c r="AP42" s="96"/>
      <c r="AQ42" s="97"/>
      <c r="AR42" s="97"/>
      <c r="AS42" s="98"/>
      <c r="AT42" s="99"/>
      <c r="AW42" s="98"/>
      <c r="AX42" s="324"/>
      <c r="AY42" s="324"/>
      <c r="AZ42" s="324"/>
      <c r="BA42" s="330"/>
    </row>
    <row r="43" spans="1:53" s="100" customFormat="1" x14ac:dyDescent="0.15">
      <c r="A43" s="87">
        <v>1976</v>
      </c>
      <c r="B43" s="88"/>
      <c r="C43" s="786" t="s">
        <v>160</v>
      </c>
      <c r="D43" s="786"/>
      <c r="E43" s="87">
        <v>0</v>
      </c>
      <c r="F43" s="87"/>
      <c r="G43" s="89">
        <v>12</v>
      </c>
      <c r="H43" s="87"/>
      <c r="I43" s="87"/>
      <c r="J43" s="90">
        <v>12</v>
      </c>
      <c r="K43" s="77">
        <f t="shared" si="14"/>
        <v>100</v>
      </c>
      <c r="L43" s="77">
        <f t="shared" si="15"/>
        <v>0</v>
      </c>
      <c r="M43" s="77">
        <f t="shared" si="16"/>
        <v>0</v>
      </c>
      <c r="N43" s="78">
        <f t="shared" si="3"/>
        <v>100</v>
      </c>
      <c r="O43" s="91">
        <v>71.599999999999994</v>
      </c>
      <c r="P43" s="92"/>
      <c r="Q43" s="92"/>
      <c r="R43" s="93">
        <f t="shared" si="4"/>
        <v>71.599999999999994</v>
      </c>
      <c r="S43" s="102">
        <v>2</v>
      </c>
      <c r="T43" s="95"/>
      <c r="U43" s="85"/>
      <c r="V43" s="96" t="s">
        <v>72</v>
      </c>
      <c r="W43" s="97" t="s">
        <v>74</v>
      </c>
      <c r="X43" s="97" t="s">
        <v>11</v>
      </c>
      <c r="Y43" s="98">
        <v>53.5</v>
      </c>
      <c r="Z43" s="97" t="s">
        <v>73</v>
      </c>
      <c r="AA43" s="97" t="s">
        <v>75</v>
      </c>
      <c r="AB43" s="97" t="s">
        <v>11</v>
      </c>
      <c r="AC43" s="97">
        <v>18.100000000000001</v>
      </c>
      <c r="AD43" s="96"/>
      <c r="AE43" s="97"/>
      <c r="AF43" s="97"/>
      <c r="AG43" s="98"/>
      <c r="AH43" s="97"/>
      <c r="AI43" s="97"/>
      <c r="AJ43" s="97"/>
      <c r="AK43" s="97"/>
      <c r="AL43" s="96"/>
      <c r="AM43" s="97"/>
      <c r="AN43" s="97"/>
      <c r="AO43" s="98"/>
      <c r="AP43" s="96"/>
      <c r="AQ43" s="97"/>
      <c r="AR43" s="97"/>
      <c r="AS43" s="98"/>
      <c r="AT43" s="99"/>
      <c r="AW43" s="98"/>
      <c r="AX43" s="324"/>
      <c r="AY43" s="324"/>
      <c r="AZ43" s="324"/>
      <c r="BA43" s="330"/>
    </row>
    <row r="44" spans="1:53" s="100" customFormat="1" x14ac:dyDescent="0.15">
      <c r="A44" s="87">
        <v>1976</v>
      </c>
      <c r="B44" s="88"/>
      <c r="C44" s="786" t="s">
        <v>160</v>
      </c>
      <c r="D44" s="786"/>
      <c r="E44" s="87">
        <v>366</v>
      </c>
      <c r="F44" s="87"/>
      <c r="G44" s="89">
        <v>12</v>
      </c>
      <c r="H44" s="87"/>
      <c r="I44" s="87"/>
      <c r="J44" s="90">
        <v>12</v>
      </c>
      <c r="K44" s="77">
        <f t="shared" si="14"/>
        <v>100</v>
      </c>
      <c r="L44" s="77">
        <f t="shared" si="15"/>
        <v>0</v>
      </c>
      <c r="M44" s="77">
        <f t="shared" si="16"/>
        <v>0</v>
      </c>
      <c r="N44" s="78">
        <f t="shared" si="3"/>
        <v>100</v>
      </c>
      <c r="O44" s="91">
        <v>71.599999999999994</v>
      </c>
      <c r="P44" s="92"/>
      <c r="Q44" s="92"/>
      <c r="R44" s="93">
        <f t="shared" si="4"/>
        <v>71.599999999999994</v>
      </c>
      <c r="S44" s="102">
        <v>2</v>
      </c>
      <c r="T44" s="95"/>
      <c r="U44" s="85"/>
      <c r="V44" s="96" t="s">
        <v>72</v>
      </c>
      <c r="W44" s="97" t="s">
        <v>74</v>
      </c>
      <c r="X44" s="97" t="s">
        <v>11</v>
      </c>
      <c r="Y44" s="98">
        <v>53.5</v>
      </c>
      <c r="Z44" s="97" t="s">
        <v>73</v>
      </c>
      <c r="AA44" s="97" t="s">
        <v>75</v>
      </c>
      <c r="AB44" s="97" t="s">
        <v>11</v>
      </c>
      <c r="AC44" s="97">
        <v>18.100000000000001</v>
      </c>
      <c r="AD44" s="96"/>
      <c r="AE44" s="97"/>
      <c r="AF44" s="97"/>
      <c r="AG44" s="98"/>
      <c r="AH44" s="97"/>
      <c r="AI44" s="97"/>
      <c r="AJ44" s="97"/>
      <c r="AK44" s="97"/>
      <c r="AL44" s="96"/>
      <c r="AM44" s="97"/>
      <c r="AN44" s="97"/>
      <c r="AO44" s="98"/>
      <c r="AP44" s="96"/>
      <c r="AQ44" s="97"/>
      <c r="AR44" s="97"/>
      <c r="AS44" s="98"/>
      <c r="AT44" s="99"/>
      <c r="AW44" s="98"/>
      <c r="AX44" s="324"/>
      <c r="AY44" s="324"/>
      <c r="AZ44" s="324"/>
      <c r="BA44" s="330"/>
    </row>
    <row r="45" spans="1:53" s="100" customFormat="1" x14ac:dyDescent="0.15">
      <c r="A45" s="87">
        <v>1977</v>
      </c>
      <c r="B45" s="88"/>
      <c r="C45" s="786" t="s">
        <v>160</v>
      </c>
      <c r="D45" s="786"/>
      <c r="E45" s="87">
        <v>353</v>
      </c>
      <c r="F45" s="87"/>
      <c r="G45" s="89">
        <v>12</v>
      </c>
      <c r="H45" s="87"/>
      <c r="I45" s="87"/>
      <c r="J45" s="90">
        <v>12</v>
      </c>
      <c r="K45" s="77">
        <f t="shared" si="14"/>
        <v>100</v>
      </c>
      <c r="L45" s="77">
        <f t="shared" si="15"/>
        <v>0</v>
      </c>
      <c r="M45" s="77">
        <f t="shared" si="16"/>
        <v>0</v>
      </c>
      <c r="N45" s="78">
        <f t="shared" si="3"/>
        <v>100</v>
      </c>
      <c r="O45" s="91">
        <v>71.599999999999994</v>
      </c>
      <c r="P45" s="92"/>
      <c r="Q45" s="92"/>
      <c r="R45" s="93">
        <f t="shared" si="4"/>
        <v>71.599999999999994</v>
      </c>
      <c r="S45" s="102">
        <v>2</v>
      </c>
      <c r="T45" s="95"/>
      <c r="U45" s="85"/>
      <c r="V45" s="96" t="s">
        <v>72</v>
      </c>
      <c r="W45" s="97" t="s">
        <v>74</v>
      </c>
      <c r="X45" s="97" t="s">
        <v>11</v>
      </c>
      <c r="Y45" s="98">
        <v>53.5</v>
      </c>
      <c r="Z45" s="97" t="s">
        <v>73</v>
      </c>
      <c r="AA45" s="97" t="s">
        <v>75</v>
      </c>
      <c r="AB45" s="97" t="s">
        <v>11</v>
      </c>
      <c r="AC45" s="97">
        <v>18.100000000000001</v>
      </c>
      <c r="AD45" s="96"/>
      <c r="AE45" s="97"/>
      <c r="AF45" s="97"/>
      <c r="AG45" s="98"/>
      <c r="AH45" s="97"/>
      <c r="AI45" s="97"/>
      <c r="AJ45" s="97"/>
      <c r="AK45" s="97"/>
      <c r="AL45" s="96"/>
      <c r="AM45" s="97"/>
      <c r="AN45" s="97"/>
      <c r="AO45" s="98"/>
      <c r="AP45" s="96"/>
      <c r="AQ45" s="97"/>
      <c r="AR45" s="97"/>
      <c r="AS45" s="98"/>
      <c r="AT45" s="99"/>
      <c r="AW45" s="98"/>
      <c r="AX45" s="324"/>
      <c r="AY45" s="324"/>
      <c r="AZ45" s="324"/>
      <c r="BA45" s="330"/>
    </row>
    <row r="46" spans="1:53" s="391" customFormat="1" x14ac:dyDescent="0.15">
      <c r="A46" s="199">
        <v>1977</v>
      </c>
      <c r="B46" s="380">
        <v>28479</v>
      </c>
      <c r="C46" s="785" t="s">
        <v>161</v>
      </c>
      <c r="D46" s="785"/>
      <c r="E46" s="199">
        <v>12</v>
      </c>
      <c r="F46" s="199">
        <v>1</v>
      </c>
      <c r="G46" s="381">
        <v>14</v>
      </c>
      <c r="H46" s="199"/>
      <c r="I46" s="199"/>
      <c r="J46" s="382">
        <v>14</v>
      </c>
      <c r="K46" s="338">
        <f t="shared" si="14"/>
        <v>100</v>
      </c>
      <c r="L46" s="338">
        <f t="shared" si="15"/>
        <v>0</v>
      </c>
      <c r="M46" s="338">
        <f t="shared" si="16"/>
        <v>0</v>
      </c>
      <c r="N46" s="339">
        <f t="shared" si="3"/>
        <v>100</v>
      </c>
      <c r="O46" s="383">
        <v>69.3</v>
      </c>
      <c r="P46" s="384"/>
      <c r="Q46" s="384"/>
      <c r="R46" s="385">
        <f t="shared" si="4"/>
        <v>69.3</v>
      </c>
      <c r="S46" s="386">
        <v>3</v>
      </c>
      <c r="T46" s="342">
        <v>28469</v>
      </c>
      <c r="U46" s="355">
        <v>28479</v>
      </c>
      <c r="V46" s="387" t="s">
        <v>72</v>
      </c>
      <c r="W46" s="388" t="s">
        <v>74</v>
      </c>
      <c r="X46" s="388" t="s">
        <v>11</v>
      </c>
      <c r="Y46" s="389">
        <v>54</v>
      </c>
      <c r="Z46" s="388" t="s">
        <v>73</v>
      </c>
      <c r="AA46" s="388" t="s">
        <v>75</v>
      </c>
      <c r="AB46" s="388" t="s">
        <v>11</v>
      </c>
      <c r="AC46" s="388">
        <v>15.3</v>
      </c>
      <c r="AD46" s="387"/>
      <c r="AE46" s="388"/>
      <c r="AF46" s="388"/>
      <c r="AG46" s="389"/>
      <c r="AH46" s="388"/>
      <c r="AI46" s="388"/>
      <c r="AJ46" s="388"/>
      <c r="AK46" s="388"/>
      <c r="AL46" s="387"/>
      <c r="AM46" s="388"/>
      <c r="AN46" s="388"/>
      <c r="AO46" s="389"/>
      <c r="AP46" s="387"/>
      <c r="AQ46" s="388"/>
      <c r="AR46" s="388"/>
      <c r="AS46" s="389"/>
      <c r="AT46" s="390"/>
      <c r="AW46" s="389"/>
      <c r="AX46" s="392"/>
      <c r="AY46" s="392"/>
      <c r="AZ46" s="392"/>
      <c r="BA46" s="393"/>
    </row>
    <row r="47" spans="1:53" s="391" customFormat="1" x14ac:dyDescent="0.15">
      <c r="A47" s="199">
        <v>1978</v>
      </c>
      <c r="B47" s="380"/>
      <c r="C47" s="785" t="s">
        <v>161</v>
      </c>
      <c r="D47" s="785"/>
      <c r="E47" s="199">
        <v>0</v>
      </c>
      <c r="F47" s="199"/>
      <c r="G47" s="381">
        <v>14</v>
      </c>
      <c r="H47" s="199"/>
      <c r="I47" s="199"/>
      <c r="J47" s="382">
        <v>14</v>
      </c>
      <c r="K47" s="338">
        <f t="shared" si="14"/>
        <v>100</v>
      </c>
      <c r="L47" s="338">
        <f t="shared" si="15"/>
        <v>0</v>
      </c>
      <c r="M47" s="338">
        <f t="shared" si="16"/>
        <v>0</v>
      </c>
      <c r="N47" s="339">
        <f t="shared" si="3"/>
        <v>100</v>
      </c>
      <c r="O47" s="383">
        <v>69.3</v>
      </c>
      <c r="P47" s="384"/>
      <c r="Q47" s="384"/>
      <c r="R47" s="385">
        <f t="shared" si="4"/>
        <v>69.3</v>
      </c>
      <c r="S47" s="386">
        <v>3</v>
      </c>
      <c r="T47" s="342"/>
      <c r="U47" s="355"/>
      <c r="V47" s="387" t="s">
        <v>72</v>
      </c>
      <c r="W47" s="388" t="s">
        <v>74</v>
      </c>
      <c r="X47" s="388" t="s">
        <v>11</v>
      </c>
      <c r="Y47" s="389">
        <v>54</v>
      </c>
      <c r="Z47" s="388" t="s">
        <v>73</v>
      </c>
      <c r="AA47" s="388" t="s">
        <v>75</v>
      </c>
      <c r="AB47" s="388" t="s">
        <v>11</v>
      </c>
      <c r="AC47" s="388">
        <v>15.3</v>
      </c>
      <c r="AD47" s="387"/>
      <c r="AE47" s="388"/>
      <c r="AF47" s="388"/>
      <c r="AG47" s="389"/>
      <c r="AH47" s="388"/>
      <c r="AI47" s="388"/>
      <c r="AJ47" s="388"/>
      <c r="AK47" s="388"/>
      <c r="AL47" s="387"/>
      <c r="AM47" s="388"/>
      <c r="AN47" s="388"/>
      <c r="AO47" s="389"/>
      <c r="AP47" s="387"/>
      <c r="AQ47" s="388"/>
      <c r="AR47" s="388"/>
      <c r="AS47" s="389"/>
      <c r="AT47" s="390"/>
      <c r="AW47" s="389"/>
      <c r="AX47" s="392"/>
      <c r="AY47" s="392"/>
      <c r="AZ47" s="392"/>
      <c r="BA47" s="393"/>
    </row>
    <row r="48" spans="1:53" s="391" customFormat="1" x14ac:dyDescent="0.15">
      <c r="A48" s="199">
        <v>1978</v>
      </c>
      <c r="B48" s="380"/>
      <c r="C48" s="785" t="s">
        <v>161</v>
      </c>
      <c r="D48" s="785"/>
      <c r="E48" s="199">
        <f>365-E47</f>
        <v>365</v>
      </c>
      <c r="F48" s="199"/>
      <c r="G48" s="381">
        <v>14</v>
      </c>
      <c r="H48" s="199"/>
      <c r="I48" s="199"/>
      <c r="J48" s="382">
        <v>14</v>
      </c>
      <c r="K48" s="338">
        <f t="shared" si="14"/>
        <v>100</v>
      </c>
      <c r="L48" s="338">
        <f t="shared" si="15"/>
        <v>0</v>
      </c>
      <c r="M48" s="338">
        <f t="shared" si="16"/>
        <v>0</v>
      </c>
      <c r="N48" s="339">
        <f t="shared" si="3"/>
        <v>100</v>
      </c>
      <c r="O48" s="383">
        <v>69.3</v>
      </c>
      <c r="P48" s="384"/>
      <c r="Q48" s="384"/>
      <c r="R48" s="385">
        <f t="shared" si="4"/>
        <v>69.3</v>
      </c>
      <c r="S48" s="386">
        <v>3</v>
      </c>
      <c r="T48" s="342"/>
      <c r="U48" s="355"/>
      <c r="V48" s="387" t="s">
        <v>72</v>
      </c>
      <c r="W48" s="388" t="s">
        <v>74</v>
      </c>
      <c r="X48" s="388" t="s">
        <v>11</v>
      </c>
      <c r="Y48" s="389">
        <v>54</v>
      </c>
      <c r="Z48" s="388" t="s">
        <v>73</v>
      </c>
      <c r="AA48" s="388" t="s">
        <v>75</v>
      </c>
      <c r="AB48" s="388" t="s">
        <v>11</v>
      </c>
      <c r="AC48" s="388">
        <v>15.3</v>
      </c>
      <c r="AD48" s="387"/>
      <c r="AE48" s="388"/>
      <c r="AF48" s="388"/>
      <c r="AG48" s="389"/>
      <c r="AH48" s="388"/>
      <c r="AI48" s="388"/>
      <c r="AJ48" s="388"/>
      <c r="AK48" s="388"/>
      <c r="AL48" s="387"/>
      <c r="AM48" s="388"/>
      <c r="AN48" s="388"/>
      <c r="AO48" s="389"/>
      <c r="AP48" s="387"/>
      <c r="AQ48" s="388"/>
      <c r="AR48" s="388"/>
      <c r="AS48" s="389"/>
      <c r="AT48" s="390"/>
      <c r="AW48" s="389"/>
      <c r="AX48" s="392"/>
      <c r="AY48" s="392"/>
      <c r="AZ48" s="392"/>
      <c r="BA48" s="393"/>
    </row>
    <row r="49" spans="1:53" s="391" customFormat="1" x14ac:dyDescent="0.15">
      <c r="A49" s="199">
        <v>1979</v>
      </c>
      <c r="B49" s="380"/>
      <c r="C49" s="785" t="s">
        <v>161</v>
      </c>
      <c r="D49" s="785"/>
      <c r="E49" s="199">
        <v>0</v>
      </c>
      <c r="F49" s="199"/>
      <c r="G49" s="381">
        <v>14</v>
      </c>
      <c r="H49" s="199"/>
      <c r="I49" s="199"/>
      <c r="J49" s="382">
        <v>14</v>
      </c>
      <c r="K49" s="338">
        <f>G49/J49*100</f>
        <v>100</v>
      </c>
      <c r="L49" s="338">
        <f>H49/J49*100</f>
        <v>0</v>
      </c>
      <c r="M49" s="338">
        <f>I49/J49*100</f>
        <v>0</v>
      </c>
      <c r="N49" s="339">
        <f t="shared" si="3"/>
        <v>100</v>
      </c>
      <c r="O49" s="383">
        <v>69.3</v>
      </c>
      <c r="P49" s="384"/>
      <c r="Q49" s="384"/>
      <c r="R49" s="385">
        <f t="shared" si="4"/>
        <v>69.3</v>
      </c>
      <c r="S49" s="386">
        <v>3</v>
      </c>
      <c r="T49" s="342"/>
      <c r="U49" s="355"/>
      <c r="V49" s="387" t="s">
        <v>72</v>
      </c>
      <c r="W49" s="388" t="s">
        <v>74</v>
      </c>
      <c r="X49" s="388" t="s">
        <v>11</v>
      </c>
      <c r="Y49" s="389">
        <v>54</v>
      </c>
      <c r="Z49" s="388" t="s">
        <v>73</v>
      </c>
      <c r="AA49" s="388" t="s">
        <v>75</v>
      </c>
      <c r="AB49" s="388" t="s">
        <v>11</v>
      </c>
      <c r="AC49" s="388">
        <v>15.3</v>
      </c>
      <c r="AD49" s="387"/>
      <c r="AE49" s="388"/>
      <c r="AF49" s="388"/>
      <c r="AG49" s="389"/>
      <c r="AH49" s="388"/>
      <c r="AI49" s="388"/>
      <c r="AJ49" s="388"/>
      <c r="AK49" s="388"/>
      <c r="AL49" s="387"/>
      <c r="AM49" s="388"/>
      <c r="AN49" s="388"/>
      <c r="AO49" s="389"/>
      <c r="AP49" s="387"/>
      <c r="AQ49" s="388"/>
      <c r="AR49" s="388"/>
      <c r="AS49" s="389"/>
      <c r="AT49" s="390"/>
      <c r="AW49" s="389"/>
      <c r="AX49" s="392"/>
      <c r="AY49" s="392"/>
      <c r="AZ49" s="392"/>
      <c r="BA49" s="393"/>
    </row>
    <row r="50" spans="1:53" s="391" customFormat="1" x14ac:dyDescent="0.15">
      <c r="A50" s="199">
        <v>1979</v>
      </c>
      <c r="B50" s="380"/>
      <c r="C50" s="785" t="s">
        <v>161</v>
      </c>
      <c r="D50" s="785"/>
      <c r="E50" s="199">
        <f>365-E49</f>
        <v>365</v>
      </c>
      <c r="F50" s="199"/>
      <c r="G50" s="381">
        <v>14</v>
      </c>
      <c r="H50" s="199"/>
      <c r="I50" s="199"/>
      <c r="J50" s="382">
        <v>14</v>
      </c>
      <c r="K50" s="338">
        <f t="shared" ref="K50:K56" si="17">G50/J50*100</f>
        <v>100</v>
      </c>
      <c r="L50" s="338">
        <f t="shared" ref="L50:L56" si="18">H50/J50*100</f>
        <v>0</v>
      </c>
      <c r="M50" s="338">
        <f t="shared" ref="M50:M56" si="19">I50/J50*100</f>
        <v>0</v>
      </c>
      <c r="N50" s="339">
        <f t="shared" si="3"/>
        <v>100</v>
      </c>
      <c r="O50" s="383">
        <v>69.3</v>
      </c>
      <c r="P50" s="384"/>
      <c r="Q50" s="384"/>
      <c r="R50" s="385">
        <f t="shared" si="4"/>
        <v>69.3</v>
      </c>
      <c r="S50" s="386">
        <v>3</v>
      </c>
      <c r="T50" s="342"/>
      <c r="U50" s="355"/>
      <c r="V50" s="387" t="s">
        <v>72</v>
      </c>
      <c r="W50" s="388" t="s">
        <v>74</v>
      </c>
      <c r="X50" s="388" t="s">
        <v>11</v>
      </c>
      <c r="Y50" s="389">
        <v>54</v>
      </c>
      <c r="Z50" s="388" t="s">
        <v>73</v>
      </c>
      <c r="AA50" s="388" t="s">
        <v>75</v>
      </c>
      <c r="AB50" s="388" t="s">
        <v>11</v>
      </c>
      <c r="AC50" s="388">
        <v>15.3</v>
      </c>
      <c r="AD50" s="387"/>
      <c r="AE50" s="388"/>
      <c r="AF50" s="388"/>
      <c r="AG50" s="389"/>
      <c r="AH50" s="388"/>
      <c r="AI50" s="388"/>
      <c r="AJ50" s="388"/>
      <c r="AK50" s="388"/>
      <c r="AL50" s="387"/>
      <c r="AM50" s="388"/>
      <c r="AN50" s="388"/>
      <c r="AO50" s="389"/>
      <c r="AP50" s="387"/>
      <c r="AQ50" s="388"/>
      <c r="AR50" s="388"/>
      <c r="AS50" s="389"/>
      <c r="AT50" s="390"/>
      <c r="AW50" s="389"/>
      <c r="AX50" s="392"/>
      <c r="AY50" s="392"/>
      <c r="AZ50" s="392"/>
      <c r="BA50" s="393"/>
    </row>
    <row r="51" spans="1:53" s="391" customFormat="1" x14ac:dyDescent="0.15">
      <c r="A51" s="199">
        <v>1980</v>
      </c>
      <c r="B51" s="380"/>
      <c r="C51" s="785" t="s">
        <v>161</v>
      </c>
      <c r="D51" s="785"/>
      <c r="E51" s="199">
        <v>306</v>
      </c>
      <c r="F51" s="199"/>
      <c r="G51" s="381">
        <v>14</v>
      </c>
      <c r="H51" s="199"/>
      <c r="I51" s="199"/>
      <c r="J51" s="382">
        <v>14</v>
      </c>
      <c r="K51" s="338">
        <f t="shared" si="17"/>
        <v>100</v>
      </c>
      <c r="L51" s="338">
        <f t="shared" si="18"/>
        <v>0</v>
      </c>
      <c r="M51" s="338">
        <f t="shared" si="19"/>
        <v>0</v>
      </c>
      <c r="N51" s="339">
        <f t="shared" si="3"/>
        <v>100</v>
      </c>
      <c r="O51" s="383">
        <v>69.3</v>
      </c>
      <c r="P51" s="384"/>
      <c r="Q51" s="384"/>
      <c r="R51" s="385">
        <f t="shared" si="4"/>
        <v>69.3</v>
      </c>
      <c r="S51" s="386">
        <v>3</v>
      </c>
      <c r="T51" s="342"/>
      <c r="U51" s="355"/>
      <c r="V51" s="387" t="s">
        <v>72</v>
      </c>
      <c r="W51" s="388" t="s">
        <v>74</v>
      </c>
      <c r="X51" s="388" t="s">
        <v>11</v>
      </c>
      <c r="Y51" s="389">
        <v>54</v>
      </c>
      <c r="Z51" s="388" t="s">
        <v>73</v>
      </c>
      <c r="AA51" s="388" t="s">
        <v>75</v>
      </c>
      <c r="AB51" s="388" t="s">
        <v>11</v>
      </c>
      <c r="AC51" s="388">
        <v>15.3</v>
      </c>
      <c r="AD51" s="387"/>
      <c r="AE51" s="388"/>
      <c r="AF51" s="388"/>
      <c r="AG51" s="389"/>
      <c r="AH51" s="388"/>
      <c r="AI51" s="388"/>
      <c r="AJ51" s="388"/>
      <c r="AK51" s="388"/>
      <c r="AL51" s="387"/>
      <c r="AM51" s="388"/>
      <c r="AN51" s="388"/>
      <c r="AO51" s="389"/>
      <c r="AP51" s="387"/>
      <c r="AQ51" s="388"/>
      <c r="AR51" s="388"/>
      <c r="AS51" s="389"/>
      <c r="AT51" s="390"/>
      <c r="AW51" s="389"/>
      <c r="AX51" s="392"/>
      <c r="AY51" s="392"/>
      <c r="AZ51" s="392"/>
      <c r="BA51" s="393"/>
    </row>
    <row r="52" spans="1:53" s="100" customFormat="1" x14ac:dyDescent="0.15">
      <c r="A52" s="87">
        <v>1980</v>
      </c>
      <c r="B52" s="88">
        <v>29527</v>
      </c>
      <c r="C52" s="786" t="s">
        <v>162</v>
      </c>
      <c r="D52" s="786"/>
      <c r="E52" s="87">
        <v>60</v>
      </c>
      <c r="F52" s="87">
        <v>1</v>
      </c>
      <c r="G52" s="89">
        <v>14</v>
      </c>
      <c r="H52" s="87"/>
      <c r="I52" s="87"/>
      <c r="J52" s="90">
        <v>14</v>
      </c>
      <c r="K52" s="77">
        <f t="shared" si="17"/>
        <v>100</v>
      </c>
      <c r="L52" s="77">
        <f t="shared" si="18"/>
        <v>0</v>
      </c>
      <c r="M52" s="77">
        <f t="shared" si="19"/>
        <v>0</v>
      </c>
      <c r="N52" s="78">
        <f t="shared" si="3"/>
        <v>100</v>
      </c>
      <c r="O52" s="91">
        <v>59.2</v>
      </c>
      <c r="P52" s="92"/>
      <c r="Q52" s="92"/>
      <c r="R52" s="93">
        <f t="shared" si="4"/>
        <v>59.2</v>
      </c>
      <c r="S52" s="102">
        <v>2</v>
      </c>
      <c r="T52" s="95">
        <v>29512</v>
      </c>
      <c r="U52" s="85">
        <v>29527</v>
      </c>
      <c r="V52" s="96" t="s">
        <v>72</v>
      </c>
      <c r="W52" s="97" t="s">
        <v>74</v>
      </c>
      <c r="X52" s="97" t="s">
        <v>11</v>
      </c>
      <c r="Y52" s="98">
        <v>43.2</v>
      </c>
      <c r="Z52" s="97" t="s">
        <v>73</v>
      </c>
      <c r="AA52" s="97" t="s">
        <v>75</v>
      </c>
      <c r="AB52" s="97" t="s">
        <v>11</v>
      </c>
      <c r="AC52" s="97">
        <v>16</v>
      </c>
      <c r="AD52" s="96"/>
      <c r="AE52" s="97"/>
      <c r="AF52" s="97"/>
      <c r="AG52" s="98"/>
      <c r="AH52" s="97"/>
      <c r="AI52" s="97"/>
      <c r="AJ52" s="97"/>
      <c r="AK52" s="97"/>
      <c r="AL52" s="96"/>
      <c r="AM52" s="97"/>
      <c r="AN52" s="97"/>
      <c r="AO52" s="98"/>
      <c r="AP52" s="96"/>
      <c r="AQ52" s="97"/>
      <c r="AR52" s="97"/>
      <c r="AS52" s="98"/>
      <c r="AT52" s="99"/>
      <c r="AW52" s="98"/>
      <c r="AX52" s="324"/>
      <c r="AY52" s="324"/>
      <c r="AZ52" s="324"/>
      <c r="BA52" s="330"/>
    </row>
    <row r="53" spans="1:53" s="100" customFormat="1" x14ac:dyDescent="0.15">
      <c r="A53" s="87">
        <v>1981</v>
      </c>
      <c r="B53" s="88"/>
      <c r="C53" s="786" t="s">
        <v>162</v>
      </c>
      <c r="D53" s="786"/>
      <c r="E53" s="87">
        <v>0</v>
      </c>
      <c r="F53" s="87"/>
      <c r="G53" s="89">
        <v>14</v>
      </c>
      <c r="H53" s="87"/>
      <c r="I53" s="87"/>
      <c r="J53" s="90">
        <v>14</v>
      </c>
      <c r="K53" s="77">
        <f t="shared" si="17"/>
        <v>100</v>
      </c>
      <c r="L53" s="77">
        <f t="shared" si="18"/>
        <v>0</v>
      </c>
      <c r="M53" s="77">
        <f t="shared" si="19"/>
        <v>0</v>
      </c>
      <c r="N53" s="78">
        <f t="shared" si="3"/>
        <v>100</v>
      </c>
      <c r="O53" s="91">
        <v>59.2</v>
      </c>
      <c r="P53" s="92"/>
      <c r="Q53" s="92"/>
      <c r="R53" s="93">
        <f t="shared" si="4"/>
        <v>59.2</v>
      </c>
      <c r="S53" s="102">
        <v>2</v>
      </c>
      <c r="T53" s="95"/>
      <c r="U53" s="85"/>
      <c r="V53" s="96" t="s">
        <v>72</v>
      </c>
      <c r="W53" s="97" t="s">
        <v>74</v>
      </c>
      <c r="X53" s="97" t="s">
        <v>11</v>
      </c>
      <c r="Y53" s="98">
        <v>43.2</v>
      </c>
      <c r="Z53" s="97" t="s">
        <v>73</v>
      </c>
      <c r="AA53" s="97" t="s">
        <v>75</v>
      </c>
      <c r="AB53" s="97" t="s">
        <v>11</v>
      </c>
      <c r="AC53" s="97">
        <v>16</v>
      </c>
      <c r="AD53" s="96"/>
      <c r="AE53" s="97"/>
      <c r="AF53" s="97"/>
      <c r="AG53" s="98"/>
      <c r="AH53" s="97"/>
      <c r="AI53" s="97"/>
      <c r="AJ53" s="97"/>
      <c r="AK53" s="97"/>
      <c r="AL53" s="96"/>
      <c r="AM53" s="97"/>
      <c r="AN53" s="97"/>
      <c r="AO53" s="98"/>
      <c r="AP53" s="96"/>
      <c r="AQ53" s="97"/>
      <c r="AR53" s="97"/>
      <c r="AS53" s="98"/>
      <c r="AT53" s="99"/>
      <c r="AW53" s="98"/>
      <c r="AX53" s="324"/>
      <c r="AY53" s="324"/>
      <c r="AZ53" s="324"/>
      <c r="BA53" s="330"/>
    </row>
    <row r="54" spans="1:53" s="100" customFormat="1" x14ac:dyDescent="0.15">
      <c r="A54" s="87">
        <v>1981</v>
      </c>
      <c r="B54" s="88"/>
      <c r="C54" s="786" t="s">
        <v>162</v>
      </c>
      <c r="D54" s="786"/>
      <c r="E54" s="87">
        <f>365-E53</f>
        <v>365</v>
      </c>
      <c r="F54" s="87"/>
      <c r="G54" s="89">
        <v>14</v>
      </c>
      <c r="H54" s="87"/>
      <c r="I54" s="87"/>
      <c r="J54" s="90">
        <v>14</v>
      </c>
      <c r="K54" s="77">
        <f t="shared" si="17"/>
        <v>100</v>
      </c>
      <c r="L54" s="77">
        <f t="shared" si="18"/>
        <v>0</v>
      </c>
      <c r="M54" s="77">
        <f t="shared" si="19"/>
        <v>0</v>
      </c>
      <c r="N54" s="78">
        <f t="shared" si="3"/>
        <v>100</v>
      </c>
      <c r="O54" s="91">
        <v>59.2</v>
      </c>
      <c r="P54" s="92"/>
      <c r="Q54" s="92"/>
      <c r="R54" s="93">
        <f t="shared" si="4"/>
        <v>59.2</v>
      </c>
      <c r="S54" s="102">
        <v>2</v>
      </c>
      <c r="T54" s="95"/>
      <c r="U54" s="85"/>
      <c r="V54" s="96" t="s">
        <v>72</v>
      </c>
      <c r="W54" s="97" t="s">
        <v>74</v>
      </c>
      <c r="X54" s="97" t="s">
        <v>11</v>
      </c>
      <c r="Y54" s="98">
        <v>43.2</v>
      </c>
      <c r="Z54" s="97" t="s">
        <v>73</v>
      </c>
      <c r="AA54" s="97" t="s">
        <v>75</v>
      </c>
      <c r="AB54" s="97" t="s">
        <v>11</v>
      </c>
      <c r="AC54" s="97">
        <v>16</v>
      </c>
      <c r="AD54" s="96"/>
      <c r="AE54" s="97"/>
      <c r="AF54" s="97"/>
      <c r="AG54" s="98"/>
      <c r="AH54" s="97"/>
      <c r="AI54" s="97"/>
      <c r="AJ54" s="97"/>
      <c r="AK54" s="97"/>
      <c r="AL54" s="96"/>
      <c r="AM54" s="97"/>
      <c r="AN54" s="97"/>
      <c r="AO54" s="98"/>
      <c r="AP54" s="96"/>
      <c r="AQ54" s="97"/>
      <c r="AR54" s="97"/>
      <c r="AS54" s="98"/>
      <c r="AT54" s="99"/>
      <c r="AW54" s="98"/>
      <c r="AX54" s="324"/>
      <c r="AY54" s="324"/>
      <c r="AZ54" s="324"/>
      <c r="BA54" s="330"/>
    </row>
    <row r="55" spans="1:53" s="100" customFormat="1" x14ac:dyDescent="0.15">
      <c r="A55" s="87">
        <v>1982</v>
      </c>
      <c r="B55" s="88"/>
      <c r="C55" s="786" t="s">
        <v>162</v>
      </c>
      <c r="D55" s="786"/>
      <c r="E55" s="87">
        <v>0</v>
      </c>
      <c r="F55" s="87"/>
      <c r="G55" s="89">
        <v>14</v>
      </c>
      <c r="H55" s="87"/>
      <c r="I55" s="87"/>
      <c r="J55" s="90">
        <v>14</v>
      </c>
      <c r="K55" s="77">
        <f t="shared" si="17"/>
        <v>100</v>
      </c>
      <c r="L55" s="77">
        <f t="shared" si="18"/>
        <v>0</v>
      </c>
      <c r="M55" s="77">
        <f t="shared" si="19"/>
        <v>0</v>
      </c>
      <c r="N55" s="78">
        <f t="shared" si="3"/>
        <v>100</v>
      </c>
      <c r="O55" s="91">
        <v>59.2</v>
      </c>
      <c r="P55" s="92"/>
      <c r="Q55" s="92"/>
      <c r="R55" s="93">
        <f t="shared" si="4"/>
        <v>59.2</v>
      </c>
      <c r="S55" s="102">
        <v>2</v>
      </c>
      <c r="T55" s="95"/>
      <c r="U55" s="85"/>
      <c r="V55" s="96" t="s">
        <v>72</v>
      </c>
      <c r="W55" s="97" t="s">
        <v>74</v>
      </c>
      <c r="X55" s="97" t="s">
        <v>11</v>
      </c>
      <c r="Y55" s="98">
        <v>43.2</v>
      </c>
      <c r="Z55" s="97" t="s">
        <v>73</v>
      </c>
      <c r="AA55" s="97" t="s">
        <v>75</v>
      </c>
      <c r="AB55" s="97" t="s">
        <v>11</v>
      </c>
      <c r="AC55" s="97">
        <v>16</v>
      </c>
      <c r="AD55" s="96"/>
      <c r="AE55" s="97"/>
      <c r="AF55" s="97"/>
      <c r="AG55" s="98"/>
      <c r="AH55" s="97"/>
      <c r="AI55" s="97"/>
      <c r="AJ55" s="97"/>
      <c r="AK55" s="97"/>
      <c r="AL55" s="96"/>
      <c r="AM55" s="97"/>
      <c r="AN55" s="97"/>
      <c r="AO55" s="98"/>
      <c r="AP55" s="96"/>
      <c r="AQ55" s="97"/>
      <c r="AR55" s="97"/>
      <c r="AS55" s="98"/>
      <c r="AT55" s="99"/>
      <c r="AW55" s="98"/>
      <c r="AX55" s="324"/>
      <c r="AY55" s="324"/>
      <c r="AZ55" s="324"/>
      <c r="BA55" s="330"/>
    </row>
    <row r="56" spans="1:53" s="100" customFormat="1" x14ac:dyDescent="0.15">
      <c r="A56" s="87">
        <v>1982</v>
      </c>
      <c r="B56" s="88"/>
      <c r="C56" s="786" t="s">
        <v>162</v>
      </c>
      <c r="D56" s="786"/>
      <c r="E56" s="87">
        <f>365-E55</f>
        <v>365</v>
      </c>
      <c r="F56" s="87"/>
      <c r="G56" s="89">
        <v>14</v>
      </c>
      <c r="H56" s="87"/>
      <c r="I56" s="87"/>
      <c r="J56" s="90">
        <v>14</v>
      </c>
      <c r="K56" s="77">
        <f t="shared" si="17"/>
        <v>100</v>
      </c>
      <c r="L56" s="77">
        <f t="shared" si="18"/>
        <v>0</v>
      </c>
      <c r="M56" s="77">
        <f t="shared" si="19"/>
        <v>0</v>
      </c>
      <c r="N56" s="78">
        <f t="shared" si="3"/>
        <v>100</v>
      </c>
      <c r="O56" s="91">
        <v>59.2</v>
      </c>
      <c r="P56" s="92"/>
      <c r="Q56" s="92"/>
      <c r="R56" s="93">
        <f t="shared" si="4"/>
        <v>59.2</v>
      </c>
      <c r="S56" s="102">
        <v>2</v>
      </c>
      <c r="T56" s="95"/>
      <c r="U56" s="85"/>
      <c r="V56" s="96" t="s">
        <v>72</v>
      </c>
      <c r="W56" s="97" t="s">
        <v>74</v>
      </c>
      <c r="X56" s="97" t="s">
        <v>11</v>
      </c>
      <c r="Y56" s="98">
        <v>43.2</v>
      </c>
      <c r="Z56" s="97" t="s">
        <v>73</v>
      </c>
      <c r="AA56" s="97" t="s">
        <v>75</v>
      </c>
      <c r="AB56" s="97" t="s">
        <v>11</v>
      </c>
      <c r="AC56" s="97">
        <v>16</v>
      </c>
      <c r="AD56" s="96"/>
      <c r="AE56" s="97"/>
      <c r="AF56" s="97"/>
      <c r="AG56" s="98"/>
      <c r="AH56" s="97"/>
      <c r="AI56" s="97"/>
      <c r="AJ56" s="97"/>
      <c r="AK56" s="97"/>
      <c r="AL56" s="96"/>
      <c r="AM56" s="97"/>
      <c r="AN56" s="97"/>
      <c r="AO56" s="98"/>
      <c r="AP56" s="96"/>
      <c r="AQ56" s="97"/>
      <c r="AR56" s="97"/>
      <c r="AS56" s="98"/>
      <c r="AT56" s="99"/>
      <c r="AW56" s="98"/>
      <c r="AX56" s="324"/>
      <c r="AY56" s="324"/>
      <c r="AZ56" s="324"/>
      <c r="BA56" s="330"/>
    </row>
    <row r="57" spans="1:53" s="100" customFormat="1" x14ac:dyDescent="0.15">
      <c r="A57" s="87">
        <v>1983</v>
      </c>
      <c r="B57" s="88"/>
      <c r="C57" s="786" t="s">
        <v>162</v>
      </c>
      <c r="D57" s="786"/>
      <c r="E57" s="87">
        <v>69</v>
      </c>
      <c r="F57" s="87"/>
      <c r="G57" s="89">
        <v>14</v>
      </c>
      <c r="H57" s="87"/>
      <c r="I57" s="87"/>
      <c r="J57" s="90">
        <v>14</v>
      </c>
      <c r="K57" s="77">
        <f>G57/J57*100</f>
        <v>100</v>
      </c>
      <c r="L57" s="77">
        <f>H57/J57*100</f>
        <v>0</v>
      </c>
      <c r="M57" s="77">
        <f>I57/J57*100</f>
        <v>0</v>
      </c>
      <c r="N57" s="78">
        <f>SUM(K57:M57)</f>
        <v>100</v>
      </c>
      <c r="O57" s="91">
        <v>59.2</v>
      </c>
      <c r="P57" s="92"/>
      <c r="Q57" s="92"/>
      <c r="R57" s="93">
        <f t="shared" si="4"/>
        <v>59.2</v>
      </c>
      <c r="S57" s="102">
        <v>2</v>
      </c>
      <c r="T57" s="95"/>
      <c r="U57" s="85"/>
      <c r="V57" s="96" t="s">
        <v>72</v>
      </c>
      <c r="W57" s="97" t="s">
        <v>74</v>
      </c>
      <c r="X57" s="97" t="s">
        <v>11</v>
      </c>
      <c r="Y57" s="98">
        <v>43.2</v>
      </c>
      <c r="Z57" s="97" t="s">
        <v>73</v>
      </c>
      <c r="AA57" s="97" t="s">
        <v>75</v>
      </c>
      <c r="AB57" s="97" t="s">
        <v>11</v>
      </c>
      <c r="AC57" s="97">
        <v>16</v>
      </c>
      <c r="AD57" s="96"/>
      <c r="AE57" s="97"/>
      <c r="AF57" s="97"/>
      <c r="AG57" s="98"/>
      <c r="AH57" s="97"/>
      <c r="AI57" s="97"/>
      <c r="AJ57" s="97"/>
      <c r="AK57" s="97"/>
      <c r="AL57" s="96"/>
      <c r="AM57" s="97"/>
      <c r="AN57" s="97"/>
      <c r="AO57" s="98"/>
      <c r="AP57" s="96"/>
      <c r="AQ57" s="97"/>
      <c r="AR57" s="97"/>
      <c r="AS57" s="98"/>
      <c r="AT57" s="99"/>
      <c r="AW57" s="98"/>
      <c r="AX57" s="324"/>
      <c r="AY57" s="324"/>
      <c r="AZ57" s="324"/>
      <c r="BA57" s="330"/>
    </row>
    <row r="58" spans="1:53" s="391" customFormat="1" x14ac:dyDescent="0.15">
      <c r="A58" s="199">
        <v>1983</v>
      </c>
      <c r="B58" s="380">
        <v>30386</v>
      </c>
      <c r="C58" s="785" t="s">
        <v>163</v>
      </c>
      <c r="D58" s="785"/>
      <c r="E58" s="199">
        <f>365-E57</f>
        <v>296</v>
      </c>
      <c r="F58" s="199">
        <v>1</v>
      </c>
      <c r="G58" s="381"/>
      <c r="H58" s="199"/>
      <c r="I58" s="199">
        <v>13</v>
      </c>
      <c r="J58" s="382">
        <v>13</v>
      </c>
      <c r="K58" s="338">
        <f t="shared" ref="K58:K64" si="20">G58/J58*100</f>
        <v>0</v>
      </c>
      <c r="L58" s="338">
        <f t="shared" ref="L58:L64" si="21">H58/J58*100</f>
        <v>0</v>
      </c>
      <c r="M58" s="338">
        <f t="shared" ref="M58:M64" si="22">I58/J58*100</f>
        <v>100</v>
      </c>
      <c r="N58" s="339">
        <f t="shared" si="3"/>
        <v>100</v>
      </c>
      <c r="O58" s="383"/>
      <c r="P58" s="384"/>
      <c r="Q58" s="384">
        <v>60</v>
      </c>
      <c r="R58" s="385">
        <f t="shared" si="4"/>
        <v>60</v>
      </c>
      <c r="S58" s="386">
        <v>1</v>
      </c>
      <c r="T58" s="342">
        <v>30380</v>
      </c>
      <c r="U58" s="355">
        <v>30386</v>
      </c>
      <c r="V58" s="387" t="s">
        <v>78</v>
      </c>
      <c r="W58" s="388" t="s">
        <v>20</v>
      </c>
      <c r="X58" s="388" t="s">
        <v>12</v>
      </c>
      <c r="Y58" s="389">
        <v>60</v>
      </c>
      <c r="Z58" s="388"/>
      <c r="AA58" s="388"/>
      <c r="AB58" s="388"/>
      <c r="AC58" s="388"/>
      <c r="AD58" s="387"/>
      <c r="AE58" s="388"/>
      <c r="AF58" s="388"/>
      <c r="AG58" s="389"/>
      <c r="AH58" s="388"/>
      <c r="AI58" s="388"/>
      <c r="AJ58" s="388"/>
      <c r="AK58" s="388"/>
      <c r="AL58" s="387"/>
      <c r="AM58" s="388"/>
      <c r="AN58" s="388"/>
      <c r="AO58" s="389"/>
      <c r="AP58" s="387"/>
      <c r="AQ58" s="388"/>
      <c r="AR58" s="388"/>
      <c r="AS58" s="389"/>
      <c r="AT58" s="390"/>
      <c r="AW58" s="389"/>
      <c r="AX58" s="392"/>
      <c r="AY58" s="392"/>
      <c r="AZ58" s="392"/>
      <c r="BA58" s="393"/>
    </row>
    <row r="59" spans="1:53" s="391" customFormat="1" x14ac:dyDescent="0.15">
      <c r="A59" s="199">
        <v>1984</v>
      </c>
      <c r="B59" s="380"/>
      <c r="C59" s="785" t="s">
        <v>163</v>
      </c>
      <c r="D59" s="785"/>
      <c r="E59" s="199">
        <v>347</v>
      </c>
      <c r="F59" s="199"/>
      <c r="G59" s="381"/>
      <c r="H59" s="199"/>
      <c r="I59" s="199">
        <v>13</v>
      </c>
      <c r="J59" s="382">
        <v>13</v>
      </c>
      <c r="K59" s="338">
        <f t="shared" si="20"/>
        <v>0</v>
      </c>
      <c r="L59" s="338">
        <f t="shared" si="21"/>
        <v>0</v>
      </c>
      <c r="M59" s="338">
        <f t="shared" si="22"/>
        <v>100</v>
      </c>
      <c r="N59" s="339">
        <f t="shared" si="3"/>
        <v>100</v>
      </c>
      <c r="O59" s="383"/>
      <c r="P59" s="384"/>
      <c r="Q59" s="384">
        <v>60</v>
      </c>
      <c r="R59" s="385">
        <f t="shared" si="4"/>
        <v>60</v>
      </c>
      <c r="S59" s="386">
        <v>1</v>
      </c>
      <c r="T59" s="342"/>
      <c r="U59" s="355"/>
      <c r="V59" s="387" t="s">
        <v>78</v>
      </c>
      <c r="W59" s="388" t="s">
        <v>20</v>
      </c>
      <c r="X59" s="388" t="s">
        <v>12</v>
      </c>
      <c r="Y59" s="389">
        <v>60</v>
      </c>
      <c r="Z59" s="388"/>
      <c r="AA59" s="388"/>
      <c r="AB59" s="388"/>
      <c r="AC59" s="388"/>
      <c r="AD59" s="387"/>
      <c r="AE59" s="388"/>
      <c r="AF59" s="388"/>
      <c r="AG59" s="389"/>
      <c r="AH59" s="388"/>
      <c r="AI59" s="388"/>
      <c r="AJ59" s="388"/>
      <c r="AK59" s="388"/>
      <c r="AL59" s="387"/>
      <c r="AM59" s="388"/>
      <c r="AN59" s="388"/>
      <c r="AO59" s="389"/>
      <c r="AP59" s="387"/>
      <c r="AQ59" s="388"/>
      <c r="AR59" s="388"/>
      <c r="AS59" s="389"/>
      <c r="AT59" s="390"/>
      <c r="AW59" s="389"/>
      <c r="AX59" s="392"/>
      <c r="AY59" s="392"/>
      <c r="AZ59" s="392"/>
      <c r="BA59" s="393"/>
    </row>
    <row r="60" spans="1:53" s="100" customFormat="1" x14ac:dyDescent="0.15">
      <c r="A60" s="87">
        <v>1984</v>
      </c>
      <c r="B60" s="88">
        <v>31029</v>
      </c>
      <c r="C60" s="786" t="s">
        <v>164</v>
      </c>
      <c r="D60" s="786"/>
      <c r="E60" s="87">
        <v>19</v>
      </c>
      <c r="F60" s="87">
        <v>1</v>
      </c>
      <c r="G60" s="89"/>
      <c r="H60" s="87"/>
      <c r="I60" s="87">
        <v>17</v>
      </c>
      <c r="J60" s="90">
        <v>17</v>
      </c>
      <c r="K60" s="77">
        <f t="shared" si="20"/>
        <v>0</v>
      </c>
      <c r="L60" s="77">
        <f t="shared" si="21"/>
        <v>0</v>
      </c>
      <c r="M60" s="77">
        <f t="shared" si="22"/>
        <v>100</v>
      </c>
      <c r="N60" s="78">
        <f t="shared" si="3"/>
        <v>100</v>
      </c>
      <c r="O60" s="91"/>
      <c r="P60" s="92"/>
      <c r="Q60" s="92">
        <v>55.4</v>
      </c>
      <c r="R60" s="93">
        <f t="shared" si="4"/>
        <v>55.4</v>
      </c>
      <c r="S60" s="102">
        <v>1</v>
      </c>
      <c r="T60" s="95">
        <v>31017</v>
      </c>
      <c r="U60" s="85">
        <v>31029</v>
      </c>
      <c r="V60" s="96" t="s">
        <v>78</v>
      </c>
      <c r="W60" s="97" t="s">
        <v>20</v>
      </c>
      <c r="X60" s="97" t="s">
        <v>12</v>
      </c>
      <c r="Y60" s="98">
        <v>55.4</v>
      </c>
      <c r="Z60" s="97"/>
      <c r="AA60" s="97"/>
      <c r="AB60" s="97"/>
      <c r="AC60" s="97"/>
      <c r="AD60" s="96"/>
      <c r="AE60" s="97"/>
      <c r="AF60" s="97"/>
      <c r="AG60" s="98"/>
      <c r="AH60" s="97"/>
      <c r="AI60" s="97"/>
      <c r="AJ60" s="97"/>
      <c r="AK60" s="97"/>
      <c r="AL60" s="96"/>
      <c r="AM60" s="97"/>
      <c r="AN60" s="97"/>
      <c r="AO60" s="98"/>
      <c r="AP60" s="96"/>
      <c r="AQ60" s="97"/>
      <c r="AR60" s="97"/>
      <c r="AS60" s="98"/>
      <c r="AT60" s="99"/>
      <c r="AW60" s="98"/>
      <c r="AX60" s="324"/>
      <c r="AY60" s="324"/>
      <c r="AZ60" s="324"/>
      <c r="BA60" s="330"/>
    </row>
    <row r="61" spans="1:53" s="100" customFormat="1" x14ac:dyDescent="0.15">
      <c r="A61" s="87">
        <v>1985</v>
      </c>
      <c r="B61" s="88"/>
      <c r="C61" s="786" t="s">
        <v>164</v>
      </c>
      <c r="D61" s="786"/>
      <c r="E61" s="87">
        <v>0</v>
      </c>
      <c r="F61" s="87"/>
      <c r="G61" s="89"/>
      <c r="H61" s="87"/>
      <c r="I61" s="87">
        <v>17</v>
      </c>
      <c r="J61" s="90">
        <v>17</v>
      </c>
      <c r="K61" s="77">
        <f t="shared" si="20"/>
        <v>0</v>
      </c>
      <c r="L61" s="77">
        <f t="shared" si="21"/>
        <v>0</v>
      </c>
      <c r="M61" s="77">
        <f t="shared" si="22"/>
        <v>100</v>
      </c>
      <c r="N61" s="78">
        <f t="shared" si="3"/>
        <v>100</v>
      </c>
      <c r="O61" s="91"/>
      <c r="P61" s="92"/>
      <c r="Q61" s="92">
        <v>55.4</v>
      </c>
      <c r="R61" s="93">
        <f t="shared" si="4"/>
        <v>55.4</v>
      </c>
      <c r="S61" s="102">
        <v>1</v>
      </c>
      <c r="T61" s="95"/>
      <c r="U61" s="85"/>
      <c r="V61" s="96" t="s">
        <v>78</v>
      </c>
      <c r="W61" s="97" t="s">
        <v>20</v>
      </c>
      <c r="X61" s="97" t="s">
        <v>12</v>
      </c>
      <c r="Y61" s="98">
        <v>55.4</v>
      </c>
      <c r="Z61" s="97"/>
      <c r="AA61" s="97"/>
      <c r="AB61" s="97"/>
      <c r="AC61" s="97"/>
      <c r="AD61" s="96"/>
      <c r="AE61" s="97"/>
      <c r="AF61" s="97"/>
      <c r="AG61" s="98"/>
      <c r="AH61" s="97"/>
      <c r="AI61" s="97"/>
      <c r="AJ61" s="97"/>
      <c r="AK61" s="97"/>
      <c r="AL61" s="96"/>
      <c r="AM61" s="97"/>
      <c r="AN61" s="97"/>
      <c r="AO61" s="98"/>
      <c r="AP61" s="96"/>
      <c r="AQ61" s="97"/>
      <c r="AR61" s="97"/>
      <c r="AS61" s="98"/>
      <c r="AT61" s="99"/>
      <c r="AW61" s="98"/>
      <c r="AX61" s="324"/>
      <c r="AY61" s="324"/>
      <c r="AZ61" s="324"/>
      <c r="BA61" s="330"/>
    </row>
    <row r="62" spans="1:53" s="100" customFormat="1" x14ac:dyDescent="0.15">
      <c r="A62" s="87">
        <v>1985</v>
      </c>
      <c r="B62" s="88"/>
      <c r="C62" s="786" t="s">
        <v>164</v>
      </c>
      <c r="D62" s="786"/>
      <c r="E62" s="87">
        <f>365-E61</f>
        <v>365</v>
      </c>
      <c r="F62" s="87"/>
      <c r="G62" s="89"/>
      <c r="H62" s="87"/>
      <c r="I62" s="87">
        <v>17</v>
      </c>
      <c r="J62" s="90">
        <v>17</v>
      </c>
      <c r="K62" s="77">
        <f t="shared" si="20"/>
        <v>0</v>
      </c>
      <c r="L62" s="77">
        <f t="shared" si="21"/>
        <v>0</v>
      </c>
      <c r="M62" s="77">
        <f t="shared" si="22"/>
        <v>100</v>
      </c>
      <c r="N62" s="78">
        <f t="shared" si="3"/>
        <v>100</v>
      </c>
      <c r="O62" s="91"/>
      <c r="P62" s="92"/>
      <c r="Q62" s="92">
        <v>55.4</v>
      </c>
      <c r="R62" s="93">
        <f t="shared" si="4"/>
        <v>55.4</v>
      </c>
      <c r="S62" s="102">
        <v>1</v>
      </c>
      <c r="T62" s="95"/>
      <c r="U62" s="85"/>
      <c r="V62" s="96" t="s">
        <v>78</v>
      </c>
      <c r="W62" s="97" t="s">
        <v>20</v>
      </c>
      <c r="X62" s="97" t="s">
        <v>12</v>
      </c>
      <c r="Y62" s="98">
        <v>55.4</v>
      </c>
      <c r="Z62" s="97"/>
      <c r="AA62" s="97"/>
      <c r="AB62" s="97"/>
      <c r="AC62" s="97"/>
      <c r="AD62" s="96"/>
      <c r="AE62" s="97"/>
      <c r="AF62" s="97"/>
      <c r="AG62" s="98"/>
      <c r="AH62" s="97"/>
      <c r="AI62" s="97"/>
      <c r="AJ62" s="97"/>
      <c r="AK62" s="97"/>
      <c r="AL62" s="96"/>
      <c r="AM62" s="97"/>
      <c r="AN62" s="97"/>
      <c r="AO62" s="98"/>
      <c r="AP62" s="96"/>
      <c r="AQ62" s="97"/>
      <c r="AR62" s="97"/>
      <c r="AS62" s="98"/>
      <c r="AT62" s="99"/>
      <c r="AW62" s="98"/>
      <c r="AX62" s="324"/>
      <c r="AY62" s="324"/>
      <c r="AZ62" s="324"/>
      <c r="BA62" s="330"/>
    </row>
    <row r="63" spans="1:53" s="100" customFormat="1" x14ac:dyDescent="0.15">
      <c r="A63" s="87">
        <v>1986</v>
      </c>
      <c r="B63" s="88"/>
      <c r="C63" s="786" t="s">
        <v>164</v>
      </c>
      <c r="D63" s="786"/>
      <c r="E63" s="87">
        <v>0</v>
      </c>
      <c r="F63" s="87"/>
      <c r="G63" s="89"/>
      <c r="H63" s="87"/>
      <c r="I63" s="87">
        <v>17</v>
      </c>
      <c r="J63" s="90">
        <v>17</v>
      </c>
      <c r="K63" s="77">
        <f t="shared" si="20"/>
        <v>0</v>
      </c>
      <c r="L63" s="77">
        <f t="shared" si="21"/>
        <v>0</v>
      </c>
      <c r="M63" s="77">
        <f t="shared" si="22"/>
        <v>100</v>
      </c>
      <c r="N63" s="78">
        <f t="shared" si="3"/>
        <v>100</v>
      </c>
      <c r="O63" s="91"/>
      <c r="P63" s="92"/>
      <c r="Q63" s="92">
        <v>55.4</v>
      </c>
      <c r="R63" s="93">
        <f t="shared" si="4"/>
        <v>55.4</v>
      </c>
      <c r="S63" s="102">
        <v>1</v>
      </c>
      <c r="T63" s="95"/>
      <c r="U63" s="85"/>
      <c r="V63" s="96" t="s">
        <v>78</v>
      </c>
      <c r="W63" s="97" t="s">
        <v>20</v>
      </c>
      <c r="X63" s="97" t="s">
        <v>12</v>
      </c>
      <c r="Y63" s="98">
        <v>55.4</v>
      </c>
      <c r="Z63" s="97"/>
      <c r="AA63" s="97"/>
      <c r="AB63" s="97"/>
      <c r="AC63" s="97"/>
      <c r="AD63" s="96"/>
      <c r="AE63" s="97"/>
      <c r="AF63" s="97"/>
      <c r="AG63" s="98"/>
      <c r="AH63" s="97"/>
      <c r="AI63" s="97"/>
      <c r="AJ63" s="97"/>
      <c r="AK63" s="97"/>
      <c r="AL63" s="96"/>
      <c r="AM63" s="97"/>
      <c r="AN63" s="97"/>
      <c r="AO63" s="98"/>
      <c r="AP63" s="96"/>
      <c r="AQ63" s="97"/>
      <c r="AR63" s="97"/>
      <c r="AS63" s="98"/>
      <c r="AT63" s="99"/>
      <c r="AW63" s="98"/>
      <c r="AX63" s="324"/>
      <c r="AY63" s="324"/>
      <c r="AZ63" s="324"/>
      <c r="BA63" s="330"/>
    </row>
    <row r="64" spans="1:53" s="100" customFormat="1" x14ac:dyDescent="0.15">
      <c r="A64" s="87">
        <v>1986</v>
      </c>
      <c r="B64" s="88"/>
      <c r="C64" s="786" t="s">
        <v>164</v>
      </c>
      <c r="D64" s="786"/>
      <c r="E64" s="87">
        <f>365-E63</f>
        <v>365</v>
      </c>
      <c r="F64" s="87"/>
      <c r="G64" s="89"/>
      <c r="H64" s="87"/>
      <c r="I64" s="87">
        <v>17</v>
      </c>
      <c r="J64" s="90">
        <v>17</v>
      </c>
      <c r="K64" s="77">
        <f t="shared" si="20"/>
        <v>0</v>
      </c>
      <c r="L64" s="77">
        <f t="shared" si="21"/>
        <v>0</v>
      </c>
      <c r="M64" s="77">
        <f t="shared" si="22"/>
        <v>100</v>
      </c>
      <c r="N64" s="78">
        <f t="shared" si="3"/>
        <v>100</v>
      </c>
      <c r="O64" s="91"/>
      <c r="P64" s="92"/>
      <c r="Q64" s="92">
        <v>55.4</v>
      </c>
      <c r="R64" s="93">
        <f t="shared" si="4"/>
        <v>55.4</v>
      </c>
      <c r="S64" s="102">
        <v>1</v>
      </c>
      <c r="T64" s="95"/>
      <c r="U64" s="85"/>
      <c r="V64" s="96" t="s">
        <v>78</v>
      </c>
      <c r="W64" s="97" t="s">
        <v>20</v>
      </c>
      <c r="X64" s="97" t="s">
        <v>12</v>
      </c>
      <c r="Y64" s="98">
        <v>55.4</v>
      </c>
      <c r="Z64" s="97"/>
      <c r="AA64" s="97"/>
      <c r="AB64" s="97"/>
      <c r="AC64" s="97"/>
      <c r="AD64" s="96"/>
      <c r="AE64" s="97"/>
      <c r="AF64" s="97"/>
      <c r="AG64" s="98"/>
      <c r="AH64" s="97"/>
      <c r="AI64" s="97"/>
      <c r="AJ64" s="97"/>
      <c r="AK64" s="97"/>
      <c r="AL64" s="96"/>
      <c r="AM64" s="97"/>
      <c r="AN64" s="97"/>
      <c r="AO64" s="98"/>
      <c r="AP64" s="96"/>
      <c r="AQ64" s="97"/>
      <c r="AR64" s="97"/>
      <c r="AS64" s="98"/>
      <c r="AT64" s="99"/>
      <c r="AW64" s="98"/>
      <c r="AX64" s="324"/>
      <c r="AY64" s="324"/>
      <c r="AZ64" s="324"/>
      <c r="BA64" s="330"/>
    </row>
    <row r="65" spans="1:53" s="100" customFormat="1" x14ac:dyDescent="0.15">
      <c r="A65" s="87">
        <v>1987</v>
      </c>
      <c r="B65" s="88"/>
      <c r="C65" s="786" t="s">
        <v>164</v>
      </c>
      <c r="D65" s="786"/>
      <c r="E65" s="87">
        <v>202</v>
      </c>
      <c r="F65" s="87"/>
      <c r="G65" s="89"/>
      <c r="H65" s="87"/>
      <c r="I65" s="87">
        <v>17</v>
      </c>
      <c r="J65" s="90">
        <v>17</v>
      </c>
      <c r="K65" s="77">
        <f t="shared" ref="K65:K76" si="23">G65/J65*100</f>
        <v>0</v>
      </c>
      <c r="L65" s="77">
        <f t="shared" ref="L65:L76" si="24">H65/J65*100</f>
        <v>0</v>
      </c>
      <c r="M65" s="77">
        <f t="shared" ref="M65:M76" si="25">I65/J65*100</f>
        <v>100</v>
      </c>
      <c r="N65" s="78">
        <f t="shared" si="3"/>
        <v>100</v>
      </c>
      <c r="O65" s="91"/>
      <c r="P65" s="92"/>
      <c r="Q65" s="92">
        <v>55.4</v>
      </c>
      <c r="R65" s="93">
        <f t="shared" si="4"/>
        <v>55.4</v>
      </c>
      <c r="S65" s="102">
        <v>1</v>
      </c>
      <c r="T65" s="95"/>
      <c r="U65" s="85"/>
      <c r="V65" s="96" t="s">
        <v>78</v>
      </c>
      <c r="W65" s="97" t="s">
        <v>20</v>
      </c>
      <c r="X65" s="97" t="s">
        <v>12</v>
      </c>
      <c r="Y65" s="98">
        <v>55.4</v>
      </c>
      <c r="Z65" s="97"/>
      <c r="AA65" s="97"/>
      <c r="AB65" s="97"/>
      <c r="AC65" s="97"/>
      <c r="AD65" s="96"/>
      <c r="AE65" s="97"/>
      <c r="AF65" s="97"/>
      <c r="AG65" s="98"/>
      <c r="AH65" s="97"/>
      <c r="AI65" s="97"/>
      <c r="AJ65" s="97"/>
      <c r="AK65" s="97"/>
      <c r="AL65" s="96"/>
      <c r="AM65" s="97"/>
      <c r="AN65" s="97"/>
      <c r="AO65" s="98"/>
      <c r="AP65" s="96"/>
      <c r="AQ65" s="97"/>
      <c r="AR65" s="97"/>
      <c r="AS65" s="98"/>
      <c r="AT65" s="99"/>
      <c r="AW65" s="98"/>
      <c r="AX65" s="324"/>
      <c r="AY65" s="324"/>
      <c r="AZ65" s="324"/>
      <c r="BA65" s="330"/>
    </row>
    <row r="66" spans="1:53" s="391" customFormat="1" x14ac:dyDescent="0.15">
      <c r="A66" s="199">
        <v>1987</v>
      </c>
      <c r="B66" s="380">
        <v>31980</v>
      </c>
      <c r="C66" s="785" t="s">
        <v>165</v>
      </c>
      <c r="D66" s="785"/>
      <c r="E66" s="199">
        <f>365-E65</f>
        <v>163</v>
      </c>
      <c r="F66" s="199">
        <v>1</v>
      </c>
      <c r="G66" s="381"/>
      <c r="H66" s="199"/>
      <c r="I66" s="199">
        <v>16</v>
      </c>
      <c r="J66" s="382">
        <v>16</v>
      </c>
      <c r="K66" s="338">
        <f t="shared" si="23"/>
        <v>0</v>
      </c>
      <c r="L66" s="338">
        <f t="shared" si="24"/>
        <v>0</v>
      </c>
      <c r="M66" s="338">
        <f t="shared" si="25"/>
        <v>100</v>
      </c>
      <c r="N66" s="339">
        <f t="shared" si="3"/>
        <v>100</v>
      </c>
      <c r="O66" s="383"/>
      <c r="P66" s="384"/>
      <c r="Q66" s="384">
        <v>58.1</v>
      </c>
      <c r="R66" s="385">
        <f t="shared" si="4"/>
        <v>58.1</v>
      </c>
      <c r="S66" s="386">
        <v>1</v>
      </c>
      <c r="T66" s="342">
        <v>31969</v>
      </c>
      <c r="U66" s="355">
        <v>31980</v>
      </c>
      <c r="V66" s="387" t="s">
        <v>78</v>
      </c>
      <c r="W66" s="388" t="s">
        <v>20</v>
      </c>
      <c r="X66" s="388" t="s">
        <v>12</v>
      </c>
      <c r="Y66" s="389">
        <v>58.1</v>
      </c>
      <c r="Z66" s="388"/>
      <c r="AA66" s="388"/>
      <c r="AB66" s="388"/>
      <c r="AC66" s="388"/>
      <c r="AD66" s="387"/>
      <c r="AE66" s="388"/>
      <c r="AF66" s="388"/>
      <c r="AG66" s="389"/>
      <c r="AH66" s="388"/>
      <c r="AI66" s="388"/>
      <c r="AJ66" s="388"/>
      <c r="AK66" s="388"/>
      <c r="AL66" s="387"/>
      <c r="AM66" s="388"/>
      <c r="AN66" s="388"/>
      <c r="AO66" s="389"/>
      <c r="AP66" s="387"/>
      <c r="AQ66" s="388"/>
      <c r="AR66" s="388"/>
      <c r="AS66" s="389"/>
      <c r="AT66" s="390"/>
      <c r="AW66" s="389"/>
      <c r="AX66" s="392"/>
      <c r="AY66" s="392"/>
      <c r="AZ66" s="392"/>
      <c r="BA66" s="393"/>
    </row>
    <row r="67" spans="1:53" s="391" customFormat="1" x14ac:dyDescent="0.15">
      <c r="A67" s="199">
        <v>1988</v>
      </c>
      <c r="B67" s="380"/>
      <c r="C67" s="785" t="s">
        <v>165</v>
      </c>
      <c r="D67" s="785"/>
      <c r="E67" s="199">
        <v>0</v>
      </c>
      <c r="F67" s="199"/>
      <c r="G67" s="381"/>
      <c r="H67" s="199"/>
      <c r="I67" s="199">
        <v>16</v>
      </c>
      <c r="J67" s="382">
        <v>16</v>
      </c>
      <c r="K67" s="338">
        <f t="shared" si="23"/>
        <v>0</v>
      </c>
      <c r="L67" s="338">
        <f t="shared" si="24"/>
        <v>0</v>
      </c>
      <c r="M67" s="338">
        <f t="shared" si="25"/>
        <v>100</v>
      </c>
      <c r="N67" s="339">
        <f t="shared" si="3"/>
        <v>100</v>
      </c>
      <c r="O67" s="383"/>
      <c r="P67" s="384"/>
      <c r="Q67" s="384">
        <v>58.1</v>
      </c>
      <c r="R67" s="385">
        <f t="shared" si="4"/>
        <v>58.1</v>
      </c>
      <c r="S67" s="386">
        <v>1</v>
      </c>
      <c r="T67" s="342"/>
      <c r="U67" s="355"/>
      <c r="V67" s="387" t="s">
        <v>78</v>
      </c>
      <c r="W67" s="388" t="s">
        <v>20</v>
      </c>
      <c r="X67" s="388" t="s">
        <v>12</v>
      </c>
      <c r="Y67" s="389">
        <v>58.1</v>
      </c>
      <c r="Z67" s="388"/>
      <c r="AA67" s="388"/>
      <c r="AB67" s="388"/>
      <c r="AC67" s="388"/>
      <c r="AD67" s="387"/>
      <c r="AE67" s="388"/>
      <c r="AF67" s="388"/>
      <c r="AG67" s="389"/>
      <c r="AH67" s="388"/>
      <c r="AI67" s="388"/>
      <c r="AJ67" s="388"/>
      <c r="AK67" s="388"/>
      <c r="AL67" s="387"/>
      <c r="AM67" s="388"/>
      <c r="AN67" s="388"/>
      <c r="AO67" s="389"/>
      <c r="AP67" s="387"/>
      <c r="AQ67" s="388"/>
      <c r="AR67" s="388"/>
      <c r="AS67" s="389"/>
      <c r="AT67" s="390"/>
      <c r="AW67" s="389"/>
      <c r="AX67" s="392"/>
      <c r="AY67" s="392"/>
      <c r="AZ67" s="392"/>
      <c r="BA67" s="393"/>
    </row>
    <row r="68" spans="1:53" s="391" customFormat="1" x14ac:dyDescent="0.15">
      <c r="A68" s="199">
        <v>1988</v>
      </c>
      <c r="B68" s="380"/>
      <c r="C68" s="785" t="s">
        <v>165</v>
      </c>
      <c r="D68" s="785"/>
      <c r="E68" s="199">
        <v>366</v>
      </c>
      <c r="F68" s="199"/>
      <c r="G68" s="381"/>
      <c r="H68" s="199"/>
      <c r="I68" s="199">
        <v>16</v>
      </c>
      <c r="J68" s="382">
        <v>16</v>
      </c>
      <c r="K68" s="338">
        <f t="shared" si="23"/>
        <v>0</v>
      </c>
      <c r="L68" s="338">
        <f t="shared" si="24"/>
        <v>0</v>
      </c>
      <c r="M68" s="338">
        <f t="shared" si="25"/>
        <v>100</v>
      </c>
      <c r="N68" s="339">
        <f t="shared" si="3"/>
        <v>100</v>
      </c>
      <c r="O68" s="383"/>
      <c r="P68" s="384"/>
      <c r="Q68" s="384">
        <v>58.1</v>
      </c>
      <c r="R68" s="385">
        <f t="shared" si="4"/>
        <v>58.1</v>
      </c>
      <c r="S68" s="386">
        <v>1</v>
      </c>
      <c r="T68" s="342"/>
      <c r="U68" s="355"/>
      <c r="V68" s="387" t="s">
        <v>78</v>
      </c>
      <c r="W68" s="388" t="s">
        <v>20</v>
      </c>
      <c r="X68" s="388" t="s">
        <v>12</v>
      </c>
      <c r="Y68" s="389">
        <v>58.1</v>
      </c>
      <c r="Z68" s="388"/>
      <c r="AA68" s="388"/>
      <c r="AB68" s="388"/>
      <c r="AC68" s="388"/>
      <c r="AD68" s="387"/>
      <c r="AE68" s="388"/>
      <c r="AF68" s="388"/>
      <c r="AG68" s="389"/>
      <c r="AH68" s="388"/>
      <c r="AI68" s="388"/>
      <c r="AJ68" s="388"/>
      <c r="AK68" s="388"/>
      <c r="AL68" s="387"/>
      <c r="AM68" s="388"/>
      <c r="AN68" s="388"/>
      <c r="AO68" s="389"/>
      <c r="AP68" s="387"/>
      <c r="AQ68" s="388"/>
      <c r="AR68" s="388"/>
      <c r="AS68" s="389"/>
      <c r="AT68" s="390"/>
      <c r="AW68" s="389"/>
      <c r="AX68" s="392"/>
      <c r="AY68" s="392"/>
      <c r="AZ68" s="392"/>
      <c r="BA68" s="393"/>
    </row>
    <row r="69" spans="1:53" s="391" customFormat="1" x14ac:dyDescent="0.15">
      <c r="A69" s="199">
        <v>1989</v>
      </c>
      <c r="B69" s="380"/>
      <c r="C69" s="785" t="s">
        <v>165</v>
      </c>
      <c r="D69" s="785"/>
      <c r="E69" s="199">
        <v>0</v>
      </c>
      <c r="F69" s="199"/>
      <c r="G69" s="381"/>
      <c r="H69" s="199"/>
      <c r="I69" s="199">
        <v>16</v>
      </c>
      <c r="J69" s="382">
        <v>16</v>
      </c>
      <c r="K69" s="338">
        <f t="shared" si="23"/>
        <v>0</v>
      </c>
      <c r="L69" s="338">
        <f t="shared" si="24"/>
        <v>0</v>
      </c>
      <c r="M69" s="338">
        <f t="shared" si="25"/>
        <v>100</v>
      </c>
      <c r="N69" s="339">
        <f t="shared" si="3"/>
        <v>100</v>
      </c>
      <c r="O69" s="383"/>
      <c r="P69" s="384"/>
      <c r="Q69" s="384">
        <v>58.1</v>
      </c>
      <c r="R69" s="385">
        <f t="shared" si="4"/>
        <v>58.1</v>
      </c>
      <c r="S69" s="386">
        <v>1</v>
      </c>
      <c r="T69" s="342"/>
      <c r="U69" s="355"/>
      <c r="V69" s="387" t="s">
        <v>78</v>
      </c>
      <c r="W69" s="388" t="s">
        <v>20</v>
      </c>
      <c r="X69" s="388" t="s">
        <v>12</v>
      </c>
      <c r="Y69" s="389">
        <v>58.1</v>
      </c>
      <c r="Z69" s="388"/>
      <c r="AA69" s="388"/>
      <c r="AB69" s="388"/>
      <c r="AC69" s="388"/>
      <c r="AD69" s="387"/>
      <c r="AE69" s="388"/>
      <c r="AF69" s="388"/>
      <c r="AG69" s="389"/>
      <c r="AH69" s="388"/>
      <c r="AI69" s="388"/>
      <c r="AJ69" s="388"/>
      <c r="AK69" s="388"/>
      <c r="AL69" s="387"/>
      <c r="AM69" s="388"/>
      <c r="AN69" s="388"/>
      <c r="AO69" s="389"/>
      <c r="AP69" s="387"/>
      <c r="AQ69" s="388"/>
      <c r="AR69" s="388"/>
      <c r="AS69" s="389"/>
      <c r="AT69" s="390"/>
      <c r="AW69" s="389"/>
      <c r="AX69" s="392"/>
      <c r="AY69" s="392"/>
      <c r="AZ69" s="392"/>
      <c r="BA69" s="393"/>
    </row>
    <row r="70" spans="1:53" s="202" customFormat="1" x14ac:dyDescent="0.15">
      <c r="A70" s="204">
        <v>1989</v>
      </c>
      <c r="B70" s="398"/>
      <c r="C70" s="784" t="s">
        <v>165</v>
      </c>
      <c r="D70" s="784"/>
      <c r="E70" s="204">
        <f>365-E69</f>
        <v>365</v>
      </c>
      <c r="F70" s="204"/>
      <c r="G70" s="399"/>
      <c r="H70" s="204"/>
      <c r="I70" s="204">
        <v>16</v>
      </c>
      <c r="J70" s="400">
        <v>16</v>
      </c>
      <c r="K70" s="401">
        <f t="shared" si="23"/>
        <v>0</v>
      </c>
      <c r="L70" s="401">
        <f t="shared" si="24"/>
        <v>0</v>
      </c>
      <c r="M70" s="401">
        <f t="shared" si="25"/>
        <v>100</v>
      </c>
      <c r="N70" s="402">
        <f t="shared" si="3"/>
        <v>100</v>
      </c>
      <c r="O70" s="403"/>
      <c r="P70" s="404"/>
      <c r="Q70" s="404">
        <v>58.1</v>
      </c>
      <c r="R70" s="405">
        <f t="shared" si="4"/>
        <v>58.1</v>
      </c>
      <c r="S70" s="201">
        <v>1</v>
      </c>
      <c r="T70" s="406"/>
      <c r="U70" s="407"/>
      <c r="V70" s="408" t="s">
        <v>78</v>
      </c>
      <c r="W70" s="409" t="s">
        <v>20</v>
      </c>
      <c r="X70" s="409" t="s">
        <v>12</v>
      </c>
      <c r="Y70" s="410">
        <v>58.1</v>
      </c>
      <c r="Z70" s="409"/>
      <c r="AA70" s="409"/>
      <c r="AB70" s="409"/>
      <c r="AC70" s="409"/>
      <c r="AD70" s="408"/>
      <c r="AE70" s="409"/>
      <c r="AF70" s="409"/>
      <c r="AG70" s="410"/>
      <c r="AH70" s="409"/>
      <c r="AI70" s="409"/>
      <c r="AJ70" s="409"/>
      <c r="AK70" s="409"/>
      <c r="AL70" s="408"/>
      <c r="AM70" s="409"/>
      <c r="AN70" s="409"/>
      <c r="AO70" s="410"/>
      <c r="AP70" s="408"/>
      <c r="AQ70" s="409"/>
      <c r="AR70" s="409"/>
      <c r="AS70" s="410"/>
      <c r="AT70" s="409"/>
      <c r="AW70" s="410"/>
      <c r="BA70" s="411"/>
    </row>
    <row r="71" spans="1:53" s="391" customFormat="1" x14ac:dyDescent="0.15">
      <c r="A71" s="199">
        <v>1990</v>
      </c>
      <c r="B71" s="380"/>
      <c r="C71" s="785" t="s">
        <v>165</v>
      </c>
      <c r="D71" s="785"/>
      <c r="E71" s="199">
        <v>93</v>
      </c>
      <c r="F71" s="199"/>
      <c r="G71" s="381"/>
      <c r="H71" s="199"/>
      <c r="I71" s="199">
        <v>16</v>
      </c>
      <c r="J71" s="382">
        <v>16</v>
      </c>
      <c r="K71" s="338">
        <f t="shared" si="23"/>
        <v>0</v>
      </c>
      <c r="L71" s="338">
        <f t="shared" si="24"/>
        <v>0</v>
      </c>
      <c r="M71" s="338">
        <f t="shared" si="25"/>
        <v>100</v>
      </c>
      <c r="N71" s="339">
        <f t="shared" si="3"/>
        <v>100</v>
      </c>
      <c r="O71" s="383"/>
      <c r="P71" s="384"/>
      <c r="Q71" s="384">
        <v>58.1</v>
      </c>
      <c r="R71" s="385">
        <f>SUM(O71:Q71)</f>
        <v>58.1</v>
      </c>
      <c r="S71" s="386">
        <v>1</v>
      </c>
      <c r="T71" s="342"/>
      <c r="U71" s="355"/>
      <c r="V71" s="387" t="s">
        <v>78</v>
      </c>
      <c r="W71" s="388" t="s">
        <v>20</v>
      </c>
      <c r="X71" s="388" t="s">
        <v>12</v>
      </c>
      <c r="Y71" s="389">
        <v>58.1</v>
      </c>
      <c r="Z71" s="388"/>
      <c r="AA71" s="388"/>
      <c r="AB71" s="388"/>
      <c r="AC71" s="388"/>
      <c r="AD71" s="387"/>
      <c r="AE71" s="388"/>
      <c r="AF71" s="388"/>
      <c r="AG71" s="389"/>
      <c r="AH71" s="388"/>
      <c r="AI71" s="388"/>
      <c r="AJ71" s="388"/>
      <c r="AK71" s="388"/>
      <c r="AL71" s="387"/>
      <c r="AM71" s="388"/>
      <c r="AN71" s="388"/>
      <c r="AO71" s="389"/>
      <c r="AP71" s="387"/>
      <c r="AQ71" s="388"/>
      <c r="AR71" s="388"/>
      <c r="AS71" s="389"/>
      <c r="AT71" s="390"/>
      <c r="AW71" s="389"/>
      <c r="AX71" s="392"/>
      <c r="AY71" s="392"/>
      <c r="AZ71" s="392"/>
      <c r="BA71" s="393"/>
    </row>
    <row r="72" spans="1:53" s="100" customFormat="1" x14ac:dyDescent="0.15">
      <c r="A72" s="87">
        <v>1990</v>
      </c>
      <c r="B72" s="88">
        <v>32967</v>
      </c>
      <c r="C72" s="786" t="s">
        <v>166</v>
      </c>
      <c r="D72" s="786"/>
      <c r="E72" s="87">
        <f>365-E71</f>
        <v>272</v>
      </c>
      <c r="F72" s="87">
        <v>1</v>
      </c>
      <c r="G72" s="89"/>
      <c r="H72" s="87"/>
      <c r="I72" s="87">
        <v>17</v>
      </c>
      <c r="J72" s="90">
        <v>17</v>
      </c>
      <c r="K72" s="77">
        <f t="shared" si="23"/>
        <v>0</v>
      </c>
      <c r="L72" s="77">
        <f t="shared" si="24"/>
        <v>0</v>
      </c>
      <c r="M72" s="77">
        <f t="shared" si="25"/>
        <v>100</v>
      </c>
      <c r="N72" s="78">
        <f t="shared" si="3"/>
        <v>100</v>
      </c>
      <c r="O72" s="91"/>
      <c r="P72" s="92"/>
      <c r="Q72" s="92">
        <v>52.7</v>
      </c>
      <c r="R72" s="93">
        <f t="shared" si="4"/>
        <v>52.7</v>
      </c>
      <c r="S72" s="102">
        <v>1</v>
      </c>
      <c r="T72" s="95">
        <v>32956</v>
      </c>
      <c r="U72" s="85">
        <v>32967</v>
      </c>
      <c r="V72" s="96" t="s">
        <v>78</v>
      </c>
      <c r="W72" s="97" t="s">
        <v>20</v>
      </c>
      <c r="X72" s="97" t="s">
        <v>12</v>
      </c>
      <c r="Y72" s="98">
        <v>52.7</v>
      </c>
      <c r="Z72" s="97"/>
      <c r="AA72" s="97"/>
      <c r="AB72" s="97"/>
      <c r="AC72" s="97"/>
      <c r="AD72" s="96"/>
      <c r="AE72" s="97"/>
      <c r="AF72" s="97"/>
      <c r="AG72" s="98"/>
      <c r="AH72" s="97"/>
      <c r="AI72" s="97"/>
      <c r="AJ72" s="97"/>
      <c r="AK72" s="97"/>
      <c r="AL72" s="96"/>
      <c r="AM72" s="97"/>
      <c r="AN72" s="97"/>
      <c r="AO72" s="98"/>
      <c r="AP72" s="96"/>
      <c r="AQ72" s="97"/>
      <c r="AR72" s="97"/>
      <c r="AS72" s="98"/>
      <c r="AT72" s="99"/>
      <c r="AW72" s="98"/>
      <c r="AX72" s="324"/>
      <c r="AY72" s="324"/>
      <c r="AZ72" s="324"/>
      <c r="BA72" s="330"/>
    </row>
    <row r="73" spans="1:53" s="100" customFormat="1" x14ac:dyDescent="0.15">
      <c r="A73" s="87">
        <v>1991</v>
      </c>
      <c r="B73" s="88"/>
      <c r="C73" s="786" t="s">
        <v>166</v>
      </c>
      <c r="D73" s="786"/>
      <c r="E73" s="87">
        <v>360</v>
      </c>
      <c r="F73" s="87"/>
      <c r="G73" s="89"/>
      <c r="H73" s="87"/>
      <c r="I73" s="87">
        <v>17</v>
      </c>
      <c r="J73" s="90">
        <v>17</v>
      </c>
      <c r="K73" s="77">
        <f t="shared" si="23"/>
        <v>0</v>
      </c>
      <c r="L73" s="77">
        <f t="shared" si="24"/>
        <v>0</v>
      </c>
      <c r="M73" s="77">
        <f t="shared" si="25"/>
        <v>100</v>
      </c>
      <c r="N73" s="78">
        <f t="shared" ref="N73:N125" si="26">SUM(K73:M73)</f>
        <v>100</v>
      </c>
      <c r="O73" s="91"/>
      <c r="P73" s="92"/>
      <c r="Q73" s="92">
        <v>52.7</v>
      </c>
      <c r="R73" s="93">
        <f t="shared" ref="R73:R123" si="27">SUM(O73:Q73)</f>
        <v>52.7</v>
      </c>
      <c r="S73" s="102">
        <v>1</v>
      </c>
      <c r="T73" s="95"/>
      <c r="U73" s="85"/>
      <c r="V73" s="96" t="s">
        <v>78</v>
      </c>
      <c r="W73" s="97" t="s">
        <v>20</v>
      </c>
      <c r="X73" s="97" t="s">
        <v>12</v>
      </c>
      <c r="Y73" s="98">
        <v>52.7</v>
      </c>
      <c r="Z73" s="97"/>
      <c r="AA73" s="97"/>
      <c r="AB73" s="97"/>
      <c r="AC73" s="97"/>
      <c r="AD73" s="96"/>
      <c r="AE73" s="97"/>
      <c r="AF73" s="97"/>
      <c r="AG73" s="98"/>
      <c r="AH73" s="97"/>
      <c r="AI73" s="97"/>
      <c r="AJ73" s="97"/>
      <c r="AK73" s="97"/>
      <c r="AL73" s="96"/>
      <c r="AM73" s="97"/>
      <c r="AN73" s="97"/>
      <c r="AO73" s="98"/>
      <c r="AP73" s="96"/>
      <c r="AQ73" s="97"/>
      <c r="AR73" s="97"/>
      <c r="AS73" s="98"/>
      <c r="AT73" s="99"/>
      <c r="AW73" s="98"/>
      <c r="AX73" s="324"/>
      <c r="AY73" s="324"/>
      <c r="AZ73" s="324"/>
      <c r="BA73" s="330"/>
    </row>
    <row r="74" spans="1:53" s="391" customFormat="1" x14ac:dyDescent="0.15">
      <c r="A74" s="199">
        <v>1991</v>
      </c>
      <c r="B74" s="380">
        <v>33599</v>
      </c>
      <c r="C74" s="780" t="s">
        <v>168</v>
      </c>
      <c r="D74" s="780"/>
      <c r="E74" s="199">
        <f>365-E73</f>
        <v>5</v>
      </c>
      <c r="F74" s="199">
        <v>2</v>
      </c>
      <c r="G74" s="381"/>
      <c r="H74" s="199"/>
      <c r="I74" s="199">
        <v>18</v>
      </c>
      <c r="J74" s="382">
        <v>18</v>
      </c>
      <c r="K74" s="338">
        <f t="shared" si="23"/>
        <v>0</v>
      </c>
      <c r="L74" s="338">
        <f t="shared" si="24"/>
        <v>0</v>
      </c>
      <c r="M74" s="338">
        <f t="shared" si="25"/>
        <v>100</v>
      </c>
      <c r="N74" s="339">
        <f t="shared" si="26"/>
        <v>100</v>
      </c>
      <c r="O74" s="383"/>
      <c r="P74" s="384"/>
      <c r="Q74" s="384">
        <v>52.7</v>
      </c>
      <c r="R74" s="385">
        <f t="shared" si="27"/>
        <v>52.7</v>
      </c>
      <c r="S74" s="386">
        <v>1</v>
      </c>
      <c r="T74" s="342"/>
      <c r="U74" s="355">
        <v>33599</v>
      </c>
      <c r="V74" s="387" t="s">
        <v>78</v>
      </c>
      <c r="W74" s="388" t="s">
        <v>20</v>
      </c>
      <c r="X74" s="388" t="s">
        <v>12</v>
      </c>
      <c r="Y74" s="389">
        <v>52.7</v>
      </c>
      <c r="Z74" s="388"/>
      <c r="AA74" s="388"/>
      <c r="AB74" s="388"/>
      <c r="AC74" s="388"/>
      <c r="AD74" s="387"/>
      <c r="AE74" s="388"/>
      <c r="AF74" s="388"/>
      <c r="AG74" s="389"/>
      <c r="AH74" s="388"/>
      <c r="AI74" s="388"/>
      <c r="AJ74" s="388"/>
      <c r="AK74" s="388"/>
      <c r="AL74" s="387"/>
      <c r="AM74" s="388"/>
      <c r="AN74" s="388"/>
      <c r="AO74" s="389"/>
      <c r="AP74" s="387"/>
      <c r="AQ74" s="388"/>
      <c r="AR74" s="388"/>
      <c r="AS74" s="389"/>
      <c r="AT74" s="390"/>
      <c r="AW74" s="389"/>
      <c r="AX74" s="392"/>
      <c r="AY74" s="392"/>
      <c r="AZ74" s="392"/>
      <c r="BA74" s="393"/>
    </row>
    <row r="75" spans="1:53" s="391" customFormat="1" x14ac:dyDescent="0.15">
      <c r="A75" s="199">
        <v>1992</v>
      </c>
      <c r="B75" s="380"/>
      <c r="C75" s="780" t="s">
        <v>168</v>
      </c>
      <c r="D75" s="780"/>
      <c r="E75" s="199">
        <v>0</v>
      </c>
      <c r="F75" s="199"/>
      <c r="G75" s="381"/>
      <c r="H75" s="199"/>
      <c r="I75" s="199">
        <v>19</v>
      </c>
      <c r="J75" s="382">
        <v>19</v>
      </c>
      <c r="K75" s="338">
        <f t="shared" si="23"/>
        <v>0</v>
      </c>
      <c r="L75" s="338">
        <f t="shared" si="24"/>
        <v>0</v>
      </c>
      <c r="M75" s="338">
        <f t="shared" si="25"/>
        <v>100</v>
      </c>
      <c r="N75" s="339">
        <f t="shared" si="26"/>
        <v>100</v>
      </c>
      <c r="O75" s="383"/>
      <c r="P75" s="384"/>
      <c r="Q75" s="384">
        <v>52.7</v>
      </c>
      <c r="R75" s="385">
        <f t="shared" si="27"/>
        <v>52.7</v>
      </c>
      <c r="S75" s="386">
        <v>1</v>
      </c>
      <c r="T75" s="342"/>
      <c r="U75" s="355"/>
      <c r="V75" s="387" t="s">
        <v>78</v>
      </c>
      <c r="W75" s="388" t="s">
        <v>20</v>
      </c>
      <c r="X75" s="388" t="s">
        <v>12</v>
      </c>
      <c r="Y75" s="389">
        <v>52.7</v>
      </c>
      <c r="Z75" s="388"/>
      <c r="AA75" s="388"/>
      <c r="AB75" s="388"/>
      <c r="AC75" s="388"/>
      <c r="AD75" s="387"/>
      <c r="AE75" s="388"/>
      <c r="AF75" s="388"/>
      <c r="AG75" s="389"/>
      <c r="AH75" s="388"/>
      <c r="AI75" s="388"/>
      <c r="AJ75" s="388"/>
      <c r="AK75" s="388"/>
      <c r="AL75" s="387"/>
      <c r="AM75" s="388"/>
      <c r="AN75" s="388"/>
      <c r="AO75" s="389"/>
      <c r="AP75" s="387"/>
      <c r="AQ75" s="388"/>
      <c r="AR75" s="388"/>
      <c r="AS75" s="389"/>
      <c r="AT75" s="390"/>
      <c r="AW75" s="389"/>
      <c r="AX75" s="392"/>
      <c r="AY75" s="392"/>
      <c r="AZ75" s="392"/>
      <c r="BA75" s="393"/>
    </row>
    <row r="76" spans="1:53" s="391" customFormat="1" x14ac:dyDescent="0.15">
      <c r="A76" s="199">
        <v>1992</v>
      </c>
      <c r="B76" s="380"/>
      <c r="C76" s="780" t="s">
        <v>168</v>
      </c>
      <c r="D76" s="780"/>
      <c r="E76" s="199">
        <v>366</v>
      </c>
      <c r="F76" s="199"/>
      <c r="G76" s="381"/>
      <c r="H76" s="199"/>
      <c r="I76" s="199">
        <v>19</v>
      </c>
      <c r="J76" s="382">
        <v>19</v>
      </c>
      <c r="K76" s="338">
        <f t="shared" si="23"/>
        <v>0</v>
      </c>
      <c r="L76" s="338">
        <f t="shared" si="24"/>
        <v>0</v>
      </c>
      <c r="M76" s="338">
        <f t="shared" si="25"/>
        <v>100</v>
      </c>
      <c r="N76" s="339">
        <f t="shared" si="26"/>
        <v>100</v>
      </c>
      <c r="O76" s="383"/>
      <c r="P76" s="384"/>
      <c r="Q76" s="384">
        <v>52.7</v>
      </c>
      <c r="R76" s="385">
        <f t="shared" si="27"/>
        <v>52.7</v>
      </c>
      <c r="S76" s="386">
        <v>1</v>
      </c>
      <c r="T76" s="342"/>
      <c r="U76" s="355"/>
      <c r="V76" s="387" t="s">
        <v>78</v>
      </c>
      <c r="W76" s="388" t="s">
        <v>20</v>
      </c>
      <c r="X76" s="388" t="s">
        <v>12</v>
      </c>
      <c r="Y76" s="389">
        <v>52.7</v>
      </c>
      <c r="Z76" s="388"/>
      <c r="AA76" s="388"/>
      <c r="AB76" s="388"/>
      <c r="AC76" s="388"/>
      <c r="AD76" s="387"/>
      <c r="AE76" s="388"/>
      <c r="AF76" s="388"/>
      <c r="AG76" s="389"/>
      <c r="AH76" s="388"/>
      <c r="AI76" s="388"/>
      <c r="AJ76" s="388"/>
      <c r="AK76" s="388"/>
      <c r="AL76" s="387"/>
      <c r="AM76" s="388"/>
      <c r="AN76" s="388"/>
      <c r="AO76" s="389"/>
      <c r="AP76" s="387"/>
      <c r="AQ76" s="388"/>
      <c r="AR76" s="388"/>
      <c r="AS76" s="389"/>
      <c r="AT76" s="390"/>
      <c r="AW76" s="389"/>
      <c r="AX76" s="392"/>
      <c r="AY76" s="392"/>
      <c r="AZ76" s="392"/>
      <c r="BA76" s="393"/>
    </row>
    <row r="77" spans="1:53" s="391" customFormat="1" x14ac:dyDescent="0.15">
      <c r="A77" s="199">
        <v>1993</v>
      </c>
      <c r="B77" s="380"/>
      <c r="C77" s="780" t="s">
        <v>168</v>
      </c>
      <c r="D77" s="780"/>
      <c r="E77" s="199">
        <v>357</v>
      </c>
      <c r="F77" s="199"/>
      <c r="G77" s="381"/>
      <c r="H77" s="199"/>
      <c r="I77" s="199">
        <v>19</v>
      </c>
      <c r="J77" s="382">
        <v>19</v>
      </c>
      <c r="K77" s="338">
        <f t="shared" ref="K77:K98" si="28">G77/J77*100</f>
        <v>0</v>
      </c>
      <c r="L77" s="338">
        <f t="shared" ref="L77:L98" si="29">H77/J77*100</f>
        <v>0</v>
      </c>
      <c r="M77" s="338">
        <f t="shared" ref="M77:M98" si="30">I77/J77*100</f>
        <v>100</v>
      </c>
      <c r="N77" s="339">
        <f t="shared" si="26"/>
        <v>100</v>
      </c>
      <c r="O77" s="383"/>
      <c r="P77" s="384"/>
      <c r="Q77" s="384">
        <v>52.7</v>
      </c>
      <c r="R77" s="385">
        <f t="shared" si="27"/>
        <v>52.7</v>
      </c>
      <c r="S77" s="386">
        <v>1</v>
      </c>
      <c r="T77" s="342"/>
      <c r="U77" s="355"/>
      <c r="V77" s="387" t="s">
        <v>78</v>
      </c>
      <c r="W77" s="388" t="s">
        <v>20</v>
      </c>
      <c r="X77" s="388" t="s">
        <v>12</v>
      </c>
      <c r="Y77" s="389">
        <v>52.7</v>
      </c>
      <c r="Z77" s="388"/>
      <c r="AA77" s="388"/>
      <c r="AB77" s="388"/>
      <c r="AC77" s="388"/>
      <c r="AD77" s="387"/>
      <c r="AE77" s="388"/>
      <c r="AF77" s="388"/>
      <c r="AG77" s="389"/>
      <c r="AH77" s="388"/>
      <c r="AI77" s="388"/>
      <c r="AJ77" s="388"/>
      <c r="AK77" s="388"/>
      <c r="AL77" s="387"/>
      <c r="AM77" s="388"/>
      <c r="AN77" s="388"/>
      <c r="AO77" s="389"/>
      <c r="AP77" s="387"/>
      <c r="AQ77" s="388"/>
      <c r="AR77" s="388"/>
      <c r="AS77" s="389"/>
      <c r="AT77" s="390"/>
      <c r="AW77" s="389"/>
      <c r="AX77" s="392"/>
      <c r="AY77" s="392"/>
      <c r="AZ77" s="392"/>
      <c r="BA77" s="393"/>
    </row>
    <row r="78" spans="1:53" s="100" customFormat="1" x14ac:dyDescent="0.15">
      <c r="A78" s="87">
        <v>1993</v>
      </c>
      <c r="B78" s="88">
        <v>34327</v>
      </c>
      <c r="C78" s="782" t="s">
        <v>167</v>
      </c>
      <c r="D78" s="782"/>
      <c r="E78" s="87">
        <f>365-E77</f>
        <v>8</v>
      </c>
      <c r="F78" s="87">
        <v>1</v>
      </c>
      <c r="G78" s="89"/>
      <c r="H78" s="87"/>
      <c r="I78" s="87">
        <v>18</v>
      </c>
      <c r="J78" s="90">
        <v>18</v>
      </c>
      <c r="K78" s="77">
        <f t="shared" si="28"/>
        <v>0</v>
      </c>
      <c r="L78" s="77">
        <f t="shared" si="29"/>
        <v>0</v>
      </c>
      <c r="M78" s="77">
        <f t="shared" si="30"/>
        <v>100</v>
      </c>
      <c r="N78" s="78">
        <f t="shared" si="26"/>
        <v>100</v>
      </c>
      <c r="O78" s="91"/>
      <c r="P78" s="92"/>
      <c r="Q78" s="92">
        <v>54.4</v>
      </c>
      <c r="R78" s="93">
        <f t="shared" si="27"/>
        <v>54.4</v>
      </c>
      <c r="S78" s="102">
        <v>1</v>
      </c>
      <c r="T78" s="95">
        <v>34041</v>
      </c>
      <c r="U78" s="85">
        <v>34327</v>
      </c>
      <c r="V78" s="96" t="s">
        <v>78</v>
      </c>
      <c r="W78" s="97" t="s">
        <v>20</v>
      </c>
      <c r="X78" s="97" t="s">
        <v>12</v>
      </c>
      <c r="Y78" s="98">
        <v>54.4</v>
      </c>
      <c r="Z78" s="97"/>
      <c r="AA78" s="97"/>
      <c r="AB78" s="97"/>
      <c r="AC78" s="97"/>
      <c r="AD78" s="96"/>
      <c r="AE78" s="97"/>
      <c r="AF78" s="97"/>
      <c r="AG78" s="98"/>
      <c r="AH78" s="97"/>
      <c r="AI78" s="97"/>
      <c r="AJ78" s="97"/>
      <c r="AK78" s="97"/>
      <c r="AL78" s="96"/>
      <c r="AM78" s="97"/>
      <c r="AN78" s="97"/>
      <c r="AO78" s="98"/>
      <c r="AP78" s="96"/>
      <c r="AQ78" s="97"/>
      <c r="AR78" s="97"/>
      <c r="AS78" s="98"/>
      <c r="AT78" s="99"/>
      <c r="AW78" s="98"/>
      <c r="AX78" s="324"/>
      <c r="AY78" s="324"/>
      <c r="AZ78" s="324"/>
      <c r="BA78" s="330"/>
    </row>
    <row r="79" spans="1:53" s="100" customFormat="1" x14ac:dyDescent="0.15">
      <c r="A79" s="87">
        <v>1994</v>
      </c>
      <c r="B79" s="88"/>
      <c r="C79" s="782" t="s">
        <v>167</v>
      </c>
      <c r="D79" s="782"/>
      <c r="E79" s="87">
        <v>0</v>
      </c>
      <c r="F79" s="87"/>
      <c r="G79" s="89"/>
      <c r="H79" s="87"/>
      <c r="I79" s="87">
        <v>17</v>
      </c>
      <c r="J79" s="90">
        <v>17</v>
      </c>
      <c r="K79" s="77">
        <f t="shared" si="28"/>
        <v>0</v>
      </c>
      <c r="L79" s="77">
        <f t="shared" si="29"/>
        <v>0</v>
      </c>
      <c r="M79" s="77">
        <f t="shared" si="30"/>
        <v>100</v>
      </c>
      <c r="N79" s="78">
        <f t="shared" si="26"/>
        <v>100</v>
      </c>
      <c r="O79" s="91"/>
      <c r="P79" s="92"/>
      <c r="Q79" s="92">
        <v>54.4</v>
      </c>
      <c r="R79" s="93">
        <f t="shared" si="27"/>
        <v>54.4</v>
      </c>
      <c r="S79" s="102">
        <v>1</v>
      </c>
      <c r="T79" s="95"/>
      <c r="U79" s="85"/>
      <c r="V79" s="96" t="s">
        <v>78</v>
      </c>
      <c r="W79" s="97" t="s">
        <v>20</v>
      </c>
      <c r="X79" s="97" t="s">
        <v>12</v>
      </c>
      <c r="Y79" s="98">
        <v>54.4</v>
      </c>
      <c r="Z79" s="97"/>
      <c r="AA79" s="97"/>
      <c r="AB79" s="97"/>
      <c r="AC79" s="97"/>
      <c r="AD79" s="96"/>
      <c r="AE79" s="97"/>
      <c r="AF79" s="97"/>
      <c r="AG79" s="98"/>
      <c r="AH79" s="97"/>
      <c r="AI79" s="97"/>
      <c r="AJ79" s="97"/>
      <c r="AK79" s="97"/>
      <c r="AL79" s="96"/>
      <c r="AM79" s="97"/>
      <c r="AN79" s="97"/>
      <c r="AO79" s="98"/>
      <c r="AP79" s="96"/>
      <c r="AQ79" s="97"/>
      <c r="AR79" s="97"/>
      <c r="AS79" s="98"/>
      <c r="AT79" s="99"/>
      <c r="AW79" s="98"/>
      <c r="AX79" s="324"/>
      <c r="AY79" s="324"/>
      <c r="AZ79" s="324"/>
      <c r="BA79" s="330"/>
    </row>
    <row r="80" spans="1:53" s="100" customFormat="1" x14ac:dyDescent="0.15">
      <c r="A80" s="87">
        <v>1994</v>
      </c>
      <c r="B80" s="88"/>
      <c r="C80" s="782" t="s">
        <v>167</v>
      </c>
      <c r="D80" s="782"/>
      <c r="E80" s="87">
        <f>365-E79</f>
        <v>365</v>
      </c>
      <c r="F80" s="87"/>
      <c r="G80" s="89"/>
      <c r="H80" s="87"/>
      <c r="I80" s="87">
        <v>17</v>
      </c>
      <c r="J80" s="90">
        <v>17</v>
      </c>
      <c r="K80" s="77">
        <f t="shared" si="28"/>
        <v>0</v>
      </c>
      <c r="L80" s="77">
        <f t="shared" si="29"/>
        <v>0</v>
      </c>
      <c r="M80" s="77">
        <f t="shared" si="30"/>
        <v>100</v>
      </c>
      <c r="N80" s="78">
        <f t="shared" si="26"/>
        <v>100</v>
      </c>
      <c r="O80" s="91"/>
      <c r="P80" s="92"/>
      <c r="Q80" s="92">
        <v>54.4</v>
      </c>
      <c r="R80" s="93">
        <f t="shared" si="27"/>
        <v>54.4</v>
      </c>
      <c r="S80" s="102">
        <v>1</v>
      </c>
      <c r="T80" s="95"/>
      <c r="U80" s="85"/>
      <c r="V80" s="96" t="s">
        <v>78</v>
      </c>
      <c r="W80" s="97" t="s">
        <v>20</v>
      </c>
      <c r="X80" s="97" t="s">
        <v>12</v>
      </c>
      <c r="Y80" s="98">
        <v>54.4</v>
      </c>
      <c r="Z80" s="97"/>
      <c r="AA80" s="97"/>
      <c r="AB80" s="97"/>
      <c r="AC80" s="97"/>
      <c r="AD80" s="96"/>
      <c r="AE80" s="97"/>
      <c r="AF80" s="97"/>
      <c r="AG80" s="98"/>
      <c r="AH80" s="97"/>
      <c r="AI80" s="97"/>
      <c r="AJ80" s="97"/>
      <c r="AK80" s="97"/>
      <c r="AL80" s="96"/>
      <c r="AM80" s="97"/>
      <c r="AN80" s="97"/>
      <c r="AO80" s="98"/>
      <c r="AP80" s="96"/>
      <c r="AQ80" s="97"/>
      <c r="AR80" s="97"/>
      <c r="AS80" s="98"/>
      <c r="AT80" s="99"/>
      <c r="AW80" s="98"/>
      <c r="AX80" s="324"/>
      <c r="AY80" s="324"/>
      <c r="AZ80" s="324"/>
      <c r="BA80" s="330"/>
    </row>
    <row r="81" spans="1:53" s="100" customFormat="1" x14ac:dyDescent="0.15">
      <c r="A81" s="87">
        <v>1995</v>
      </c>
      <c r="B81" s="88"/>
      <c r="C81" s="782" t="s">
        <v>167</v>
      </c>
      <c r="D81" s="782"/>
      <c r="E81" s="87">
        <v>0</v>
      </c>
      <c r="F81" s="87"/>
      <c r="G81" s="89"/>
      <c r="H81" s="87"/>
      <c r="I81" s="87">
        <v>17</v>
      </c>
      <c r="J81" s="90">
        <v>17</v>
      </c>
      <c r="K81" s="77">
        <f t="shared" si="28"/>
        <v>0</v>
      </c>
      <c r="L81" s="77">
        <f t="shared" si="29"/>
        <v>0</v>
      </c>
      <c r="M81" s="77">
        <f t="shared" si="30"/>
        <v>100</v>
      </c>
      <c r="N81" s="78">
        <f t="shared" si="26"/>
        <v>100</v>
      </c>
      <c r="O81" s="91"/>
      <c r="P81" s="92"/>
      <c r="Q81" s="92">
        <v>54.4</v>
      </c>
      <c r="R81" s="93">
        <f t="shared" si="27"/>
        <v>54.4</v>
      </c>
      <c r="S81" s="102">
        <v>1</v>
      </c>
      <c r="T81" s="95"/>
      <c r="U81" s="85"/>
      <c r="V81" s="96" t="s">
        <v>78</v>
      </c>
      <c r="W81" s="97" t="s">
        <v>20</v>
      </c>
      <c r="X81" s="97" t="s">
        <v>12</v>
      </c>
      <c r="Y81" s="98">
        <v>54.4</v>
      </c>
      <c r="Z81" s="97"/>
      <c r="AA81" s="97"/>
      <c r="AB81" s="97"/>
      <c r="AC81" s="97"/>
      <c r="AD81" s="96"/>
      <c r="AE81" s="97"/>
      <c r="AF81" s="97"/>
      <c r="AG81" s="98"/>
      <c r="AH81" s="97"/>
      <c r="AI81" s="97"/>
      <c r="AJ81" s="97"/>
      <c r="AK81" s="97"/>
      <c r="AL81" s="96"/>
      <c r="AM81" s="97"/>
      <c r="AN81" s="97"/>
      <c r="AO81" s="98"/>
      <c r="AP81" s="96"/>
      <c r="AQ81" s="97"/>
      <c r="AR81" s="97"/>
      <c r="AS81" s="98"/>
      <c r="AT81" s="99"/>
      <c r="AW81" s="98"/>
      <c r="AX81" s="324"/>
      <c r="AY81" s="324"/>
      <c r="AZ81" s="324"/>
      <c r="BA81" s="330"/>
    </row>
    <row r="82" spans="1:53" s="100" customFormat="1" x14ac:dyDescent="0.15">
      <c r="A82" s="87">
        <v>1995</v>
      </c>
      <c r="B82" s="88"/>
      <c r="C82" s="782" t="s">
        <v>167</v>
      </c>
      <c r="D82" s="782"/>
      <c r="E82" s="87">
        <f>365-E81</f>
        <v>365</v>
      </c>
      <c r="F82" s="87"/>
      <c r="G82" s="89"/>
      <c r="H82" s="87"/>
      <c r="I82" s="87">
        <v>17</v>
      </c>
      <c r="J82" s="90">
        <v>17</v>
      </c>
      <c r="K82" s="77">
        <f t="shared" si="28"/>
        <v>0</v>
      </c>
      <c r="L82" s="77">
        <f t="shared" si="29"/>
        <v>0</v>
      </c>
      <c r="M82" s="77">
        <f t="shared" si="30"/>
        <v>100</v>
      </c>
      <c r="N82" s="78">
        <f t="shared" si="26"/>
        <v>100</v>
      </c>
      <c r="O82" s="91"/>
      <c r="P82" s="92"/>
      <c r="Q82" s="92">
        <v>54.4</v>
      </c>
      <c r="R82" s="93">
        <f t="shared" si="27"/>
        <v>54.4</v>
      </c>
      <c r="S82" s="102">
        <v>1</v>
      </c>
      <c r="T82" s="95"/>
      <c r="U82" s="85"/>
      <c r="V82" s="96" t="s">
        <v>78</v>
      </c>
      <c r="W82" s="97" t="s">
        <v>20</v>
      </c>
      <c r="X82" s="97" t="s">
        <v>12</v>
      </c>
      <c r="Y82" s="98">
        <v>54.4</v>
      </c>
      <c r="Z82" s="97"/>
      <c r="AA82" s="97"/>
      <c r="AB82" s="97"/>
      <c r="AC82" s="97"/>
      <c r="AD82" s="96"/>
      <c r="AE82" s="97"/>
      <c r="AF82" s="97"/>
      <c r="AG82" s="98"/>
      <c r="AH82" s="97"/>
      <c r="AI82" s="97"/>
      <c r="AJ82" s="97"/>
      <c r="AK82" s="97"/>
      <c r="AL82" s="96"/>
      <c r="AM82" s="97"/>
      <c r="AN82" s="97"/>
      <c r="AO82" s="98"/>
      <c r="AP82" s="96"/>
      <c r="AQ82" s="97"/>
      <c r="AR82" s="97"/>
      <c r="AS82" s="98"/>
      <c r="AT82" s="99"/>
      <c r="AW82" s="98"/>
      <c r="AX82" s="324"/>
      <c r="AY82" s="324"/>
      <c r="AZ82" s="324"/>
      <c r="BA82" s="330"/>
    </row>
    <row r="83" spans="1:53" s="100" customFormat="1" x14ac:dyDescent="0.15">
      <c r="A83" s="87">
        <v>1996</v>
      </c>
      <c r="B83" s="88"/>
      <c r="C83" s="782" t="s">
        <v>167</v>
      </c>
      <c r="D83" s="782"/>
      <c r="E83" s="87">
        <v>70</v>
      </c>
      <c r="F83" s="87"/>
      <c r="G83" s="89"/>
      <c r="H83" s="87"/>
      <c r="I83" s="87">
        <v>17</v>
      </c>
      <c r="J83" s="90">
        <v>17</v>
      </c>
      <c r="K83" s="77">
        <f t="shared" si="28"/>
        <v>0</v>
      </c>
      <c r="L83" s="77">
        <f t="shared" si="29"/>
        <v>0</v>
      </c>
      <c r="M83" s="77">
        <f t="shared" si="30"/>
        <v>100</v>
      </c>
      <c r="N83" s="78">
        <f t="shared" si="26"/>
        <v>100</v>
      </c>
      <c r="O83" s="91"/>
      <c r="P83" s="92"/>
      <c r="Q83" s="92">
        <v>54.4</v>
      </c>
      <c r="R83" s="93">
        <f t="shared" si="27"/>
        <v>54.4</v>
      </c>
      <c r="S83" s="102">
        <v>1</v>
      </c>
      <c r="T83" s="95"/>
      <c r="U83" s="85"/>
      <c r="V83" s="96" t="s">
        <v>78</v>
      </c>
      <c r="W83" s="97" t="s">
        <v>20</v>
      </c>
      <c r="X83" s="97" t="s">
        <v>12</v>
      </c>
      <c r="Y83" s="98">
        <v>54.4</v>
      </c>
      <c r="Z83" s="97"/>
      <c r="AA83" s="97"/>
      <c r="AB83" s="97"/>
      <c r="AC83" s="97"/>
      <c r="AD83" s="96"/>
      <c r="AE83" s="97"/>
      <c r="AF83" s="97"/>
      <c r="AG83" s="98"/>
      <c r="AH83" s="97"/>
      <c r="AI83" s="97"/>
      <c r="AJ83" s="97"/>
      <c r="AK83" s="97"/>
      <c r="AL83" s="96"/>
      <c r="AM83" s="97"/>
      <c r="AN83" s="97"/>
      <c r="AO83" s="98"/>
      <c r="AP83" s="96"/>
      <c r="AQ83" s="97"/>
      <c r="AR83" s="97"/>
      <c r="AS83" s="98"/>
      <c r="AT83" s="99"/>
      <c r="AW83" s="98"/>
      <c r="AX83" s="324"/>
      <c r="AY83" s="324"/>
      <c r="AZ83" s="324"/>
      <c r="BA83" s="330"/>
    </row>
    <row r="84" spans="1:53" s="391" customFormat="1" x14ac:dyDescent="0.15">
      <c r="A84" s="199">
        <v>1996</v>
      </c>
      <c r="B84" s="380">
        <v>35135</v>
      </c>
      <c r="C84" s="780" t="s">
        <v>169</v>
      </c>
      <c r="D84" s="780"/>
      <c r="E84" s="199">
        <v>296</v>
      </c>
      <c r="F84" s="199">
        <v>1</v>
      </c>
      <c r="G84" s="381">
        <v>15</v>
      </c>
      <c r="H84" s="199"/>
      <c r="I84" s="199"/>
      <c r="J84" s="382">
        <v>15</v>
      </c>
      <c r="K84" s="338">
        <f t="shared" si="28"/>
        <v>100</v>
      </c>
      <c r="L84" s="338">
        <f t="shared" si="29"/>
        <v>0</v>
      </c>
      <c r="M84" s="338">
        <f t="shared" si="30"/>
        <v>0</v>
      </c>
      <c r="N84" s="339">
        <f t="shared" si="26"/>
        <v>100</v>
      </c>
      <c r="O84" s="383">
        <v>63.5</v>
      </c>
      <c r="P84" s="384"/>
      <c r="Q84" s="384"/>
      <c r="R84" s="385">
        <f t="shared" si="27"/>
        <v>63.5</v>
      </c>
      <c r="S84" s="386">
        <v>3</v>
      </c>
      <c r="T84" s="342">
        <v>35126</v>
      </c>
      <c r="U84" s="355">
        <v>35135</v>
      </c>
      <c r="V84" s="387" t="s">
        <v>72</v>
      </c>
      <c r="W84" s="388" t="s">
        <v>74</v>
      </c>
      <c r="X84" s="388" t="s">
        <v>11</v>
      </c>
      <c r="Y84" s="389">
        <v>51.3</v>
      </c>
      <c r="Z84" s="388" t="s">
        <v>73</v>
      </c>
      <c r="AA84" s="388" t="s">
        <v>75</v>
      </c>
      <c r="AB84" s="388" t="s">
        <v>11</v>
      </c>
      <c r="AC84" s="388">
        <v>12.2</v>
      </c>
      <c r="AD84" s="387"/>
      <c r="AE84" s="388"/>
      <c r="AF84" s="388"/>
      <c r="AG84" s="389"/>
      <c r="AH84" s="388"/>
      <c r="AI84" s="388"/>
      <c r="AJ84" s="388"/>
      <c r="AK84" s="388"/>
      <c r="AL84" s="387"/>
      <c r="AM84" s="388"/>
      <c r="AN84" s="388"/>
      <c r="AO84" s="389"/>
      <c r="AP84" s="387"/>
      <c r="AQ84" s="388"/>
      <c r="AR84" s="388"/>
      <c r="AS84" s="389"/>
      <c r="AT84" s="390"/>
      <c r="AW84" s="389"/>
      <c r="AX84" s="392"/>
      <c r="AY84" s="392"/>
      <c r="AZ84" s="392"/>
      <c r="BA84" s="393"/>
    </row>
    <row r="85" spans="1:53" s="391" customFormat="1" x14ac:dyDescent="0.15">
      <c r="A85" s="199">
        <v>1997</v>
      </c>
      <c r="B85" s="380"/>
      <c r="C85" s="780" t="s">
        <v>169</v>
      </c>
      <c r="D85" s="780"/>
      <c r="E85" s="199">
        <v>0</v>
      </c>
      <c r="F85" s="199"/>
      <c r="G85" s="381">
        <v>16</v>
      </c>
      <c r="H85" s="199"/>
      <c r="I85" s="199"/>
      <c r="J85" s="382">
        <v>16</v>
      </c>
      <c r="K85" s="338">
        <f t="shared" si="28"/>
        <v>100</v>
      </c>
      <c r="L85" s="338">
        <f t="shared" si="29"/>
        <v>0</v>
      </c>
      <c r="M85" s="338">
        <f t="shared" si="30"/>
        <v>0</v>
      </c>
      <c r="N85" s="339">
        <f t="shared" si="26"/>
        <v>100</v>
      </c>
      <c r="O85" s="383">
        <v>63.5</v>
      </c>
      <c r="P85" s="384"/>
      <c r="Q85" s="384"/>
      <c r="R85" s="385">
        <f t="shared" si="27"/>
        <v>63.5</v>
      </c>
      <c r="S85" s="386">
        <v>3</v>
      </c>
      <c r="T85" s="342"/>
      <c r="U85" s="355"/>
      <c r="V85" s="387" t="s">
        <v>72</v>
      </c>
      <c r="W85" s="388" t="s">
        <v>74</v>
      </c>
      <c r="X85" s="388" t="s">
        <v>11</v>
      </c>
      <c r="Y85" s="389">
        <v>51.3</v>
      </c>
      <c r="Z85" s="388" t="s">
        <v>73</v>
      </c>
      <c r="AA85" s="388" t="s">
        <v>75</v>
      </c>
      <c r="AB85" s="388" t="s">
        <v>11</v>
      </c>
      <c r="AC85" s="388">
        <v>12.2</v>
      </c>
      <c r="AD85" s="387"/>
      <c r="AE85" s="388"/>
      <c r="AF85" s="388"/>
      <c r="AG85" s="389"/>
      <c r="AH85" s="388"/>
      <c r="AI85" s="388"/>
      <c r="AJ85" s="388"/>
      <c r="AK85" s="388"/>
      <c r="AL85" s="387"/>
      <c r="AM85" s="388"/>
      <c r="AN85" s="388"/>
      <c r="AO85" s="389"/>
      <c r="AP85" s="387"/>
      <c r="AQ85" s="388"/>
      <c r="AR85" s="388"/>
      <c r="AS85" s="389"/>
      <c r="AT85" s="390"/>
      <c r="AW85" s="389"/>
      <c r="AX85" s="392"/>
      <c r="AY85" s="392"/>
      <c r="AZ85" s="392"/>
      <c r="BA85" s="393"/>
    </row>
    <row r="86" spans="1:53" s="391" customFormat="1" x14ac:dyDescent="0.15">
      <c r="A86" s="199">
        <v>1997</v>
      </c>
      <c r="B86" s="380"/>
      <c r="C86" s="780" t="s">
        <v>169</v>
      </c>
      <c r="D86" s="780"/>
      <c r="E86" s="199">
        <f>365-E85</f>
        <v>365</v>
      </c>
      <c r="F86" s="199"/>
      <c r="G86" s="381">
        <v>16</v>
      </c>
      <c r="H86" s="199"/>
      <c r="I86" s="199"/>
      <c r="J86" s="382">
        <v>16</v>
      </c>
      <c r="K86" s="338">
        <f t="shared" si="28"/>
        <v>100</v>
      </c>
      <c r="L86" s="338">
        <f t="shared" si="29"/>
        <v>0</v>
      </c>
      <c r="M86" s="338">
        <f t="shared" si="30"/>
        <v>0</v>
      </c>
      <c r="N86" s="339">
        <f t="shared" si="26"/>
        <v>100</v>
      </c>
      <c r="O86" s="383">
        <v>63.5</v>
      </c>
      <c r="P86" s="384"/>
      <c r="Q86" s="384"/>
      <c r="R86" s="385">
        <f t="shared" si="27"/>
        <v>63.5</v>
      </c>
      <c r="S86" s="386">
        <v>3</v>
      </c>
      <c r="T86" s="342"/>
      <c r="U86" s="355"/>
      <c r="V86" s="387" t="s">
        <v>72</v>
      </c>
      <c r="W86" s="388" t="s">
        <v>74</v>
      </c>
      <c r="X86" s="388" t="s">
        <v>11</v>
      </c>
      <c r="Y86" s="389">
        <v>51.3</v>
      </c>
      <c r="Z86" s="388" t="s">
        <v>73</v>
      </c>
      <c r="AA86" s="388" t="s">
        <v>75</v>
      </c>
      <c r="AB86" s="388" t="s">
        <v>11</v>
      </c>
      <c r="AC86" s="388">
        <v>12.2</v>
      </c>
      <c r="AD86" s="387"/>
      <c r="AE86" s="388"/>
      <c r="AF86" s="388"/>
      <c r="AG86" s="389"/>
      <c r="AH86" s="388"/>
      <c r="AI86" s="388"/>
      <c r="AJ86" s="388"/>
      <c r="AK86" s="388"/>
      <c r="AL86" s="387"/>
      <c r="AM86" s="388"/>
      <c r="AN86" s="388"/>
      <c r="AO86" s="389"/>
      <c r="AP86" s="387"/>
      <c r="AQ86" s="388"/>
      <c r="AR86" s="388"/>
      <c r="AS86" s="389"/>
      <c r="AT86" s="390"/>
      <c r="AW86" s="389"/>
      <c r="AX86" s="392"/>
      <c r="AY86" s="392"/>
      <c r="AZ86" s="392"/>
      <c r="BA86" s="393"/>
    </row>
    <row r="87" spans="1:53" s="391" customFormat="1" x14ac:dyDescent="0.15">
      <c r="A87" s="199">
        <v>1998</v>
      </c>
      <c r="B87" s="380"/>
      <c r="C87" s="780" t="s">
        <v>169</v>
      </c>
      <c r="D87" s="780"/>
      <c r="E87" s="199">
        <v>293</v>
      </c>
      <c r="F87" s="199"/>
      <c r="G87" s="381">
        <v>16</v>
      </c>
      <c r="H87" s="199"/>
      <c r="I87" s="199"/>
      <c r="J87" s="382">
        <v>16</v>
      </c>
      <c r="K87" s="338">
        <f t="shared" si="28"/>
        <v>100</v>
      </c>
      <c r="L87" s="338">
        <f t="shared" si="29"/>
        <v>0</v>
      </c>
      <c r="M87" s="338">
        <f t="shared" si="30"/>
        <v>0</v>
      </c>
      <c r="N87" s="339">
        <f t="shared" si="26"/>
        <v>100</v>
      </c>
      <c r="O87" s="383">
        <v>63.5</v>
      </c>
      <c r="P87" s="384"/>
      <c r="Q87" s="384"/>
      <c r="R87" s="385">
        <f t="shared" si="27"/>
        <v>63.5</v>
      </c>
      <c r="S87" s="386">
        <v>3</v>
      </c>
      <c r="T87" s="342"/>
      <c r="U87" s="355"/>
      <c r="V87" s="387" t="s">
        <v>72</v>
      </c>
      <c r="W87" s="388" t="s">
        <v>74</v>
      </c>
      <c r="X87" s="388" t="s">
        <v>11</v>
      </c>
      <c r="Y87" s="389">
        <v>51.3</v>
      </c>
      <c r="Z87" s="388" t="s">
        <v>73</v>
      </c>
      <c r="AA87" s="388" t="s">
        <v>75</v>
      </c>
      <c r="AB87" s="388" t="s">
        <v>11</v>
      </c>
      <c r="AC87" s="388">
        <v>12.2</v>
      </c>
      <c r="AD87" s="387"/>
      <c r="AE87" s="388"/>
      <c r="AF87" s="388"/>
      <c r="AG87" s="389"/>
      <c r="AH87" s="388"/>
      <c r="AI87" s="388"/>
      <c r="AJ87" s="388"/>
      <c r="AK87" s="388"/>
      <c r="AL87" s="387"/>
      <c r="AM87" s="388"/>
      <c r="AN87" s="388"/>
      <c r="AO87" s="389"/>
      <c r="AP87" s="387"/>
      <c r="AQ87" s="388"/>
      <c r="AR87" s="388"/>
      <c r="AS87" s="389"/>
      <c r="AT87" s="390"/>
      <c r="AW87" s="389"/>
      <c r="AX87" s="392"/>
      <c r="AY87" s="392"/>
      <c r="AZ87" s="392"/>
      <c r="BA87" s="393"/>
    </row>
    <row r="88" spans="1:53" s="100" customFormat="1" x14ac:dyDescent="0.15">
      <c r="A88" s="87">
        <v>1998</v>
      </c>
      <c r="B88" s="88">
        <v>36089</v>
      </c>
      <c r="C88" s="782" t="s">
        <v>170</v>
      </c>
      <c r="D88" s="782"/>
      <c r="E88" s="87">
        <f>365-E87</f>
        <v>72</v>
      </c>
      <c r="F88" s="87">
        <v>1</v>
      </c>
      <c r="G88" s="89">
        <v>16</v>
      </c>
      <c r="H88" s="87"/>
      <c r="I88" s="87"/>
      <c r="J88" s="90">
        <v>16</v>
      </c>
      <c r="K88" s="77">
        <f t="shared" si="28"/>
        <v>100</v>
      </c>
      <c r="L88" s="77">
        <f t="shared" si="29"/>
        <v>0</v>
      </c>
      <c r="M88" s="77">
        <f t="shared" si="30"/>
        <v>0</v>
      </c>
      <c r="N88" s="78">
        <f t="shared" si="26"/>
        <v>100</v>
      </c>
      <c r="O88" s="91">
        <v>54</v>
      </c>
      <c r="P88" s="92"/>
      <c r="Q88" s="92"/>
      <c r="R88" s="93">
        <f t="shared" si="27"/>
        <v>54</v>
      </c>
      <c r="S88" s="102">
        <v>2</v>
      </c>
      <c r="T88" s="95">
        <v>36071</v>
      </c>
      <c r="U88" s="85">
        <v>36089</v>
      </c>
      <c r="V88" s="96" t="s">
        <v>72</v>
      </c>
      <c r="W88" s="97" t="s">
        <v>74</v>
      </c>
      <c r="X88" s="97" t="s">
        <v>11</v>
      </c>
      <c r="Y88" s="98">
        <v>43.2</v>
      </c>
      <c r="Z88" s="97" t="s">
        <v>73</v>
      </c>
      <c r="AA88" s="97" t="s">
        <v>75</v>
      </c>
      <c r="AB88" s="97" t="s">
        <v>11</v>
      </c>
      <c r="AC88" s="97">
        <v>10.8</v>
      </c>
      <c r="AD88" s="96"/>
      <c r="AE88" s="97"/>
      <c r="AF88" s="97"/>
      <c r="AG88" s="98"/>
      <c r="AH88" s="97"/>
      <c r="AI88" s="97"/>
      <c r="AJ88" s="97"/>
      <c r="AK88" s="97"/>
      <c r="AL88" s="96"/>
      <c r="AM88" s="97"/>
      <c r="AN88" s="97"/>
      <c r="AO88" s="98"/>
      <c r="AP88" s="96"/>
      <c r="AQ88" s="97"/>
      <c r="AR88" s="97"/>
      <c r="AS88" s="98"/>
      <c r="AT88" s="99"/>
      <c r="AW88" s="98"/>
      <c r="AX88" s="324"/>
      <c r="AY88" s="324"/>
      <c r="AZ88" s="324"/>
      <c r="BA88" s="330"/>
    </row>
    <row r="89" spans="1:53" s="100" customFormat="1" x14ac:dyDescent="0.15">
      <c r="A89" s="87">
        <v>1999</v>
      </c>
      <c r="B89" s="88"/>
      <c r="C89" s="782" t="s">
        <v>170</v>
      </c>
      <c r="D89" s="782"/>
      <c r="E89" s="87">
        <v>0</v>
      </c>
      <c r="F89" s="87"/>
      <c r="G89" s="89">
        <v>16</v>
      </c>
      <c r="H89" s="87"/>
      <c r="I89" s="87"/>
      <c r="J89" s="90">
        <v>16</v>
      </c>
      <c r="K89" s="77">
        <f t="shared" si="28"/>
        <v>100</v>
      </c>
      <c r="L89" s="77">
        <f t="shared" si="29"/>
        <v>0</v>
      </c>
      <c r="M89" s="77">
        <f t="shared" si="30"/>
        <v>0</v>
      </c>
      <c r="N89" s="78">
        <f t="shared" si="26"/>
        <v>100</v>
      </c>
      <c r="O89" s="91">
        <v>54</v>
      </c>
      <c r="P89" s="92"/>
      <c r="Q89" s="92"/>
      <c r="R89" s="93">
        <f t="shared" si="27"/>
        <v>54</v>
      </c>
      <c r="S89" s="102">
        <v>2</v>
      </c>
      <c r="T89" s="95"/>
      <c r="U89" s="85"/>
      <c r="V89" s="96" t="s">
        <v>72</v>
      </c>
      <c r="W89" s="97" t="s">
        <v>74</v>
      </c>
      <c r="X89" s="97" t="s">
        <v>11</v>
      </c>
      <c r="Y89" s="98">
        <v>43.2</v>
      </c>
      <c r="Z89" s="97" t="s">
        <v>73</v>
      </c>
      <c r="AA89" s="97" t="s">
        <v>75</v>
      </c>
      <c r="AB89" s="97" t="s">
        <v>11</v>
      </c>
      <c r="AC89" s="97">
        <v>10.8</v>
      </c>
      <c r="AD89" s="96"/>
      <c r="AE89" s="97"/>
      <c r="AF89" s="97"/>
      <c r="AG89" s="98"/>
      <c r="AH89" s="97"/>
      <c r="AI89" s="97"/>
      <c r="AJ89" s="97"/>
      <c r="AK89" s="97"/>
      <c r="AL89" s="96"/>
      <c r="AM89" s="97"/>
      <c r="AN89" s="97"/>
      <c r="AO89" s="98"/>
      <c r="AP89" s="96"/>
      <c r="AQ89" s="97"/>
      <c r="AR89" s="97"/>
      <c r="AS89" s="98"/>
      <c r="AT89" s="99"/>
      <c r="AW89" s="98"/>
      <c r="AX89" s="324"/>
      <c r="AY89" s="324"/>
      <c r="AZ89" s="324"/>
      <c r="BA89" s="330"/>
    </row>
    <row r="90" spans="1:53" s="100" customFormat="1" x14ac:dyDescent="0.15">
      <c r="A90" s="87">
        <v>1999</v>
      </c>
      <c r="B90" s="88"/>
      <c r="C90" s="782" t="s">
        <v>170</v>
      </c>
      <c r="D90" s="782"/>
      <c r="E90" s="87">
        <f>365-E89</f>
        <v>365</v>
      </c>
      <c r="F90" s="87"/>
      <c r="G90" s="89">
        <v>16</v>
      </c>
      <c r="H90" s="87"/>
      <c r="I90" s="87"/>
      <c r="J90" s="90">
        <v>16</v>
      </c>
      <c r="K90" s="77">
        <f t="shared" si="28"/>
        <v>100</v>
      </c>
      <c r="L90" s="77">
        <f t="shared" si="29"/>
        <v>0</v>
      </c>
      <c r="M90" s="77">
        <f t="shared" si="30"/>
        <v>0</v>
      </c>
      <c r="N90" s="78">
        <f t="shared" si="26"/>
        <v>100</v>
      </c>
      <c r="O90" s="91">
        <v>54</v>
      </c>
      <c r="P90" s="92"/>
      <c r="Q90" s="92"/>
      <c r="R90" s="93">
        <f t="shared" si="27"/>
        <v>54</v>
      </c>
      <c r="S90" s="102">
        <v>2</v>
      </c>
      <c r="T90" s="95"/>
      <c r="U90" s="85"/>
      <c r="V90" s="96" t="s">
        <v>72</v>
      </c>
      <c r="W90" s="97" t="s">
        <v>74</v>
      </c>
      <c r="X90" s="97" t="s">
        <v>11</v>
      </c>
      <c r="Y90" s="98">
        <v>43.2</v>
      </c>
      <c r="Z90" s="97" t="s">
        <v>73</v>
      </c>
      <c r="AA90" s="97" t="s">
        <v>75</v>
      </c>
      <c r="AB90" s="97" t="s">
        <v>11</v>
      </c>
      <c r="AC90" s="97">
        <v>10.8</v>
      </c>
      <c r="AD90" s="96"/>
      <c r="AE90" s="97"/>
      <c r="AF90" s="97"/>
      <c r="AG90" s="98"/>
      <c r="AH90" s="97"/>
      <c r="AI90" s="97"/>
      <c r="AJ90" s="97"/>
      <c r="AK90" s="97"/>
      <c r="AL90" s="96"/>
      <c r="AM90" s="97"/>
      <c r="AN90" s="97"/>
      <c r="AO90" s="98"/>
      <c r="AP90" s="96"/>
      <c r="AQ90" s="97"/>
      <c r="AR90" s="97"/>
      <c r="AS90" s="98"/>
      <c r="AT90" s="99"/>
      <c r="AW90" s="98"/>
      <c r="AX90" s="324"/>
      <c r="AY90" s="324"/>
      <c r="AZ90" s="324"/>
      <c r="BA90" s="330"/>
    </row>
    <row r="91" spans="1:53" s="100" customFormat="1" x14ac:dyDescent="0.15">
      <c r="A91" s="87">
        <v>2000</v>
      </c>
      <c r="B91" s="88"/>
      <c r="C91" s="782" t="s">
        <v>170</v>
      </c>
      <c r="D91" s="782"/>
      <c r="E91" s="87">
        <v>0</v>
      </c>
      <c r="F91" s="87"/>
      <c r="G91" s="89">
        <v>16</v>
      </c>
      <c r="H91" s="87"/>
      <c r="I91" s="87"/>
      <c r="J91" s="90">
        <v>16</v>
      </c>
      <c r="K91" s="77">
        <f t="shared" si="28"/>
        <v>100</v>
      </c>
      <c r="L91" s="77">
        <f t="shared" si="29"/>
        <v>0</v>
      </c>
      <c r="M91" s="77">
        <f t="shared" si="30"/>
        <v>0</v>
      </c>
      <c r="N91" s="78">
        <f t="shared" si="26"/>
        <v>100</v>
      </c>
      <c r="O91" s="91">
        <v>54</v>
      </c>
      <c r="P91" s="92"/>
      <c r="Q91" s="92"/>
      <c r="R91" s="93">
        <f t="shared" si="27"/>
        <v>54</v>
      </c>
      <c r="S91" s="102">
        <v>2</v>
      </c>
      <c r="T91" s="95"/>
      <c r="U91" s="85"/>
      <c r="V91" s="96" t="s">
        <v>72</v>
      </c>
      <c r="W91" s="97" t="s">
        <v>74</v>
      </c>
      <c r="X91" s="97" t="s">
        <v>11</v>
      </c>
      <c r="Y91" s="98">
        <v>43.2</v>
      </c>
      <c r="Z91" s="97" t="s">
        <v>73</v>
      </c>
      <c r="AA91" s="97" t="s">
        <v>75</v>
      </c>
      <c r="AB91" s="97" t="s">
        <v>11</v>
      </c>
      <c r="AC91" s="97">
        <v>10.8</v>
      </c>
      <c r="AD91" s="96"/>
      <c r="AE91" s="97"/>
      <c r="AF91" s="97"/>
      <c r="AG91" s="98"/>
      <c r="AH91" s="97"/>
      <c r="AI91" s="97"/>
      <c r="AJ91" s="97"/>
      <c r="AK91" s="97"/>
      <c r="AL91" s="96"/>
      <c r="AM91" s="97"/>
      <c r="AN91" s="97"/>
      <c r="AO91" s="98"/>
      <c r="AP91" s="96"/>
      <c r="AQ91" s="97"/>
      <c r="AR91" s="97"/>
      <c r="AS91" s="98"/>
      <c r="AT91" s="99"/>
      <c r="AW91" s="98"/>
      <c r="AX91" s="324"/>
      <c r="AY91" s="324"/>
      <c r="AZ91" s="324"/>
      <c r="BA91" s="330"/>
    </row>
    <row r="92" spans="1:53" s="100" customFormat="1" x14ac:dyDescent="0.15">
      <c r="A92" s="87">
        <v>2000</v>
      </c>
      <c r="B92" s="88"/>
      <c r="C92" s="782" t="s">
        <v>170</v>
      </c>
      <c r="D92" s="782"/>
      <c r="E92" s="87">
        <v>366</v>
      </c>
      <c r="F92" s="87"/>
      <c r="G92" s="89">
        <v>16</v>
      </c>
      <c r="H92" s="87"/>
      <c r="I92" s="87"/>
      <c r="J92" s="90">
        <v>16</v>
      </c>
      <c r="K92" s="77">
        <f t="shared" si="28"/>
        <v>100</v>
      </c>
      <c r="L92" s="77">
        <f t="shared" si="29"/>
        <v>0</v>
      </c>
      <c r="M92" s="77">
        <f t="shared" si="30"/>
        <v>0</v>
      </c>
      <c r="N92" s="78">
        <f t="shared" si="26"/>
        <v>100</v>
      </c>
      <c r="O92" s="91">
        <v>54</v>
      </c>
      <c r="P92" s="92"/>
      <c r="Q92" s="92"/>
      <c r="R92" s="93">
        <f t="shared" si="27"/>
        <v>54</v>
      </c>
      <c r="S92" s="102">
        <v>2</v>
      </c>
      <c r="T92" s="95"/>
      <c r="U92" s="85"/>
      <c r="V92" s="96" t="s">
        <v>72</v>
      </c>
      <c r="W92" s="97" t="s">
        <v>74</v>
      </c>
      <c r="X92" s="97" t="s">
        <v>11</v>
      </c>
      <c r="Y92" s="98">
        <v>43.2</v>
      </c>
      <c r="Z92" s="97" t="s">
        <v>73</v>
      </c>
      <c r="AA92" s="97" t="s">
        <v>75</v>
      </c>
      <c r="AB92" s="97" t="s">
        <v>11</v>
      </c>
      <c r="AC92" s="97">
        <v>10.8</v>
      </c>
      <c r="AD92" s="96"/>
      <c r="AE92" s="97"/>
      <c r="AF92" s="97"/>
      <c r="AG92" s="98"/>
      <c r="AH92" s="97"/>
      <c r="AI92" s="97"/>
      <c r="AJ92" s="97"/>
      <c r="AK92" s="97"/>
      <c r="AL92" s="96"/>
      <c r="AM92" s="97"/>
      <c r="AN92" s="97"/>
      <c r="AO92" s="98"/>
      <c r="AP92" s="96"/>
      <c r="AQ92" s="97"/>
      <c r="AR92" s="97"/>
      <c r="AS92" s="98"/>
      <c r="AT92" s="99"/>
      <c r="AW92" s="98"/>
      <c r="AX92" s="324"/>
      <c r="AY92" s="324"/>
      <c r="AZ92" s="324"/>
      <c r="BA92" s="330"/>
    </row>
    <row r="93" spans="1:53" s="100" customFormat="1" x14ac:dyDescent="0.15">
      <c r="A93" s="87">
        <v>2001</v>
      </c>
      <c r="B93" s="88"/>
      <c r="C93" s="782" t="s">
        <v>170</v>
      </c>
      <c r="D93" s="782"/>
      <c r="E93" s="87">
        <v>329</v>
      </c>
      <c r="F93" s="87"/>
      <c r="G93" s="89">
        <v>16</v>
      </c>
      <c r="H93" s="87"/>
      <c r="I93" s="87"/>
      <c r="J93" s="90">
        <v>16</v>
      </c>
      <c r="K93" s="77">
        <f t="shared" si="28"/>
        <v>100</v>
      </c>
      <c r="L93" s="77">
        <f t="shared" si="29"/>
        <v>0</v>
      </c>
      <c r="M93" s="77">
        <f t="shared" si="30"/>
        <v>0</v>
      </c>
      <c r="N93" s="78">
        <f t="shared" si="26"/>
        <v>100</v>
      </c>
      <c r="O93" s="91">
        <v>54</v>
      </c>
      <c r="P93" s="92"/>
      <c r="Q93" s="92"/>
      <c r="R93" s="93">
        <f t="shared" si="27"/>
        <v>54</v>
      </c>
      <c r="S93" s="102">
        <v>2</v>
      </c>
      <c r="T93" s="95"/>
      <c r="U93" s="85"/>
      <c r="V93" s="96" t="s">
        <v>72</v>
      </c>
      <c r="W93" s="97" t="s">
        <v>74</v>
      </c>
      <c r="X93" s="97" t="s">
        <v>11</v>
      </c>
      <c r="Y93" s="98">
        <v>43.2</v>
      </c>
      <c r="Z93" s="97" t="s">
        <v>73</v>
      </c>
      <c r="AA93" s="97" t="s">
        <v>75</v>
      </c>
      <c r="AB93" s="97" t="s">
        <v>11</v>
      </c>
      <c r="AC93" s="97">
        <v>10.8</v>
      </c>
      <c r="AD93" s="96"/>
      <c r="AE93" s="97"/>
      <c r="AF93" s="97"/>
      <c r="AG93" s="98"/>
      <c r="AH93" s="97"/>
      <c r="AI93" s="97"/>
      <c r="AJ93" s="97"/>
      <c r="AK93" s="97"/>
      <c r="AL93" s="96"/>
      <c r="AM93" s="97"/>
      <c r="AN93" s="97"/>
      <c r="AO93" s="98"/>
      <c r="AP93" s="96"/>
      <c r="AQ93" s="97"/>
      <c r="AR93" s="97"/>
      <c r="AS93" s="98"/>
      <c r="AT93" s="99"/>
      <c r="AW93" s="98"/>
      <c r="AX93" s="324"/>
      <c r="AY93" s="324"/>
      <c r="AZ93" s="324"/>
      <c r="BA93" s="330"/>
    </row>
    <row r="94" spans="1:53" s="391" customFormat="1" x14ac:dyDescent="0.15">
      <c r="A94" s="199">
        <v>2001</v>
      </c>
      <c r="B94" s="380">
        <v>37221</v>
      </c>
      <c r="C94" s="780" t="s">
        <v>171</v>
      </c>
      <c r="D94" s="780"/>
      <c r="E94" s="199">
        <f>365-E93</f>
        <v>36</v>
      </c>
      <c r="F94" s="199">
        <v>1</v>
      </c>
      <c r="G94" s="381">
        <v>16</v>
      </c>
      <c r="H94" s="199"/>
      <c r="I94" s="199"/>
      <c r="J94" s="382">
        <v>16</v>
      </c>
      <c r="K94" s="338">
        <f t="shared" si="28"/>
        <v>100</v>
      </c>
      <c r="L94" s="338">
        <f t="shared" si="29"/>
        <v>0</v>
      </c>
      <c r="M94" s="338">
        <f t="shared" si="30"/>
        <v>0</v>
      </c>
      <c r="N94" s="339">
        <f t="shared" si="26"/>
        <v>100</v>
      </c>
      <c r="O94" s="383">
        <v>54.7</v>
      </c>
      <c r="P94" s="384"/>
      <c r="Q94" s="384"/>
      <c r="R94" s="385">
        <f t="shared" si="27"/>
        <v>54.7</v>
      </c>
      <c r="S94" s="386">
        <v>2</v>
      </c>
      <c r="T94" s="342">
        <v>37205</v>
      </c>
      <c r="U94" s="355">
        <v>37221</v>
      </c>
      <c r="V94" s="387" t="s">
        <v>72</v>
      </c>
      <c r="W94" s="388" t="s">
        <v>74</v>
      </c>
      <c r="X94" s="388" t="s">
        <v>11</v>
      </c>
      <c r="Y94" s="389">
        <v>46</v>
      </c>
      <c r="Z94" s="388" t="s">
        <v>73</v>
      </c>
      <c r="AA94" s="388" t="s">
        <v>75</v>
      </c>
      <c r="AB94" s="388" t="s">
        <v>11</v>
      </c>
      <c r="AC94" s="388">
        <v>8.6999999999999993</v>
      </c>
      <c r="AD94" s="387"/>
      <c r="AE94" s="388"/>
      <c r="AF94" s="388"/>
      <c r="AG94" s="389"/>
      <c r="AH94" s="388"/>
      <c r="AI94" s="388"/>
      <c r="AJ94" s="388"/>
      <c r="AK94" s="388"/>
      <c r="AL94" s="387"/>
      <c r="AM94" s="388"/>
      <c r="AN94" s="388"/>
      <c r="AO94" s="389"/>
      <c r="AP94" s="387"/>
      <c r="AQ94" s="388"/>
      <c r="AR94" s="388"/>
      <c r="AS94" s="389"/>
      <c r="AT94" s="390"/>
      <c r="AW94" s="389"/>
      <c r="AX94" s="392"/>
      <c r="AY94" s="392"/>
      <c r="AZ94" s="392"/>
      <c r="BA94" s="393"/>
    </row>
    <row r="95" spans="1:53" s="391" customFormat="1" x14ac:dyDescent="0.15">
      <c r="A95" s="199">
        <v>2002</v>
      </c>
      <c r="B95" s="380"/>
      <c r="C95" s="780" t="s">
        <v>171</v>
      </c>
      <c r="D95" s="780"/>
      <c r="E95" s="199">
        <v>0</v>
      </c>
      <c r="F95" s="199"/>
      <c r="G95" s="381">
        <v>16</v>
      </c>
      <c r="H95" s="199"/>
      <c r="I95" s="199"/>
      <c r="J95" s="382">
        <v>16</v>
      </c>
      <c r="K95" s="338">
        <f t="shared" si="28"/>
        <v>100</v>
      </c>
      <c r="L95" s="338">
        <f t="shared" si="29"/>
        <v>0</v>
      </c>
      <c r="M95" s="338">
        <f t="shared" si="30"/>
        <v>0</v>
      </c>
      <c r="N95" s="339">
        <f t="shared" si="26"/>
        <v>100</v>
      </c>
      <c r="O95" s="383">
        <v>54.7</v>
      </c>
      <c r="P95" s="384"/>
      <c r="Q95" s="384"/>
      <c r="R95" s="385">
        <f t="shared" si="27"/>
        <v>54.7</v>
      </c>
      <c r="S95" s="386">
        <v>2</v>
      </c>
      <c r="T95" s="342"/>
      <c r="U95" s="355"/>
      <c r="V95" s="387" t="s">
        <v>72</v>
      </c>
      <c r="W95" s="388" t="s">
        <v>74</v>
      </c>
      <c r="X95" s="388" t="s">
        <v>11</v>
      </c>
      <c r="Y95" s="389">
        <v>46</v>
      </c>
      <c r="Z95" s="388" t="s">
        <v>73</v>
      </c>
      <c r="AA95" s="388" t="s">
        <v>75</v>
      </c>
      <c r="AB95" s="388" t="s">
        <v>11</v>
      </c>
      <c r="AC95" s="388">
        <v>8.6999999999999993</v>
      </c>
      <c r="AD95" s="387"/>
      <c r="AE95" s="388"/>
      <c r="AF95" s="388"/>
      <c r="AG95" s="389"/>
      <c r="AH95" s="388"/>
      <c r="AI95" s="388"/>
      <c r="AJ95" s="388"/>
      <c r="AK95" s="388"/>
      <c r="AL95" s="387"/>
      <c r="AM95" s="388"/>
      <c r="AN95" s="388"/>
      <c r="AO95" s="389"/>
      <c r="AP95" s="387"/>
      <c r="AQ95" s="388"/>
      <c r="AR95" s="388"/>
      <c r="AS95" s="389"/>
      <c r="AT95" s="390"/>
      <c r="AW95" s="389"/>
      <c r="AX95" s="392"/>
      <c r="AY95" s="392"/>
      <c r="AZ95" s="392"/>
      <c r="BA95" s="393"/>
    </row>
    <row r="96" spans="1:53" s="391" customFormat="1" x14ac:dyDescent="0.15">
      <c r="A96" s="199">
        <v>2002</v>
      </c>
      <c r="B96" s="380"/>
      <c r="C96" s="780" t="s">
        <v>171</v>
      </c>
      <c r="D96" s="780"/>
      <c r="E96" s="199">
        <f>365-E95</f>
        <v>365</v>
      </c>
      <c r="F96" s="199"/>
      <c r="G96" s="381">
        <v>16</v>
      </c>
      <c r="H96" s="199"/>
      <c r="I96" s="199"/>
      <c r="J96" s="382">
        <v>16</v>
      </c>
      <c r="K96" s="338">
        <f t="shared" si="28"/>
        <v>100</v>
      </c>
      <c r="L96" s="338">
        <f t="shared" si="29"/>
        <v>0</v>
      </c>
      <c r="M96" s="338">
        <f t="shared" si="30"/>
        <v>0</v>
      </c>
      <c r="N96" s="339">
        <f t="shared" si="26"/>
        <v>100</v>
      </c>
      <c r="O96" s="383">
        <v>54.7</v>
      </c>
      <c r="P96" s="384"/>
      <c r="Q96" s="384"/>
      <c r="R96" s="385">
        <f t="shared" si="27"/>
        <v>54.7</v>
      </c>
      <c r="S96" s="386">
        <v>2</v>
      </c>
      <c r="T96" s="342"/>
      <c r="U96" s="355"/>
      <c r="V96" s="387" t="s">
        <v>72</v>
      </c>
      <c r="W96" s="388" t="s">
        <v>74</v>
      </c>
      <c r="X96" s="388" t="s">
        <v>11</v>
      </c>
      <c r="Y96" s="389">
        <v>46</v>
      </c>
      <c r="Z96" s="388" t="s">
        <v>73</v>
      </c>
      <c r="AA96" s="388" t="s">
        <v>75</v>
      </c>
      <c r="AB96" s="388" t="s">
        <v>11</v>
      </c>
      <c r="AC96" s="388">
        <v>8.6999999999999993</v>
      </c>
      <c r="AD96" s="387"/>
      <c r="AE96" s="388"/>
      <c r="AF96" s="388"/>
      <c r="AG96" s="389"/>
      <c r="AH96" s="388"/>
      <c r="AI96" s="388"/>
      <c r="AJ96" s="388"/>
      <c r="AK96" s="388"/>
      <c r="AL96" s="387"/>
      <c r="AM96" s="388"/>
      <c r="AN96" s="388"/>
      <c r="AO96" s="389"/>
      <c r="AP96" s="387"/>
      <c r="AQ96" s="388"/>
      <c r="AR96" s="388"/>
      <c r="AS96" s="389"/>
      <c r="AT96" s="390"/>
      <c r="AW96" s="389"/>
      <c r="AX96" s="392"/>
      <c r="AY96" s="392"/>
      <c r="AZ96" s="392"/>
      <c r="BA96" s="393"/>
    </row>
    <row r="97" spans="1:53" s="391" customFormat="1" x14ac:dyDescent="0.15">
      <c r="A97" s="199">
        <v>2003</v>
      </c>
      <c r="B97" s="380"/>
      <c r="C97" s="780" t="s">
        <v>171</v>
      </c>
      <c r="D97" s="780"/>
      <c r="E97" s="199">
        <v>0</v>
      </c>
      <c r="F97" s="199"/>
      <c r="G97" s="381">
        <v>16</v>
      </c>
      <c r="H97" s="199"/>
      <c r="I97" s="199"/>
      <c r="J97" s="382">
        <v>16</v>
      </c>
      <c r="K97" s="338">
        <f t="shared" si="28"/>
        <v>100</v>
      </c>
      <c r="L97" s="338">
        <f t="shared" si="29"/>
        <v>0</v>
      </c>
      <c r="M97" s="338">
        <f t="shared" si="30"/>
        <v>0</v>
      </c>
      <c r="N97" s="339">
        <f t="shared" si="26"/>
        <v>100</v>
      </c>
      <c r="O97" s="383">
        <v>54.7</v>
      </c>
      <c r="P97" s="384"/>
      <c r="Q97" s="384"/>
      <c r="R97" s="385">
        <f t="shared" si="27"/>
        <v>54.7</v>
      </c>
      <c r="S97" s="386">
        <v>2</v>
      </c>
      <c r="T97" s="342"/>
      <c r="U97" s="355"/>
      <c r="V97" s="387" t="s">
        <v>72</v>
      </c>
      <c r="W97" s="388" t="s">
        <v>74</v>
      </c>
      <c r="X97" s="388" t="s">
        <v>11</v>
      </c>
      <c r="Y97" s="389">
        <v>46</v>
      </c>
      <c r="Z97" s="388" t="s">
        <v>73</v>
      </c>
      <c r="AA97" s="388" t="s">
        <v>75</v>
      </c>
      <c r="AB97" s="388" t="s">
        <v>11</v>
      </c>
      <c r="AC97" s="388">
        <v>8.6999999999999993</v>
      </c>
      <c r="AD97" s="387"/>
      <c r="AE97" s="388"/>
      <c r="AF97" s="388"/>
      <c r="AG97" s="389"/>
      <c r="AH97" s="388"/>
      <c r="AI97" s="388"/>
      <c r="AJ97" s="388"/>
      <c r="AK97" s="388"/>
      <c r="AL97" s="387"/>
      <c r="AM97" s="388"/>
      <c r="AN97" s="388"/>
      <c r="AO97" s="389"/>
      <c r="AP97" s="387"/>
      <c r="AQ97" s="388"/>
      <c r="AR97" s="388"/>
      <c r="AS97" s="389"/>
      <c r="AT97" s="390"/>
      <c r="AW97" s="389"/>
      <c r="AX97" s="392"/>
      <c r="AY97" s="392"/>
      <c r="AZ97" s="392"/>
      <c r="BA97" s="393"/>
    </row>
    <row r="98" spans="1:53" s="391" customFormat="1" x14ac:dyDescent="0.15">
      <c r="A98" s="199">
        <v>2003</v>
      </c>
      <c r="B98" s="380"/>
      <c r="C98" s="780" t="s">
        <v>171</v>
      </c>
      <c r="D98" s="780"/>
      <c r="E98" s="199">
        <f>365-E97</f>
        <v>365</v>
      </c>
      <c r="F98" s="199"/>
      <c r="G98" s="381">
        <v>16</v>
      </c>
      <c r="H98" s="199"/>
      <c r="I98" s="199"/>
      <c r="J98" s="382">
        <v>16</v>
      </c>
      <c r="K98" s="338">
        <f t="shared" si="28"/>
        <v>100</v>
      </c>
      <c r="L98" s="338">
        <f t="shared" si="29"/>
        <v>0</v>
      </c>
      <c r="M98" s="338">
        <f t="shared" si="30"/>
        <v>0</v>
      </c>
      <c r="N98" s="339">
        <f t="shared" si="26"/>
        <v>100</v>
      </c>
      <c r="O98" s="383">
        <v>54.7</v>
      </c>
      <c r="P98" s="384"/>
      <c r="Q98" s="384"/>
      <c r="R98" s="385">
        <f t="shared" si="27"/>
        <v>54.7</v>
      </c>
      <c r="S98" s="386">
        <v>2</v>
      </c>
      <c r="T98" s="342"/>
      <c r="U98" s="355"/>
      <c r="V98" s="387" t="s">
        <v>72</v>
      </c>
      <c r="W98" s="388" t="s">
        <v>74</v>
      </c>
      <c r="X98" s="388" t="s">
        <v>11</v>
      </c>
      <c r="Y98" s="389">
        <v>46</v>
      </c>
      <c r="Z98" s="388" t="s">
        <v>73</v>
      </c>
      <c r="AA98" s="388" t="s">
        <v>75</v>
      </c>
      <c r="AB98" s="388" t="s">
        <v>11</v>
      </c>
      <c r="AC98" s="388">
        <v>8.6999999999999993</v>
      </c>
      <c r="AD98" s="387"/>
      <c r="AE98" s="388"/>
      <c r="AF98" s="388"/>
      <c r="AG98" s="389"/>
      <c r="AH98" s="388"/>
      <c r="AI98" s="388"/>
      <c r="AJ98" s="388"/>
      <c r="AK98" s="388"/>
      <c r="AL98" s="387"/>
      <c r="AM98" s="388"/>
      <c r="AN98" s="388"/>
      <c r="AO98" s="389"/>
      <c r="AP98" s="387"/>
      <c r="AQ98" s="388"/>
      <c r="AR98" s="388"/>
      <c r="AS98" s="389"/>
      <c r="AT98" s="390"/>
      <c r="AW98" s="389"/>
      <c r="AX98" s="392"/>
      <c r="AY98" s="392"/>
      <c r="AZ98" s="392"/>
      <c r="BA98" s="393"/>
    </row>
    <row r="99" spans="1:53" s="391" customFormat="1" x14ac:dyDescent="0.15">
      <c r="A99" s="199">
        <v>2004</v>
      </c>
      <c r="B99" s="380"/>
      <c r="C99" s="780" t="s">
        <v>171</v>
      </c>
      <c r="D99" s="780"/>
      <c r="E99" s="199">
        <v>299</v>
      </c>
      <c r="F99" s="199"/>
      <c r="G99" s="381">
        <v>17</v>
      </c>
      <c r="H99" s="199"/>
      <c r="I99" s="199"/>
      <c r="J99" s="382">
        <v>17</v>
      </c>
      <c r="K99" s="338">
        <f t="shared" ref="K99:K104" si="31">G99/J99*100</f>
        <v>100</v>
      </c>
      <c r="L99" s="338">
        <f t="shared" ref="L99:L104" si="32">H99/J99*100</f>
        <v>0</v>
      </c>
      <c r="M99" s="338">
        <f t="shared" ref="M99:M104" si="33">I99/J99*100</f>
        <v>0</v>
      </c>
      <c r="N99" s="339">
        <f t="shared" si="26"/>
        <v>100</v>
      </c>
      <c r="O99" s="383">
        <v>54.7</v>
      </c>
      <c r="P99" s="384"/>
      <c r="Q99" s="384"/>
      <c r="R99" s="385">
        <f t="shared" si="27"/>
        <v>54.7</v>
      </c>
      <c r="S99" s="386">
        <v>2</v>
      </c>
      <c r="T99" s="342"/>
      <c r="U99" s="355"/>
      <c r="V99" s="387" t="s">
        <v>72</v>
      </c>
      <c r="W99" s="388" t="s">
        <v>74</v>
      </c>
      <c r="X99" s="388" t="s">
        <v>11</v>
      </c>
      <c r="Y99" s="389">
        <v>46</v>
      </c>
      <c r="Z99" s="388" t="s">
        <v>73</v>
      </c>
      <c r="AA99" s="388" t="s">
        <v>75</v>
      </c>
      <c r="AB99" s="388" t="s">
        <v>11</v>
      </c>
      <c r="AC99" s="388">
        <v>8.6999999999999993</v>
      </c>
      <c r="AD99" s="387"/>
      <c r="AE99" s="388"/>
      <c r="AF99" s="388"/>
      <c r="AG99" s="389"/>
      <c r="AH99" s="388"/>
      <c r="AI99" s="388"/>
      <c r="AJ99" s="388"/>
      <c r="AK99" s="388"/>
      <c r="AL99" s="387"/>
      <c r="AM99" s="388"/>
      <c r="AN99" s="388"/>
      <c r="AO99" s="389"/>
      <c r="AP99" s="387"/>
      <c r="AQ99" s="388"/>
      <c r="AR99" s="388"/>
      <c r="AS99" s="389"/>
      <c r="AT99" s="390"/>
      <c r="AW99" s="389"/>
      <c r="AX99" s="392"/>
      <c r="AY99" s="392"/>
      <c r="AZ99" s="392"/>
      <c r="BA99" s="393"/>
    </row>
    <row r="100" spans="1:53" s="100" customFormat="1" x14ac:dyDescent="0.15">
      <c r="A100" s="87">
        <v>2004</v>
      </c>
      <c r="B100" s="88">
        <v>38286</v>
      </c>
      <c r="C100" s="782" t="s">
        <v>172</v>
      </c>
      <c r="D100" s="782"/>
      <c r="E100" s="87">
        <v>67</v>
      </c>
      <c r="F100" s="87">
        <v>1</v>
      </c>
      <c r="G100" s="89">
        <v>17</v>
      </c>
      <c r="H100" s="87"/>
      <c r="I100" s="87"/>
      <c r="J100" s="90">
        <v>17</v>
      </c>
      <c r="K100" s="77">
        <f t="shared" si="31"/>
        <v>100</v>
      </c>
      <c r="L100" s="77">
        <f t="shared" si="32"/>
        <v>0</v>
      </c>
      <c r="M100" s="77">
        <f t="shared" si="33"/>
        <v>0</v>
      </c>
      <c r="N100" s="78">
        <f t="shared" si="26"/>
        <v>100</v>
      </c>
      <c r="O100" s="91">
        <v>58</v>
      </c>
      <c r="P100" s="92"/>
      <c r="Q100" s="92"/>
      <c r="R100" s="93">
        <f t="shared" si="27"/>
        <v>58</v>
      </c>
      <c r="S100" s="102">
        <v>2</v>
      </c>
      <c r="T100" s="95">
        <v>38269</v>
      </c>
      <c r="U100" s="85">
        <v>38286</v>
      </c>
      <c r="V100" s="96" t="s">
        <v>72</v>
      </c>
      <c r="W100" s="97" t="s">
        <v>74</v>
      </c>
      <c r="X100" s="97" t="s">
        <v>11</v>
      </c>
      <c r="Y100" s="98">
        <v>50</v>
      </c>
      <c r="Z100" s="97" t="s">
        <v>73</v>
      </c>
      <c r="AA100" s="97" t="s">
        <v>75</v>
      </c>
      <c r="AB100" s="97" t="s">
        <v>11</v>
      </c>
      <c r="AC100" s="97">
        <v>8</v>
      </c>
      <c r="AD100" s="96"/>
      <c r="AE100" s="97"/>
      <c r="AF100" s="97"/>
      <c r="AG100" s="98"/>
      <c r="AH100" s="97"/>
      <c r="AI100" s="97"/>
      <c r="AJ100" s="97"/>
      <c r="AK100" s="97"/>
      <c r="AL100" s="96"/>
      <c r="AM100" s="97"/>
      <c r="AN100" s="97"/>
      <c r="AO100" s="98"/>
      <c r="AP100" s="96"/>
      <c r="AQ100" s="97"/>
      <c r="AR100" s="97"/>
      <c r="AS100" s="98"/>
      <c r="AT100" s="99"/>
      <c r="AW100" s="98"/>
      <c r="AX100" s="324"/>
      <c r="AY100" s="324"/>
      <c r="AZ100" s="324"/>
      <c r="BA100" s="330"/>
    </row>
    <row r="101" spans="1:53" s="118" customFormat="1" x14ac:dyDescent="0.15">
      <c r="A101" s="110">
        <v>2005</v>
      </c>
      <c r="B101" s="111"/>
      <c r="C101" s="782" t="s">
        <v>172</v>
      </c>
      <c r="D101" s="782"/>
      <c r="E101" s="110">
        <v>0</v>
      </c>
      <c r="F101" s="110"/>
      <c r="G101" s="112">
        <v>17</v>
      </c>
      <c r="H101" s="110"/>
      <c r="I101" s="110"/>
      <c r="J101" s="113">
        <v>17</v>
      </c>
      <c r="K101" s="77">
        <f t="shared" si="31"/>
        <v>100</v>
      </c>
      <c r="L101" s="77">
        <f t="shared" si="32"/>
        <v>0</v>
      </c>
      <c r="M101" s="77">
        <f t="shared" si="33"/>
        <v>0</v>
      </c>
      <c r="N101" s="78">
        <f t="shared" si="26"/>
        <v>100</v>
      </c>
      <c r="O101" s="91">
        <v>58</v>
      </c>
      <c r="P101" s="92"/>
      <c r="Q101" s="92"/>
      <c r="R101" s="93">
        <f t="shared" si="27"/>
        <v>58</v>
      </c>
      <c r="S101" s="102">
        <v>2</v>
      </c>
      <c r="T101" s="95"/>
      <c r="U101" s="85"/>
      <c r="V101" s="96" t="s">
        <v>72</v>
      </c>
      <c r="W101" s="97" t="s">
        <v>74</v>
      </c>
      <c r="X101" s="97" t="s">
        <v>11</v>
      </c>
      <c r="Y101" s="98">
        <v>50</v>
      </c>
      <c r="Z101" s="97" t="s">
        <v>73</v>
      </c>
      <c r="AA101" s="97" t="s">
        <v>75</v>
      </c>
      <c r="AB101" s="97" t="s">
        <v>11</v>
      </c>
      <c r="AC101" s="97">
        <v>8</v>
      </c>
      <c r="AD101" s="114"/>
      <c r="AE101" s="115"/>
      <c r="AF101" s="115"/>
      <c r="AG101" s="116"/>
      <c r="AH101" s="115"/>
      <c r="AI101" s="115"/>
      <c r="AJ101" s="115"/>
      <c r="AK101" s="115"/>
      <c r="AL101" s="114"/>
      <c r="AM101" s="115"/>
      <c r="AN101" s="115"/>
      <c r="AO101" s="116"/>
      <c r="AP101" s="114"/>
      <c r="AQ101" s="115"/>
      <c r="AR101" s="115"/>
      <c r="AS101" s="116"/>
      <c r="AT101" s="117"/>
      <c r="AW101" s="116"/>
      <c r="AX101" s="331"/>
      <c r="AY101" s="331"/>
      <c r="AZ101" s="331"/>
      <c r="BA101" s="332"/>
    </row>
    <row r="102" spans="1:53" s="118" customFormat="1" x14ac:dyDescent="0.15">
      <c r="A102" s="110">
        <v>2005</v>
      </c>
      <c r="B102" s="111"/>
      <c r="C102" s="782" t="s">
        <v>172</v>
      </c>
      <c r="D102" s="782"/>
      <c r="E102" s="110">
        <v>365</v>
      </c>
      <c r="F102" s="110"/>
      <c r="G102" s="112">
        <v>17</v>
      </c>
      <c r="H102" s="110"/>
      <c r="I102" s="110"/>
      <c r="J102" s="113">
        <v>17</v>
      </c>
      <c r="K102" s="77">
        <f t="shared" si="31"/>
        <v>100</v>
      </c>
      <c r="L102" s="77">
        <f t="shared" si="32"/>
        <v>0</v>
      </c>
      <c r="M102" s="77">
        <f t="shared" si="33"/>
        <v>0</v>
      </c>
      <c r="N102" s="78">
        <f t="shared" si="26"/>
        <v>100</v>
      </c>
      <c r="O102" s="91">
        <v>58</v>
      </c>
      <c r="P102" s="92"/>
      <c r="Q102" s="92"/>
      <c r="R102" s="93">
        <f t="shared" si="27"/>
        <v>58</v>
      </c>
      <c r="S102" s="102">
        <v>2</v>
      </c>
      <c r="T102" s="95"/>
      <c r="U102" s="85"/>
      <c r="V102" s="96" t="s">
        <v>72</v>
      </c>
      <c r="W102" s="97" t="s">
        <v>74</v>
      </c>
      <c r="X102" s="97" t="s">
        <v>11</v>
      </c>
      <c r="Y102" s="98">
        <v>50</v>
      </c>
      <c r="Z102" s="97" t="s">
        <v>73</v>
      </c>
      <c r="AA102" s="97" t="s">
        <v>75</v>
      </c>
      <c r="AB102" s="97" t="s">
        <v>11</v>
      </c>
      <c r="AC102" s="97">
        <v>8</v>
      </c>
      <c r="AD102" s="114"/>
      <c r="AE102" s="115"/>
      <c r="AF102" s="115"/>
      <c r="AG102" s="116"/>
      <c r="AH102" s="115"/>
      <c r="AI102" s="115"/>
      <c r="AJ102" s="115"/>
      <c r="AK102" s="115"/>
      <c r="AL102" s="114"/>
      <c r="AM102" s="115"/>
      <c r="AN102" s="115"/>
      <c r="AO102" s="116"/>
      <c r="AP102" s="114"/>
      <c r="AQ102" s="115"/>
      <c r="AR102" s="115"/>
      <c r="AS102" s="116"/>
      <c r="AT102" s="117"/>
      <c r="AW102" s="116"/>
      <c r="AX102" s="331"/>
      <c r="AY102" s="331"/>
      <c r="AZ102" s="331"/>
      <c r="BA102" s="332"/>
    </row>
    <row r="103" spans="1:53" s="120" customFormat="1" x14ac:dyDescent="0.15">
      <c r="A103" s="119">
        <v>2006</v>
      </c>
      <c r="B103" s="111"/>
      <c r="C103" s="782" t="s">
        <v>172</v>
      </c>
      <c r="D103" s="782"/>
      <c r="E103" s="110">
        <v>0</v>
      </c>
      <c r="F103" s="110"/>
      <c r="G103" s="112">
        <v>17</v>
      </c>
      <c r="H103" s="110"/>
      <c r="I103" s="110"/>
      <c r="J103" s="113">
        <v>17</v>
      </c>
      <c r="K103" s="77">
        <f t="shared" si="31"/>
        <v>100</v>
      </c>
      <c r="L103" s="77">
        <f t="shared" si="32"/>
        <v>0</v>
      </c>
      <c r="M103" s="77">
        <f t="shared" si="33"/>
        <v>0</v>
      </c>
      <c r="N103" s="78">
        <f t="shared" si="26"/>
        <v>100</v>
      </c>
      <c r="O103" s="91">
        <v>58</v>
      </c>
      <c r="P103" s="92"/>
      <c r="Q103" s="92"/>
      <c r="R103" s="93">
        <f t="shared" si="27"/>
        <v>58</v>
      </c>
      <c r="S103" s="102">
        <v>2</v>
      </c>
      <c r="T103" s="95"/>
      <c r="U103" s="85"/>
      <c r="V103" s="96" t="s">
        <v>72</v>
      </c>
      <c r="W103" s="97" t="s">
        <v>74</v>
      </c>
      <c r="X103" s="97" t="s">
        <v>11</v>
      </c>
      <c r="Y103" s="98">
        <v>50</v>
      </c>
      <c r="Z103" s="97" t="s">
        <v>73</v>
      </c>
      <c r="AA103" s="97" t="s">
        <v>75</v>
      </c>
      <c r="AB103" s="97" t="s">
        <v>11</v>
      </c>
      <c r="AC103" s="97">
        <v>8</v>
      </c>
      <c r="AD103" s="114"/>
      <c r="AE103" s="115"/>
      <c r="AF103" s="115"/>
      <c r="AG103" s="116"/>
      <c r="AH103" s="115"/>
      <c r="AI103" s="115"/>
      <c r="AJ103" s="115"/>
      <c r="AK103" s="115"/>
      <c r="AL103" s="114"/>
      <c r="AM103" s="115"/>
      <c r="AN103" s="115"/>
      <c r="AO103" s="116"/>
      <c r="AP103" s="114"/>
      <c r="AQ103" s="115"/>
      <c r="AR103" s="115"/>
      <c r="AS103" s="116"/>
      <c r="AT103" s="117"/>
      <c r="AW103" s="116"/>
      <c r="AX103" s="119"/>
      <c r="AY103" s="119"/>
      <c r="AZ103" s="119"/>
      <c r="BA103" s="333"/>
    </row>
    <row r="104" spans="1:53" s="120" customFormat="1" x14ac:dyDescent="0.15">
      <c r="A104" s="119">
        <v>2006</v>
      </c>
      <c r="B104" s="111"/>
      <c r="C104" s="782" t="s">
        <v>172</v>
      </c>
      <c r="D104" s="782"/>
      <c r="E104" s="110">
        <v>365</v>
      </c>
      <c r="F104" s="110"/>
      <c r="G104" s="112">
        <v>17</v>
      </c>
      <c r="H104" s="110"/>
      <c r="I104" s="110"/>
      <c r="J104" s="113">
        <v>17</v>
      </c>
      <c r="K104" s="77">
        <f t="shared" si="31"/>
        <v>100</v>
      </c>
      <c r="L104" s="77">
        <f t="shared" si="32"/>
        <v>0</v>
      </c>
      <c r="M104" s="77">
        <f t="shared" si="33"/>
        <v>0</v>
      </c>
      <c r="N104" s="78">
        <f t="shared" si="26"/>
        <v>100</v>
      </c>
      <c r="O104" s="91">
        <v>58</v>
      </c>
      <c r="P104" s="92"/>
      <c r="Q104" s="92"/>
      <c r="R104" s="93">
        <f>SUM(O104:Q104)</f>
        <v>58</v>
      </c>
      <c r="S104" s="102">
        <v>2</v>
      </c>
      <c r="T104" s="95"/>
      <c r="U104" s="85"/>
      <c r="V104" s="96" t="s">
        <v>72</v>
      </c>
      <c r="W104" s="97" t="s">
        <v>74</v>
      </c>
      <c r="X104" s="97" t="s">
        <v>11</v>
      </c>
      <c r="Y104" s="98">
        <v>50</v>
      </c>
      <c r="Z104" s="97" t="s">
        <v>73</v>
      </c>
      <c r="AA104" s="97" t="s">
        <v>75</v>
      </c>
      <c r="AB104" s="97" t="s">
        <v>11</v>
      </c>
      <c r="AC104" s="97">
        <v>8</v>
      </c>
      <c r="AD104" s="114"/>
      <c r="AE104" s="115"/>
      <c r="AF104" s="115"/>
      <c r="AG104" s="116"/>
      <c r="AH104" s="115"/>
      <c r="AI104" s="115"/>
      <c r="AJ104" s="115"/>
      <c r="AK104" s="115"/>
      <c r="AL104" s="114"/>
      <c r="AM104" s="115"/>
      <c r="AN104" s="115"/>
      <c r="AO104" s="116"/>
      <c r="AP104" s="114"/>
      <c r="AQ104" s="115"/>
      <c r="AR104" s="115"/>
      <c r="AS104" s="116"/>
      <c r="AT104" s="117"/>
      <c r="AW104" s="116"/>
      <c r="AX104" s="119"/>
      <c r="AY104" s="119"/>
      <c r="AZ104" s="119"/>
      <c r="BA104" s="333"/>
    </row>
    <row r="105" spans="1:53" s="120" customFormat="1" x14ac:dyDescent="0.15">
      <c r="A105" s="87">
        <v>2006.73170731707</v>
      </c>
      <c r="B105" s="88"/>
      <c r="C105" s="782" t="s">
        <v>172</v>
      </c>
      <c r="D105" s="782"/>
      <c r="E105" s="87">
        <v>336</v>
      </c>
      <c r="F105" s="87"/>
      <c r="G105" s="89">
        <v>17</v>
      </c>
      <c r="H105" s="87"/>
      <c r="I105" s="87"/>
      <c r="J105" s="90">
        <v>17</v>
      </c>
      <c r="K105" s="77">
        <f t="shared" ref="K105:K125" si="34">G105/J105*100</f>
        <v>100</v>
      </c>
      <c r="L105" s="77">
        <f t="shared" ref="L105:L125" si="35">H105/J105*100</f>
        <v>0</v>
      </c>
      <c r="M105" s="77">
        <f t="shared" ref="M105:M125" si="36">I105/J105*100</f>
        <v>0</v>
      </c>
      <c r="N105" s="78">
        <f t="shared" si="26"/>
        <v>100</v>
      </c>
      <c r="O105" s="91">
        <v>58</v>
      </c>
      <c r="P105" s="92"/>
      <c r="Q105" s="92"/>
      <c r="R105" s="93">
        <f t="shared" si="27"/>
        <v>58</v>
      </c>
      <c r="S105" s="102">
        <v>2</v>
      </c>
      <c r="T105" s="95"/>
      <c r="U105" s="85"/>
      <c r="V105" s="96" t="s">
        <v>72</v>
      </c>
      <c r="W105" s="97" t="s">
        <v>74</v>
      </c>
      <c r="X105" s="97" t="s">
        <v>11</v>
      </c>
      <c r="Y105" s="98">
        <v>50</v>
      </c>
      <c r="Z105" s="97" t="s">
        <v>73</v>
      </c>
      <c r="AA105" s="97" t="s">
        <v>75</v>
      </c>
      <c r="AB105" s="97" t="s">
        <v>11</v>
      </c>
      <c r="AC105" s="97">
        <v>8</v>
      </c>
      <c r="AD105" s="114"/>
      <c r="AE105" s="115"/>
      <c r="AF105" s="115"/>
      <c r="AG105" s="116"/>
      <c r="AH105" s="115"/>
      <c r="AI105" s="115"/>
      <c r="AJ105" s="115"/>
      <c r="AK105" s="115"/>
      <c r="AL105" s="114"/>
      <c r="AM105" s="115"/>
      <c r="AN105" s="115"/>
      <c r="AO105" s="116"/>
      <c r="AP105" s="114"/>
      <c r="AQ105" s="115"/>
      <c r="AR105" s="115"/>
      <c r="AS105" s="116"/>
      <c r="AT105" s="117"/>
      <c r="AW105" s="116"/>
      <c r="AX105" s="119"/>
      <c r="AY105" s="119"/>
      <c r="AZ105" s="119"/>
      <c r="BA105" s="333"/>
    </row>
    <row r="106" spans="1:53" s="416" customFormat="1" x14ac:dyDescent="0.15">
      <c r="A106" s="199">
        <v>2007.23085649461</v>
      </c>
      <c r="B106" s="380">
        <v>39419</v>
      </c>
      <c r="C106" s="780" t="s">
        <v>173</v>
      </c>
      <c r="D106" s="780"/>
      <c r="E106" s="199">
        <f>365-E105</f>
        <v>29</v>
      </c>
      <c r="F106" s="199">
        <v>1</v>
      </c>
      <c r="G106" s="381"/>
      <c r="H106" s="199"/>
      <c r="I106" s="199">
        <v>20</v>
      </c>
      <c r="J106" s="382">
        <v>20</v>
      </c>
      <c r="K106" s="338">
        <f t="shared" si="34"/>
        <v>0</v>
      </c>
      <c r="L106" s="338">
        <f t="shared" si="35"/>
        <v>0</v>
      </c>
      <c r="M106" s="338">
        <f t="shared" si="36"/>
        <v>100</v>
      </c>
      <c r="N106" s="339">
        <f t="shared" si="26"/>
        <v>100</v>
      </c>
      <c r="O106" s="383"/>
      <c r="P106" s="384"/>
      <c r="Q106" s="384">
        <v>55.3</v>
      </c>
      <c r="R106" s="385">
        <f t="shared" si="27"/>
        <v>55.3</v>
      </c>
      <c r="S106" s="386">
        <v>1</v>
      </c>
      <c r="T106" s="342">
        <v>39410</v>
      </c>
      <c r="U106" s="355">
        <v>39419</v>
      </c>
      <c r="V106" s="387" t="s">
        <v>78</v>
      </c>
      <c r="W106" s="388" t="s">
        <v>20</v>
      </c>
      <c r="X106" s="388" t="s">
        <v>12</v>
      </c>
      <c r="Y106" s="389">
        <v>55.3</v>
      </c>
      <c r="Z106" s="412"/>
      <c r="AA106" s="412"/>
      <c r="AB106" s="412"/>
      <c r="AC106" s="412"/>
      <c r="AD106" s="413"/>
      <c r="AE106" s="412"/>
      <c r="AF106" s="412"/>
      <c r="AG106" s="414"/>
      <c r="AH106" s="412"/>
      <c r="AI106" s="412"/>
      <c r="AJ106" s="412"/>
      <c r="AK106" s="412"/>
      <c r="AL106" s="413"/>
      <c r="AM106" s="412"/>
      <c r="AN106" s="412"/>
      <c r="AO106" s="414"/>
      <c r="AP106" s="413"/>
      <c r="AQ106" s="412"/>
      <c r="AR106" s="412"/>
      <c r="AS106" s="414"/>
      <c r="AT106" s="415"/>
      <c r="AW106" s="414"/>
      <c r="AX106" s="417"/>
      <c r="AY106" s="417"/>
      <c r="AZ106" s="417"/>
      <c r="BA106" s="418"/>
    </row>
    <row r="107" spans="1:53" s="391" customFormat="1" x14ac:dyDescent="0.15">
      <c r="A107" s="199">
        <v>2008</v>
      </c>
      <c r="B107" s="380"/>
      <c r="C107" s="780" t="s">
        <v>173</v>
      </c>
      <c r="D107" s="780"/>
      <c r="E107" s="199">
        <v>0</v>
      </c>
      <c r="F107" s="199"/>
      <c r="G107" s="381"/>
      <c r="H107" s="199"/>
      <c r="I107" s="199">
        <v>20</v>
      </c>
      <c r="J107" s="382">
        <v>20</v>
      </c>
      <c r="K107" s="338">
        <f t="shared" si="34"/>
        <v>0</v>
      </c>
      <c r="L107" s="338">
        <f t="shared" si="35"/>
        <v>0</v>
      </c>
      <c r="M107" s="338">
        <f t="shared" si="36"/>
        <v>100</v>
      </c>
      <c r="N107" s="339">
        <f t="shared" si="26"/>
        <v>100</v>
      </c>
      <c r="O107" s="383"/>
      <c r="P107" s="384"/>
      <c r="Q107" s="384">
        <v>55.3</v>
      </c>
      <c r="R107" s="385">
        <f t="shared" si="27"/>
        <v>55.3</v>
      </c>
      <c r="S107" s="386">
        <v>1</v>
      </c>
      <c r="T107" s="342"/>
      <c r="U107" s="355"/>
      <c r="V107" s="387" t="s">
        <v>78</v>
      </c>
      <c r="W107" s="388" t="s">
        <v>20</v>
      </c>
      <c r="X107" s="388" t="s">
        <v>12</v>
      </c>
      <c r="Y107" s="389">
        <v>55.3</v>
      </c>
      <c r="Z107" s="388"/>
      <c r="AA107" s="388"/>
      <c r="AB107" s="388"/>
      <c r="AC107" s="388"/>
      <c r="AD107" s="387"/>
      <c r="AE107" s="388"/>
      <c r="AF107" s="388"/>
      <c r="AG107" s="389"/>
      <c r="AH107" s="388"/>
      <c r="AI107" s="388"/>
      <c r="AJ107" s="388"/>
      <c r="AK107" s="388"/>
      <c r="AL107" s="387"/>
      <c r="AM107" s="388"/>
      <c r="AN107" s="388"/>
      <c r="AO107" s="389"/>
      <c r="AP107" s="387"/>
      <c r="AQ107" s="388"/>
      <c r="AR107" s="388"/>
      <c r="AS107" s="389"/>
      <c r="AT107" s="390"/>
      <c r="AW107" s="389"/>
      <c r="AX107" s="392"/>
      <c r="AY107" s="392"/>
      <c r="AZ107" s="392"/>
      <c r="BA107" s="393"/>
    </row>
    <row r="108" spans="1:53" s="391" customFormat="1" x14ac:dyDescent="0.15">
      <c r="A108" s="199">
        <v>2008</v>
      </c>
      <c r="B108" s="380"/>
      <c r="C108" s="780" t="s">
        <v>173</v>
      </c>
      <c r="D108" s="780"/>
      <c r="E108" s="199">
        <v>366</v>
      </c>
      <c r="F108" s="199"/>
      <c r="G108" s="381"/>
      <c r="H108" s="199"/>
      <c r="I108" s="199">
        <v>20</v>
      </c>
      <c r="J108" s="382">
        <v>20</v>
      </c>
      <c r="K108" s="338">
        <f t="shared" si="34"/>
        <v>0</v>
      </c>
      <c r="L108" s="338">
        <f t="shared" si="35"/>
        <v>0</v>
      </c>
      <c r="M108" s="338">
        <f t="shared" si="36"/>
        <v>100</v>
      </c>
      <c r="N108" s="339">
        <f t="shared" si="26"/>
        <v>100</v>
      </c>
      <c r="O108" s="383"/>
      <c r="P108" s="384"/>
      <c r="Q108" s="384">
        <v>55.3</v>
      </c>
      <c r="R108" s="385">
        <f t="shared" si="27"/>
        <v>55.3</v>
      </c>
      <c r="S108" s="386">
        <v>1</v>
      </c>
      <c r="T108" s="342"/>
      <c r="U108" s="355"/>
      <c r="V108" s="387" t="s">
        <v>78</v>
      </c>
      <c r="W108" s="388" t="s">
        <v>20</v>
      </c>
      <c r="X108" s="388" t="s">
        <v>12</v>
      </c>
      <c r="Y108" s="389">
        <v>55.3</v>
      </c>
      <c r="Z108" s="388"/>
      <c r="AA108" s="388"/>
      <c r="AB108" s="388"/>
      <c r="AC108" s="388"/>
      <c r="AD108" s="387"/>
      <c r="AE108" s="388"/>
      <c r="AF108" s="388"/>
      <c r="AG108" s="389"/>
      <c r="AH108" s="388"/>
      <c r="AI108" s="388"/>
      <c r="AJ108" s="388"/>
      <c r="AK108" s="388"/>
      <c r="AL108" s="387"/>
      <c r="AM108" s="388"/>
      <c r="AN108" s="388"/>
      <c r="AO108" s="389"/>
      <c r="AP108" s="387"/>
      <c r="AQ108" s="388"/>
      <c r="AR108" s="388"/>
      <c r="AS108" s="389"/>
      <c r="AT108" s="390"/>
      <c r="AW108" s="389"/>
      <c r="AX108" s="392"/>
      <c r="AY108" s="392"/>
      <c r="AZ108" s="392"/>
      <c r="BA108" s="393"/>
    </row>
    <row r="109" spans="1:53" s="391" customFormat="1" x14ac:dyDescent="0.15">
      <c r="A109" s="199">
        <v>2009</v>
      </c>
      <c r="B109" s="380"/>
      <c r="C109" s="780" t="s">
        <v>173</v>
      </c>
      <c r="D109" s="780"/>
      <c r="E109" s="199">
        <v>0</v>
      </c>
      <c r="F109" s="199"/>
      <c r="G109" s="381"/>
      <c r="H109" s="199"/>
      <c r="I109" s="199">
        <v>20</v>
      </c>
      <c r="J109" s="382">
        <v>20</v>
      </c>
      <c r="K109" s="338">
        <f t="shared" si="34"/>
        <v>0</v>
      </c>
      <c r="L109" s="338">
        <f t="shared" si="35"/>
        <v>0</v>
      </c>
      <c r="M109" s="338">
        <f t="shared" si="36"/>
        <v>100</v>
      </c>
      <c r="N109" s="339">
        <f t="shared" si="26"/>
        <v>100</v>
      </c>
      <c r="O109" s="383"/>
      <c r="P109" s="384"/>
      <c r="Q109" s="384">
        <v>55.3</v>
      </c>
      <c r="R109" s="385">
        <f t="shared" si="27"/>
        <v>55.3</v>
      </c>
      <c r="S109" s="386">
        <v>1</v>
      </c>
      <c r="T109" s="342"/>
      <c r="U109" s="355"/>
      <c r="V109" s="387" t="s">
        <v>78</v>
      </c>
      <c r="W109" s="388" t="s">
        <v>20</v>
      </c>
      <c r="X109" s="388" t="s">
        <v>12</v>
      </c>
      <c r="Y109" s="389">
        <v>55.3</v>
      </c>
      <c r="Z109" s="388"/>
      <c r="AA109" s="388"/>
      <c r="AB109" s="388"/>
      <c r="AC109" s="388"/>
      <c r="AD109" s="387"/>
      <c r="AE109" s="388"/>
      <c r="AF109" s="388"/>
      <c r="AG109" s="389"/>
      <c r="AH109" s="388"/>
      <c r="AI109" s="388"/>
      <c r="AJ109" s="388"/>
      <c r="AK109" s="388"/>
      <c r="AL109" s="387"/>
      <c r="AM109" s="388"/>
      <c r="AN109" s="388"/>
      <c r="AO109" s="389"/>
      <c r="AP109" s="387"/>
      <c r="AQ109" s="388"/>
      <c r="AR109" s="388"/>
      <c r="AS109" s="389"/>
      <c r="AT109" s="390"/>
      <c r="AW109" s="389"/>
      <c r="AX109" s="392"/>
      <c r="AY109" s="392"/>
      <c r="AZ109" s="392"/>
      <c r="BA109" s="393"/>
    </row>
    <row r="110" spans="1:53" s="391" customFormat="1" x14ac:dyDescent="0.15">
      <c r="A110" s="199">
        <v>2009</v>
      </c>
      <c r="B110" s="355"/>
      <c r="C110" s="780" t="s">
        <v>173</v>
      </c>
      <c r="D110" s="780"/>
      <c r="E110" s="199">
        <v>365</v>
      </c>
      <c r="F110" s="199"/>
      <c r="G110" s="381"/>
      <c r="H110" s="199"/>
      <c r="I110" s="199">
        <v>20</v>
      </c>
      <c r="J110" s="382">
        <v>20</v>
      </c>
      <c r="K110" s="338">
        <f t="shared" si="34"/>
        <v>0</v>
      </c>
      <c r="L110" s="338">
        <f t="shared" si="35"/>
        <v>0</v>
      </c>
      <c r="M110" s="338">
        <f t="shared" si="36"/>
        <v>100</v>
      </c>
      <c r="N110" s="339">
        <f t="shared" si="26"/>
        <v>100</v>
      </c>
      <c r="O110" s="383"/>
      <c r="P110" s="384"/>
      <c r="Q110" s="384">
        <v>55.3</v>
      </c>
      <c r="R110" s="385">
        <f t="shared" si="27"/>
        <v>55.3</v>
      </c>
      <c r="S110" s="386">
        <v>1</v>
      </c>
      <c r="T110" s="342"/>
      <c r="U110" s="355"/>
      <c r="V110" s="387" t="s">
        <v>78</v>
      </c>
      <c r="W110" s="388" t="s">
        <v>20</v>
      </c>
      <c r="X110" s="388" t="s">
        <v>12</v>
      </c>
      <c r="Y110" s="389">
        <v>55.3</v>
      </c>
      <c r="Z110" s="388"/>
      <c r="AA110" s="388"/>
      <c r="AB110" s="388"/>
      <c r="AC110" s="388"/>
      <c r="AD110" s="387"/>
      <c r="AE110" s="388"/>
      <c r="AF110" s="388"/>
      <c r="AG110" s="389"/>
      <c r="AH110" s="388"/>
      <c r="AI110" s="388"/>
      <c r="AJ110" s="388"/>
      <c r="AK110" s="388"/>
      <c r="AL110" s="387"/>
      <c r="AM110" s="388"/>
      <c r="AN110" s="388"/>
      <c r="AO110" s="389"/>
      <c r="AP110" s="387"/>
      <c r="AQ110" s="388"/>
      <c r="AR110" s="388"/>
      <c r="AS110" s="389"/>
      <c r="AT110" s="390"/>
      <c r="AW110" s="389"/>
      <c r="AX110" s="392"/>
      <c r="AY110" s="392"/>
      <c r="AZ110" s="392"/>
      <c r="BA110" s="393"/>
    </row>
    <row r="111" spans="1:53" s="391" customFormat="1" x14ac:dyDescent="0.15">
      <c r="A111" s="199">
        <v>2010</v>
      </c>
      <c r="B111" s="355"/>
      <c r="C111" s="780" t="s">
        <v>173</v>
      </c>
      <c r="D111" s="780"/>
      <c r="E111" s="199">
        <v>174</v>
      </c>
      <c r="F111" s="199"/>
      <c r="G111" s="381"/>
      <c r="H111" s="199"/>
      <c r="I111" s="199">
        <v>20</v>
      </c>
      <c r="J111" s="382">
        <v>20</v>
      </c>
      <c r="K111" s="338">
        <f t="shared" si="34"/>
        <v>0</v>
      </c>
      <c r="L111" s="338">
        <f t="shared" si="35"/>
        <v>0</v>
      </c>
      <c r="M111" s="338">
        <f t="shared" si="36"/>
        <v>100</v>
      </c>
      <c r="N111" s="339">
        <f t="shared" si="26"/>
        <v>100</v>
      </c>
      <c r="O111" s="383"/>
      <c r="P111" s="384"/>
      <c r="Q111" s="384">
        <v>55.3</v>
      </c>
      <c r="R111" s="385">
        <f t="shared" si="27"/>
        <v>55.3</v>
      </c>
      <c r="S111" s="386">
        <v>1</v>
      </c>
      <c r="T111" s="342"/>
      <c r="U111" s="355"/>
      <c r="V111" s="387" t="s">
        <v>78</v>
      </c>
      <c r="W111" s="388" t="s">
        <v>20</v>
      </c>
      <c r="X111" s="388" t="s">
        <v>12</v>
      </c>
      <c r="Y111" s="389">
        <v>55.3</v>
      </c>
      <c r="Z111" s="388"/>
      <c r="AA111" s="388"/>
      <c r="AB111" s="388"/>
      <c r="AC111" s="388"/>
      <c r="AD111" s="387"/>
      <c r="AE111" s="388"/>
      <c r="AF111" s="388"/>
      <c r="AG111" s="389"/>
      <c r="AH111" s="388"/>
      <c r="AI111" s="388"/>
      <c r="AJ111" s="388"/>
      <c r="AK111" s="388"/>
      <c r="AL111" s="387"/>
      <c r="AM111" s="388"/>
      <c r="AN111" s="388"/>
      <c r="AO111" s="389"/>
      <c r="AP111" s="387"/>
      <c r="AQ111" s="388"/>
      <c r="AR111" s="388"/>
      <c r="AS111" s="389"/>
      <c r="AT111" s="390"/>
      <c r="AW111" s="389"/>
      <c r="AX111" s="392"/>
      <c r="AY111" s="392"/>
      <c r="AZ111" s="392"/>
      <c r="BA111" s="393"/>
    </row>
    <row r="112" spans="1:53" s="100" customFormat="1" x14ac:dyDescent="0.15">
      <c r="A112" s="87">
        <v>2010</v>
      </c>
      <c r="B112" s="88">
        <v>40353</v>
      </c>
      <c r="C112" s="782" t="s">
        <v>174</v>
      </c>
      <c r="D112" s="782"/>
      <c r="E112" s="87">
        <f>365-E111-E113</f>
        <v>82</v>
      </c>
      <c r="F112" s="87">
        <v>2</v>
      </c>
      <c r="G112" s="89"/>
      <c r="H112" s="87"/>
      <c r="I112" s="87">
        <v>20</v>
      </c>
      <c r="J112" s="90">
        <v>20</v>
      </c>
      <c r="K112" s="77">
        <f t="shared" si="34"/>
        <v>0</v>
      </c>
      <c r="L112" s="77">
        <f t="shared" si="35"/>
        <v>0</v>
      </c>
      <c r="M112" s="77">
        <f t="shared" si="36"/>
        <v>100</v>
      </c>
      <c r="N112" s="78">
        <f t="shared" si="26"/>
        <v>100</v>
      </c>
      <c r="O112" s="91"/>
      <c r="P112" s="92"/>
      <c r="Q112" s="92">
        <v>55.3</v>
      </c>
      <c r="R112" s="93">
        <f t="shared" si="27"/>
        <v>55.3</v>
      </c>
      <c r="S112" s="102">
        <v>1</v>
      </c>
      <c r="T112" s="95"/>
      <c r="U112" s="85">
        <v>40353</v>
      </c>
      <c r="V112" s="96" t="s">
        <v>78</v>
      </c>
      <c r="W112" s="97" t="s">
        <v>20</v>
      </c>
      <c r="X112" s="97" t="s">
        <v>12</v>
      </c>
      <c r="Y112" s="98">
        <v>55.3</v>
      </c>
      <c r="Z112" s="97"/>
      <c r="AA112" s="97"/>
      <c r="AB112" s="97"/>
      <c r="AC112" s="97"/>
      <c r="AD112" s="96"/>
      <c r="AE112" s="97"/>
      <c r="AF112" s="97"/>
      <c r="AG112" s="98"/>
      <c r="AH112" s="97"/>
      <c r="AI112" s="97"/>
      <c r="AJ112" s="97"/>
      <c r="AK112" s="97"/>
      <c r="AL112" s="96"/>
      <c r="AM112" s="97"/>
      <c r="AN112" s="97"/>
      <c r="AO112" s="98"/>
      <c r="AP112" s="96"/>
      <c r="AQ112" s="97"/>
      <c r="AR112" s="97"/>
      <c r="AS112" s="98"/>
      <c r="AT112" s="99"/>
      <c r="AW112" s="98"/>
      <c r="AX112" s="324"/>
      <c r="AY112" s="324"/>
      <c r="AZ112" s="324"/>
      <c r="BA112" s="330"/>
    </row>
    <row r="113" spans="1:53" s="391" customFormat="1" x14ac:dyDescent="0.15">
      <c r="A113" s="199">
        <v>2010</v>
      </c>
      <c r="B113" s="380">
        <v>40435</v>
      </c>
      <c r="C113" s="780" t="s">
        <v>175</v>
      </c>
      <c r="D113" s="780"/>
      <c r="E113" s="199">
        <v>109</v>
      </c>
      <c r="F113" s="199">
        <v>1</v>
      </c>
      <c r="G113" s="381"/>
      <c r="H113" s="199"/>
      <c r="I113" s="199">
        <v>20</v>
      </c>
      <c r="J113" s="382">
        <v>20</v>
      </c>
      <c r="K113" s="338">
        <f t="shared" si="34"/>
        <v>0</v>
      </c>
      <c r="L113" s="338">
        <f t="shared" si="35"/>
        <v>0</v>
      </c>
      <c r="M113" s="338">
        <f t="shared" si="36"/>
        <v>100</v>
      </c>
      <c r="N113" s="339">
        <f t="shared" si="26"/>
        <v>100</v>
      </c>
      <c r="O113" s="383"/>
      <c r="P113" s="384"/>
      <c r="Q113" s="384">
        <v>48</v>
      </c>
      <c r="R113" s="385">
        <f t="shared" si="27"/>
        <v>48</v>
      </c>
      <c r="S113" s="386">
        <v>4</v>
      </c>
      <c r="T113" s="342">
        <v>40411</v>
      </c>
      <c r="U113" s="355">
        <v>40435</v>
      </c>
      <c r="V113" s="387" t="s">
        <v>78</v>
      </c>
      <c r="W113" s="388" t="s">
        <v>20</v>
      </c>
      <c r="X113" s="388" t="s">
        <v>12</v>
      </c>
      <c r="Y113" s="389">
        <v>48</v>
      </c>
      <c r="Z113" s="388"/>
      <c r="AA113" s="388"/>
      <c r="AB113" s="388"/>
      <c r="AC113" s="388"/>
      <c r="AD113" s="387"/>
      <c r="AE113" s="388"/>
      <c r="AF113" s="388"/>
      <c r="AG113" s="389"/>
      <c r="AH113" s="388"/>
      <c r="AI113" s="388"/>
      <c r="AJ113" s="388"/>
      <c r="AK113" s="388"/>
      <c r="AL113" s="387"/>
      <c r="AM113" s="388"/>
      <c r="AN113" s="388"/>
      <c r="AO113" s="389"/>
      <c r="AP113" s="387"/>
      <c r="AQ113" s="388"/>
      <c r="AR113" s="388"/>
      <c r="AS113" s="389"/>
      <c r="AT113" s="390"/>
      <c r="AW113" s="389"/>
      <c r="AX113" s="392"/>
      <c r="AY113" s="392"/>
      <c r="AZ113" s="392"/>
      <c r="BA113" s="393"/>
    </row>
    <row r="114" spans="1:53" s="391" customFormat="1" x14ac:dyDescent="0.15">
      <c r="A114" s="199">
        <v>2011</v>
      </c>
      <c r="B114" s="355"/>
      <c r="C114" s="780" t="s">
        <v>175</v>
      </c>
      <c r="D114" s="780"/>
      <c r="E114" s="199">
        <v>347</v>
      </c>
      <c r="F114" s="199"/>
      <c r="G114" s="381"/>
      <c r="H114" s="199"/>
      <c r="I114" s="199">
        <v>20</v>
      </c>
      <c r="J114" s="382">
        <v>20</v>
      </c>
      <c r="K114" s="338">
        <f t="shared" si="34"/>
        <v>0</v>
      </c>
      <c r="L114" s="338">
        <f t="shared" si="35"/>
        <v>0</v>
      </c>
      <c r="M114" s="338">
        <f t="shared" si="36"/>
        <v>100</v>
      </c>
      <c r="N114" s="339">
        <f t="shared" si="26"/>
        <v>100</v>
      </c>
      <c r="O114" s="383"/>
      <c r="P114" s="384"/>
      <c r="Q114" s="384">
        <v>48</v>
      </c>
      <c r="R114" s="385">
        <f t="shared" si="27"/>
        <v>48</v>
      </c>
      <c r="S114" s="386">
        <v>4</v>
      </c>
      <c r="T114" s="342"/>
      <c r="U114" s="355"/>
      <c r="V114" s="387" t="s">
        <v>78</v>
      </c>
      <c r="W114" s="388" t="s">
        <v>20</v>
      </c>
      <c r="X114" s="388" t="s">
        <v>12</v>
      </c>
      <c r="Y114" s="389">
        <v>48</v>
      </c>
      <c r="Z114" s="388"/>
      <c r="AA114" s="388"/>
      <c r="AB114" s="388"/>
      <c r="AC114" s="388"/>
      <c r="AD114" s="387"/>
      <c r="AE114" s="388"/>
      <c r="AF114" s="388"/>
      <c r="AG114" s="389"/>
      <c r="AH114" s="388"/>
      <c r="AI114" s="388"/>
      <c r="AJ114" s="388"/>
      <c r="AK114" s="388"/>
      <c r="AL114" s="387"/>
      <c r="AM114" s="388"/>
      <c r="AN114" s="388"/>
      <c r="AO114" s="389"/>
      <c r="AP114" s="387"/>
      <c r="AQ114" s="388"/>
      <c r="AR114" s="388"/>
      <c r="AS114" s="389"/>
      <c r="AT114" s="390"/>
      <c r="AW114" s="389"/>
      <c r="AX114" s="392"/>
      <c r="AY114" s="392"/>
      <c r="AZ114" s="392"/>
      <c r="BA114" s="393"/>
    </row>
    <row r="115" spans="1:53" s="391" customFormat="1" x14ac:dyDescent="0.15">
      <c r="A115" s="199">
        <v>2011</v>
      </c>
      <c r="B115" s="394">
        <v>40891</v>
      </c>
      <c r="C115" s="780" t="s">
        <v>175</v>
      </c>
      <c r="D115" s="780"/>
      <c r="E115" s="199">
        <f>365-E114</f>
        <v>18</v>
      </c>
      <c r="F115" s="395">
        <v>0</v>
      </c>
      <c r="G115" s="381"/>
      <c r="H115" s="199"/>
      <c r="I115" s="199">
        <v>22</v>
      </c>
      <c r="J115" s="382">
        <v>22</v>
      </c>
      <c r="K115" s="338">
        <f t="shared" si="34"/>
        <v>0</v>
      </c>
      <c r="L115" s="338">
        <f t="shared" si="35"/>
        <v>0</v>
      </c>
      <c r="M115" s="338">
        <f t="shared" si="36"/>
        <v>100</v>
      </c>
      <c r="N115" s="341">
        <f t="shared" si="26"/>
        <v>100</v>
      </c>
      <c r="O115" s="384"/>
      <c r="P115" s="384"/>
      <c r="Q115" s="384">
        <v>48</v>
      </c>
      <c r="R115" s="385">
        <f t="shared" si="27"/>
        <v>48</v>
      </c>
      <c r="S115" s="396">
        <v>4</v>
      </c>
      <c r="T115" s="342"/>
      <c r="U115" s="355"/>
      <c r="V115" s="387" t="s">
        <v>78</v>
      </c>
      <c r="W115" s="388" t="s">
        <v>20</v>
      </c>
      <c r="X115" s="388" t="s">
        <v>12</v>
      </c>
      <c r="Y115" s="389">
        <v>48</v>
      </c>
      <c r="Z115" s="388"/>
      <c r="AA115" s="388"/>
      <c r="AB115" s="388"/>
      <c r="AC115" s="388"/>
      <c r="AD115" s="387"/>
      <c r="AE115" s="388"/>
      <c r="AF115" s="388"/>
      <c r="AG115" s="389"/>
      <c r="AH115" s="388"/>
      <c r="AI115" s="388"/>
      <c r="AJ115" s="388"/>
      <c r="AK115" s="388"/>
      <c r="AL115" s="387"/>
      <c r="AM115" s="388"/>
      <c r="AN115" s="388"/>
      <c r="AO115" s="389"/>
      <c r="AP115" s="387"/>
      <c r="AQ115" s="388"/>
      <c r="AR115" s="388"/>
      <c r="AS115" s="389"/>
      <c r="AT115" s="390"/>
      <c r="AW115" s="389"/>
      <c r="AX115" s="392"/>
      <c r="AY115" s="392"/>
      <c r="AZ115" s="392"/>
      <c r="BA115" s="393"/>
    </row>
    <row r="116" spans="1:53" s="391" customFormat="1" x14ac:dyDescent="0.15">
      <c r="A116" s="199">
        <v>2012</v>
      </c>
      <c r="B116" s="355"/>
      <c r="C116" s="780" t="s">
        <v>175</v>
      </c>
      <c r="D116" s="780"/>
      <c r="E116" s="199">
        <v>0</v>
      </c>
      <c r="F116" s="199"/>
      <c r="G116" s="381"/>
      <c r="H116" s="199"/>
      <c r="I116" s="199">
        <v>22</v>
      </c>
      <c r="J116" s="382">
        <v>22</v>
      </c>
      <c r="K116" s="338">
        <f t="shared" si="34"/>
        <v>0</v>
      </c>
      <c r="L116" s="338">
        <f t="shared" si="35"/>
        <v>0</v>
      </c>
      <c r="M116" s="338">
        <f t="shared" si="36"/>
        <v>100</v>
      </c>
      <c r="N116" s="339">
        <f t="shared" si="26"/>
        <v>100</v>
      </c>
      <c r="O116" s="383"/>
      <c r="P116" s="384"/>
      <c r="Q116" s="384">
        <v>48</v>
      </c>
      <c r="R116" s="385">
        <f t="shared" si="27"/>
        <v>48</v>
      </c>
      <c r="S116" s="386">
        <v>4</v>
      </c>
      <c r="T116" s="342"/>
      <c r="U116" s="355"/>
      <c r="V116" s="387" t="s">
        <v>78</v>
      </c>
      <c r="W116" s="388" t="s">
        <v>20</v>
      </c>
      <c r="X116" s="388" t="s">
        <v>12</v>
      </c>
      <c r="Y116" s="389">
        <v>48</v>
      </c>
      <c r="Z116" s="388"/>
      <c r="AA116" s="388"/>
      <c r="AB116" s="388"/>
      <c r="AC116" s="388"/>
      <c r="AD116" s="387"/>
      <c r="AE116" s="388"/>
      <c r="AF116" s="388"/>
      <c r="AG116" s="389"/>
      <c r="AH116" s="388"/>
      <c r="AI116" s="388"/>
      <c r="AJ116" s="388"/>
      <c r="AK116" s="388"/>
      <c r="AL116" s="387"/>
      <c r="AM116" s="388"/>
      <c r="AN116" s="388"/>
      <c r="AO116" s="389"/>
      <c r="AP116" s="387"/>
      <c r="AQ116" s="388"/>
      <c r="AR116" s="388"/>
      <c r="AS116" s="389"/>
      <c r="AT116" s="390"/>
      <c r="AW116" s="389"/>
      <c r="AX116" s="392"/>
      <c r="AY116" s="392"/>
      <c r="AZ116" s="392"/>
      <c r="BA116" s="393"/>
    </row>
    <row r="117" spans="1:53" s="391" customFormat="1" x14ac:dyDescent="0.15">
      <c r="A117" s="199">
        <v>2012</v>
      </c>
      <c r="B117" s="394"/>
      <c r="C117" s="780" t="s">
        <v>175</v>
      </c>
      <c r="D117" s="780"/>
      <c r="E117" s="199">
        <v>366</v>
      </c>
      <c r="F117" s="395"/>
      <c r="G117" s="381"/>
      <c r="H117" s="199"/>
      <c r="I117" s="199">
        <v>22</v>
      </c>
      <c r="J117" s="382">
        <v>22</v>
      </c>
      <c r="K117" s="338">
        <f>G117/J117*100</f>
        <v>0</v>
      </c>
      <c r="L117" s="338">
        <f t="shared" si="35"/>
        <v>0</v>
      </c>
      <c r="M117" s="338">
        <f t="shared" si="36"/>
        <v>100</v>
      </c>
      <c r="N117" s="341">
        <f t="shared" si="26"/>
        <v>100</v>
      </c>
      <c r="O117" s="384"/>
      <c r="P117" s="384"/>
      <c r="Q117" s="384">
        <v>48</v>
      </c>
      <c r="R117" s="385">
        <f t="shared" si="27"/>
        <v>48</v>
      </c>
      <c r="S117" s="396">
        <v>4</v>
      </c>
      <c r="T117" s="342"/>
      <c r="U117" s="355"/>
      <c r="V117" s="387" t="s">
        <v>78</v>
      </c>
      <c r="W117" s="388" t="s">
        <v>20</v>
      </c>
      <c r="X117" s="388" t="s">
        <v>12</v>
      </c>
      <c r="Y117" s="389">
        <v>48</v>
      </c>
      <c r="Z117" s="388"/>
      <c r="AA117" s="388"/>
      <c r="AB117" s="388"/>
      <c r="AC117" s="388"/>
      <c r="AD117" s="387"/>
      <c r="AE117" s="388"/>
      <c r="AF117" s="388"/>
      <c r="AG117" s="389"/>
      <c r="AH117" s="388"/>
      <c r="AI117" s="388"/>
      <c r="AJ117" s="388"/>
      <c r="AK117" s="388"/>
      <c r="AL117" s="387"/>
      <c r="AM117" s="388"/>
      <c r="AN117" s="388"/>
      <c r="AO117" s="389"/>
      <c r="AP117" s="387"/>
      <c r="AQ117" s="388"/>
      <c r="AR117" s="388"/>
      <c r="AS117" s="389"/>
      <c r="AT117" s="390"/>
      <c r="AW117" s="389"/>
      <c r="AX117" s="392"/>
      <c r="AY117" s="392"/>
      <c r="AZ117" s="392"/>
      <c r="BA117" s="393"/>
    </row>
    <row r="118" spans="1:53" s="391" customFormat="1" x14ac:dyDescent="0.15">
      <c r="A118" s="199">
        <v>2013</v>
      </c>
      <c r="B118" s="394"/>
      <c r="C118" s="780" t="s">
        <v>175</v>
      </c>
      <c r="D118" s="780"/>
      <c r="E118" s="199">
        <v>83</v>
      </c>
      <c r="F118" s="395"/>
      <c r="G118" s="381"/>
      <c r="H118" s="199"/>
      <c r="I118" s="199">
        <v>22</v>
      </c>
      <c r="J118" s="382">
        <v>22</v>
      </c>
      <c r="K118" s="338">
        <f t="shared" si="34"/>
        <v>0</v>
      </c>
      <c r="L118" s="338">
        <f t="shared" si="35"/>
        <v>0</v>
      </c>
      <c r="M118" s="338">
        <f t="shared" si="36"/>
        <v>100</v>
      </c>
      <c r="N118" s="341">
        <f t="shared" si="26"/>
        <v>100</v>
      </c>
      <c r="O118" s="384"/>
      <c r="P118" s="384"/>
      <c r="Q118" s="384">
        <v>48</v>
      </c>
      <c r="R118" s="385">
        <f t="shared" si="27"/>
        <v>48</v>
      </c>
      <c r="S118" s="396">
        <v>4</v>
      </c>
      <c r="T118" s="342"/>
      <c r="U118" s="355"/>
      <c r="V118" s="387" t="s">
        <v>78</v>
      </c>
      <c r="W118" s="388" t="s">
        <v>20</v>
      </c>
      <c r="X118" s="388" t="s">
        <v>12</v>
      </c>
      <c r="Y118" s="389">
        <v>48</v>
      </c>
      <c r="Z118" s="388"/>
      <c r="AA118" s="388"/>
      <c r="AB118" s="388"/>
      <c r="AC118" s="388"/>
      <c r="AD118" s="387"/>
      <c r="AE118" s="388"/>
      <c r="AF118" s="388"/>
      <c r="AG118" s="389"/>
      <c r="AH118" s="388"/>
      <c r="AI118" s="388"/>
      <c r="AJ118" s="388"/>
      <c r="AK118" s="388"/>
      <c r="AL118" s="387"/>
      <c r="AM118" s="388"/>
      <c r="AN118" s="388"/>
      <c r="AO118" s="389"/>
      <c r="AP118" s="387"/>
      <c r="AQ118" s="388"/>
      <c r="AR118" s="388"/>
      <c r="AS118" s="389"/>
      <c r="AT118" s="390"/>
      <c r="AW118" s="389"/>
      <c r="AX118" s="392"/>
      <c r="AY118" s="392"/>
      <c r="AZ118" s="392"/>
      <c r="BA118" s="393"/>
    </row>
    <row r="119" spans="1:53" s="391" customFormat="1" x14ac:dyDescent="0.15">
      <c r="A119" s="199">
        <v>2013</v>
      </c>
      <c r="B119" s="394">
        <v>41358</v>
      </c>
      <c r="C119" s="780" t="s">
        <v>175</v>
      </c>
      <c r="D119" s="780"/>
      <c r="E119" s="199">
        <v>94</v>
      </c>
      <c r="F119" s="395">
        <v>0</v>
      </c>
      <c r="G119" s="381"/>
      <c r="H119" s="199"/>
      <c r="I119" s="199">
        <v>20</v>
      </c>
      <c r="J119" s="382">
        <v>20</v>
      </c>
      <c r="K119" s="338">
        <f t="shared" si="34"/>
        <v>0</v>
      </c>
      <c r="L119" s="338">
        <f t="shared" si="35"/>
        <v>0</v>
      </c>
      <c r="M119" s="338">
        <f t="shared" si="36"/>
        <v>100</v>
      </c>
      <c r="N119" s="341">
        <f t="shared" si="26"/>
        <v>100</v>
      </c>
      <c r="O119" s="384"/>
      <c r="P119" s="384"/>
      <c r="Q119" s="384">
        <v>48</v>
      </c>
      <c r="R119" s="385">
        <f t="shared" si="27"/>
        <v>48</v>
      </c>
      <c r="S119" s="396">
        <v>4</v>
      </c>
      <c r="T119" s="342"/>
      <c r="U119" s="355"/>
      <c r="V119" s="387" t="s">
        <v>78</v>
      </c>
      <c r="W119" s="388" t="s">
        <v>20</v>
      </c>
      <c r="X119" s="388" t="s">
        <v>12</v>
      </c>
      <c r="Y119" s="389">
        <v>48</v>
      </c>
      <c r="Z119" s="388"/>
      <c r="AA119" s="388"/>
      <c r="AB119" s="388"/>
      <c r="AC119" s="388"/>
      <c r="AD119" s="387"/>
      <c r="AE119" s="388"/>
      <c r="AF119" s="388"/>
      <c r="AG119" s="389"/>
      <c r="AH119" s="388"/>
      <c r="AI119" s="388"/>
      <c r="AJ119" s="388"/>
      <c r="AK119" s="388"/>
      <c r="AL119" s="387"/>
      <c r="AM119" s="388"/>
      <c r="AN119" s="388"/>
      <c r="AO119" s="389"/>
      <c r="AP119" s="387"/>
      <c r="AQ119" s="388"/>
      <c r="AR119" s="388"/>
      <c r="AS119" s="389"/>
      <c r="AT119" s="390"/>
      <c r="AW119" s="389"/>
      <c r="AX119" s="392"/>
      <c r="AY119" s="392"/>
      <c r="AZ119" s="392"/>
      <c r="BA119" s="393"/>
    </row>
    <row r="120" spans="1:53" s="120" customFormat="1" x14ac:dyDescent="0.15">
      <c r="A120" s="119">
        <v>2013</v>
      </c>
      <c r="B120" s="111">
        <v>41452</v>
      </c>
      <c r="C120" s="782" t="s">
        <v>1256</v>
      </c>
      <c r="D120" s="782"/>
      <c r="E120" s="110">
        <v>83</v>
      </c>
      <c r="F120" s="110">
        <v>2</v>
      </c>
      <c r="G120" s="112"/>
      <c r="H120" s="110"/>
      <c r="I120" s="110">
        <v>20</v>
      </c>
      <c r="J120" s="113">
        <v>20</v>
      </c>
      <c r="K120" s="77">
        <f t="shared" si="34"/>
        <v>0</v>
      </c>
      <c r="L120" s="77">
        <f t="shared" si="35"/>
        <v>0</v>
      </c>
      <c r="M120" s="77">
        <f t="shared" si="36"/>
        <v>100</v>
      </c>
      <c r="N120" s="80">
        <f t="shared" si="26"/>
        <v>100</v>
      </c>
      <c r="O120" s="92"/>
      <c r="P120" s="92"/>
      <c r="Q120" s="92">
        <v>47.3</v>
      </c>
      <c r="R120" s="93">
        <f>SUM(O120:Q120)</f>
        <v>47.3</v>
      </c>
      <c r="S120" s="102">
        <v>4</v>
      </c>
      <c r="T120" s="95"/>
      <c r="U120" s="323">
        <v>41452</v>
      </c>
      <c r="V120" s="96" t="s">
        <v>78</v>
      </c>
      <c r="W120" s="97" t="s">
        <v>20</v>
      </c>
      <c r="X120" s="97" t="s">
        <v>12</v>
      </c>
      <c r="Y120" s="98">
        <v>47.3</v>
      </c>
      <c r="Z120" s="97"/>
      <c r="AA120" s="97"/>
      <c r="AB120" s="97"/>
      <c r="AC120" s="97"/>
      <c r="AD120" s="114"/>
      <c r="AE120" s="115"/>
      <c r="AF120" s="115"/>
      <c r="AG120" s="116"/>
      <c r="AH120" s="115"/>
      <c r="AI120" s="115"/>
      <c r="AJ120" s="115"/>
      <c r="AK120" s="115"/>
      <c r="AL120" s="114"/>
      <c r="AM120" s="115"/>
      <c r="AN120" s="115"/>
      <c r="AO120" s="116"/>
      <c r="AP120" s="114"/>
      <c r="AQ120" s="115"/>
      <c r="AR120" s="115"/>
      <c r="AS120" s="116"/>
      <c r="AT120" s="117"/>
      <c r="AW120" s="116"/>
      <c r="AX120" s="119"/>
      <c r="AY120" s="119"/>
      <c r="AZ120" s="119"/>
      <c r="BA120" s="333"/>
    </row>
    <row r="121" spans="1:53" s="391" customFormat="1" x14ac:dyDescent="0.15">
      <c r="A121" s="199">
        <v>2013</v>
      </c>
      <c r="B121" s="380">
        <v>41535</v>
      </c>
      <c r="C121" s="780" t="s">
        <v>1257</v>
      </c>
      <c r="D121" s="780"/>
      <c r="E121" s="199">
        <f>365-E120-E119-E118</f>
        <v>105</v>
      </c>
      <c r="F121" s="199">
        <v>1</v>
      </c>
      <c r="G121" s="381">
        <v>19</v>
      </c>
      <c r="H121" s="199"/>
      <c r="I121" s="199"/>
      <c r="J121" s="382">
        <v>19</v>
      </c>
      <c r="K121" s="338">
        <f t="shared" si="34"/>
        <v>100</v>
      </c>
      <c r="L121" s="338">
        <f t="shared" si="35"/>
        <v>0</v>
      </c>
      <c r="M121" s="338">
        <f t="shared" si="36"/>
        <v>0</v>
      </c>
      <c r="N121" s="339">
        <f t="shared" si="26"/>
        <v>100</v>
      </c>
      <c r="O121" s="383">
        <v>60</v>
      </c>
      <c r="P121" s="384"/>
      <c r="Q121" s="384"/>
      <c r="R121" s="385">
        <f t="shared" si="27"/>
        <v>60</v>
      </c>
      <c r="S121" s="386">
        <v>2</v>
      </c>
      <c r="T121" s="342">
        <v>41524</v>
      </c>
      <c r="U121" s="355">
        <v>41535</v>
      </c>
      <c r="V121" s="387" t="s">
        <v>72</v>
      </c>
      <c r="W121" s="388" t="s">
        <v>74</v>
      </c>
      <c r="X121" s="388" t="s">
        <v>11</v>
      </c>
      <c r="Y121" s="389">
        <v>50</v>
      </c>
      <c r="Z121" s="388" t="s">
        <v>73</v>
      </c>
      <c r="AA121" s="388" t="s">
        <v>75</v>
      </c>
      <c r="AB121" s="388" t="s">
        <v>11</v>
      </c>
      <c r="AC121" s="388">
        <v>10</v>
      </c>
      <c r="AD121" s="387"/>
      <c r="AE121" s="388"/>
      <c r="AF121" s="388"/>
      <c r="AG121" s="389"/>
      <c r="AH121" s="388"/>
      <c r="AI121" s="388"/>
      <c r="AJ121" s="388"/>
      <c r="AK121" s="388"/>
      <c r="AL121" s="387"/>
      <c r="AM121" s="388"/>
      <c r="AN121" s="388"/>
      <c r="AO121" s="389"/>
      <c r="AP121" s="387"/>
      <c r="AQ121" s="388"/>
      <c r="AR121" s="388"/>
      <c r="AS121" s="389"/>
      <c r="AT121" s="390"/>
      <c r="AW121" s="389"/>
      <c r="AX121" s="392"/>
      <c r="AY121" s="392"/>
      <c r="AZ121" s="392"/>
      <c r="BA121" s="393"/>
    </row>
    <row r="122" spans="1:53" s="391" customFormat="1" x14ac:dyDescent="0.15">
      <c r="A122" s="199">
        <v>2014</v>
      </c>
      <c r="B122" s="380"/>
      <c r="C122" s="780" t="s">
        <v>1257</v>
      </c>
      <c r="D122" s="780"/>
      <c r="E122" s="199">
        <v>0</v>
      </c>
      <c r="F122" s="199"/>
      <c r="G122" s="381">
        <v>19</v>
      </c>
      <c r="H122" s="199"/>
      <c r="I122" s="199"/>
      <c r="J122" s="382">
        <v>19</v>
      </c>
      <c r="K122" s="338">
        <f t="shared" si="34"/>
        <v>100</v>
      </c>
      <c r="L122" s="338">
        <f t="shared" si="35"/>
        <v>0</v>
      </c>
      <c r="M122" s="338">
        <f t="shared" si="36"/>
        <v>0</v>
      </c>
      <c r="N122" s="339">
        <f t="shared" si="26"/>
        <v>100</v>
      </c>
      <c r="O122" s="494">
        <v>60</v>
      </c>
      <c r="P122" s="495"/>
      <c r="Q122" s="495"/>
      <c r="R122" s="496">
        <f t="shared" si="27"/>
        <v>60</v>
      </c>
      <c r="S122" s="386">
        <v>2</v>
      </c>
      <c r="T122" s="487"/>
      <c r="U122" s="508"/>
      <c r="V122" s="387" t="s">
        <v>72</v>
      </c>
      <c r="W122" s="388" t="s">
        <v>74</v>
      </c>
      <c r="X122" s="388" t="s">
        <v>11</v>
      </c>
      <c r="Y122" s="389">
        <v>50</v>
      </c>
      <c r="Z122" s="388" t="s">
        <v>73</v>
      </c>
      <c r="AA122" s="388" t="s">
        <v>75</v>
      </c>
      <c r="AB122" s="388" t="s">
        <v>11</v>
      </c>
      <c r="AC122" s="388">
        <v>10</v>
      </c>
      <c r="AD122" s="387"/>
      <c r="AE122" s="388"/>
      <c r="AF122" s="388"/>
      <c r="AG122" s="389"/>
      <c r="AH122" s="388"/>
      <c r="AI122" s="388"/>
      <c r="AJ122" s="388"/>
      <c r="AK122" s="388"/>
      <c r="AL122" s="387"/>
      <c r="AM122" s="388"/>
      <c r="AN122" s="388"/>
      <c r="AO122" s="389"/>
      <c r="AP122" s="387"/>
      <c r="AQ122" s="388"/>
      <c r="AR122" s="388"/>
      <c r="AS122" s="389"/>
      <c r="AT122" s="390"/>
      <c r="AW122" s="389"/>
      <c r="AX122" s="507"/>
      <c r="AY122" s="507"/>
      <c r="AZ122" s="507"/>
      <c r="BA122" s="393"/>
    </row>
    <row r="123" spans="1:53" s="391" customFormat="1" x14ac:dyDescent="0.15">
      <c r="A123" s="199">
        <v>2014</v>
      </c>
      <c r="B123" s="380"/>
      <c r="C123" s="780" t="s">
        <v>1257</v>
      </c>
      <c r="D123" s="780"/>
      <c r="E123" s="199">
        <v>365</v>
      </c>
      <c r="F123" s="199"/>
      <c r="G123" s="381">
        <v>19</v>
      </c>
      <c r="H123" s="199"/>
      <c r="I123" s="199"/>
      <c r="J123" s="382">
        <v>19</v>
      </c>
      <c r="K123" s="338">
        <f t="shared" si="34"/>
        <v>100</v>
      </c>
      <c r="L123" s="338">
        <f t="shared" si="35"/>
        <v>0</v>
      </c>
      <c r="M123" s="338">
        <f t="shared" si="36"/>
        <v>0</v>
      </c>
      <c r="N123" s="339">
        <f t="shared" si="26"/>
        <v>100</v>
      </c>
      <c r="O123" s="494">
        <v>60</v>
      </c>
      <c r="P123" s="495"/>
      <c r="Q123" s="495"/>
      <c r="R123" s="496">
        <f t="shared" si="27"/>
        <v>60</v>
      </c>
      <c r="S123" s="386">
        <v>2</v>
      </c>
      <c r="T123" s="487"/>
      <c r="U123" s="508"/>
      <c r="V123" s="387" t="s">
        <v>72</v>
      </c>
      <c r="W123" s="388" t="s">
        <v>74</v>
      </c>
      <c r="X123" s="388" t="s">
        <v>11</v>
      </c>
      <c r="Y123" s="389">
        <v>50</v>
      </c>
      <c r="Z123" s="388" t="s">
        <v>73</v>
      </c>
      <c r="AA123" s="388" t="s">
        <v>75</v>
      </c>
      <c r="AB123" s="388" t="s">
        <v>11</v>
      </c>
      <c r="AC123" s="388">
        <v>10</v>
      </c>
      <c r="AD123" s="387"/>
      <c r="AE123" s="388"/>
      <c r="AF123" s="388"/>
      <c r="AG123" s="389"/>
      <c r="AH123" s="388"/>
      <c r="AI123" s="388"/>
      <c r="AJ123" s="388"/>
      <c r="AK123" s="388"/>
      <c r="AL123" s="387"/>
      <c r="AM123" s="388"/>
      <c r="AN123" s="388"/>
      <c r="AO123" s="389"/>
      <c r="AP123" s="387"/>
      <c r="AQ123" s="388"/>
      <c r="AR123" s="388"/>
      <c r="AS123" s="389"/>
      <c r="AT123" s="390"/>
      <c r="AW123" s="389"/>
      <c r="AX123" s="507"/>
      <c r="AY123" s="507"/>
      <c r="AZ123" s="507"/>
      <c r="BA123" s="393"/>
    </row>
    <row r="124" spans="1:53" s="391" customFormat="1" x14ac:dyDescent="0.15">
      <c r="A124" s="199">
        <v>2015</v>
      </c>
      <c r="B124" s="380"/>
      <c r="C124" s="780" t="s">
        <v>1257</v>
      </c>
      <c r="D124" s="780"/>
      <c r="E124" s="199">
        <v>257</v>
      </c>
      <c r="F124" s="199"/>
      <c r="G124" s="381">
        <v>19</v>
      </c>
      <c r="H124" s="199"/>
      <c r="I124" s="199"/>
      <c r="J124" s="382">
        <v>19</v>
      </c>
      <c r="K124" s="338">
        <f t="shared" si="34"/>
        <v>100</v>
      </c>
      <c r="L124" s="338">
        <f t="shared" si="35"/>
        <v>0</v>
      </c>
      <c r="M124" s="338">
        <f t="shared" si="36"/>
        <v>0</v>
      </c>
      <c r="N124" s="339">
        <f t="shared" si="26"/>
        <v>100</v>
      </c>
      <c r="O124" s="646">
        <v>60</v>
      </c>
      <c r="P124" s="647"/>
      <c r="Q124" s="647"/>
      <c r="R124" s="648">
        <f t="shared" ref="R124:R125" si="37">SUM(O124:Q124)</f>
        <v>60</v>
      </c>
      <c r="S124" s="386">
        <v>2</v>
      </c>
      <c r="T124" s="487"/>
      <c r="U124" s="688"/>
      <c r="V124" s="387" t="s">
        <v>72</v>
      </c>
      <c r="W124" s="388" t="s">
        <v>74</v>
      </c>
      <c r="X124" s="388" t="s">
        <v>11</v>
      </c>
      <c r="Y124" s="389">
        <v>50</v>
      </c>
      <c r="Z124" s="388" t="s">
        <v>73</v>
      </c>
      <c r="AA124" s="388" t="s">
        <v>75</v>
      </c>
      <c r="AB124" s="388" t="s">
        <v>11</v>
      </c>
      <c r="AC124" s="388">
        <v>10</v>
      </c>
      <c r="AD124" s="387"/>
      <c r="AE124" s="388"/>
      <c r="AF124" s="388"/>
      <c r="AG124" s="389"/>
      <c r="AH124" s="388"/>
      <c r="AI124" s="388"/>
      <c r="AJ124" s="388"/>
      <c r="AK124" s="388"/>
      <c r="AL124" s="387"/>
      <c r="AM124" s="388"/>
      <c r="AN124" s="388"/>
      <c r="AO124" s="389"/>
      <c r="AP124" s="387"/>
      <c r="AQ124" s="388"/>
      <c r="AR124" s="388"/>
      <c r="AS124" s="389"/>
      <c r="AT124" s="390"/>
      <c r="AW124" s="389"/>
      <c r="AX124" s="689"/>
      <c r="AY124" s="689"/>
      <c r="AZ124" s="689"/>
      <c r="BA124" s="393"/>
    </row>
    <row r="125" spans="1:53" s="120" customFormat="1" x14ac:dyDescent="0.15">
      <c r="A125" s="119">
        <v>2015</v>
      </c>
      <c r="B125" s="111">
        <v>42262</v>
      </c>
      <c r="C125" s="782" t="s">
        <v>1333</v>
      </c>
      <c r="D125" s="782"/>
      <c r="E125" s="110">
        <v>108</v>
      </c>
      <c r="F125" s="110">
        <v>5</v>
      </c>
      <c r="G125" s="112">
        <v>21</v>
      </c>
      <c r="H125" s="110"/>
      <c r="I125" s="110"/>
      <c r="J125" s="113">
        <v>21</v>
      </c>
      <c r="K125" s="77">
        <f t="shared" si="34"/>
        <v>100</v>
      </c>
      <c r="L125" s="77">
        <f t="shared" si="35"/>
        <v>0</v>
      </c>
      <c r="M125" s="77">
        <f t="shared" si="36"/>
        <v>0</v>
      </c>
      <c r="N125" s="80">
        <f t="shared" si="26"/>
        <v>100</v>
      </c>
      <c r="O125" s="597">
        <v>60</v>
      </c>
      <c r="P125" s="597"/>
      <c r="Q125" s="597"/>
      <c r="R125" s="598">
        <f t="shared" si="37"/>
        <v>60</v>
      </c>
      <c r="S125" s="102">
        <v>2</v>
      </c>
      <c r="T125" s="599"/>
      <c r="U125" s="687">
        <v>42262</v>
      </c>
      <c r="V125" s="96" t="s">
        <v>72</v>
      </c>
      <c r="W125" s="97" t="s">
        <v>74</v>
      </c>
      <c r="X125" s="97" t="s">
        <v>11</v>
      </c>
      <c r="Y125" s="98">
        <v>50</v>
      </c>
      <c r="Z125" s="97" t="s">
        <v>73</v>
      </c>
      <c r="AA125" s="97" t="s">
        <v>75</v>
      </c>
      <c r="AB125" s="97" t="s">
        <v>11</v>
      </c>
      <c r="AC125" s="97">
        <v>10</v>
      </c>
      <c r="AD125" s="114"/>
      <c r="AE125" s="115"/>
      <c r="AF125" s="115"/>
      <c r="AG125" s="116"/>
      <c r="AH125" s="115"/>
      <c r="AI125" s="115"/>
      <c r="AJ125" s="115"/>
      <c r="AK125" s="115"/>
      <c r="AL125" s="114"/>
      <c r="AM125" s="115"/>
      <c r="AN125" s="115"/>
      <c r="AO125" s="116"/>
      <c r="AP125" s="114"/>
      <c r="AQ125" s="115"/>
      <c r="AR125" s="115"/>
      <c r="AS125" s="116"/>
      <c r="AT125" s="117"/>
      <c r="AW125" s="116"/>
      <c r="AX125" s="119"/>
      <c r="AY125" s="119"/>
      <c r="AZ125" s="119"/>
      <c r="BA125" s="333"/>
    </row>
    <row r="126" spans="1:53" x14ac:dyDescent="0.15">
      <c r="A126" s="56"/>
    </row>
    <row r="127" spans="1:53" x14ac:dyDescent="0.15">
      <c r="A127" s="56"/>
    </row>
    <row r="128" spans="1:53" s="2" customFormat="1" ht="18" customHeight="1" x14ac:dyDescent="0.2">
      <c r="A128" s="16"/>
      <c r="B128" s="22" t="s">
        <v>1284</v>
      </c>
      <c r="S128" s="20"/>
    </row>
    <row r="129" spans="1:30" s="2" customFormat="1" ht="9" customHeight="1" x14ac:dyDescent="0.15">
      <c r="A129" s="16"/>
      <c r="S129" s="20"/>
    </row>
    <row r="130" spans="1:30" s="364" customFormat="1" ht="9" customHeight="1" x14ac:dyDescent="0.15">
      <c r="A130" s="362"/>
      <c r="B130" s="363" t="s">
        <v>1235</v>
      </c>
      <c r="C130" s="363"/>
      <c r="D130" s="363"/>
      <c r="E130" s="363"/>
      <c r="F130" s="363"/>
      <c r="G130" s="363" t="s">
        <v>1236</v>
      </c>
      <c r="H130" s="363"/>
      <c r="I130" s="363"/>
      <c r="J130" s="363"/>
      <c r="K130" s="363"/>
      <c r="L130" s="363"/>
      <c r="M130" s="363"/>
      <c r="N130" s="363"/>
      <c r="R130" s="802" t="s">
        <v>1237</v>
      </c>
      <c r="S130" s="802"/>
      <c r="T130" s="802"/>
      <c r="U130" s="802"/>
      <c r="V130" s="802"/>
      <c r="W130" s="802"/>
      <c r="X130" s="365"/>
      <c r="Y130" s="365"/>
      <c r="AA130" s="365"/>
      <c r="AB130" s="365"/>
      <c r="AC130" s="365"/>
      <c r="AD130" s="365"/>
    </row>
    <row r="131" spans="1:30" s="369" customFormat="1" ht="9" customHeight="1" x14ac:dyDescent="0.15">
      <c r="A131" s="366"/>
      <c r="B131" s="367" t="s">
        <v>1239</v>
      </c>
      <c r="C131" s="368"/>
      <c r="D131" s="368"/>
      <c r="E131" s="368"/>
      <c r="F131" s="368"/>
      <c r="G131" s="367" t="s">
        <v>1238</v>
      </c>
      <c r="H131" s="368"/>
      <c r="I131" s="368"/>
      <c r="J131" s="368"/>
      <c r="K131" s="368"/>
      <c r="L131" s="368"/>
      <c r="M131" s="368"/>
      <c r="N131" s="368"/>
      <c r="R131" s="370" t="s">
        <v>1240</v>
      </c>
      <c r="S131" s="371"/>
      <c r="T131" s="372"/>
      <c r="U131" s="372"/>
      <c r="V131" s="372"/>
      <c r="W131" s="370" t="s">
        <v>1241</v>
      </c>
      <c r="X131" s="372"/>
      <c r="Y131" s="372"/>
      <c r="AA131" s="372"/>
      <c r="AB131" s="372"/>
      <c r="AC131" s="372"/>
      <c r="AD131" s="372"/>
    </row>
    <row r="132" spans="1:30" s="351" customFormat="1" ht="12" customHeight="1" x14ac:dyDescent="0.15">
      <c r="A132" s="373" t="s">
        <v>3</v>
      </c>
      <c r="B132" s="374" t="s">
        <v>8</v>
      </c>
      <c r="C132" s="374" t="s">
        <v>9</v>
      </c>
      <c r="D132" s="374" t="s">
        <v>10</v>
      </c>
      <c r="E132" s="375" t="s">
        <v>1215</v>
      </c>
      <c r="F132" s="374"/>
      <c r="G132" s="351" t="s">
        <v>3</v>
      </c>
      <c r="H132" s="803" t="s">
        <v>0</v>
      </c>
      <c r="I132" s="803"/>
      <c r="J132" s="803" t="s">
        <v>1</v>
      </c>
      <c r="K132" s="803"/>
      <c r="L132" s="803" t="s">
        <v>2</v>
      </c>
      <c r="M132" s="803"/>
      <c r="N132" s="804" t="s">
        <v>1215</v>
      </c>
      <c r="O132" s="804"/>
      <c r="P132" s="376"/>
      <c r="Q132" s="376"/>
      <c r="R132" s="377" t="s">
        <v>3</v>
      </c>
      <c r="S132" s="378" t="s">
        <v>136</v>
      </c>
      <c r="T132" s="376" t="s">
        <v>134</v>
      </c>
      <c r="U132" s="374" t="s">
        <v>135</v>
      </c>
      <c r="V132" s="376"/>
      <c r="W132" s="379" t="s">
        <v>26</v>
      </c>
    </row>
    <row r="133" spans="1:30" s="262" customFormat="1" x14ac:dyDescent="0.15">
      <c r="A133" s="240">
        <v>1959</v>
      </c>
      <c r="B133" s="260">
        <f>(K6*($E6/365)) + (K7*($E7/365))</f>
        <v>100</v>
      </c>
      <c r="C133" s="260">
        <f>(L6*($E6/365)) + (L7*($E7/365))</f>
        <v>0</v>
      </c>
      <c r="D133" s="260">
        <f>(M6*($E6/365)) + (M7*($E7/365))</f>
        <v>0</v>
      </c>
      <c r="E133" s="261">
        <f>B133+C133+C134</f>
        <v>100</v>
      </c>
      <c r="G133" s="240">
        <v>1959</v>
      </c>
      <c r="H133" s="783">
        <f>(O6/$R6*100*($E6/365))+(O7/$R7*100*($E7/365))</f>
        <v>100</v>
      </c>
      <c r="I133" s="783"/>
      <c r="J133" s="783">
        <f>(P6/$R6*100*($E6/365))+(P7/$R7*100*($E7/365))</f>
        <v>0</v>
      </c>
      <c r="K133" s="783"/>
      <c r="L133" s="783">
        <f>(Q6/$R6*100*($E6/365))+(Q7/$R7*100*($E7/365))</f>
        <v>0</v>
      </c>
      <c r="M133" s="783"/>
      <c r="N133" s="805">
        <f>H133+J133+K133</f>
        <v>100</v>
      </c>
      <c r="O133" s="805"/>
      <c r="R133" s="240">
        <v>1959</v>
      </c>
      <c r="S133" s="260">
        <f>(O6*($E6/365)) + (O7*($E7/365))</f>
        <v>63.1</v>
      </c>
      <c r="T133" s="260">
        <f>(P6*($E6/365)) + (P7*($E7/365))</f>
        <v>0</v>
      </c>
      <c r="U133" s="260">
        <f>(Q6*($E6/365)) + (Q7*($E7/365))</f>
        <v>0</v>
      </c>
      <c r="W133" s="260">
        <f>S133+T133+U133</f>
        <v>63.1</v>
      </c>
    </row>
    <row r="134" spans="1:30" x14ac:dyDescent="0.15">
      <c r="A134" s="54">
        <v>1960</v>
      </c>
      <c r="B134" s="8">
        <f>(K8*($E8/366)) + (K9*($E9/366))</f>
        <v>100</v>
      </c>
      <c r="C134" s="8">
        <f>(L8*($E8/366)) + (L9*($E9/366))</f>
        <v>0</v>
      </c>
      <c r="D134" s="8">
        <f>(M8*($E8/366)) + (M9*($E9/366))</f>
        <v>0</v>
      </c>
      <c r="E134" s="30">
        <f t="shared" ref="E134:E163" si="38">SUM(B134:D134)</f>
        <v>100</v>
      </c>
      <c r="G134" s="9">
        <v>1960</v>
      </c>
      <c r="H134" s="779">
        <f>(O8/$R8*100*($E8/366))+(O9/$R9*100*($E9/366))</f>
        <v>100</v>
      </c>
      <c r="I134" s="779"/>
      <c r="J134" s="779">
        <f>(P8/$R8*100*($E8/366))+(P9/$R9*100*($E9/366))</f>
        <v>0</v>
      </c>
      <c r="K134" s="779"/>
      <c r="L134" s="779">
        <f>(Q8/$R8*100*($E8/366))+(Q9/$R9*100*($E9/366))</f>
        <v>0</v>
      </c>
      <c r="M134" s="779"/>
      <c r="N134" s="781">
        <f t="shared" ref="N134:N163" si="39">SUM(H134:M134)</f>
        <v>100</v>
      </c>
      <c r="O134" s="781"/>
      <c r="R134" s="9">
        <v>1960</v>
      </c>
      <c r="S134" s="8">
        <f>(O8*($E8/366)) + (O9*($E9/366))</f>
        <v>63.1</v>
      </c>
      <c r="T134" s="8">
        <f>(P8*($E8/366)) + (P9*($E9/366))</f>
        <v>0</v>
      </c>
      <c r="U134" s="8">
        <f>(Q8*($E8/366)) + (Q9*($E9/366))</f>
        <v>0</v>
      </c>
      <c r="W134" s="8">
        <f>R8*(E8/366) + R9*(E9/366)</f>
        <v>63.1</v>
      </c>
    </row>
    <row r="135" spans="1:30" x14ac:dyDescent="0.15">
      <c r="A135" s="54">
        <v>1961</v>
      </c>
      <c r="B135" s="8">
        <f>(K10*($E10/365)) + (K11*($E11/365))</f>
        <v>100</v>
      </c>
      <c r="C135" s="8">
        <f>(L10*($E10/365)) + (L11*($E11/365))</f>
        <v>0</v>
      </c>
      <c r="D135" s="8">
        <f>(M10*($E10/365)) + (M11*($E11/365))</f>
        <v>0</v>
      </c>
      <c r="E135" s="30">
        <f t="shared" si="38"/>
        <v>100</v>
      </c>
      <c r="G135" s="9">
        <v>1961</v>
      </c>
      <c r="H135" s="779">
        <f>(O10/$R10*100*($E10/365))+(O11/$R11*100*($E11/365))</f>
        <v>100</v>
      </c>
      <c r="I135" s="779"/>
      <c r="J135" s="779">
        <f>(P10/$R10*100*($E10/365))+(P11/$R11*100*($E11/365))</f>
        <v>0</v>
      </c>
      <c r="K135" s="779"/>
      <c r="L135" s="779">
        <f>(Q10/$R10*100*($E10/365))+(Q11/$R11*100*($E11/365))</f>
        <v>0</v>
      </c>
      <c r="M135" s="779"/>
      <c r="N135" s="781">
        <f t="shared" si="39"/>
        <v>100</v>
      </c>
      <c r="O135" s="781"/>
      <c r="R135" s="9">
        <v>1961</v>
      </c>
      <c r="S135" s="8">
        <f>(O10*($E10/365)) + (O11*($E11/365))</f>
        <v>62.796712328767128</v>
      </c>
      <c r="T135" s="8">
        <f>(P10*($E10/365)) + (P11*($E11/365))</f>
        <v>0</v>
      </c>
      <c r="U135" s="8">
        <f>(Q10*($E10/365)) + (Q11*($E11/365))</f>
        <v>0</v>
      </c>
      <c r="W135" s="8">
        <f>R10*(E10/365) + R11*(E11/365)</f>
        <v>62.796712328767128</v>
      </c>
    </row>
    <row r="136" spans="1:30" x14ac:dyDescent="0.15">
      <c r="A136" s="54">
        <v>1962</v>
      </c>
      <c r="B136" s="8">
        <f>(K12*($E12/365)) + (K13*($E13/365))</f>
        <v>100</v>
      </c>
      <c r="C136" s="8">
        <f>(L12*($E12/365)) + (L13*($E13/365))</f>
        <v>0</v>
      </c>
      <c r="D136" s="8">
        <f>(M12*($E12/365)) + (M13*($E13/365))</f>
        <v>0</v>
      </c>
      <c r="E136" s="30">
        <f t="shared" si="38"/>
        <v>100</v>
      </c>
      <c r="G136" s="9">
        <v>1962</v>
      </c>
      <c r="H136" s="779">
        <f>(O12/$R12*100*($E12/365))+(O13/$R13*100*($E13/365))</f>
        <v>100</v>
      </c>
      <c r="I136" s="779"/>
      <c r="J136" s="779">
        <f>(P12/$R12*100*($E12/365))+(P13/$R13*100*($E13/365))</f>
        <v>0</v>
      </c>
      <c r="K136" s="779"/>
      <c r="L136" s="779">
        <f>(Q12/$R12*100*($E12/365))+(Q13/$R13*100*($E13/365))</f>
        <v>0</v>
      </c>
      <c r="M136" s="779"/>
      <c r="N136" s="781">
        <f t="shared" si="39"/>
        <v>100</v>
      </c>
      <c r="O136" s="781"/>
      <c r="R136" s="9">
        <v>1962</v>
      </c>
      <c r="S136" s="8">
        <f>(O12*($E12/365)) + (O13*($E13/365))</f>
        <v>50.8</v>
      </c>
      <c r="T136" s="8">
        <f>(P12*($E12/365)) + (P13*($E13/365))</f>
        <v>0</v>
      </c>
      <c r="U136" s="8">
        <f>(Q12*($E12/365)) + (Q13*($E13/365))</f>
        <v>0</v>
      </c>
      <c r="W136" s="8">
        <f>R12*(E12/365) + R13*(E13/365)</f>
        <v>50.8</v>
      </c>
    </row>
    <row r="137" spans="1:30" x14ac:dyDescent="0.15">
      <c r="A137" s="54">
        <v>1963</v>
      </c>
      <c r="B137" s="8">
        <f>(K14*($E14/365)) + (K15*($E15/365))</f>
        <v>99.999999999999986</v>
      </c>
      <c r="C137" s="8">
        <f>(L14*($E14/365)) + (L15*($E15/365))</f>
        <v>0</v>
      </c>
      <c r="D137" s="8">
        <f>(M14*($E14/365)) + (M15*($E15/365))</f>
        <v>0</v>
      </c>
      <c r="E137" s="30">
        <f t="shared" si="38"/>
        <v>99.999999999999986</v>
      </c>
      <c r="G137" s="9">
        <v>1963</v>
      </c>
      <c r="H137" s="779">
        <f>(O14/$R14*100*($E14/365))+(O15/$R15*100*($E15/365))</f>
        <v>99.999999999999986</v>
      </c>
      <c r="I137" s="779"/>
      <c r="J137" s="779">
        <f>(P14/$R14*100*($E14/365))+(P15/$R15*100*($E15/365))</f>
        <v>0</v>
      </c>
      <c r="K137" s="779"/>
      <c r="L137" s="779">
        <f>(Q14/$R14*100*($E14/365))+(Q15/$R15*100*($E15/365))</f>
        <v>0</v>
      </c>
      <c r="M137" s="779"/>
      <c r="N137" s="781">
        <f t="shared" si="39"/>
        <v>99.999999999999986</v>
      </c>
      <c r="O137" s="781"/>
      <c r="R137" s="9">
        <v>1963</v>
      </c>
      <c r="S137" s="8">
        <f>(O14*($E14/365)) + (O15*($E15/365))</f>
        <v>51.136986301369859</v>
      </c>
      <c r="T137" s="8">
        <f>(P14*($E14/365)) + (P15*($E15/365))</f>
        <v>0</v>
      </c>
      <c r="U137" s="8">
        <f>(Q14*($E14/365)) + (Q15*($E15/365))</f>
        <v>0</v>
      </c>
      <c r="W137" s="8">
        <f xml:space="preserve"> R14*(E14/365) + R15*(E15/365)</f>
        <v>51.136986301369859</v>
      </c>
    </row>
    <row r="138" spans="1:30" x14ac:dyDescent="0.15">
      <c r="A138" s="54">
        <v>1964</v>
      </c>
      <c r="B138" s="8">
        <f>(K16*($E16/366)) + (K17*($E17/366))</f>
        <v>100</v>
      </c>
      <c r="C138" s="8">
        <f>(L16*($E16/366)) + (L17*($E17/366))</f>
        <v>0</v>
      </c>
      <c r="D138" s="8">
        <f>(M16*($E16/366)) + (M17*($E17/366))</f>
        <v>0</v>
      </c>
      <c r="E138" s="30">
        <f t="shared" si="38"/>
        <v>100</v>
      </c>
      <c r="G138" s="9">
        <v>1964</v>
      </c>
      <c r="H138" s="779">
        <f>(O16/$R16*100*($E16/366))+(O17/$R17*100*($E17/366))</f>
        <v>100</v>
      </c>
      <c r="I138" s="779"/>
      <c r="J138" s="779">
        <f>(P16/$R16*100*($E16/366))+(P17/$R17*100*($E17/366))</f>
        <v>0</v>
      </c>
      <c r="K138" s="779"/>
      <c r="L138" s="779">
        <f>(Q16/$R16*100*($E16/366))+(Q17/$R17*100*($E17/366))</f>
        <v>0</v>
      </c>
      <c r="M138" s="779"/>
      <c r="N138" s="781">
        <f t="shared" si="39"/>
        <v>100</v>
      </c>
      <c r="O138" s="781"/>
      <c r="R138" s="9">
        <v>1964</v>
      </c>
      <c r="S138" s="8">
        <f>(O16*($E16/366)) + (O17*($E17/366))</f>
        <v>59</v>
      </c>
      <c r="T138" s="8">
        <f>(P16*($E16/366)) + (P17*($E17/366))</f>
        <v>0</v>
      </c>
      <c r="U138" s="8">
        <f>(Q16*($E16/366)) + (Q17*($E17/366))</f>
        <v>0</v>
      </c>
      <c r="W138" s="8">
        <f xml:space="preserve"> R16*(E16/366) + R17*(E17/366)</f>
        <v>59</v>
      </c>
    </row>
    <row r="139" spans="1:30" x14ac:dyDescent="0.15">
      <c r="A139" s="54">
        <v>1965</v>
      </c>
      <c r="B139" s="8">
        <f>(K18*($E18/365)) + (K19*($E19/365))</f>
        <v>100</v>
      </c>
      <c r="C139" s="8">
        <f>(L18*($E18/365)) + (L19*($E19/365))</f>
        <v>0</v>
      </c>
      <c r="D139" s="8">
        <f>(M18*($E18/365)) + (M19*($E19/365))</f>
        <v>0</v>
      </c>
      <c r="E139" s="30">
        <f t="shared" si="38"/>
        <v>100</v>
      </c>
      <c r="G139" s="9">
        <v>1965</v>
      </c>
      <c r="H139" s="779">
        <f>(O18/$R18*100*($E18/365))+(O19/$R19*100*($E19/365))</f>
        <v>100</v>
      </c>
      <c r="I139" s="779"/>
      <c r="J139" s="779">
        <f>(P18/$R18*100*($E18/365))+(P19/$R19*100*($E19/365))</f>
        <v>0</v>
      </c>
      <c r="K139" s="779"/>
      <c r="L139" s="779">
        <f>(Q18/$R18*100*($E18/365))+(Q19/$R19*100*($E19/365))</f>
        <v>0</v>
      </c>
      <c r="M139" s="779"/>
      <c r="N139" s="781">
        <f t="shared" si="39"/>
        <v>100</v>
      </c>
      <c r="O139" s="781"/>
      <c r="R139" s="9">
        <v>1965</v>
      </c>
      <c r="S139" s="8">
        <f>(O18*($E18/365)) + (O19*($E19/365))</f>
        <v>59</v>
      </c>
      <c r="T139" s="8">
        <f>(P18*($E18/365)) + (P19*($E19/365))</f>
        <v>0</v>
      </c>
      <c r="U139" s="8">
        <f>(Q18*($E18/365)) + (Q19*($E19/365))</f>
        <v>0</v>
      </c>
      <c r="W139" s="8">
        <f xml:space="preserve"> R18*(E18/365) + R19*(E19/365)</f>
        <v>59</v>
      </c>
    </row>
    <row r="140" spans="1:30" x14ac:dyDescent="0.15">
      <c r="A140" s="54">
        <v>1966</v>
      </c>
      <c r="B140" s="8">
        <f>(K20*($E20/365)) + (K21*($E21/365)) + (K22*($E22/365))</f>
        <v>100.00000000000001</v>
      </c>
      <c r="C140" s="8">
        <f>(L20*($E20/365)) + (L21*($E21/365)) + (L22*($E22/365))</f>
        <v>0</v>
      </c>
      <c r="D140" s="8">
        <f>(M20*($E20/365)) + (M21*($E21/365)) + (M22*($E22/365))</f>
        <v>0</v>
      </c>
      <c r="E140" s="30">
        <f t="shared" si="38"/>
        <v>100.00000000000001</v>
      </c>
      <c r="G140" s="9">
        <v>1966</v>
      </c>
      <c r="H140" s="779">
        <f>(O20/$R20*100*($E20/365))+(O21/$R21*100*($E21/365))+(O22/$R22*100*($E22/365))</f>
        <v>100.00000000000001</v>
      </c>
      <c r="I140" s="779"/>
      <c r="J140" s="779">
        <f>(P20/$R20*100*($E20/365))+(P21/$R21*100*($E21/365))+(P22/$R22*100*($E22/365))</f>
        <v>0</v>
      </c>
      <c r="K140" s="779"/>
      <c r="L140" s="779">
        <f>(Q20/$R20*100*($E20/365))+(Q21/$R21*100*($E21/365))+(Q22/$R22*100*($E22/365))</f>
        <v>0</v>
      </c>
      <c r="M140" s="779"/>
      <c r="N140" s="781">
        <f t="shared" si="39"/>
        <v>100.00000000000001</v>
      </c>
      <c r="O140" s="781"/>
      <c r="R140" s="9">
        <v>1966</v>
      </c>
      <c r="S140" s="8">
        <f>(O20*($E20/365)) + (O21*($E21/365)) + (O22*($E22/365))</f>
        <v>59.350136986301365</v>
      </c>
      <c r="T140" s="8">
        <f>(P20*($E20/365)) + (P21*($E21/365)) + (P22*($E22/365))</f>
        <v>0</v>
      </c>
      <c r="U140" s="8">
        <f>(Q20*($E20/365)) + (Q21*($E21/365)) + (Q22*($E22/365))</f>
        <v>0</v>
      </c>
      <c r="W140" s="8">
        <f xml:space="preserve"> R20*(E20/365) + R21*(E21/365) + R22*(E22/365)</f>
        <v>59.350136986301365</v>
      </c>
    </row>
    <row r="141" spans="1:30" x14ac:dyDescent="0.15">
      <c r="A141" s="54">
        <v>1967</v>
      </c>
      <c r="B141" s="8">
        <f>(K23*($E23/365)) + (K24*($E24/365))</f>
        <v>100.00000000000001</v>
      </c>
      <c r="C141" s="8">
        <f>(L23*($E23/365)) + (L24*($E24/365))</f>
        <v>0</v>
      </c>
      <c r="D141" s="8">
        <f>(M23*($E23/365)) + (M24*($E24/365))</f>
        <v>0</v>
      </c>
      <c r="E141" s="30">
        <f t="shared" si="38"/>
        <v>100.00000000000001</v>
      </c>
      <c r="G141" s="9">
        <v>1967</v>
      </c>
      <c r="H141" s="779">
        <f>(O23/$R23*100*($E23/365))+(O24/$R24*100*($E24/365))</f>
        <v>100.00000000000001</v>
      </c>
      <c r="I141" s="779"/>
      <c r="J141" s="779">
        <f>(P23/$R23*100*($E23/365))+(P24/$R24*100*($E24/365))</f>
        <v>0</v>
      </c>
      <c r="K141" s="779"/>
      <c r="L141" s="779">
        <f>(Q23/$R23*100*($E23/365))+(Q24/$R24*100*($E24/365))</f>
        <v>0</v>
      </c>
      <c r="M141" s="779"/>
      <c r="N141" s="781">
        <f t="shared" si="39"/>
        <v>100.00000000000001</v>
      </c>
      <c r="O141" s="781"/>
      <c r="R141" s="9">
        <v>1967</v>
      </c>
      <c r="S141" s="8">
        <f>(O23*($E23/365)) + (O24*($E24/365))</f>
        <v>66.099999999999994</v>
      </c>
      <c r="T141" s="8">
        <f>(P23*($E23/365)) + (P24*($E24/365))</f>
        <v>0</v>
      </c>
      <c r="U141" s="8">
        <f>(Q23*($E23/365)) + (Q24*($E24/365))</f>
        <v>0</v>
      </c>
      <c r="W141" s="8">
        <f xml:space="preserve"> R23*(E23/365) + R24*(E24/365)</f>
        <v>66.099999999999994</v>
      </c>
    </row>
    <row r="142" spans="1:30" x14ac:dyDescent="0.15">
      <c r="A142" s="54">
        <v>1968</v>
      </c>
      <c r="B142" s="8">
        <f>(K25*($E25/366)) + (K26*($E26/366)) + (K27*($E27/366))</f>
        <v>100.00000000000001</v>
      </c>
      <c r="C142" s="8">
        <f>(L25*($E25/366)) + (L26*($E26/366)) + (L27*($E27/366))</f>
        <v>0</v>
      </c>
      <c r="D142" s="8">
        <f>(M25*($E25/366)) + (M26*($E26/366)) + (M27*($E27/366))</f>
        <v>0</v>
      </c>
      <c r="E142" s="30">
        <f t="shared" si="38"/>
        <v>100.00000000000001</v>
      </c>
      <c r="G142" s="9">
        <v>1968</v>
      </c>
      <c r="H142" s="779">
        <f>(O25/$R25*100*($E25/366))+(O26/$R26*100*($E26/366))+(O27/$R27*100*($E27/366))</f>
        <v>100.00000000000001</v>
      </c>
      <c r="I142" s="779"/>
      <c r="J142" s="779">
        <f>(P25/$R25*100*($E25/366))+(P26/$R26*100*($E26/366))+(P27/$R27*100*($E27/366))</f>
        <v>0</v>
      </c>
      <c r="K142" s="779"/>
      <c r="L142" s="779">
        <f>(Q25/$R25*100*($E25/366))+(Q26/$R26*100*($E26/366))+(Q27/$R27*100*($E27/366))</f>
        <v>0</v>
      </c>
      <c r="M142" s="779"/>
      <c r="N142" s="781">
        <f t="shared" si="39"/>
        <v>100.00000000000001</v>
      </c>
      <c r="O142" s="781"/>
      <c r="R142" s="9">
        <v>1968</v>
      </c>
      <c r="S142" s="8">
        <f>(O25*($E25/366)) + (O26*($E26/366)) + (O27*($E27/366))</f>
        <v>66.099999999999994</v>
      </c>
      <c r="T142" s="8">
        <f>(P25*($E25/366)) + (P26*($E26/366)) + (P27*($E27/366))</f>
        <v>0</v>
      </c>
      <c r="U142" s="8">
        <f>(Q25*($E25/366)) + (Q26*($E26/366)) + (Q27*($E27/366))</f>
        <v>0</v>
      </c>
      <c r="W142" s="8">
        <f xml:space="preserve"> R25*(E25/366) + R26*(E26/366) + R27*(E27/366)</f>
        <v>66.099999999999994</v>
      </c>
    </row>
    <row r="143" spans="1:30" x14ac:dyDescent="0.15">
      <c r="A143" s="54">
        <v>1969</v>
      </c>
      <c r="B143" s="8">
        <f>(K28*($E28/365)) + (K29*($E29/365))</f>
        <v>100</v>
      </c>
      <c r="C143" s="8">
        <f>(L28*($E28/365)) + (L29*($E29/365))</f>
        <v>0</v>
      </c>
      <c r="D143" s="8">
        <f>(M28*($E28/365)) + (M29*($E29/365))</f>
        <v>0</v>
      </c>
      <c r="E143" s="30">
        <f t="shared" si="38"/>
        <v>100</v>
      </c>
      <c r="G143" s="9">
        <v>1969</v>
      </c>
      <c r="H143" s="779">
        <f>(O28/$R28*100*($E28/365))+(O29/$R29*100*($E29/365))</f>
        <v>100</v>
      </c>
      <c r="I143" s="779"/>
      <c r="J143" s="779">
        <f>(P28/$R28*100*($E28/365))+(P29/$R29*100*($E29/365))</f>
        <v>0</v>
      </c>
      <c r="K143" s="779"/>
      <c r="L143" s="779">
        <f>(Q28/$R28*100*($E28/365))+(Q29/$R29*100*($E29/365))</f>
        <v>0</v>
      </c>
      <c r="M143" s="779"/>
      <c r="N143" s="781">
        <f t="shared" si="39"/>
        <v>100</v>
      </c>
      <c r="O143" s="781"/>
      <c r="R143" s="9">
        <v>1969</v>
      </c>
      <c r="S143" s="8">
        <f>(O28*($E28/365)) + (O29*($E29/365))</f>
        <v>64.241643835616429</v>
      </c>
      <c r="T143" s="8">
        <f>(P28*($E28/365)) + (P29*($E29/365))</f>
        <v>0</v>
      </c>
      <c r="U143" s="8">
        <f>(Q28*($E28/365)) + (Q29*($E29/365))</f>
        <v>0</v>
      </c>
      <c r="W143" s="8">
        <f xml:space="preserve"> R28*(E28/365) + R29*(E29/365)</f>
        <v>64.241643835616429</v>
      </c>
    </row>
    <row r="144" spans="1:30" x14ac:dyDescent="0.15">
      <c r="A144" s="54">
        <v>1970</v>
      </c>
      <c r="B144" s="8">
        <f>(K30*($E30/365)) + (K31*($E31/365))</f>
        <v>100</v>
      </c>
      <c r="C144" s="8">
        <f>(L30*($E30/365)) + (L31*($E31/365))</f>
        <v>0</v>
      </c>
      <c r="D144" s="8">
        <f>(M30*($E30/365)) + (M31*($E31/365))</f>
        <v>0</v>
      </c>
      <c r="E144" s="30">
        <f t="shared" si="38"/>
        <v>100</v>
      </c>
      <c r="G144" s="9">
        <v>1970</v>
      </c>
      <c r="H144" s="779">
        <f>(O30/$R30*100*($E30/365))+(O31/$R31*100*($E31/365))</f>
        <v>100</v>
      </c>
      <c r="I144" s="779"/>
      <c r="J144" s="779">
        <f>(P30/$R30*100*($E30/365))+(P31/$R31*100*($E31/365))</f>
        <v>0</v>
      </c>
      <c r="K144" s="779"/>
      <c r="L144" s="779">
        <f>(Q30/$R30*100*($E30/365))+(Q31/$R31*100*($E31/365))</f>
        <v>0</v>
      </c>
      <c r="M144" s="779"/>
      <c r="N144" s="781">
        <f t="shared" si="39"/>
        <v>100</v>
      </c>
      <c r="O144" s="781"/>
      <c r="R144" s="9">
        <v>1970</v>
      </c>
      <c r="S144" s="8">
        <f>(O30*($E30/365)) + (O31*($E31/365))</f>
        <v>52.8</v>
      </c>
      <c r="T144" s="8">
        <f>(P30*($E30/365)) + (P31*($E31/365))</f>
        <v>0</v>
      </c>
      <c r="U144" s="8">
        <f>(Q30*($E30/365)) + (Q31*($E31/365))</f>
        <v>0</v>
      </c>
      <c r="W144" s="8">
        <f xml:space="preserve"> R30*(E30/365) + R31*(E31/365)</f>
        <v>52.8</v>
      </c>
    </row>
    <row r="145" spans="1:29" x14ac:dyDescent="0.15">
      <c r="A145" s="54">
        <v>1971</v>
      </c>
      <c r="B145" s="8">
        <f>(K32*($E32/365)) + (K33*($E33/365))</f>
        <v>100</v>
      </c>
      <c r="C145" s="8">
        <f>(L32*($E32/365)) + (L33*($E33/365))</f>
        <v>0</v>
      </c>
      <c r="D145" s="8">
        <f>(M32*($E32/365)) + (M33*($E33/365))</f>
        <v>0</v>
      </c>
      <c r="E145" s="30">
        <f t="shared" si="38"/>
        <v>100</v>
      </c>
      <c r="G145" s="9">
        <v>1971</v>
      </c>
      <c r="H145" s="779">
        <f>(O32/$R32*100*($E32/365))+(O33/$R33*100*($E33/365))</f>
        <v>100</v>
      </c>
      <c r="I145" s="779"/>
      <c r="J145" s="779">
        <f>(P32/$R32*100*($E32/365))+(P33/$R33*100*($E33/365))</f>
        <v>0</v>
      </c>
      <c r="K145" s="779"/>
      <c r="L145" s="779">
        <f>(Q32/$R32*100*($E32/365))+(Q33/$R33*100*($E33/365))</f>
        <v>0</v>
      </c>
      <c r="M145" s="779"/>
      <c r="N145" s="781">
        <f t="shared" si="39"/>
        <v>100</v>
      </c>
      <c r="O145" s="781"/>
      <c r="R145" s="9">
        <v>1971</v>
      </c>
      <c r="S145" s="8">
        <f>(O32*($E32/365)) + (O33*($E33/365))</f>
        <v>52.8</v>
      </c>
      <c r="T145" s="8">
        <f>(P32*($E32/365)) + (P33*($E33/365))</f>
        <v>0</v>
      </c>
      <c r="U145" s="8">
        <f>(Q32*($E32/365)) + (Q33*($E33/365))</f>
        <v>0</v>
      </c>
      <c r="W145" s="8">
        <f xml:space="preserve"> R32*(E32/365) + R33*(E33/365)</f>
        <v>52.8</v>
      </c>
    </row>
    <row r="146" spans="1:29" x14ac:dyDescent="0.15">
      <c r="A146" s="54">
        <v>1972</v>
      </c>
      <c r="B146" s="8">
        <f>(K34*($E34/366)) + (K35*($E35/366))</f>
        <v>96.448087431693992</v>
      </c>
      <c r="C146" s="8">
        <f>(L34*($E34/366)) + (L35*($E35/366))</f>
        <v>0</v>
      </c>
      <c r="D146" s="8">
        <f>(M34*($E34/366)) + (M35*($E35/366))</f>
        <v>3.5519125683060109</v>
      </c>
      <c r="E146" s="30">
        <f t="shared" si="38"/>
        <v>100</v>
      </c>
      <c r="G146" s="9">
        <v>1972</v>
      </c>
      <c r="H146" s="779">
        <f>(O34/$R34*100*($E34/366))+(O35/$R35*100*($E35/366))</f>
        <v>96.448087431693992</v>
      </c>
      <c r="I146" s="779"/>
      <c r="J146" s="779">
        <f>(P34/$R34*100*($E34/366))+(P35/$R35*100*($E35/366))</f>
        <v>0</v>
      </c>
      <c r="K146" s="779"/>
      <c r="L146" s="779">
        <f>(Q34/$R34*100*($E34/366))+(Q35/$R35*100*($E35/366))</f>
        <v>3.5519125683060109</v>
      </c>
      <c r="M146" s="779"/>
      <c r="N146" s="781">
        <f t="shared" si="39"/>
        <v>100</v>
      </c>
      <c r="O146" s="781"/>
      <c r="R146" s="9">
        <v>1972</v>
      </c>
      <c r="S146" s="8">
        <f>(O34*($E34/366)) + (O35*($E35/366))</f>
        <v>50.924590163934418</v>
      </c>
      <c r="T146" s="8">
        <f>(P34*($E34/366)) + (P35*($E35/366))</f>
        <v>0</v>
      </c>
      <c r="U146" s="8">
        <f>(Q34*($E34/366)) + (Q35*($E35/366))</f>
        <v>1.9038251366120218</v>
      </c>
      <c r="W146" s="8">
        <f xml:space="preserve"> R34*(E34/366) + R35*(E35/366)</f>
        <v>52.828415300546439</v>
      </c>
    </row>
    <row r="147" spans="1:29" x14ac:dyDescent="0.15">
      <c r="A147" s="54">
        <v>1973</v>
      </c>
      <c r="B147" s="8">
        <f>(K36*($E36/365)) + (K37*($E37/365))</f>
        <v>0</v>
      </c>
      <c r="C147" s="8">
        <f>(L36*($E36/365)) + (L37*($E37/365))</f>
        <v>0</v>
      </c>
      <c r="D147" s="8">
        <f>(M36*($E36/365)) + (M37*($E37/365))</f>
        <v>100</v>
      </c>
      <c r="E147" s="30">
        <f t="shared" si="38"/>
        <v>100</v>
      </c>
      <c r="G147" s="9">
        <v>1973</v>
      </c>
      <c r="H147" s="779">
        <f>(O36/$R36*100*($E36/365))+(O37/$R37*100*($E37/365))</f>
        <v>0</v>
      </c>
      <c r="I147" s="779"/>
      <c r="J147" s="779">
        <f>(P36/$R36*100*($E36/365))+(P37/$R37*100*($E37/365))</f>
        <v>0</v>
      </c>
      <c r="K147" s="779"/>
      <c r="L147" s="779">
        <f>(Q36/$R36*100*($E36/365))+(Q37/$R37*100*($E37/365))</f>
        <v>100</v>
      </c>
      <c r="M147" s="779"/>
      <c r="N147" s="781">
        <f t="shared" si="39"/>
        <v>100</v>
      </c>
      <c r="O147" s="781"/>
      <c r="R147" s="9">
        <v>1973</v>
      </c>
      <c r="S147" s="8">
        <f>(O36*($E36/365)) + (O37*($E37/365))</f>
        <v>0</v>
      </c>
      <c r="T147" s="8">
        <f>(P36*($E36/365)) + (P37*($E37/365))</f>
        <v>0</v>
      </c>
      <c r="U147" s="8">
        <f>(Q36*($E36/365)) + (Q37*($E37/365))</f>
        <v>53.6</v>
      </c>
      <c r="W147" s="8">
        <f xml:space="preserve"> R36*(E36/365) + R37*(E37/365)</f>
        <v>53.6</v>
      </c>
    </row>
    <row r="148" spans="1:29" x14ac:dyDescent="0.15">
      <c r="A148" s="54">
        <v>1974</v>
      </c>
      <c r="B148" s="8">
        <f>(K38*($E38/365)) + (K39*($E39/365))</f>
        <v>0</v>
      </c>
      <c r="C148" s="8">
        <f>(L38*($E38/365)) + (L39*($E39/365))</f>
        <v>0</v>
      </c>
      <c r="D148" s="8">
        <f>(M38*($E38/365)) + (M39*($E39/365))</f>
        <v>100</v>
      </c>
      <c r="E148" s="30">
        <f t="shared" si="38"/>
        <v>100</v>
      </c>
      <c r="G148" s="9">
        <v>1974</v>
      </c>
      <c r="H148" s="779">
        <f>(O38/$R38*100*($E38/365))+(O39/$R39*100*($E39/365))</f>
        <v>0</v>
      </c>
      <c r="I148" s="779"/>
      <c r="J148" s="779">
        <f>(P38/$R38*100*($E38/365))+(P39/$R39*100*($E39/365))</f>
        <v>0</v>
      </c>
      <c r="K148" s="779"/>
      <c r="L148" s="779">
        <f>(Q38/$R38*100*($E38/365))+(Q39/$R39*100*($E39/365))</f>
        <v>100</v>
      </c>
      <c r="M148" s="779"/>
      <c r="N148" s="781">
        <f t="shared" si="39"/>
        <v>100</v>
      </c>
      <c r="O148" s="781"/>
      <c r="R148" s="9">
        <v>1974</v>
      </c>
      <c r="S148" s="8">
        <f>(O38*($E38/365)) + (O39*($E39/365))</f>
        <v>0</v>
      </c>
      <c r="T148" s="8">
        <f>(P38*($E38/365)) + (P39*($E39/365))</f>
        <v>0</v>
      </c>
      <c r="U148" s="8">
        <f>(Q38*($E38/365)) + (Q39*($E39/365))</f>
        <v>52.710136986301372</v>
      </c>
      <c r="W148" s="8">
        <f xml:space="preserve"> R38*(E38/365) + R39*(E39/365)</f>
        <v>52.710136986301372</v>
      </c>
    </row>
    <row r="149" spans="1:29" x14ac:dyDescent="0.15">
      <c r="A149" s="54">
        <v>1975</v>
      </c>
      <c r="B149" s="8">
        <f>(K40*($E40/365)) + (K41*($E41/365)) + (K42*($E42/365))</f>
        <v>13.698630136986303</v>
      </c>
      <c r="C149" s="8">
        <f>(L40*($E40/365)) + (L41*($E41/365)) + (L42*($E42/365))</f>
        <v>0</v>
      </c>
      <c r="D149" s="8">
        <f>(M40*($E40/365)) + (M41*($E41/365)) + (M42*($E42/365))</f>
        <v>86.301369863013704</v>
      </c>
      <c r="E149" s="30">
        <f t="shared" si="38"/>
        <v>100</v>
      </c>
      <c r="G149" s="9">
        <v>1975</v>
      </c>
      <c r="H149" s="779">
        <f>(O40/$R40*100*($E40/365))+(O41/$R41*100*($E41/365))+(O42/$R42*100*($E42/365))</f>
        <v>13.698630136986303</v>
      </c>
      <c r="I149" s="779"/>
      <c r="J149" s="779">
        <f>(P40/$R40*100*($E40/365))+(P41/$R41*100*($E41/365))+(P42/$R42*100*($E42/365))</f>
        <v>0</v>
      </c>
      <c r="K149" s="779"/>
      <c r="L149" s="779">
        <f>(Q40/$R40*100*($E40/365))+(Q41/$R41*100*($E41/365))+(Q42/$R42*100*($E42/365))</f>
        <v>86.301369863013704</v>
      </c>
      <c r="M149" s="779"/>
      <c r="N149" s="781">
        <f t="shared" si="39"/>
        <v>100</v>
      </c>
      <c r="O149" s="781"/>
      <c r="R149" s="9">
        <v>1975</v>
      </c>
      <c r="S149" s="8">
        <f>(O40*($E40/365)) + (O41*($E41/365)) + (O42*($E42/365))</f>
        <v>7.4805479452054797</v>
      </c>
      <c r="T149" s="8">
        <f>(P40*($E40/365)) + (P41*($E41/365)) + (P42*($E42/365))</f>
        <v>0</v>
      </c>
      <c r="U149" s="8">
        <f>(Q40*($E40/365)) + (Q41*($E41/365)) + (Q42*($E42/365))</f>
        <v>44.876712328767127</v>
      </c>
      <c r="W149" s="8">
        <f xml:space="preserve"> R40*(E40/365) + R41*(E41/365) + R42*(E42/365)</f>
        <v>52.357260273972607</v>
      </c>
    </row>
    <row r="150" spans="1:29" x14ac:dyDescent="0.15">
      <c r="A150" s="54">
        <v>1976</v>
      </c>
      <c r="B150" s="8">
        <f>(K43*($E43/366)) + (K44*($E44/366))</f>
        <v>100</v>
      </c>
      <c r="C150" s="8">
        <f>(L43*($E43/366)) + (L44*($E44/366))</f>
        <v>0</v>
      </c>
      <c r="D150" s="8">
        <f>(M43*($E43/366)) + (M44*($E44/366))</f>
        <v>0</v>
      </c>
      <c r="E150" s="30">
        <f t="shared" si="38"/>
        <v>100</v>
      </c>
      <c r="G150" s="9">
        <v>1976</v>
      </c>
      <c r="H150" s="779">
        <f>(O43/$R43*100*($E43/366))+(O44/$R44*100*($E44/366))</f>
        <v>100</v>
      </c>
      <c r="I150" s="779"/>
      <c r="J150" s="779">
        <f>(P43/$R43*100*($E43/366))+(P44/$R44*100*($E44/366))</f>
        <v>0</v>
      </c>
      <c r="K150" s="779"/>
      <c r="L150" s="779">
        <f>(Q43/$R43*100*($E43/366))+(Q44/$R44*100*($E44/366))</f>
        <v>0</v>
      </c>
      <c r="M150" s="779"/>
      <c r="N150" s="781">
        <f t="shared" si="39"/>
        <v>100</v>
      </c>
      <c r="O150" s="781"/>
      <c r="R150" s="9">
        <v>1976</v>
      </c>
      <c r="S150" s="8">
        <f>(O43*($E43/366)) + (O44*($E44/366))</f>
        <v>71.599999999999994</v>
      </c>
      <c r="T150" s="8">
        <f>(P43*($E43/366)) + (P44*($E44/366))</f>
        <v>0</v>
      </c>
      <c r="U150" s="8">
        <f>(Q43*($E43/366)) + (Q44*($E44/366))</f>
        <v>0</v>
      </c>
      <c r="W150" s="8">
        <f xml:space="preserve"> R43*(E43/366) + R44*(E44/366)</f>
        <v>71.599999999999994</v>
      </c>
    </row>
    <row r="151" spans="1:29" s="7" customFormat="1" x14ac:dyDescent="0.15">
      <c r="A151" s="54">
        <v>1977</v>
      </c>
      <c r="B151" s="8">
        <f>(K45*($E45/365)) + (K46*($E46/365))</f>
        <v>100.00000000000001</v>
      </c>
      <c r="C151" s="8">
        <f>(L45*($E45/365)) + (L46*($E46/365))</f>
        <v>0</v>
      </c>
      <c r="D151" s="8">
        <f>(M45*($E45/365)) + (M46*($E46/365))</f>
        <v>0</v>
      </c>
      <c r="E151" s="30">
        <f t="shared" si="38"/>
        <v>100.00000000000001</v>
      </c>
      <c r="G151" s="9">
        <v>1977</v>
      </c>
      <c r="H151" s="779">
        <f>(O45/$R45*100*($E45/365))+(O46/$R46*100*($E46/365))</f>
        <v>100.00000000000001</v>
      </c>
      <c r="I151" s="779"/>
      <c r="J151" s="779">
        <f>(P45/$R45*100*($E45/365))+(P46/$R46*100*($E46/365))</f>
        <v>0</v>
      </c>
      <c r="K151" s="779"/>
      <c r="L151" s="779">
        <f>(Q45/$R45*100*($E45/365))+(Q46/$R46*100*($E46/365))</f>
        <v>0</v>
      </c>
      <c r="M151" s="779"/>
      <c r="N151" s="781">
        <f t="shared" si="39"/>
        <v>100.00000000000001</v>
      </c>
      <c r="O151" s="781"/>
      <c r="R151" s="9">
        <v>1977</v>
      </c>
      <c r="S151" s="8">
        <f>(O45*($E45/365)) + (O46*($E46/365))</f>
        <v>71.52438356164383</v>
      </c>
      <c r="T151" s="8">
        <f>(P45*($E45/365)) + (P46*($E46/365))</f>
        <v>0</v>
      </c>
      <c r="U151" s="8">
        <f>(Q45*($E45/365)) + (Q46*($E46/365))</f>
        <v>0</v>
      </c>
      <c r="W151" s="8">
        <f xml:space="preserve"> R45*(E45/365) + R46*(E46/365)</f>
        <v>71.52438356164383</v>
      </c>
    </row>
    <row r="152" spans="1:29" x14ac:dyDescent="0.15">
      <c r="A152" s="54">
        <v>1978</v>
      </c>
      <c r="B152" s="8">
        <f>(K47*($E47/365)) + (K48*($E48/365))</f>
        <v>100</v>
      </c>
      <c r="C152" s="8">
        <f>(L47*($E47/365)) + (L48*($E48/365))</f>
        <v>0</v>
      </c>
      <c r="D152" s="8">
        <f>(M47*($E47/365)) + (M48*($E48/365))</f>
        <v>0</v>
      </c>
      <c r="E152" s="30">
        <f t="shared" si="38"/>
        <v>100</v>
      </c>
      <c r="G152" s="9">
        <v>1978</v>
      </c>
      <c r="H152" s="779">
        <f>(O47/$R47*100*($E47/365))+(O48/$R48*100*($E48/365))</f>
        <v>100</v>
      </c>
      <c r="I152" s="779"/>
      <c r="J152" s="779">
        <f>(P47/$R47*100*($E47/365))+(P48/$R48*100*($E48/365))</f>
        <v>0</v>
      </c>
      <c r="K152" s="779"/>
      <c r="L152" s="779">
        <f>(Q47/$R47*100*($E47/365))+(Q48/$R48*100*($E48/365))</f>
        <v>0</v>
      </c>
      <c r="M152" s="779"/>
      <c r="N152" s="781">
        <f t="shared" si="39"/>
        <v>100</v>
      </c>
      <c r="O152" s="781"/>
      <c r="R152" s="9">
        <v>1978</v>
      </c>
      <c r="S152" s="8">
        <f>(O47*($E47/365)) + (O48*($E48/365))</f>
        <v>69.3</v>
      </c>
      <c r="T152" s="8">
        <f>(P47*($E47/365)) + (P48*($E48/365))</f>
        <v>0</v>
      </c>
      <c r="U152" s="8">
        <f>(Q47*($E47/365)) + (Q48*($E48/365))</f>
        <v>0</v>
      </c>
      <c r="W152" s="8">
        <f xml:space="preserve"> R47*(E47/365) + R48*(E48/365)</f>
        <v>69.3</v>
      </c>
    </row>
    <row r="153" spans="1:29" x14ac:dyDescent="0.15">
      <c r="A153" s="54">
        <v>1979</v>
      </c>
      <c r="B153" s="8">
        <f>(K49*($E49/365)) + (K50*($E50/365))</f>
        <v>100</v>
      </c>
      <c r="C153" s="8">
        <f>(L49*($E49/365)) + (L50*($E50/365))</f>
        <v>0</v>
      </c>
      <c r="D153" s="8">
        <f>(M49*($E49/365)) + (M50*($E50/365))</f>
        <v>0</v>
      </c>
      <c r="E153" s="30">
        <f t="shared" si="38"/>
        <v>100</v>
      </c>
      <c r="G153" s="9">
        <v>1979</v>
      </c>
      <c r="H153" s="779">
        <f>(O49/$R49*100*($E49/365))+(O50/$R50*100*($E50/365))</f>
        <v>100</v>
      </c>
      <c r="I153" s="779"/>
      <c r="J153" s="779">
        <f>(P49/$R49*100*($E49/365))+(P50/$R50*100*($E50/365))</f>
        <v>0</v>
      </c>
      <c r="K153" s="779"/>
      <c r="L153" s="779">
        <f>(Q49/$R49*100*($E49/365))+(Q50/$R50*100*($E50/365))</f>
        <v>0</v>
      </c>
      <c r="M153" s="779"/>
      <c r="N153" s="781">
        <f t="shared" si="39"/>
        <v>100</v>
      </c>
      <c r="O153" s="781"/>
      <c r="R153" s="9">
        <v>1979</v>
      </c>
      <c r="S153" s="8">
        <f>(O49*($E49/365)) + (O50*($E50/365))</f>
        <v>69.3</v>
      </c>
      <c r="T153" s="8">
        <f>(P49*($E49/365)) + (P50*($E50/365))</f>
        <v>0</v>
      </c>
      <c r="U153" s="8">
        <f>(Q49*($E49/365)) + (Q50*($E50/365))</f>
        <v>0</v>
      </c>
      <c r="W153" s="8">
        <f xml:space="preserve"> R49*(E49/365) + R50*(E50/365)</f>
        <v>69.3</v>
      </c>
    </row>
    <row r="154" spans="1:29" x14ac:dyDescent="0.15">
      <c r="A154" s="54">
        <v>1980</v>
      </c>
      <c r="B154" s="8">
        <f>(K51*($E51/366)) + (K52*($E52/366))</f>
        <v>100</v>
      </c>
      <c r="C154" s="8">
        <f>(L51*($E51/366)) + (L52*($E52/366))</f>
        <v>0</v>
      </c>
      <c r="D154" s="8">
        <f>(M51*($E51/366)) + (M52*($E52/366))</f>
        <v>0</v>
      </c>
      <c r="E154" s="30">
        <f t="shared" si="38"/>
        <v>100</v>
      </c>
      <c r="G154" s="9">
        <v>1980</v>
      </c>
      <c r="H154" s="779">
        <f>(O51/$R51*100*($E51/366))+(O52/$R52*100*($E52/366))</f>
        <v>100</v>
      </c>
      <c r="I154" s="779"/>
      <c r="J154" s="779">
        <f>(P51/$R51*100*($E51/366))+(P52/$R52*100*($E52/366))</f>
        <v>0</v>
      </c>
      <c r="K154" s="779"/>
      <c r="L154" s="779">
        <f>(Q51/$R51*100*($E51/366))+(Q52/$R52*100*($E52/366))</f>
        <v>0</v>
      </c>
      <c r="M154" s="779"/>
      <c r="N154" s="781">
        <f t="shared" si="39"/>
        <v>100</v>
      </c>
      <c r="O154" s="781"/>
      <c r="R154" s="9">
        <v>1980</v>
      </c>
      <c r="S154" s="8">
        <f>(O51*($E51/366)) + (O52*($E52/366))</f>
        <v>67.644262295081973</v>
      </c>
      <c r="T154" s="8">
        <f>(P51*($E51/366)) + (P52*($E52/366))</f>
        <v>0</v>
      </c>
      <c r="U154" s="8">
        <f>(Q51*($E51/366)) + (Q52*($E52/366))</f>
        <v>0</v>
      </c>
      <c r="W154" s="8">
        <f xml:space="preserve"> R51*(E51/366) + R52*(E52/366)</f>
        <v>67.644262295081973</v>
      </c>
    </row>
    <row r="155" spans="1:29" x14ac:dyDescent="0.15">
      <c r="A155" s="54">
        <v>1981</v>
      </c>
      <c r="B155" s="8">
        <f>(K53*($E53/365)) + (K54*($E54/365))</f>
        <v>100</v>
      </c>
      <c r="C155" s="8">
        <f>(L53*($E53/365)) + (L54*($E54/365))</f>
        <v>0</v>
      </c>
      <c r="D155" s="8">
        <f>(M53*($E53/365)) + (M54*($E54/365))</f>
        <v>0</v>
      </c>
      <c r="E155" s="30">
        <f t="shared" si="38"/>
        <v>100</v>
      </c>
      <c r="G155" s="9">
        <v>1981</v>
      </c>
      <c r="H155" s="779">
        <f>(O53/$R53*100*($E53/365))+(O54/$R54*100*($E54/365))</f>
        <v>100</v>
      </c>
      <c r="I155" s="779"/>
      <c r="J155" s="779">
        <f>(P53/$R53*100*($E53/365))+(P54/$R54*100*($E54/365))</f>
        <v>0</v>
      </c>
      <c r="K155" s="779"/>
      <c r="L155" s="779">
        <f>(Q53/$R53*100*($E53/365))+(Q54/$R54*100*($E54/365))</f>
        <v>0</v>
      </c>
      <c r="M155" s="779"/>
      <c r="N155" s="781">
        <f t="shared" si="39"/>
        <v>100</v>
      </c>
      <c r="O155" s="781"/>
      <c r="R155" s="9">
        <v>1981</v>
      </c>
      <c r="S155" s="8">
        <f>(O53*($E53/365)) + (O54*($E54/365))</f>
        <v>59.2</v>
      </c>
      <c r="T155" s="8">
        <f>(P53*($E53/365)) + (P54*($E54/365))</f>
        <v>0</v>
      </c>
      <c r="U155" s="8">
        <f>(Q53*($E53/365)) + (Q54*($E54/365))</f>
        <v>0</v>
      </c>
      <c r="W155" s="8">
        <f xml:space="preserve"> R53*(E53/365) + R54*(E54/365)</f>
        <v>59.2</v>
      </c>
    </row>
    <row r="156" spans="1:29" x14ac:dyDescent="0.15">
      <c r="A156" s="54">
        <v>1982</v>
      </c>
      <c r="B156" s="8">
        <f>(K55*($E55/365)) + (K56*($E56/365))</f>
        <v>100</v>
      </c>
      <c r="C156" s="8">
        <f>(L55*($E55/365)) + (L56*($E56/365))</f>
        <v>0</v>
      </c>
      <c r="D156" s="8">
        <f>(M55*($E55/365)) + (M56*($E56/365))</f>
        <v>0</v>
      </c>
      <c r="E156" s="30">
        <f t="shared" si="38"/>
        <v>100</v>
      </c>
      <c r="G156" s="9">
        <v>1982</v>
      </c>
      <c r="H156" s="779">
        <f>(O55/$R55*100*($E55/365))+(O56/$R56*100*($E56/365))</f>
        <v>100</v>
      </c>
      <c r="I156" s="779"/>
      <c r="J156" s="779">
        <f>(P55/$R55*100*($E55/365))+(P56/$R56*100*($E56/365))</f>
        <v>0</v>
      </c>
      <c r="K156" s="779"/>
      <c r="L156" s="779">
        <f>(Q55/$R55*100*($E55/365))+(Q56/$R56*100*($E56/365))</f>
        <v>0</v>
      </c>
      <c r="M156" s="779"/>
      <c r="N156" s="781">
        <f t="shared" si="39"/>
        <v>100</v>
      </c>
      <c r="O156" s="781"/>
      <c r="R156" s="9">
        <v>1982</v>
      </c>
      <c r="S156" s="8">
        <f>(O55*($E55/365)) + (O56*($E56/365))</f>
        <v>59.2</v>
      </c>
      <c r="T156" s="8">
        <f>(P55*($E55/365)) + (P56*($E56/365))</f>
        <v>0</v>
      </c>
      <c r="U156" s="8">
        <f>(Q55*($E55/365)) + (Q56*($E56/365))</f>
        <v>0</v>
      </c>
      <c r="W156" s="8">
        <f xml:space="preserve"> R55*(E55/365) + R56*(E56/365)</f>
        <v>59.2</v>
      </c>
      <c r="AA156" s="8"/>
      <c r="AB156" s="8"/>
      <c r="AC156" s="8"/>
    </row>
    <row r="157" spans="1:29" x14ac:dyDescent="0.15">
      <c r="A157" s="54">
        <v>1983</v>
      </c>
      <c r="B157" s="8">
        <f>(K57*($E57/365)) + (K58*($E58/365))</f>
        <v>18.904109589041095</v>
      </c>
      <c r="C157" s="8">
        <f>(L57*($E57/365)) + (L58*($E58/365))</f>
        <v>0</v>
      </c>
      <c r="D157" s="8">
        <f>(M57*($E57/365)) + (M58*($E58/365))</f>
        <v>81.095890410958901</v>
      </c>
      <c r="E157" s="30">
        <f t="shared" si="38"/>
        <v>100</v>
      </c>
      <c r="G157" s="9">
        <v>1983</v>
      </c>
      <c r="H157" s="779">
        <f>(O57/$R57*100*($E57/365))+(O58/$R58*100*($E58/365))</f>
        <v>18.904109589041095</v>
      </c>
      <c r="I157" s="779"/>
      <c r="J157" s="779">
        <f>(P57/$R57*100*($E57/365))+(P58/$R58*100*($E58/365))</f>
        <v>0</v>
      </c>
      <c r="K157" s="779"/>
      <c r="L157" s="779">
        <f>(Q57/$R57*100*($E57/365))+(Q58/$R58*100*($E58/365))</f>
        <v>81.095890410958901</v>
      </c>
      <c r="M157" s="779"/>
      <c r="N157" s="781">
        <f t="shared" si="39"/>
        <v>100</v>
      </c>
      <c r="O157" s="781"/>
      <c r="R157" s="9">
        <v>1983</v>
      </c>
      <c r="S157" s="8">
        <f>(O57*($E57/365)) + (O58*($E58/365))</f>
        <v>11.191232876712329</v>
      </c>
      <c r="T157" s="8">
        <f>(P57*($E57/365)) + (P58*($E58/365))</f>
        <v>0</v>
      </c>
      <c r="U157" s="8">
        <f>(Q57*($E57/365)) + (Q58*($E58/365))</f>
        <v>48.657534246575345</v>
      </c>
      <c r="W157" s="8">
        <f xml:space="preserve"> R57*(E57/365) + R58*(E58/365)</f>
        <v>59.848767123287672</v>
      </c>
    </row>
    <row r="158" spans="1:29" x14ac:dyDescent="0.15">
      <c r="A158" s="54">
        <v>1984</v>
      </c>
      <c r="B158" s="8">
        <f>(K59*($E59/366)) + (K60*($E60/366))</f>
        <v>0</v>
      </c>
      <c r="C158" s="8">
        <f>(L59*($E59/366)) + (L60*($E60/366))</f>
        <v>0</v>
      </c>
      <c r="D158" s="8">
        <f>(M59*($E59/366)) + (M60*($E60/366))</f>
        <v>100</v>
      </c>
      <c r="E158" s="30">
        <f t="shared" si="38"/>
        <v>100</v>
      </c>
      <c r="G158" s="9">
        <v>1984</v>
      </c>
      <c r="H158" s="779">
        <f>(O59/$R59*100*($E59/366))+(O60/$R60*100*($E60/366))</f>
        <v>0</v>
      </c>
      <c r="I158" s="779"/>
      <c r="J158" s="779">
        <f>(P59/$R59*100*($E59/366))+(P60/$R60*100*($E60/366))</f>
        <v>0</v>
      </c>
      <c r="K158" s="779"/>
      <c r="L158" s="779">
        <f>(Q59/$R59*100*($E59/366))+(Q60/$R60*100*($E60/366))</f>
        <v>100</v>
      </c>
      <c r="M158" s="779"/>
      <c r="N158" s="781">
        <f t="shared" si="39"/>
        <v>100</v>
      </c>
      <c r="O158" s="781"/>
      <c r="R158" s="9">
        <v>1984</v>
      </c>
      <c r="S158" s="8">
        <f>(O59*($E59/366)) + (O60*($E60/366))</f>
        <v>0</v>
      </c>
      <c r="T158" s="8">
        <f>(P59*($E59/366)) + (P60*($E60/366))</f>
        <v>0</v>
      </c>
      <c r="U158" s="8">
        <f>(Q59*($E59/366)) + (Q60*($E60/366))</f>
        <v>59.761202185792357</v>
      </c>
      <c r="W158" s="8">
        <f xml:space="preserve"> R59*(E59/366) + R60*(E60/366)</f>
        <v>59.761202185792357</v>
      </c>
    </row>
    <row r="159" spans="1:29" x14ac:dyDescent="0.15">
      <c r="A159" s="54">
        <v>1985</v>
      </c>
      <c r="B159" s="8">
        <f>(K61*($E61/365)) + (K62*($E62/365))</f>
        <v>0</v>
      </c>
      <c r="C159" s="8">
        <f>(L61*($E61/365)) + (L62*($E62/365))</f>
        <v>0</v>
      </c>
      <c r="D159" s="8">
        <f>(M61*($E61/365)) + (M62*($E62/365))</f>
        <v>100</v>
      </c>
      <c r="E159" s="30">
        <f t="shared" si="38"/>
        <v>100</v>
      </c>
      <c r="G159" s="9">
        <v>1985</v>
      </c>
      <c r="H159" s="779">
        <f>(O61/$R61*100*($E61/365))+(O62/$R62*100*($E62/365))</f>
        <v>0</v>
      </c>
      <c r="I159" s="779"/>
      <c r="J159" s="779">
        <f>(P61/$R61*100*($E61/365))+(P62/$R62*100*($E62/365))</f>
        <v>0</v>
      </c>
      <c r="K159" s="779"/>
      <c r="L159" s="779">
        <f>(Q61/$R61*100*($E61/365))+(Q62/$R62*100*($E62/365))</f>
        <v>100</v>
      </c>
      <c r="M159" s="779"/>
      <c r="N159" s="781">
        <f t="shared" si="39"/>
        <v>100</v>
      </c>
      <c r="O159" s="781"/>
      <c r="R159" s="9">
        <v>1985</v>
      </c>
      <c r="S159" s="8">
        <f>(O61*($E61/365)) + (O62*($E62/365))</f>
        <v>0</v>
      </c>
      <c r="T159" s="8">
        <f>(P61*($E61/365)) + (P62*($E62/365))</f>
        <v>0</v>
      </c>
      <c r="U159" s="8">
        <f>(Q61*($E61/365)) + (Q62*($E62/365))</f>
        <v>55.4</v>
      </c>
      <c r="W159" s="8">
        <f xml:space="preserve"> R61*(E61/365) + R62*(E62/365)</f>
        <v>55.4</v>
      </c>
    </row>
    <row r="160" spans="1:29" x14ac:dyDescent="0.15">
      <c r="A160" s="54">
        <v>1986</v>
      </c>
      <c r="B160" s="8">
        <f>(K63*($E63/365)) + (K64*($E64/365))</f>
        <v>0</v>
      </c>
      <c r="C160" s="8">
        <f>(L63*($E63/365)) + (L64*($E64/365))</f>
        <v>0</v>
      </c>
      <c r="D160" s="8">
        <f>(M63*($E63/365)) + (M64*($E64/365))</f>
        <v>100</v>
      </c>
      <c r="E160" s="30">
        <f t="shared" si="38"/>
        <v>100</v>
      </c>
      <c r="G160" s="9">
        <v>1986</v>
      </c>
      <c r="H160" s="779">
        <f>(O63/$R63*100*($E63/365))+(O64/$R64*100*($E64/365))</f>
        <v>0</v>
      </c>
      <c r="I160" s="779"/>
      <c r="J160" s="779">
        <f>(P63/$R63*100*($E63/365))+(P64/$R64*100*($E64/365))</f>
        <v>0</v>
      </c>
      <c r="K160" s="779"/>
      <c r="L160" s="779">
        <f>(Q63/$R63*100*($E63/365))+(Q64/$R64*100*($E64/365))</f>
        <v>100</v>
      </c>
      <c r="M160" s="779"/>
      <c r="N160" s="781">
        <f t="shared" si="39"/>
        <v>100</v>
      </c>
      <c r="O160" s="781"/>
      <c r="R160" s="9">
        <v>1986</v>
      </c>
      <c r="S160" s="8">
        <f>(O63*($E63/365)) + (O64*($E64/365))</f>
        <v>0</v>
      </c>
      <c r="T160" s="8">
        <f>(P63*($E63/365)) + (P64*($E64/365))</f>
        <v>0</v>
      </c>
      <c r="U160" s="8">
        <f>(Q63*($E63/365)) + (Q64*($E64/365))</f>
        <v>55.4</v>
      </c>
      <c r="W160" s="8">
        <f xml:space="preserve"> R63*(E63/365) + R64*(E64/365)</f>
        <v>55.4</v>
      </c>
    </row>
    <row r="161" spans="1:23" x14ac:dyDescent="0.15">
      <c r="A161" s="54">
        <v>1987</v>
      </c>
      <c r="B161" s="8">
        <f>(K65*($E65/365)) + (K66*($E66/365))</f>
        <v>0</v>
      </c>
      <c r="C161" s="8">
        <f>(L65*($E65/365)) + (L66*($E66/365))</f>
        <v>0</v>
      </c>
      <c r="D161" s="8">
        <f>(M65*($E65/365)) + (M66*($E66/365))</f>
        <v>100</v>
      </c>
      <c r="E161" s="30">
        <f t="shared" si="38"/>
        <v>100</v>
      </c>
      <c r="G161" s="9">
        <v>1987</v>
      </c>
      <c r="H161" s="779">
        <f>(O65/$R65*100*($E65/365))+(O66/$R66*100*($E66/365))</f>
        <v>0</v>
      </c>
      <c r="I161" s="779"/>
      <c r="J161" s="779">
        <f>(P65/$R65*100*($E65/365))+(P66/$R66*100*($E66/365))</f>
        <v>0</v>
      </c>
      <c r="K161" s="779"/>
      <c r="L161" s="779">
        <f>(Q65/$R65*100*($E65/365))+(Q66/$R66*100*($E66/365))</f>
        <v>100</v>
      </c>
      <c r="M161" s="779"/>
      <c r="N161" s="781">
        <f t="shared" si="39"/>
        <v>100</v>
      </c>
      <c r="O161" s="781"/>
      <c r="R161" s="9">
        <v>1987</v>
      </c>
      <c r="S161" s="8">
        <f>(O65*($E65/365)) + (O66*($E66/365))</f>
        <v>0</v>
      </c>
      <c r="T161" s="8">
        <f>(P65*($E65/365)) + (P66*($E66/365))</f>
        <v>0</v>
      </c>
      <c r="U161" s="8">
        <f>(Q65*($E65/365)) + (Q66*($E66/365))</f>
        <v>56.605753424657529</v>
      </c>
      <c r="W161" s="8">
        <f xml:space="preserve"> R65*(E65/365) + R66*(E66/365)</f>
        <v>56.605753424657529</v>
      </c>
    </row>
    <row r="162" spans="1:23" x14ac:dyDescent="0.15">
      <c r="A162" s="54">
        <v>1988</v>
      </c>
      <c r="B162" s="8">
        <f>(K67*($E67/366)) + (K68*($E68/366))</f>
        <v>0</v>
      </c>
      <c r="C162" s="8">
        <f>(L67*($E67/366)) + (L68*($E68/366))</f>
        <v>0</v>
      </c>
      <c r="D162" s="8">
        <f>(M67*($E67/366)) + (M68*($E68/366))</f>
        <v>100</v>
      </c>
      <c r="E162" s="30">
        <f t="shared" si="38"/>
        <v>100</v>
      </c>
      <c r="G162" s="9">
        <v>1988</v>
      </c>
      <c r="H162" s="779">
        <f>(O67/$R67*100*($E67/366))+(O68/$R68*100*($E68/366))</f>
        <v>0</v>
      </c>
      <c r="I162" s="779"/>
      <c r="J162" s="779">
        <f>(P67/$R67*100*($E67/366))+(P68/$R68*100*($E68/366))</f>
        <v>0</v>
      </c>
      <c r="K162" s="779"/>
      <c r="L162" s="779">
        <f>(Q67/$R67*100*($E67/366))+(Q68/$R68*100*($E68/366))</f>
        <v>100</v>
      </c>
      <c r="M162" s="779"/>
      <c r="N162" s="781">
        <f t="shared" si="39"/>
        <v>100</v>
      </c>
      <c r="O162" s="781"/>
      <c r="R162" s="9">
        <v>1988</v>
      </c>
      <c r="S162" s="8">
        <f>(O67*($E67/366)) + (O68*($E68/366))</f>
        <v>0</v>
      </c>
      <c r="T162" s="8">
        <f>(P67*($E67/366)) + (P68*($E68/366))</f>
        <v>0</v>
      </c>
      <c r="U162" s="8">
        <f>(Q67*($E67/366)) + (Q68*($E68/366))</f>
        <v>58.1</v>
      </c>
      <c r="W162" s="8">
        <f xml:space="preserve"> R67*(E67/366) + R68*(E68/366)</f>
        <v>58.1</v>
      </c>
    </row>
    <row r="163" spans="1:23" s="19" customFormat="1" x14ac:dyDescent="0.15">
      <c r="A163" s="55">
        <v>1989</v>
      </c>
      <c r="B163" s="11">
        <f>(K69*($E69/365)) + (K70*($E70/365))</f>
        <v>0</v>
      </c>
      <c r="C163" s="11">
        <f>(L69*($E69/365)) + (L70*($E70/365))</f>
        <v>0</v>
      </c>
      <c r="D163" s="11">
        <f>(M69*($E69/365)) + (M70*($E70/365))</f>
        <v>100</v>
      </c>
      <c r="E163" s="29">
        <f t="shared" si="38"/>
        <v>100</v>
      </c>
      <c r="G163" s="10">
        <v>1989</v>
      </c>
      <c r="H163" s="806">
        <f>(O69/$R69*100*($E69/365))+(O70/$R70*100*($E70/365))</f>
        <v>0</v>
      </c>
      <c r="I163" s="806"/>
      <c r="J163" s="806">
        <f>(P69/$R69*100*($E69/365))+(P70/$R70*100*($E70/365))</f>
        <v>0</v>
      </c>
      <c r="K163" s="806"/>
      <c r="L163" s="806">
        <f>(Q69/$R69*100*($E69/365))+(Q70/$R70*100*($E70/365))</f>
        <v>100</v>
      </c>
      <c r="M163" s="806"/>
      <c r="N163" s="808">
        <f t="shared" si="39"/>
        <v>100</v>
      </c>
      <c r="O163" s="808"/>
      <c r="R163" s="10">
        <v>1989</v>
      </c>
      <c r="S163" s="11">
        <f>(O69*($E69/365)) + (O70*($E70/365))</f>
        <v>0</v>
      </c>
      <c r="T163" s="11">
        <f>(P69*($E69/365)) + (P70*($E70/365))</f>
        <v>0</v>
      </c>
      <c r="U163" s="11">
        <f>(Q69*($E69/365)) + (Q70*($E70/365))</f>
        <v>58.1</v>
      </c>
      <c r="W163" s="11">
        <f xml:space="preserve"> R69*(E69/365) + R70*(E70/365)</f>
        <v>58.1</v>
      </c>
    </row>
    <row r="164" spans="1:23" x14ac:dyDescent="0.15">
      <c r="A164" s="57">
        <v>1990</v>
      </c>
      <c r="B164" s="8">
        <f>(K71*($E71/365))+(K72*($E72/365))</f>
        <v>0</v>
      </c>
      <c r="C164" s="8">
        <f>(L71*($E71/365))+(L72*($E72/365))</f>
        <v>0</v>
      </c>
      <c r="D164" s="8">
        <f>(M71*($E71/365))+(M72*($E72/365))</f>
        <v>100</v>
      </c>
      <c r="E164" s="24">
        <f>SUM(B164:D164)</f>
        <v>100</v>
      </c>
      <c r="G164" s="9">
        <v>1990</v>
      </c>
      <c r="H164" s="807">
        <f>(O71/$R71*100*($E71/365))+(O72/$R72*100*($E72/365))</f>
        <v>0</v>
      </c>
      <c r="I164" s="807"/>
      <c r="J164" s="807">
        <f>(P71/$R71*100*($E71/365))+(P72/$R72*100*($E72/365))</f>
        <v>0</v>
      </c>
      <c r="K164" s="807"/>
      <c r="L164" s="807">
        <f>(Q71/$R71*100*($E71/365))+(Q72/$R72*100*($E72/365))</f>
        <v>100</v>
      </c>
      <c r="M164" s="807"/>
      <c r="N164" s="781">
        <f t="shared" ref="N164:N186" si="40">SUM(H164:M164)</f>
        <v>100</v>
      </c>
      <c r="O164" s="781"/>
      <c r="R164" s="9">
        <v>1990</v>
      </c>
      <c r="S164" s="8">
        <f>(O71*($E71/365))+(O72*($E72/365))</f>
        <v>0</v>
      </c>
      <c r="T164" s="8">
        <f>(P71*($E71/365))+(P72*($E72/365))</f>
        <v>0</v>
      </c>
      <c r="U164" s="8">
        <f>(Q71*($E71/365))+(Q72*($E72/365))</f>
        <v>54.075890410958905</v>
      </c>
      <c r="W164" s="8">
        <f xml:space="preserve"> R71*(E71/365) + R72*(E72/365)</f>
        <v>54.075890410958905</v>
      </c>
    </row>
    <row r="165" spans="1:23" x14ac:dyDescent="0.15">
      <c r="A165" s="57">
        <v>1991</v>
      </c>
      <c r="B165" s="8">
        <f>(K73*($E73/365))+(K74*($E74/365))</f>
        <v>0</v>
      </c>
      <c r="C165" s="8">
        <f>(L73*($E73/365))+(L74*($E74/365))</f>
        <v>0</v>
      </c>
      <c r="D165" s="8">
        <f>(M73*($E73/365))+(M74*($E74/365))</f>
        <v>100</v>
      </c>
      <c r="E165" s="24">
        <f t="shared" ref="E165:E186" si="41">SUM(B165:D165)</f>
        <v>100</v>
      </c>
      <c r="G165" s="9">
        <v>1991</v>
      </c>
      <c r="H165" s="779">
        <f>(O73/$R73*100*($E73/365))+(O74/$R74*100*($E74/365))</f>
        <v>0</v>
      </c>
      <c r="I165" s="779"/>
      <c r="J165" s="779">
        <f>(P73/$R73*100*($E73/365))+(P74/$R74*100*($E74/365))</f>
        <v>0</v>
      </c>
      <c r="K165" s="779"/>
      <c r="L165" s="779">
        <f>(Q73/$R73*100*($E73/365))+(Q74/$R74*100*($E74/365))</f>
        <v>100</v>
      </c>
      <c r="M165" s="779"/>
      <c r="N165" s="781">
        <f t="shared" si="40"/>
        <v>100</v>
      </c>
      <c r="O165" s="781"/>
      <c r="R165" s="9">
        <v>1991</v>
      </c>
      <c r="S165" s="8">
        <f>(O73*($E73/365))+(O74*($E74/365))</f>
        <v>0</v>
      </c>
      <c r="T165" s="8">
        <f>(P73*($E73/365))+(P74*($E74/365))</f>
        <v>0</v>
      </c>
      <c r="U165" s="8">
        <f>(Q73*($E73/365))+(Q74*($E74/365))</f>
        <v>52.699999999999996</v>
      </c>
      <c r="W165" s="8">
        <f xml:space="preserve"> R73*(E73/365) + R74*(E74/365)</f>
        <v>52.699999999999996</v>
      </c>
    </row>
    <row r="166" spans="1:23" x14ac:dyDescent="0.15">
      <c r="A166" s="57">
        <v>1992</v>
      </c>
      <c r="B166" s="8">
        <f>(K75*($E75/366))+(K76*($E76/366))</f>
        <v>0</v>
      </c>
      <c r="C166" s="8">
        <f>(L75*($E75/366))+(L76*($E76/366))</f>
        <v>0</v>
      </c>
      <c r="D166" s="8">
        <f>(M75*($E75/366))+(M76*($E76/366))</f>
        <v>100</v>
      </c>
      <c r="E166" s="24">
        <f t="shared" si="41"/>
        <v>100</v>
      </c>
      <c r="G166" s="9">
        <v>1992</v>
      </c>
      <c r="H166" s="779">
        <f>(O75/$R75*100*($E75/366))+(O76/$R76*100*($E76/366))</f>
        <v>0</v>
      </c>
      <c r="I166" s="779"/>
      <c r="J166" s="779">
        <f>(P75/$R75*100*($E75/366))+(P76/$R76*100*($E76/366))</f>
        <v>0</v>
      </c>
      <c r="K166" s="779"/>
      <c r="L166" s="779">
        <f>(Q75/$R75*100*($E75/366))+(Q76/$R76*100*($E76/366))</f>
        <v>100</v>
      </c>
      <c r="M166" s="779"/>
      <c r="N166" s="781">
        <f t="shared" si="40"/>
        <v>100</v>
      </c>
      <c r="O166" s="781"/>
      <c r="R166" s="9">
        <v>1992</v>
      </c>
      <c r="S166" s="8">
        <f>(O75*($E75/366))+(O76*($E76/366))</f>
        <v>0</v>
      </c>
      <c r="T166" s="8">
        <f>(P75*($E75/366))+(P76*($E76/366))</f>
        <v>0</v>
      </c>
      <c r="U166" s="8">
        <f>(Q75*($E75/366))+(Q76*($E76/366))</f>
        <v>52.7</v>
      </c>
      <c r="W166" s="8">
        <f xml:space="preserve"> R75*(E75/366) + R76*(E76/366)</f>
        <v>52.7</v>
      </c>
    </row>
    <row r="167" spans="1:23" x14ac:dyDescent="0.15">
      <c r="A167" s="57">
        <v>1993</v>
      </c>
      <c r="B167" s="8">
        <f>(K77*($E77/365))+(K78*($E78/365))</f>
        <v>0</v>
      </c>
      <c r="C167" s="8">
        <f>(L77*($E77/365))+(L78*($E78/365))</f>
        <v>0</v>
      </c>
      <c r="D167" s="8">
        <f>(M77*($E77/365))+(M78*($E78/365))</f>
        <v>99.999999999999986</v>
      </c>
      <c r="E167" s="24">
        <f t="shared" si="41"/>
        <v>99.999999999999986</v>
      </c>
      <c r="G167" s="9">
        <v>1993</v>
      </c>
      <c r="H167" s="779">
        <f>(O77/$R77*100*($E77/365))+(O78/$R78*100*($E78/365))</f>
        <v>0</v>
      </c>
      <c r="I167" s="779"/>
      <c r="J167" s="779">
        <f>(P77/$R77*100*($E77/365))+(P78/$R78*100*($E78/365))</f>
        <v>0</v>
      </c>
      <c r="K167" s="779"/>
      <c r="L167" s="779">
        <f>(Q77/$R77*100*($E77/365))+(Q78/$R78*100*($E78/365))</f>
        <v>99.999999999999986</v>
      </c>
      <c r="M167" s="779"/>
      <c r="N167" s="781">
        <f t="shared" si="40"/>
        <v>99.999999999999986</v>
      </c>
      <c r="O167" s="781"/>
      <c r="R167" s="9">
        <v>1993</v>
      </c>
      <c r="S167" s="8">
        <f>(O77*($E77/365))+(O78*($E78/365))</f>
        <v>0</v>
      </c>
      <c r="T167" s="8">
        <f>(P77*($E77/365))+(P78*($E78/365))</f>
        <v>0</v>
      </c>
      <c r="U167" s="8">
        <f>(Q77*($E77/365))+(Q78*($E78/365))</f>
        <v>52.737260273972602</v>
      </c>
      <c r="W167" s="8">
        <f xml:space="preserve"> R77*(E77/365) + R78*(E78/365)</f>
        <v>52.737260273972602</v>
      </c>
    </row>
    <row r="168" spans="1:23" x14ac:dyDescent="0.15">
      <c r="A168" s="57">
        <v>1994</v>
      </c>
      <c r="B168" s="8">
        <f>(K79*($E79/365))+(K80*($E80/365))</f>
        <v>0</v>
      </c>
      <c r="C168" s="8">
        <f>(L79*($E79/365))+(L80*($E80/365))</f>
        <v>0</v>
      </c>
      <c r="D168" s="8">
        <f>(M79*($E79/365))+(M80*($E80/365))</f>
        <v>100</v>
      </c>
      <c r="E168" s="24">
        <f t="shared" si="41"/>
        <v>100</v>
      </c>
      <c r="G168" s="9">
        <v>1994</v>
      </c>
      <c r="H168" s="779">
        <f>(O79/$R79*100*($E79/365))+(O80/$R80*100*($E80/365))</f>
        <v>0</v>
      </c>
      <c r="I168" s="779"/>
      <c r="J168" s="779">
        <f>(P79/$R79*100*($E79/365))+(P80/$R80*100*($E80/365))</f>
        <v>0</v>
      </c>
      <c r="K168" s="779"/>
      <c r="L168" s="779">
        <f>(Q79/$R79*100*($E79/365))+(Q80/$R80*100*($E80/365))</f>
        <v>100</v>
      </c>
      <c r="M168" s="779"/>
      <c r="N168" s="781">
        <f t="shared" si="40"/>
        <v>100</v>
      </c>
      <c r="O168" s="781"/>
      <c r="R168" s="9">
        <v>1994</v>
      </c>
      <c r="S168" s="8">
        <f>(O79*($E79/365))+(O80*($E80/365))</f>
        <v>0</v>
      </c>
      <c r="T168" s="8">
        <f>(P79*($E79/365))+(P80*($E80/365))</f>
        <v>0</v>
      </c>
      <c r="U168" s="8">
        <f>(Q79*($E79/365))+(Q80*($E80/365))</f>
        <v>54.4</v>
      </c>
      <c r="W168" s="8">
        <f xml:space="preserve"> R79*(E79/365) + R80*(E80/365)</f>
        <v>54.4</v>
      </c>
    </row>
    <row r="169" spans="1:23" x14ac:dyDescent="0.15">
      <c r="A169" s="57">
        <v>1995</v>
      </c>
      <c r="B169" s="8">
        <f>(K81*($E81/365))+(K82*($E82/365))</f>
        <v>0</v>
      </c>
      <c r="C169" s="8">
        <f>(L81*($E81/365))+(L82*($E82/365))</f>
        <v>0</v>
      </c>
      <c r="D169" s="8">
        <f>(M81*($E81/365))+(M82*($E82/365))</f>
        <v>100</v>
      </c>
      <c r="E169" s="24">
        <f t="shared" si="41"/>
        <v>100</v>
      </c>
      <c r="G169" s="9">
        <v>1995</v>
      </c>
      <c r="H169" s="779">
        <f>(O81/$R81*100*($E81/365))+(O82/$R82*100*($E82/365))</f>
        <v>0</v>
      </c>
      <c r="I169" s="779"/>
      <c r="J169" s="779">
        <f>(P81/$R81*100*($E81/365))+(P82/$R82*100*($E82/365))</f>
        <v>0</v>
      </c>
      <c r="K169" s="779"/>
      <c r="L169" s="779">
        <f>(Q81/$R81*100*($E81/365))+(Q82/$R82*100*($E82/365))</f>
        <v>100</v>
      </c>
      <c r="M169" s="779"/>
      <c r="N169" s="781">
        <f t="shared" si="40"/>
        <v>100</v>
      </c>
      <c r="O169" s="781"/>
      <c r="R169" s="9">
        <v>1995</v>
      </c>
      <c r="S169" s="8">
        <f>(O81*($E81/365))+(O82*($E82/365))</f>
        <v>0</v>
      </c>
      <c r="T169" s="8">
        <f>(P81*($E81/365))+(P82*($E82/365))</f>
        <v>0</v>
      </c>
      <c r="U169" s="8">
        <f>(Q81*($E81/365))+(Q82*($E82/365))</f>
        <v>54.4</v>
      </c>
      <c r="W169" s="8">
        <f xml:space="preserve"> R81*(E81/365) + R82*(E82/365)</f>
        <v>54.4</v>
      </c>
    </row>
    <row r="170" spans="1:23" x14ac:dyDescent="0.15">
      <c r="A170" s="57">
        <v>1996</v>
      </c>
      <c r="B170" s="8">
        <f>(K83*($E83/366))+(K84*($E84/366))</f>
        <v>80.874316939890718</v>
      </c>
      <c r="C170" s="8">
        <f>(L83*($E83/366))+(L84*($E84/366))</f>
        <v>0</v>
      </c>
      <c r="D170" s="8">
        <f>(M83*($E83/366))+(M84*($E84/366))</f>
        <v>19.125683060109289</v>
      </c>
      <c r="E170" s="24">
        <f t="shared" si="41"/>
        <v>100</v>
      </c>
      <c r="G170" s="9">
        <v>1996</v>
      </c>
      <c r="H170" s="779">
        <f>(O83/$R83*100*($E83/366))+(O84/$R84*100*($E84/366))</f>
        <v>80.874316939890718</v>
      </c>
      <c r="I170" s="779"/>
      <c r="J170" s="779">
        <f>(P83/$R83*100*($E83/366))+(P84/$R84*100*($E84/366))</f>
        <v>0</v>
      </c>
      <c r="K170" s="779"/>
      <c r="L170" s="779">
        <f>(Q83/$R83*100*($E83/366))+(Q84/$R84*100*($E84/366))</f>
        <v>19.125683060109289</v>
      </c>
      <c r="M170" s="779"/>
      <c r="N170" s="781">
        <f t="shared" si="40"/>
        <v>100</v>
      </c>
      <c r="O170" s="781"/>
      <c r="R170" s="9">
        <v>1996</v>
      </c>
      <c r="S170" s="8">
        <f>(O83*($E83/366))+(O84*($E84/366))</f>
        <v>51.355191256830601</v>
      </c>
      <c r="T170" s="8">
        <f>(P83*($E83/366))+(P84*($E84/366))</f>
        <v>0</v>
      </c>
      <c r="U170" s="8">
        <f>(Q83*($E83/366))+(Q84*($E84/366))</f>
        <v>10.404371584699453</v>
      </c>
      <c r="W170" s="8">
        <f xml:space="preserve"> R83*(E83/366) + R84*(E84/366)</f>
        <v>61.759562841530055</v>
      </c>
    </row>
    <row r="171" spans="1:23" x14ac:dyDescent="0.15">
      <c r="A171" s="57">
        <v>1997</v>
      </c>
      <c r="B171" s="8">
        <f>(K85*($E85/365))+(K86*($E86/365))</f>
        <v>100</v>
      </c>
      <c r="C171" s="8">
        <f>(L85*($E85/365))+(L86*($E86/365))</f>
        <v>0</v>
      </c>
      <c r="D171" s="8">
        <f>(M85*($E85/365))+(M86*($E86/365))</f>
        <v>0</v>
      </c>
      <c r="E171" s="24">
        <f t="shared" si="41"/>
        <v>100</v>
      </c>
      <c r="G171" s="9">
        <v>1997</v>
      </c>
      <c r="H171" s="779">
        <f>(O85/$R85*100*($E85/365))+(O86/$R86*100*($E86/365))</f>
        <v>100</v>
      </c>
      <c r="I171" s="779"/>
      <c r="J171" s="779">
        <f>(P85/$R85*100*($E85/365))+(P86/$R86*100*($E86/365))</f>
        <v>0</v>
      </c>
      <c r="K171" s="779"/>
      <c r="L171" s="779">
        <f>(Q85/$R85*100*($E85/365))+(Q86/$R86*100*($E86/365))</f>
        <v>0</v>
      </c>
      <c r="M171" s="779"/>
      <c r="N171" s="781">
        <f t="shared" si="40"/>
        <v>100</v>
      </c>
      <c r="O171" s="781"/>
      <c r="R171" s="9">
        <v>1997</v>
      </c>
      <c r="S171" s="8">
        <f>(O85*($E85/365))+(O86*($E86/365))</f>
        <v>63.5</v>
      </c>
      <c r="T171" s="8">
        <f>(P85*($E85/365))+(P86*($E86/365))</f>
        <v>0</v>
      </c>
      <c r="U171" s="8">
        <f>(Q85*($E85/365))+(Q86*($E86/365))</f>
        <v>0</v>
      </c>
      <c r="W171" s="8">
        <f xml:space="preserve"> R85*(E85/365) + R86*(E86/365)</f>
        <v>63.5</v>
      </c>
    </row>
    <row r="172" spans="1:23" x14ac:dyDescent="0.15">
      <c r="A172" s="57">
        <v>1998</v>
      </c>
      <c r="B172" s="8">
        <f>(K87*($E87/365))+(K88*($E88/365))</f>
        <v>100</v>
      </c>
      <c r="C172" s="8">
        <f>(L87*($E87/365))+(L88*($E88/365))</f>
        <v>0</v>
      </c>
      <c r="D172" s="8">
        <f>(M87*($E87/365))+(M88*($E88/365))</f>
        <v>0</v>
      </c>
      <c r="E172" s="24">
        <f t="shared" si="41"/>
        <v>100</v>
      </c>
      <c r="G172" s="9">
        <v>1998</v>
      </c>
      <c r="H172" s="779">
        <f>(O87/$R87*100*($E87/365))+(O88/$R88*100*($E88/365))</f>
        <v>100</v>
      </c>
      <c r="I172" s="779"/>
      <c r="J172" s="779">
        <f>(P87/$R87*100*($E87/365))+(P88/$R88*100*($E88/365))</f>
        <v>0</v>
      </c>
      <c r="K172" s="779"/>
      <c r="L172" s="779">
        <f>(Q87/$R87*100*($E87/365))+(Q88/$R88*100*($E88/365))</f>
        <v>0</v>
      </c>
      <c r="M172" s="779"/>
      <c r="N172" s="781">
        <f t="shared" si="40"/>
        <v>100</v>
      </c>
      <c r="O172" s="781"/>
      <c r="R172" s="9">
        <v>1998</v>
      </c>
      <c r="S172" s="8">
        <f>(O87*($E87/365))+(O88*($E88/365))</f>
        <v>61.626027397260273</v>
      </c>
      <c r="T172" s="8">
        <f>(P87*($E87/365))+(P88*($E88/365))</f>
        <v>0</v>
      </c>
      <c r="U172" s="8">
        <f>(Q87*($E87/365))+(Q88*($E88/365))</f>
        <v>0</v>
      </c>
      <c r="W172" s="8">
        <f xml:space="preserve"> R87*(E87/365) + R88*(E88/365)</f>
        <v>61.626027397260273</v>
      </c>
    </row>
    <row r="173" spans="1:23" x14ac:dyDescent="0.15">
      <c r="A173" s="57">
        <v>1999</v>
      </c>
      <c r="B173" s="8">
        <f>(K89*($E89/365))+(K90*($E90/365))</f>
        <v>100</v>
      </c>
      <c r="C173" s="8">
        <f>(L89*($E89/365))+(L90*($E90/365))</f>
        <v>0</v>
      </c>
      <c r="D173" s="8">
        <f>(M89*($E89/365))+(M90*($E90/365))</f>
        <v>0</v>
      </c>
      <c r="E173" s="24">
        <f t="shared" si="41"/>
        <v>100</v>
      </c>
      <c r="G173" s="9">
        <v>1999</v>
      </c>
      <c r="H173" s="779">
        <f>(O89/$R89*100*($E89/365))+(O90/$R90*100*($E90/365))</f>
        <v>100</v>
      </c>
      <c r="I173" s="779"/>
      <c r="J173" s="779">
        <f>(P89/$R89*100*($E89/365))+(P90/$R90*100*($E90/365))</f>
        <v>0</v>
      </c>
      <c r="K173" s="779"/>
      <c r="L173" s="779">
        <f>(Q89/$R89*100*($E89/365))+(Q90/$R90*100*($E90/365))</f>
        <v>0</v>
      </c>
      <c r="M173" s="779"/>
      <c r="N173" s="781">
        <f t="shared" si="40"/>
        <v>100</v>
      </c>
      <c r="O173" s="781"/>
      <c r="R173" s="9">
        <v>1999</v>
      </c>
      <c r="S173" s="8">
        <f>(O89*($E89/365))+(O90*($E90/365))</f>
        <v>54</v>
      </c>
      <c r="T173" s="8">
        <f>(P89*($E89/365))+(P90*($E90/365))</f>
        <v>0</v>
      </c>
      <c r="U173" s="8">
        <f>(Q89*($E89/365))+(Q90*($E90/365))</f>
        <v>0</v>
      </c>
      <c r="W173" s="8">
        <f xml:space="preserve"> R89*(E89/365) + R90*(E90/365)</f>
        <v>54</v>
      </c>
    </row>
    <row r="174" spans="1:23" x14ac:dyDescent="0.15">
      <c r="A174" s="57">
        <v>2000</v>
      </c>
      <c r="B174" s="8">
        <f>(K91*($E91/366))+(K92*($E92/366))</f>
        <v>100</v>
      </c>
      <c r="C174" s="8">
        <f>(L91*($E91/366))+(L92*($E92/366))</f>
        <v>0</v>
      </c>
      <c r="D174" s="8">
        <f>(M91*($E91/366))+(M92*($E92/366))</f>
        <v>0</v>
      </c>
      <c r="E174" s="24">
        <f t="shared" si="41"/>
        <v>100</v>
      </c>
      <c r="G174" s="9">
        <v>2000</v>
      </c>
      <c r="H174" s="779">
        <f>(O91/$R91*100*($E91/366))+(O92/$R92*100*($E92/366))</f>
        <v>100</v>
      </c>
      <c r="I174" s="779"/>
      <c r="J174" s="779">
        <f>(P91/$R91*100*($E91/366))+(P92/$R92*100*($E92/366))</f>
        <v>0</v>
      </c>
      <c r="K174" s="779"/>
      <c r="L174" s="779">
        <f>(Q91/$R91*100*($E91/366))+(Q92/$R92*100*($E92/366))</f>
        <v>0</v>
      </c>
      <c r="M174" s="779"/>
      <c r="N174" s="781">
        <f t="shared" si="40"/>
        <v>100</v>
      </c>
      <c r="O174" s="781"/>
      <c r="R174" s="9">
        <v>2000</v>
      </c>
      <c r="S174" s="8">
        <f>(O91*($E91/366))+(O92*($E92/366))</f>
        <v>54</v>
      </c>
      <c r="T174" s="8">
        <f>(P91*($E91/366))+(P92*($E92/366))</f>
        <v>0</v>
      </c>
      <c r="U174" s="8">
        <f>(Q91*($E91/366))+(Q92*($E92/366))</f>
        <v>0</v>
      </c>
      <c r="W174" s="8">
        <f xml:space="preserve"> R91*(E91/366) + R92*(E92/366)</f>
        <v>54</v>
      </c>
    </row>
    <row r="175" spans="1:23" x14ac:dyDescent="0.15">
      <c r="A175" s="57">
        <v>2001</v>
      </c>
      <c r="B175" s="8">
        <f>(K93*($E93/365))+(K94*($E94/365))</f>
        <v>100</v>
      </c>
      <c r="C175" s="8">
        <f>(L93*($E93/365))+(L94*($E94/365))</f>
        <v>0</v>
      </c>
      <c r="D175" s="8">
        <f>(M93*($E93/365))+(M94*($E94/365))</f>
        <v>0</v>
      </c>
      <c r="E175" s="24">
        <f t="shared" si="41"/>
        <v>100</v>
      </c>
      <c r="G175" s="9">
        <v>2001</v>
      </c>
      <c r="H175" s="779">
        <f>(O93/$R93*100*($E93/365))+(O94/$R94*100*($E94/365))</f>
        <v>100</v>
      </c>
      <c r="I175" s="779"/>
      <c r="J175" s="779">
        <f>(P93/$R93*100*($E93/365))+(P94/$R94*100*($E94/365))</f>
        <v>0</v>
      </c>
      <c r="K175" s="779"/>
      <c r="L175" s="779">
        <f>(Q93/$R93*100*($E93/365))+(Q94/$R94*100*($E94/365))</f>
        <v>0</v>
      </c>
      <c r="M175" s="779"/>
      <c r="N175" s="781">
        <f t="shared" si="40"/>
        <v>100</v>
      </c>
      <c r="O175" s="781"/>
      <c r="R175" s="9">
        <v>2001</v>
      </c>
      <c r="S175" s="8">
        <f>(O93*($E93/365))+(O94*($E94/365))</f>
        <v>54.069041095890412</v>
      </c>
      <c r="T175" s="8">
        <f>(P93*($E93/365))+(P94*($E94/365))</f>
        <v>0</v>
      </c>
      <c r="U175" s="8">
        <f>(Q93*($E93/365))+(Q94*($E94/365))</f>
        <v>0</v>
      </c>
      <c r="W175" s="8">
        <f xml:space="preserve"> R93*(E93/365) + R94*(E94/365)</f>
        <v>54.069041095890412</v>
      </c>
    </row>
    <row r="176" spans="1:23" x14ac:dyDescent="0.15">
      <c r="A176" s="57">
        <v>2002</v>
      </c>
      <c r="B176" s="8">
        <f>(K95*($E95/365))+(K96*($E96/365))</f>
        <v>100</v>
      </c>
      <c r="C176" s="8">
        <f>(L95*($E95/365))+(L96*($E96/365))</f>
        <v>0</v>
      </c>
      <c r="D176" s="8">
        <f>(M95*($E95/365))+(M96*($E96/365))</f>
        <v>0</v>
      </c>
      <c r="E176" s="24">
        <f t="shared" si="41"/>
        <v>100</v>
      </c>
      <c r="G176" s="9">
        <v>2002</v>
      </c>
      <c r="H176" s="779">
        <f>(O95/$R95*100*($E95/365))+(O96/$R96*100*($E96/365))</f>
        <v>100</v>
      </c>
      <c r="I176" s="779"/>
      <c r="J176" s="779">
        <f>(P95/$R95*100*($E95/365))+(P96/$R96*100*($E96/365))</f>
        <v>0</v>
      </c>
      <c r="K176" s="779"/>
      <c r="L176" s="779">
        <f>(Q95/$R95*100*($E95/365))+(Q96/$R96*100*($E96/365))</f>
        <v>0</v>
      </c>
      <c r="M176" s="779"/>
      <c r="N176" s="781">
        <f t="shared" si="40"/>
        <v>100</v>
      </c>
      <c r="O176" s="781"/>
      <c r="R176" s="9">
        <v>2002</v>
      </c>
      <c r="S176" s="8">
        <f>(O95*($E95/365))+(O96*($E96/365))</f>
        <v>54.7</v>
      </c>
      <c r="T176" s="8">
        <f>(P95*($E95/365))+(P96*($E96/365))</f>
        <v>0</v>
      </c>
      <c r="U176" s="8">
        <f>(Q95*($E95/365))+(Q96*($E96/365))</f>
        <v>0</v>
      </c>
      <c r="W176" s="8">
        <f xml:space="preserve"> R95*(E95/365) + R96*(E96/365)</f>
        <v>54.7</v>
      </c>
    </row>
    <row r="177" spans="1:23" x14ac:dyDescent="0.15">
      <c r="A177" s="57">
        <v>2003</v>
      </c>
      <c r="B177" s="8">
        <f>(K97*($E97/365))+(K98*($E98/365))</f>
        <v>100</v>
      </c>
      <c r="C177" s="8">
        <f>(L97*($E97/365))+(L98*($E98/365))</f>
        <v>0</v>
      </c>
      <c r="D177" s="8">
        <f>(M97*($E97/365))+(M98*($E98/365))</f>
        <v>0</v>
      </c>
      <c r="E177" s="24">
        <f t="shared" si="41"/>
        <v>100</v>
      </c>
      <c r="G177" s="9">
        <v>2003</v>
      </c>
      <c r="H177" s="779">
        <f>(O97/$R97*100*($E97/365))+(O98/$R98*100*($E98/365))</f>
        <v>100</v>
      </c>
      <c r="I177" s="779"/>
      <c r="J177" s="779">
        <f>(P97/$R97*100*($E97/365))+(P98/$R98*100*($E98/365))</f>
        <v>0</v>
      </c>
      <c r="K177" s="779"/>
      <c r="L177" s="779">
        <f>(Q97/$R97*100*($E97/365))+(Q98/$R98*100*($E98/365))</f>
        <v>0</v>
      </c>
      <c r="M177" s="779"/>
      <c r="N177" s="781">
        <f t="shared" si="40"/>
        <v>100</v>
      </c>
      <c r="O177" s="781"/>
      <c r="R177" s="9">
        <v>2003</v>
      </c>
      <c r="S177" s="8">
        <f>(O97*($E97/365))+(O98*($E98/365))</f>
        <v>54.7</v>
      </c>
      <c r="T177" s="8">
        <f>(P97*($E97/365))+(P98*($E98/365))</f>
        <v>0</v>
      </c>
      <c r="U177" s="8">
        <f>(Q97*($E97/365))+(Q98*($E98/365))</f>
        <v>0</v>
      </c>
      <c r="W177" s="8">
        <f xml:space="preserve"> R97*(E97/365) + R98*(E98/365)</f>
        <v>54.7</v>
      </c>
    </row>
    <row r="178" spans="1:23" x14ac:dyDescent="0.15">
      <c r="A178" s="57">
        <v>2004</v>
      </c>
      <c r="B178" s="8">
        <f>(K99*($E99/366))+(K100*($E100/366))</f>
        <v>100.00000000000001</v>
      </c>
      <c r="C178" s="8">
        <f>(L99*($E99/366))+(L100*($E100/366))</f>
        <v>0</v>
      </c>
      <c r="D178" s="8">
        <f>(M99*($E99/366))+(M100*($E100/366))</f>
        <v>0</v>
      </c>
      <c r="E178" s="24">
        <f t="shared" si="41"/>
        <v>100.00000000000001</v>
      </c>
      <c r="G178" s="9">
        <v>2004</v>
      </c>
      <c r="H178" s="779">
        <f>(O99/$R99*100*($E99/366))+(O100/$R100*100*($E100/366))</f>
        <v>100.00000000000001</v>
      </c>
      <c r="I178" s="779"/>
      <c r="J178" s="779">
        <f>(P99/$R99*100*($E99/366))+(P100/$R100*100*($E100/366))</f>
        <v>0</v>
      </c>
      <c r="K178" s="779"/>
      <c r="L178" s="779">
        <f>(Q99/$R99*100*($E99/366))+(Q100/$R100*100*($E100/366))</f>
        <v>0</v>
      </c>
      <c r="M178" s="779"/>
      <c r="N178" s="781">
        <f t="shared" si="40"/>
        <v>100.00000000000001</v>
      </c>
      <c r="O178" s="781"/>
      <c r="R178" s="9">
        <v>2004</v>
      </c>
      <c r="S178" s="8">
        <f>(O99*($E99/366))+(O100*($E100/366))</f>
        <v>55.304098360655743</v>
      </c>
      <c r="T178" s="8">
        <f>(P99*($E99/366))+(P100*($E100/366))</f>
        <v>0</v>
      </c>
      <c r="U178" s="8">
        <f>(Q99*($E99/366))+(Q100*($E100/366))</f>
        <v>0</v>
      </c>
      <c r="W178" s="8">
        <f xml:space="preserve"> R99*(E99/366) + R100*(E100/366)</f>
        <v>55.304098360655743</v>
      </c>
    </row>
    <row r="179" spans="1:23" x14ac:dyDescent="0.15">
      <c r="A179" s="57">
        <v>2005</v>
      </c>
      <c r="B179" s="7">
        <f>(K101*($E101/365))+(K102*($E102/365))</f>
        <v>100</v>
      </c>
      <c r="C179" s="7">
        <f>(L101*($E101/365))+(L102*($E102/365))</f>
        <v>0</v>
      </c>
      <c r="D179" s="7">
        <f>(M101*($E101/365))+(M102*($E102/365))</f>
        <v>0</v>
      </c>
      <c r="E179" s="24">
        <f t="shared" si="41"/>
        <v>100</v>
      </c>
      <c r="G179" s="9">
        <v>2005</v>
      </c>
      <c r="H179" s="779">
        <f>(O101/$R101*100*($E101/365))+(O102/$R102*100*($E102/365))</f>
        <v>100</v>
      </c>
      <c r="I179" s="779"/>
      <c r="J179" s="779">
        <f>(P101/$R101*100*($E101/365))+(P102/$R102*100*($E102/365))</f>
        <v>0</v>
      </c>
      <c r="K179" s="779"/>
      <c r="L179" s="779">
        <f>(Q101/$R101*100*($E101/365))+(Q102/$R102*100*($E102/365))</f>
        <v>0</v>
      </c>
      <c r="M179" s="779"/>
      <c r="N179" s="781">
        <f t="shared" si="40"/>
        <v>100</v>
      </c>
      <c r="O179" s="781"/>
      <c r="R179" s="9">
        <v>2005</v>
      </c>
      <c r="S179" s="7">
        <f>(O101*($E101/365))+(O102*($E102/365))</f>
        <v>58</v>
      </c>
      <c r="T179" s="7">
        <f>(P101*($E101/365))+(P102*($E102/365))</f>
        <v>0</v>
      </c>
      <c r="U179" s="7">
        <f>(Q101*($E101/365))+(Q102*($E102/365))</f>
        <v>0</v>
      </c>
      <c r="W179" s="8">
        <f xml:space="preserve"> R101*(E101/365) + R102*(E102/365)</f>
        <v>58</v>
      </c>
    </row>
    <row r="180" spans="1:23" x14ac:dyDescent="0.15">
      <c r="A180" s="58">
        <v>2006</v>
      </c>
      <c r="B180" s="7">
        <f>(K103*($E103/365))+(K104*($E104/365))</f>
        <v>100</v>
      </c>
      <c r="C180" s="7">
        <f>(L103*($E103/365))+(L104*($E104/365))</f>
        <v>0</v>
      </c>
      <c r="D180" s="7">
        <f>(M103*($E103/365))+(M104*($E104/365))</f>
        <v>0</v>
      </c>
      <c r="E180" s="24">
        <f t="shared" si="41"/>
        <v>100</v>
      </c>
      <c r="G180" s="9">
        <v>2006</v>
      </c>
      <c r="H180" s="779">
        <f>(O103/$R103*100*($E103/365))+(O104/$R104*100*($E104/365))</f>
        <v>100</v>
      </c>
      <c r="I180" s="779"/>
      <c r="J180" s="779">
        <f>(P103/$R103*100*($E103/365))+(P104/$R104*100*($E104/365))</f>
        <v>0</v>
      </c>
      <c r="K180" s="779"/>
      <c r="L180" s="779">
        <f>(Q103/$R103*100*($E103/365))+(Q104/$R104*100*($E104/365))</f>
        <v>0</v>
      </c>
      <c r="M180" s="779"/>
      <c r="N180" s="781">
        <f t="shared" si="40"/>
        <v>100</v>
      </c>
      <c r="O180" s="781"/>
      <c r="R180" s="9">
        <v>2006</v>
      </c>
      <c r="S180" s="7">
        <f>(O103*($E103/365))+(O104*($E104/365))</f>
        <v>58</v>
      </c>
      <c r="T180" s="7">
        <f>(P103*($E103/365))+(P104*($E104/365))</f>
        <v>0</v>
      </c>
      <c r="U180" s="7">
        <f>(Q103*($E103/365))+(Q104*($E104/365))</f>
        <v>0</v>
      </c>
      <c r="W180" s="8">
        <f xml:space="preserve"> R103*(E103/365) + R104*(E104/365)</f>
        <v>58</v>
      </c>
    </row>
    <row r="181" spans="1:23" x14ac:dyDescent="0.15">
      <c r="A181" s="58">
        <v>2007</v>
      </c>
      <c r="B181" s="7">
        <f>(K105*($E105/365))+(K106*($E106/365))</f>
        <v>92.054794520547944</v>
      </c>
      <c r="C181" s="7">
        <f>(L105*($E105/365))+(L106*($E106/365))</f>
        <v>0</v>
      </c>
      <c r="D181" s="7">
        <f>(M105*($E105/365))+(M106*($E106/365))</f>
        <v>7.9452054794520555</v>
      </c>
      <c r="E181" s="24">
        <f t="shared" si="41"/>
        <v>100</v>
      </c>
      <c r="G181" s="9">
        <v>2007</v>
      </c>
      <c r="H181" s="779">
        <f>(O105/$R105*100*($E105/365))+(O106/$R106*100*($E106/365))</f>
        <v>92.054794520547944</v>
      </c>
      <c r="I181" s="779"/>
      <c r="J181" s="779">
        <f>(P105/$R105*100*($E105/365))+(P106/$R106*100*($E106/365))</f>
        <v>0</v>
      </c>
      <c r="K181" s="779"/>
      <c r="L181" s="779">
        <f>(Q105/$R105*100*($E105/365))+(Q106/$R106*100*($E106/365))</f>
        <v>7.9452054794520555</v>
      </c>
      <c r="M181" s="779"/>
      <c r="N181" s="781">
        <f t="shared" si="40"/>
        <v>100</v>
      </c>
      <c r="O181" s="781"/>
      <c r="R181" s="9">
        <v>2007</v>
      </c>
      <c r="S181" s="7">
        <f>(O105*($E105/365))+(O106*($E106/365))</f>
        <v>53.391780821917806</v>
      </c>
      <c r="T181" s="7">
        <f>(P105*($E105/365))+(P106*($E106/365))</f>
        <v>0</v>
      </c>
      <c r="U181" s="7">
        <f>(Q105*($E105/365))+(Q106*($E106/365))</f>
        <v>4.3936986301369867</v>
      </c>
      <c r="W181" s="8">
        <f xml:space="preserve"> R105*(E105/365) + R106*(E106/365)</f>
        <v>57.785479452054794</v>
      </c>
    </row>
    <row r="182" spans="1:23" x14ac:dyDescent="0.15">
      <c r="A182" s="57">
        <v>2008</v>
      </c>
      <c r="B182" s="7">
        <f>(K107*($E107/366))+(K108*($E108/366))</f>
        <v>0</v>
      </c>
      <c r="C182" s="7">
        <f>(L107*($E107/366))+(L108*($E108/366))</f>
        <v>0</v>
      </c>
      <c r="D182" s="7">
        <f>(M107*($E107/366))+(M108*($E108/366))</f>
        <v>100</v>
      </c>
      <c r="E182" s="24">
        <f t="shared" si="41"/>
        <v>100</v>
      </c>
      <c r="G182" s="9">
        <v>2008</v>
      </c>
      <c r="H182" s="779">
        <f>(O107/$R107*100*($E107/366))+(O108/$R108*100*($E108/366))</f>
        <v>0</v>
      </c>
      <c r="I182" s="779"/>
      <c r="J182" s="779">
        <f>(P107/$R107*100*($E107/366))+(P108/$R108*100*($E108/366))</f>
        <v>0</v>
      </c>
      <c r="K182" s="779"/>
      <c r="L182" s="779">
        <f>(Q107/$R107*100*($E107/366))+(Q108/$R108*100*($E108/366))</f>
        <v>100</v>
      </c>
      <c r="M182" s="779"/>
      <c r="N182" s="781">
        <f t="shared" si="40"/>
        <v>100</v>
      </c>
      <c r="O182" s="781"/>
      <c r="R182" s="9">
        <v>2008</v>
      </c>
      <c r="S182" s="7">
        <f>(O107*($E107/366))+(O108*($E108/366))</f>
        <v>0</v>
      </c>
      <c r="T182" s="7">
        <f>(P107*($E107/366))+(P108*($E108/366))</f>
        <v>0</v>
      </c>
      <c r="U182" s="7">
        <f>(Q107*($E107/366))+(Q108*($E108/366))</f>
        <v>55.3</v>
      </c>
      <c r="W182" s="8">
        <f xml:space="preserve"> R107*(E107/366) + R108*(E108/366)</f>
        <v>55.3</v>
      </c>
    </row>
    <row r="183" spans="1:23" x14ac:dyDescent="0.15">
      <c r="A183" s="57">
        <v>2009</v>
      </c>
      <c r="B183" s="7">
        <f>(K109*($E109/365))+(K110*($E110/365))</f>
        <v>0</v>
      </c>
      <c r="C183" s="7">
        <f>(L109*($E109/365))+(L110*($E110/365))</f>
        <v>0</v>
      </c>
      <c r="D183" s="7">
        <f>(M109*($E109/365))+(M110*($E110/365))</f>
        <v>100</v>
      </c>
      <c r="E183" s="24">
        <f t="shared" si="41"/>
        <v>100</v>
      </c>
      <c r="G183" s="9">
        <v>2009</v>
      </c>
      <c r="H183" s="779">
        <f>(O109/$R109*100*($E109/365))+(O110/$R110*100*($E110/365))</f>
        <v>0</v>
      </c>
      <c r="I183" s="779"/>
      <c r="J183" s="779">
        <f>(P109/$R109*100*($E109/365))+(P110/$R110*100*($E110/365))</f>
        <v>0</v>
      </c>
      <c r="K183" s="779"/>
      <c r="L183" s="779">
        <f>(Q109/$R109*100*($E109/365))+(Q110/$R110*100*($E110/365))</f>
        <v>100</v>
      </c>
      <c r="M183" s="779"/>
      <c r="N183" s="781">
        <f t="shared" si="40"/>
        <v>100</v>
      </c>
      <c r="O183" s="781"/>
      <c r="R183" s="9">
        <v>2009</v>
      </c>
      <c r="S183" s="7">
        <f>(O109*($E109/365))+(O110*($E110/365))</f>
        <v>0</v>
      </c>
      <c r="T183" s="7">
        <f>(P109*($E109/365))+(P110*($E110/365))</f>
        <v>0</v>
      </c>
      <c r="U183" s="7">
        <f>(Q109*($E109/365))+(Q110*($E110/365))</f>
        <v>55.3</v>
      </c>
      <c r="W183" s="8">
        <f xml:space="preserve"> R109*(E109/365) + R110*(E110/365)</f>
        <v>55.3</v>
      </c>
    </row>
    <row r="184" spans="1:23" x14ac:dyDescent="0.15">
      <c r="A184" s="57">
        <v>2010</v>
      </c>
      <c r="B184" s="7">
        <f>(K111*($E111/365))+(K112*($E112/365))+(K113*($E113/365))</f>
        <v>0</v>
      </c>
      <c r="C184" s="7">
        <f>(L111*($E111/365))+(L112*($E112/365))+(L113*($E113/365))</f>
        <v>0</v>
      </c>
      <c r="D184" s="7">
        <f>(M111*($E111/365))+(M112*($E112/365))+(M113*($E113/365))</f>
        <v>100</v>
      </c>
      <c r="E184" s="24">
        <f t="shared" si="41"/>
        <v>100</v>
      </c>
      <c r="G184" s="9">
        <v>2010</v>
      </c>
      <c r="H184" s="779">
        <f>(O111/$R111*100*($E111/365))+(O112/$R112*100*($E112/365))+(O113/$R113*100*($E113/365))</f>
        <v>0</v>
      </c>
      <c r="I184" s="779"/>
      <c r="J184" s="779">
        <f>(P111/$R111*100*($E111/365))+(P112/$R112*100*($E112/365))+(P113/$R113*100*($E113/365))</f>
        <v>0</v>
      </c>
      <c r="K184" s="779"/>
      <c r="L184" s="779">
        <f>(Q111/$R111*100*($E111/365))+(Q112/$R112*100*($E112/365))+(Q113/$R113*100*($E113/365))</f>
        <v>100</v>
      </c>
      <c r="M184" s="779"/>
      <c r="N184" s="781">
        <f t="shared" si="40"/>
        <v>100</v>
      </c>
      <c r="O184" s="781"/>
      <c r="R184" s="9">
        <v>2010</v>
      </c>
      <c r="S184" s="7">
        <f>(O111*($E111/365))+(O112*($E112/365))+(O113*($E113/365))</f>
        <v>0</v>
      </c>
      <c r="T184" s="7">
        <f>(P111*($E111/365))+(P112*($E112/365))+(P113*($E113/365))</f>
        <v>0</v>
      </c>
      <c r="U184" s="7">
        <f>(Q111*($E111/365))+(Q112*($E112/365))+(Q113*($E113/365))</f>
        <v>53.11999999999999</v>
      </c>
      <c r="W184" s="8">
        <f xml:space="preserve"> R111*(E111/365) + R112*(E112/365) + R113*(E113/365)</f>
        <v>53.11999999999999</v>
      </c>
    </row>
    <row r="185" spans="1:23" x14ac:dyDescent="0.15">
      <c r="A185" s="57">
        <v>2011</v>
      </c>
      <c r="B185" s="7">
        <f>(K114*($E114/365))+(K115*($E115/365))</f>
        <v>0</v>
      </c>
      <c r="C185" s="7">
        <f>(L114*($E114/365))+(L115*($E115/365))</f>
        <v>0</v>
      </c>
      <c r="D185" s="7">
        <f>(M114*($E114/365))+(M115*($E115/365))</f>
        <v>100</v>
      </c>
      <c r="E185" s="24">
        <f t="shared" si="41"/>
        <v>100</v>
      </c>
      <c r="G185" s="9">
        <v>2011</v>
      </c>
      <c r="H185" s="779">
        <f>(O114/$R114*100*($E114/365))+(O115/$R115*100*($E115/365))</f>
        <v>0</v>
      </c>
      <c r="I185" s="779"/>
      <c r="J185" s="779">
        <f>(P114/$R114*100*($E114/365))+(P115/$R115*100*($E115/365))</f>
        <v>0</v>
      </c>
      <c r="K185" s="779"/>
      <c r="L185" s="779">
        <f>(Q114/$R114*100*($E114/365))+(Q115/$R115*100*($E115/365))</f>
        <v>100</v>
      </c>
      <c r="M185" s="779"/>
      <c r="N185" s="781">
        <f t="shared" si="40"/>
        <v>100</v>
      </c>
      <c r="O185" s="781"/>
      <c r="R185" s="9">
        <v>2011</v>
      </c>
      <c r="S185" s="7">
        <f>(O114*($E114/365))+(O115*($E115/365))</f>
        <v>0</v>
      </c>
      <c r="T185" s="7">
        <f>(P114*($E114/365))+(P115*($E115/365))</f>
        <v>0</v>
      </c>
      <c r="U185" s="7">
        <f>(Q114*($E114/365))+(Q115*($E115/365))</f>
        <v>48</v>
      </c>
      <c r="W185" s="8">
        <f xml:space="preserve"> R114*(E114/365) + R115*(E115/365)</f>
        <v>48</v>
      </c>
    </row>
    <row r="186" spans="1:23" x14ac:dyDescent="0.15">
      <c r="A186" s="57">
        <v>2012</v>
      </c>
      <c r="B186" s="7">
        <f>(K116*($E116/366))+(K117*($E117/366))</f>
        <v>0</v>
      </c>
      <c r="C186" s="7">
        <f>(L116*($E116/366))+(L117*($E117/366))</f>
        <v>0</v>
      </c>
      <c r="D186" s="7">
        <f>(M116*($E116/366))+(M117*($E117/366))</f>
        <v>100</v>
      </c>
      <c r="E186" s="24">
        <f t="shared" si="41"/>
        <v>100</v>
      </c>
      <c r="G186" s="9">
        <v>2012</v>
      </c>
      <c r="H186" s="779">
        <f>(O116/$R116*100*($E116/366))+(O117/$R117*100*($E117/366))</f>
        <v>0</v>
      </c>
      <c r="I186" s="779"/>
      <c r="J186" s="779">
        <f>(P116/$R116*100*($E116/366))+(P117/$R117*100*($E117/366))</f>
        <v>0</v>
      </c>
      <c r="K186" s="779"/>
      <c r="L186" s="779">
        <f>(Q116/$R116*100*($E116/366))+(Q117/$R117*100*($E117/366))</f>
        <v>100</v>
      </c>
      <c r="M186" s="779"/>
      <c r="N186" s="781">
        <f t="shared" si="40"/>
        <v>100</v>
      </c>
      <c r="O186" s="781"/>
      <c r="R186" s="9">
        <v>2012</v>
      </c>
      <c r="S186" s="7">
        <f>(O116*($E116/366))+(O117*($E117/366))</f>
        <v>0</v>
      </c>
      <c r="T186" s="7">
        <f>(P116*($E116/366))+(P117*($E117/366))</f>
        <v>0</v>
      </c>
      <c r="U186" s="7">
        <f>(Q116*($E116/366))+(Q117*($E117/366))</f>
        <v>48</v>
      </c>
      <c r="W186" s="8">
        <f xml:space="preserve"> R116*(E116/366) + R117*(E117/366)</f>
        <v>48</v>
      </c>
    </row>
    <row r="187" spans="1:23" x14ac:dyDescent="0.15">
      <c r="A187" s="57">
        <v>2013</v>
      </c>
      <c r="B187" s="7">
        <f>(K118*($E118/365))+(K119*($E119/365))+(K120*($E120/365))+(K121*($E121/365))</f>
        <v>28.767123287671232</v>
      </c>
      <c r="C187" s="7">
        <f>(L118*($E118/365))+(L119*($E119/365))+(L120*($E120/365))+(L121*($E121/365))</f>
        <v>0</v>
      </c>
      <c r="D187" s="7">
        <f>(M118*($E118/365))+(M119*($E119/365))+(M120*($E120/365))+(M121*($E121/365))</f>
        <v>71.232876712328761</v>
      </c>
      <c r="E187" s="292">
        <f>SUM(B187:D187)</f>
        <v>100</v>
      </c>
      <c r="G187" s="9">
        <v>2013</v>
      </c>
      <c r="H187" s="779">
        <f>(O118/$R118*100*($E118/365))+(O119/$R119*100*($E119/365))+(O120/$R120*100*($E120/365))+(O121/$R121*100*($E121/365))</f>
        <v>28.767123287671232</v>
      </c>
      <c r="I187" s="779"/>
      <c r="J187" s="779">
        <f>(P118/$R118*100*($E118/365))+(P119/$R119*100*($E119/365))+(P120/$R120*100*($E120/365))+(P121/$R121*100*($E121/365))</f>
        <v>0</v>
      </c>
      <c r="K187" s="779"/>
      <c r="L187" s="779">
        <f>(Q118/$R118*100*($E118/365))+(Q119/$R119*100*($E119/365))+(Q120/$R120*100*($E120/365))+(Q121/$R121*100*($E121/365))</f>
        <v>71.232876712328761</v>
      </c>
      <c r="M187" s="779"/>
      <c r="N187" s="781">
        <f>SUM(H187:M187)</f>
        <v>100</v>
      </c>
      <c r="O187" s="781"/>
      <c r="R187" s="9">
        <v>2013</v>
      </c>
      <c r="S187" s="7">
        <f>(O118*($E118/365))+(O119*($E119/365))+(O120*($E120/365))+(O121*($E121/365))</f>
        <v>17.260273972602739</v>
      </c>
      <c r="T187" s="7">
        <f>(P118*($E118/365))+(P119*($E119/365))+(P120*($E120/365))+(P121*($E121/365))</f>
        <v>0</v>
      </c>
      <c r="U187" s="7">
        <f>(Q118*($E118/365))+(Q119*($E119/365))+(Q120*($E120/365))+(Q121*($E121/365))</f>
        <v>34.032602739726023</v>
      </c>
      <c r="W187" s="8">
        <f xml:space="preserve"> R118*(E118/365) + R119*(E119/365) + R120*(E120/365) + R121*(E121/365)</f>
        <v>51.292876712328763</v>
      </c>
    </row>
    <row r="188" spans="1:23" x14ac:dyDescent="0.15">
      <c r="A188" s="57">
        <v>2014</v>
      </c>
      <c r="B188" s="7">
        <f>(K122*($E122/365))+(K123*($E123/365))</f>
        <v>100</v>
      </c>
      <c r="C188" s="7">
        <f>(L122*($E122/365))+(L123*($E123/365))</f>
        <v>0</v>
      </c>
      <c r="D188" s="7">
        <f>(M122*($E122/365))+(M123*($E123/365))</f>
        <v>0</v>
      </c>
      <c r="E188" s="509">
        <f>SUM(B188:D188)</f>
        <v>100</v>
      </c>
      <c r="G188" s="9">
        <v>2014</v>
      </c>
      <c r="H188" s="779">
        <f>(O122/$R122*100*($E122/365))+(O123/$R123*100*($E123/365))</f>
        <v>100</v>
      </c>
      <c r="I188" s="779"/>
      <c r="J188" s="779">
        <f>(P122/$R122*100*($E122/365))+(P123/$R123*100*($E123/365))</f>
        <v>0</v>
      </c>
      <c r="K188" s="779"/>
      <c r="L188" s="779">
        <f>(Q122/$R122*100*($E122/365))+(Q123/$R123*100*($E123/365))</f>
        <v>0</v>
      </c>
      <c r="M188" s="779"/>
      <c r="N188" s="781">
        <f>SUM(H188:M188)</f>
        <v>100</v>
      </c>
      <c r="O188" s="781"/>
      <c r="R188" s="9">
        <v>2014</v>
      </c>
      <c r="S188" s="7">
        <f>(O122*($E122/365))+(O123*($E123/365))</f>
        <v>60</v>
      </c>
      <c r="T188" s="7">
        <f>(P122*($E122/365))+(P123*($E123/365))</f>
        <v>0</v>
      </c>
      <c r="U188" s="7">
        <f>(Q122*($E122/365))+(Q123*($E123/365))</f>
        <v>0</v>
      </c>
      <c r="W188" s="8">
        <f xml:space="preserve"> R122*(E122/365) + R123*(E123/365)</f>
        <v>60</v>
      </c>
    </row>
    <row r="189" spans="1:23" x14ac:dyDescent="0.15">
      <c r="A189" s="57">
        <v>2015</v>
      </c>
      <c r="B189" s="695">
        <f>(K124*($E124/365))+(K125*($E125/365))</f>
        <v>100</v>
      </c>
      <c r="C189" s="695">
        <f>(L124*($E124/365))+(L125*($E125/365))</f>
        <v>0</v>
      </c>
      <c r="D189" s="695">
        <f>(M124*($E124/365))+(M125*($E125/365))</f>
        <v>0</v>
      </c>
      <c r="E189" s="691">
        <f>SUM(B189:D189)</f>
        <v>100</v>
      </c>
      <c r="G189" s="9">
        <v>2015</v>
      </c>
      <c r="H189" s="779">
        <f>(O124/$R124*100*($E124/365))+(O125/$R125*100*($E125/365))</f>
        <v>100</v>
      </c>
      <c r="I189" s="779"/>
      <c r="J189" s="779">
        <f>(P124/$R124*100*($E124/365))+(P125/$R125*100*($E125/365))</f>
        <v>0</v>
      </c>
      <c r="K189" s="779"/>
      <c r="L189" s="779">
        <f>(Q124/$R124*100*($E124/365))+(Q125/$R125*100*($E125/365))</f>
        <v>0</v>
      </c>
      <c r="M189" s="779"/>
      <c r="N189" s="781">
        <f>SUM(H189:M189)</f>
        <v>100</v>
      </c>
      <c r="O189" s="781"/>
      <c r="R189" s="9">
        <v>2015</v>
      </c>
      <c r="S189" s="695">
        <f>(O124*($E124/365))+(O125*($E125/365))</f>
        <v>60</v>
      </c>
      <c r="T189" s="695">
        <f>(P124*($E124/365))+(P125*($E125/365))</f>
        <v>0</v>
      </c>
      <c r="U189" s="695">
        <f>(Q124*($E124/365))+(Q125*($E125/365))</f>
        <v>0</v>
      </c>
      <c r="W189" s="690">
        <f xml:space="preserve"> R124*(E124/365) + R125*(E125/365)</f>
        <v>60</v>
      </c>
    </row>
    <row r="190" spans="1:23" x14ac:dyDescent="0.15">
      <c r="A190" s="57"/>
      <c r="B190" s="695"/>
      <c r="C190" s="695"/>
      <c r="D190" s="695"/>
      <c r="E190" s="691"/>
      <c r="G190" s="9"/>
      <c r="H190" s="779"/>
      <c r="I190" s="779"/>
      <c r="J190" s="779"/>
      <c r="K190" s="779"/>
      <c r="L190" s="779"/>
      <c r="M190" s="779"/>
      <c r="N190" s="781"/>
      <c r="O190" s="781"/>
      <c r="R190" s="9"/>
      <c r="S190" s="695"/>
      <c r="T190" s="695"/>
      <c r="U190" s="695"/>
      <c r="W190" s="690"/>
    </row>
    <row r="191" spans="1:23" x14ac:dyDescent="0.15">
      <c r="A191" s="57"/>
      <c r="B191" s="695"/>
      <c r="C191" s="695"/>
      <c r="D191" s="695"/>
      <c r="E191" s="691"/>
      <c r="G191" s="9"/>
      <c r="H191" s="779"/>
      <c r="I191" s="779"/>
      <c r="J191" s="779"/>
      <c r="K191" s="779"/>
      <c r="L191" s="779"/>
      <c r="M191" s="779"/>
      <c r="N191" s="781"/>
      <c r="O191" s="781"/>
      <c r="R191" s="9"/>
      <c r="S191" s="695"/>
      <c r="T191" s="695"/>
      <c r="U191" s="695"/>
      <c r="W191" s="690"/>
    </row>
    <row r="192" spans="1:23" x14ac:dyDescent="0.15">
      <c r="A192" s="57"/>
      <c r="B192" s="695"/>
      <c r="C192" s="695"/>
      <c r="D192" s="695"/>
      <c r="E192" s="691"/>
      <c r="G192" s="9"/>
      <c r="H192" s="779"/>
      <c r="I192" s="779"/>
      <c r="J192" s="779"/>
      <c r="K192" s="779"/>
      <c r="L192" s="779"/>
      <c r="M192" s="779"/>
      <c r="N192" s="781"/>
      <c r="O192" s="781"/>
      <c r="R192" s="9"/>
      <c r="S192" s="695"/>
      <c r="T192" s="695"/>
      <c r="U192" s="695"/>
      <c r="W192" s="690"/>
    </row>
    <row r="193" spans="1:23" x14ac:dyDescent="0.15">
      <c r="A193" s="57"/>
      <c r="B193" s="695"/>
      <c r="C193" s="695"/>
      <c r="D193" s="695"/>
      <c r="E193" s="691"/>
      <c r="G193" s="9"/>
      <c r="H193" s="779"/>
      <c r="I193" s="779"/>
      <c r="J193" s="779"/>
      <c r="K193" s="779"/>
      <c r="L193" s="779"/>
      <c r="M193" s="779"/>
      <c r="N193" s="781"/>
      <c r="O193" s="781"/>
      <c r="R193" s="9"/>
      <c r="S193" s="695"/>
      <c r="T193" s="695"/>
      <c r="U193" s="695"/>
      <c r="W193" s="690"/>
    </row>
    <row r="194" spans="1:23" x14ac:dyDescent="0.15">
      <c r="A194" s="57"/>
      <c r="B194" s="695"/>
      <c r="C194" s="695"/>
      <c r="D194" s="695"/>
      <c r="E194" s="691"/>
      <c r="G194" s="9"/>
      <c r="H194" s="779"/>
      <c r="I194" s="779"/>
      <c r="J194" s="779"/>
      <c r="K194" s="779"/>
      <c r="L194" s="779"/>
      <c r="M194" s="779"/>
      <c r="N194" s="781"/>
      <c r="O194" s="781"/>
      <c r="R194" s="9"/>
      <c r="S194" s="695"/>
      <c r="T194" s="695"/>
      <c r="U194" s="695"/>
      <c r="W194" s="690"/>
    </row>
  </sheetData>
  <mergeCells count="394">
    <mergeCell ref="H194:I194"/>
    <mergeCell ref="J194:K194"/>
    <mergeCell ref="L194:M194"/>
    <mergeCell ref="N194:O194"/>
    <mergeCell ref="H190:I190"/>
    <mergeCell ref="J190:K190"/>
    <mergeCell ref="L190:M190"/>
    <mergeCell ref="N190:O190"/>
    <mergeCell ref="H191:I191"/>
    <mergeCell ref="J191:K191"/>
    <mergeCell ref="L191:M191"/>
    <mergeCell ref="N191:O191"/>
    <mergeCell ref="H192:I192"/>
    <mergeCell ref="J192:K192"/>
    <mergeCell ref="L192:M192"/>
    <mergeCell ref="N192:O192"/>
    <mergeCell ref="H193:I193"/>
    <mergeCell ref="J193:K193"/>
    <mergeCell ref="L193:M193"/>
    <mergeCell ref="N193:O193"/>
    <mergeCell ref="C124:D124"/>
    <mergeCell ref="C125:D125"/>
    <mergeCell ref="H189:I189"/>
    <mergeCell ref="J189:K189"/>
    <mergeCell ref="L189:M189"/>
    <mergeCell ref="N189:O189"/>
    <mergeCell ref="AT4:AW4"/>
    <mergeCell ref="AX4:BA4"/>
    <mergeCell ref="N174:O174"/>
    <mergeCell ref="N183:O183"/>
    <mergeCell ref="N184:O184"/>
    <mergeCell ref="N185:O185"/>
    <mergeCell ref="N165:O165"/>
    <mergeCell ref="N166:O166"/>
    <mergeCell ref="N169:O169"/>
    <mergeCell ref="N170:O170"/>
    <mergeCell ref="N172:O172"/>
    <mergeCell ref="N168:O168"/>
    <mergeCell ref="N156:O156"/>
    <mergeCell ref="N157:O157"/>
    <mergeCell ref="N158:O158"/>
    <mergeCell ref="N159:O159"/>
    <mergeCell ref="N160:O160"/>
    <mergeCell ref="N161:O161"/>
    <mergeCell ref="N186:O186"/>
    <mergeCell ref="N175:O175"/>
    <mergeCell ref="N176:O176"/>
    <mergeCell ref="N177:O177"/>
    <mergeCell ref="N178:O178"/>
    <mergeCell ref="N179:O179"/>
    <mergeCell ref="N181:O181"/>
    <mergeCell ref="N182:O182"/>
    <mergeCell ref="N180:O180"/>
    <mergeCell ref="L186:M186"/>
    <mergeCell ref="N134:O134"/>
    <mergeCell ref="N135:O135"/>
    <mergeCell ref="N136:O136"/>
    <mergeCell ref="N137:O137"/>
    <mergeCell ref="N138:O138"/>
    <mergeCell ref="N139:O139"/>
    <mergeCell ref="N140:O140"/>
    <mergeCell ref="L175:M175"/>
    <mergeCell ref="L176:M176"/>
    <mergeCell ref="L177:M177"/>
    <mergeCell ref="L164:M164"/>
    <mergeCell ref="L165:M165"/>
    <mergeCell ref="L166:M166"/>
    <mergeCell ref="L174:M174"/>
    <mergeCell ref="L156:M156"/>
    <mergeCell ref="L157:M157"/>
    <mergeCell ref="L158:M158"/>
    <mergeCell ref="N171:O171"/>
    <mergeCell ref="N148:O148"/>
    <mergeCell ref="N149:O149"/>
    <mergeCell ref="N150:O150"/>
    <mergeCell ref="N151:O151"/>
    <mergeCell ref="N152:O152"/>
    <mergeCell ref="L168:M168"/>
    <mergeCell ref="H165:I165"/>
    <mergeCell ref="J164:K164"/>
    <mergeCell ref="J168:K168"/>
    <mergeCell ref="N173:O173"/>
    <mergeCell ref="N162:O162"/>
    <mergeCell ref="N163:O163"/>
    <mergeCell ref="N164:O164"/>
    <mergeCell ref="N142:O142"/>
    <mergeCell ref="N143:O143"/>
    <mergeCell ref="N144:O144"/>
    <mergeCell ref="N145:O145"/>
    <mergeCell ref="N146:O146"/>
    <mergeCell ref="N153:O153"/>
    <mergeCell ref="N154:O154"/>
    <mergeCell ref="N167:O167"/>
    <mergeCell ref="N155:O155"/>
    <mergeCell ref="L153:M153"/>
    <mergeCell ref="L154:M154"/>
    <mergeCell ref="L155:M155"/>
    <mergeCell ref="J167:K167"/>
    <mergeCell ref="J155:K155"/>
    <mergeCell ref="J156:K156"/>
    <mergeCell ref="J165:K165"/>
    <mergeCell ref="J185:K185"/>
    <mergeCell ref="L169:M169"/>
    <mergeCell ref="L171:M171"/>
    <mergeCell ref="L172:M172"/>
    <mergeCell ref="L173:M173"/>
    <mergeCell ref="J169:K169"/>
    <mergeCell ref="J170:K170"/>
    <mergeCell ref="J171:K171"/>
    <mergeCell ref="J172:K172"/>
    <mergeCell ref="J179:K179"/>
    <mergeCell ref="J180:K180"/>
    <mergeCell ref="J173:K173"/>
    <mergeCell ref="J174:K174"/>
    <mergeCell ref="L183:M183"/>
    <mergeCell ref="L184:M184"/>
    <mergeCell ref="J175:K175"/>
    <mergeCell ref="J176:K176"/>
    <mergeCell ref="J177:K177"/>
    <mergeCell ref="L185:M185"/>
    <mergeCell ref="L182:M182"/>
    <mergeCell ref="J184:K184"/>
    <mergeCell ref="H186:I186"/>
    <mergeCell ref="L144:M144"/>
    <mergeCell ref="L145:M145"/>
    <mergeCell ref="L146:M146"/>
    <mergeCell ref="L147:M147"/>
    <mergeCell ref="L148:M148"/>
    <mergeCell ref="L149:M149"/>
    <mergeCell ref="L150:M150"/>
    <mergeCell ref="L151:M151"/>
    <mergeCell ref="L152:M152"/>
    <mergeCell ref="H181:I181"/>
    <mergeCell ref="H182:I182"/>
    <mergeCell ref="H183:I183"/>
    <mergeCell ref="H184:I184"/>
    <mergeCell ref="H185:I185"/>
    <mergeCell ref="H177:I177"/>
    <mergeCell ref="H178:I178"/>
    <mergeCell ref="H179:I179"/>
    <mergeCell ref="H180:I180"/>
    <mergeCell ref="L170:M170"/>
    <mergeCell ref="J182:K182"/>
    <mergeCell ref="L181:M181"/>
    <mergeCell ref="J186:K186"/>
    <mergeCell ref="J183:K183"/>
    <mergeCell ref="L167:M167"/>
    <mergeCell ref="J158:K158"/>
    <mergeCell ref="J163:K163"/>
    <mergeCell ref="L159:M159"/>
    <mergeCell ref="L160:M160"/>
    <mergeCell ref="L161:M161"/>
    <mergeCell ref="L162:M162"/>
    <mergeCell ref="L163:M163"/>
    <mergeCell ref="J135:K135"/>
    <mergeCell ref="J136:K136"/>
    <mergeCell ref="J137:K137"/>
    <mergeCell ref="J138:K138"/>
    <mergeCell ref="J139:K139"/>
    <mergeCell ref="J140:K140"/>
    <mergeCell ref="J166:K166"/>
    <mergeCell ref="J145:K145"/>
    <mergeCell ref="J162:K162"/>
    <mergeCell ref="J151:K151"/>
    <mergeCell ref="J152:K152"/>
    <mergeCell ref="J153:K153"/>
    <mergeCell ref="J154:K154"/>
    <mergeCell ref="J149:K149"/>
    <mergeCell ref="J150:K150"/>
    <mergeCell ref="N147:O147"/>
    <mergeCell ref="J147:K147"/>
    <mergeCell ref="J148:K148"/>
    <mergeCell ref="L135:M135"/>
    <mergeCell ref="L136:M136"/>
    <mergeCell ref="L137:M137"/>
    <mergeCell ref="L138:M138"/>
    <mergeCell ref="L139:M139"/>
    <mergeCell ref="J141:K141"/>
    <mergeCell ref="J142:K142"/>
    <mergeCell ref="J143:K143"/>
    <mergeCell ref="J144:K144"/>
    <mergeCell ref="L140:M140"/>
    <mergeCell ref="L141:M141"/>
    <mergeCell ref="L142:M142"/>
    <mergeCell ref="J146:K146"/>
    <mergeCell ref="L143:M143"/>
    <mergeCell ref="N141:O141"/>
    <mergeCell ref="H160:I160"/>
    <mergeCell ref="J181:K181"/>
    <mergeCell ref="J157:K157"/>
    <mergeCell ref="J159:K159"/>
    <mergeCell ref="J160:K160"/>
    <mergeCell ref="J161:K161"/>
    <mergeCell ref="H175:I175"/>
    <mergeCell ref="H176:I176"/>
    <mergeCell ref="H164:I164"/>
    <mergeCell ref="H166:I166"/>
    <mergeCell ref="H167:I167"/>
    <mergeCell ref="H168:I168"/>
    <mergeCell ref="H171:I171"/>
    <mergeCell ref="H169:I169"/>
    <mergeCell ref="H142:I142"/>
    <mergeCell ref="H143:I143"/>
    <mergeCell ref="H144:I144"/>
    <mergeCell ref="H145:I145"/>
    <mergeCell ref="H146:I146"/>
    <mergeCell ref="H152:I152"/>
    <mergeCell ref="H161:I161"/>
    <mergeCell ref="H162:I162"/>
    <mergeCell ref="J178:K178"/>
    <mergeCell ref="H163:I163"/>
    <mergeCell ref="H147:I147"/>
    <mergeCell ref="H148:I148"/>
    <mergeCell ref="H149:I149"/>
    <mergeCell ref="H150:I150"/>
    <mergeCell ref="H151:I151"/>
    <mergeCell ref="H174:I174"/>
    <mergeCell ref="H170:I170"/>
    <mergeCell ref="H153:I153"/>
    <mergeCell ref="H154:I154"/>
    <mergeCell ref="H155:I155"/>
    <mergeCell ref="H156:I156"/>
    <mergeCell ref="H157:I157"/>
    <mergeCell ref="H158:I158"/>
    <mergeCell ref="H159:I159"/>
    <mergeCell ref="R130:W130"/>
    <mergeCell ref="H132:I132"/>
    <mergeCell ref="J132:K132"/>
    <mergeCell ref="L132:M132"/>
    <mergeCell ref="N132:O132"/>
    <mergeCell ref="H134:I134"/>
    <mergeCell ref="J134:K134"/>
    <mergeCell ref="L134:M134"/>
    <mergeCell ref="H133:I133"/>
    <mergeCell ref="J133:K133"/>
    <mergeCell ref="N133:O133"/>
    <mergeCell ref="O3:Q3"/>
    <mergeCell ref="G3:M3"/>
    <mergeCell ref="C9:D9"/>
    <mergeCell ref="C10:D10"/>
    <mergeCell ref="A4:A5"/>
    <mergeCell ref="B4:B5"/>
    <mergeCell ref="C4:D5"/>
    <mergeCell ref="E4:E5"/>
    <mergeCell ref="F4:F5"/>
    <mergeCell ref="G4:J4"/>
    <mergeCell ref="AP4:AS4"/>
    <mergeCell ref="C8:D8"/>
    <mergeCell ref="K4:N4"/>
    <mergeCell ref="O4:R4"/>
    <mergeCell ref="S4:S5"/>
    <mergeCell ref="T4:T5"/>
    <mergeCell ref="C13:D13"/>
    <mergeCell ref="C14:D14"/>
    <mergeCell ref="C15:D15"/>
    <mergeCell ref="C11:D11"/>
    <mergeCell ref="C12:D12"/>
    <mergeCell ref="Z4:AC4"/>
    <mergeCell ref="AD4:AG4"/>
    <mergeCell ref="AH4:AK4"/>
    <mergeCell ref="AL4:AO4"/>
    <mergeCell ref="U4:U5"/>
    <mergeCell ref="V4:Y4"/>
    <mergeCell ref="C7:D7"/>
    <mergeCell ref="C6:D6"/>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120:D120"/>
    <mergeCell ref="C121:D121"/>
    <mergeCell ref="L133:M133"/>
    <mergeCell ref="C97:D97"/>
    <mergeCell ref="C98:D98"/>
    <mergeCell ref="C99:D99"/>
    <mergeCell ref="C100:D100"/>
    <mergeCell ref="C101:D101"/>
    <mergeCell ref="C102:D102"/>
    <mergeCell ref="C115:D115"/>
    <mergeCell ref="C116:D116"/>
    <mergeCell ref="C103:D103"/>
    <mergeCell ref="C104:D104"/>
    <mergeCell ref="C105:D105"/>
    <mergeCell ref="C106:D106"/>
    <mergeCell ref="C107:D107"/>
    <mergeCell ref="C108:D108"/>
    <mergeCell ref="C109:D109"/>
    <mergeCell ref="C110:D110"/>
    <mergeCell ref="C117:D117"/>
    <mergeCell ref="C111:D111"/>
    <mergeCell ref="C112:D112"/>
    <mergeCell ref="C113:D113"/>
    <mergeCell ref="C114:D114"/>
    <mergeCell ref="H141:I141"/>
    <mergeCell ref="C118:D118"/>
    <mergeCell ref="C119:D119"/>
    <mergeCell ref="H188:I188"/>
    <mergeCell ref="J188:K188"/>
    <mergeCell ref="L188:M188"/>
    <mergeCell ref="C122:D122"/>
    <mergeCell ref="C123:D123"/>
    <mergeCell ref="N188:O188"/>
    <mergeCell ref="N187:O187"/>
    <mergeCell ref="H187:I187"/>
    <mergeCell ref="J187:K187"/>
    <mergeCell ref="L187:M187"/>
    <mergeCell ref="L178:M178"/>
    <mergeCell ref="L179:M179"/>
    <mergeCell ref="L180:M180"/>
    <mergeCell ref="H135:I135"/>
    <mergeCell ref="H136:I136"/>
    <mergeCell ref="H137:I137"/>
    <mergeCell ref="H138:I138"/>
    <mergeCell ref="H139:I139"/>
    <mergeCell ref="H140:I140"/>
    <mergeCell ref="H172:I172"/>
    <mergeCell ref="H173:I173"/>
  </mergeCells>
  <phoneticPr fontId="0" type="noConversion"/>
  <pageMargins left="0.78740157499999996" right="0.78740157499999996" top="0.984251969" bottom="0.984251969" header="0.4921259845" footer="0.4921259845"/>
  <pageSetup paperSize="9" orientation="portrait"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90"/>
  <sheetViews>
    <sheetView zoomScale="120" zoomScaleNormal="120" workbookViewId="0">
      <pane xSplit="1" ySplit="5" topLeftCell="O51" activePane="bottomRight" state="frozen"/>
      <selection pane="topRight" activeCell="B1" sqref="B1"/>
      <selection pane="bottomLeft" activeCell="A6" sqref="A6"/>
      <selection pane="bottomRight" activeCell="W88" sqref="W88"/>
    </sheetView>
  </sheetViews>
  <sheetFormatPr baseColWidth="10" defaultColWidth="10.7109375" defaultRowHeight="9" x14ac:dyDescent="0.15"/>
  <cols>
    <col min="1" max="1" width="5.85546875" style="1" customWidth="1"/>
    <col min="2" max="6" width="7.85546875" style="1" customWidth="1"/>
    <col min="7" max="18" width="4.5703125" style="1" customWidth="1"/>
    <col min="19" max="21" width="7.85546875" style="1" customWidth="1"/>
    <col min="22" max="53" width="5.7109375" style="1" customWidth="1"/>
    <col min="54" max="16384" width="10.7109375" style="1"/>
  </cols>
  <sheetData>
    <row r="1" spans="1:53" s="2" customFormat="1" ht="15" customHeight="1" x14ac:dyDescent="0.2">
      <c r="B1" s="22" t="s">
        <v>14</v>
      </c>
    </row>
    <row r="2" spans="1:53" s="2" customFormat="1" ht="15" customHeight="1" x14ac:dyDescent="0.2">
      <c r="B2" s="22" t="s">
        <v>140</v>
      </c>
    </row>
    <row r="3" spans="1:53" s="2" customFormat="1" x14ac:dyDescent="0.15">
      <c r="G3" s="814"/>
      <c r="H3" s="814"/>
      <c r="I3" s="814"/>
      <c r="J3" s="814"/>
      <c r="K3" s="814"/>
      <c r="L3" s="814"/>
      <c r="M3" s="814"/>
      <c r="O3" s="814"/>
      <c r="P3" s="814"/>
      <c r="Q3" s="814"/>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1" t="s">
        <v>23</v>
      </c>
      <c r="AU5" s="351" t="s">
        <v>24</v>
      </c>
      <c r="AV5" s="351" t="s">
        <v>25</v>
      </c>
      <c r="AW5" s="353" t="s">
        <v>1217</v>
      </c>
      <c r="AX5" s="351" t="s">
        <v>23</v>
      </c>
      <c r="AY5" s="351" t="s">
        <v>24</v>
      </c>
      <c r="AZ5" s="351" t="s">
        <v>25</v>
      </c>
      <c r="BA5" s="354" t="s">
        <v>1217</v>
      </c>
    </row>
    <row r="6" spans="1:53" s="73" customFormat="1" x14ac:dyDescent="0.15">
      <c r="A6" s="73">
        <v>1992</v>
      </c>
      <c r="B6" s="85"/>
      <c r="C6" s="826" t="s">
        <v>1283</v>
      </c>
      <c r="D6" s="826"/>
      <c r="E6" s="73">
        <v>294</v>
      </c>
      <c r="G6" s="480"/>
      <c r="H6" s="531"/>
      <c r="I6" s="531"/>
      <c r="J6" s="482"/>
      <c r="K6" s="477"/>
      <c r="L6" s="477"/>
      <c r="M6" s="477"/>
      <c r="N6" s="481"/>
      <c r="O6" s="476"/>
      <c r="P6" s="477"/>
      <c r="Q6" s="477"/>
      <c r="R6" s="478"/>
      <c r="T6" s="95"/>
      <c r="U6" s="85"/>
      <c r="V6" s="82"/>
      <c r="Y6" s="83"/>
      <c r="AD6" s="82"/>
      <c r="AG6" s="83"/>
      <c r="AL6" s="82"/>
      <c r="AO6" s="83"/>
      <c r="AP6" s="82"/>
      <c r="AS6" s="83"/>
      <c r="AW6" s="83"/>
      <c r="BA6" s="84"/>
    </row>
    <row r="7" spans="1:53" s="334" customFormat="1" x14ac:dyDescent="0.15">
      <c r="A7" s="334">
        <v>1992</v>
      </c>
      <c r="B7" s="355">
        <v>33898</v>
      </c>
      <c r="C7" s="812" t="s">
        <v>1112</v>
      </c>
      <c r="D7" s="812"/>
      <c r="E7" s="334">
        <v>72</v>
      </c>
      <c r="F7" s="334" t="s">
        <v>348</v>
      </c>
      <c r="G7" s="497">
        <v>7</v>
      </c>
      <c r="H7" s="532"/>
      <c r="I7" s="532">
        <v>3</v>
      </c>
      <c r="J7" s="499">
        <v>14</v>
      </c>
      <c r="K7" s="495">
        <f t="shared" ref="K7:K44" si="0">G7/J7*100</f>
        <v>50</v>
      </c>
      <c r="L7" s="495">
        <f t="shared" ref="L7:L44" si="1">H7/J7*100</f>
        <v>0</v>
      </c>
      <c r="M7" s="495">
        <f t="shared" ref="M7:M44" si="2">I7/J7*100</f>
        <v>21.428571428571427</v>
      </c>
      <c r="N7" s="498">
        <f t="shared" ref="N7:N52" si="3">SUM(K7:M7)</f>
        <v>71.428571428571431</v>
      </c>
      <c r="O7" s="494">
        <v>38.6</v>
      </c>
      <c r="P7" s="495"/>
      <c r="Q7" s="495">
        <v>11.9</v>
      </c>
      <c r="R7" s="496">
        <f>SUM(O7:Q7)</f>
        <v>50.5</v>
      </c>
      <c r="S7" s="334">
        <v>2</v>
      </c>
      <c r="T7" s="342">
        <v>33867</v>
      </c>
      <c r="U7" s="355">
        <v>33898</v>
      </c>
      <c r="V7" s="343" t="s">
        <v>1111</v>
      </c>
      <c r="W7" s="334" t="s">
        <v>74</v>
      </c>
      <c r="X7" s="334" t="s">
        <v>11</v>
      </c>
      <c r="Y7" s="344">
        <v>28.7</v>
      </c>
      <c r="Z7" s="334" t="s">
        <v>485</v>
      </c>
      <c r="AA7" s="334" t="s">
        <v>98</v>
      </c>
      <c r="AB7" s="334" t="s">
        <v>12</v>
      </c>
      <c r="AC7" s="334">
        <v>11.9</v>
      </c>
      <c r="AD7" s="343" t="s">
        <v>1105</v>
      </c>
      <c r="AE7" s="334" t="s">
        <v>307</v>
      </c>
      <c r="AF7" s="334" t="s">
        <v>11</v>
      </c>
      <c r="AG7" s="344">
        <v>9.9</v>
      </c>
      <c r="AL7" s="343"/>
      <c r="AO7" s="344"/>
      <c r="AP7" s="343"/>
      <c r="AS7" s="344"/>
      <c r="AW7" s="344"/>
      <c r="BA7" s="345"/>
    </row>
    <row r="8" spans="1:53" s="334" customFormat="1" x14ac:dyDescent="0.15">
      <c r="A8" s="334">
        <v>1993</v>
      </c>
      <c r="B8" s="355"/>
      <c r="C8" s="812" t="s">
        <v>1112</v>
      </c>
      <c r="D8" s="812"/>
      <c r="E8" s="334">
        <v>0</v>
      </c>
      <c r="G8" s="497">
        <v>7</v>
      </c>
      <c r="H8" s="532"/>
      <c r="I8" s="532">
        <v>3</v>
      </c>
      <c r="J8" s="499">
        <v>14</v>
      </c>
      <c r="K8" s="495">
        <f t="shared" si="0"/>
        <v>50</v>
      </c>
      <c r="L8" s="495">
        <f t="shared" si="1"/>
        <v>0</v>
      </c>
      <c r="M8" s="495">
        <f t="shared" si="2"/>
        <v>21.428571428571427</v>
      </c>
      <c r="N8" s="498">
        <f t="shared" si="3"/>
        <v>71.428571428571431</v>
      </c>
      <c r="O8" s="494">
        <v>38.6</v>
      </c>
      <c r="P8" s="495"/>
      <c r="Q8" s="495">
        <v>11.9</v>
      </c>
      <c r="R8" s="496">
        <f t="shared" ref="R8:R29" si="4">SUM(O8:Q8)</f>
        <v>50.5</v>
      </c>
      <c r="S8" s="334">
        <v>2</v>
      </c>
      <c r="T8" s="342"/>
      <c r="U8" s="355"/>
      <c r="V8" s="343" t="s">
        <v>1111</v>
      </c>
      <c r="W8" s="334" t="s">
        <v>74</v>
      </c>
      <c r="X8" s="334" t="s">
        <v>11</v>
      </c>
      <c r="Y8" s="344">
        <v>28.7</v>
      </c>
      <c r="Z8" s="334" t="s">
        <v>485</v>
      </c>
      <c r="AA8" s="334" t="s">
        <v>98</v>
      </c>
      <c r="AB8" s="334" t="s">
        <v>12</v>
      </c>
      <c r="AC8" s="334">
        <v>11.9</v>
      </c>
      <c r="AD8" s="343" t="s">
        <v>1105</v>
      </c>
      <c r="AE8" s="334" t="s">
        <v>307</v>
      </c>
      <c r="AF8" s="334" t="s">
        <v>11</v>
      </c>
      <c r="AG8" s="344">
        <v>9.9</v>
      </c>
      <c r="AL8" s="343"/>
      <c r="AO8" s="344"/>
      <c r="AP8" s="343"/>
      <c r="AS8" s="344"/>
      <c r="AW8" s="344"/>
      <c r="BA8" s="345"/>
    </row>
    <row r="9" spans="1:53" s="334" customFormat="1" x14ac:dyDescent="0.15">
      <c r="A9" s="334">
        <v>1993</v>
      </c>
      <c r="B9" s="355"/>
      <c r="C9" s="812" t="s">
        <v>1112</v>
      </c>
      <c r="D9" s="812"/>
      <c r="E9" s="334">
        <v>365</v>
      </c>
      <c r="G9" s="497">
        <v>7</v>
      </c>
      <c r="H9" s="532"/>
      <c r="I9" s="532">
        <v>3</v>
      </c>
      <c r="J9" s="499">
        <v>14</v>
      </c>
      <c r="K9" s="495">
        <f t="shared" si="0"/>
        <v>50</v>
      </c>
      <c r="L9" s="495">
        <f t="shared" si="1"/>
        <v>0</v>
      </c>
      <c r="M9" s="495">
        <f t="shared" si="2"/>
        <v>21.428571428571427</v>
      </c>
      <c r="N9" s="498">
        <f t="shared" si="3"/>
        <v>71.428571428571431</v>
      </c>
      <c r="O9" s="494">
        <v>38.6</v>
      </c>
      <c r="P9" s="495"/>
      <c r="Q9" s="495">
        <v>11.9</v>
      </c>
      <c r="R9" s="496">
        <f t="shared" si="4"/>
        <v>50.5</v>
      </c>
      <c r="S9" s="334">
        <v>2</v>
      </c>
      <c r="T9" s="342"/>
      <c r="U9" s="355"/>
      <c r="V9" s="343" t="s">
        <v>1111</v>
      </c>
      <c r="W9" s="334" t="s">
        <v>74</v>
      </c>
      <c r="X9" s="334" t="s">
        <v>11</v>
      </c>
      <c r="Y9" s="344">
        <v>28.7</v>
      </c>
      <c r="Z9" s="334" t="s">
        <v>485</v>
      </c>
      <c r="AA9" s="334" t="s">
        <v>98</v>
      </c>
      <c r="AB9" s="334" t="s">
        <v>12</v>
      </c>
      <c r="AC9" s="334">
        <v>11.9</v>
      </c>
      <c r="AD9" s="343" t="s">
        <v>1105</v>
      </c>
      <c r="AE9" s="334" t="s">
        <v>307</v>
      </c>
      <c r="AF9" s="334" t="s">
        <v>11</v>
      </c>
      <c r="AG9" s="344">
        <v>9.9</v>
      </c>
      <c r="AL9" s="343"/>
      <c r="AO9" s="344"/>
      <c r="AP9" s="343"/>
      <c r="AS9" s="344"/>
      <c r="AW9" s="344"/>
      <c r="BA9" s="345"/>
    </row>
    <row r="10" spans="1:53" s="334" customFormat="1" x14ac:dyDescent="0.15">
      <c r="A10" s="334">
        <v>1994</v>
      </c>
      <c r="B10" s="355"/>
      <c r="C10" s="812" t="s">
        <v>1112</v>
      </c>
      <c r="D10" s="812"/>
      <c r="E10" s="334">
        <v>311</v>
      </c>
      <c r="G10" s="497">
        <v>7</v>
      </c>
      <c r="H10" s="532"/>
      <c r="I10" s="532">
        <v>3</v>
      </c>
      <c r="J10" s="499">
        <v>14</v>
      </c>
      <c r="K10" s="495">
        <f t="shared" si="0"/>
        <v>50</v>
      </c>
      <c r="L10" s="495">
        <f t="shared" si="1"/>
        <v>0</v>
      </c>
      <c r="M10" s="495">
        <f t="shared" si="2"/>
        <v>21.428571428571427</v>
      </c>
      <c r="N10" s="498">
        <f t="shared" si="3"/>
        <v>71.428571428571431</v>
      </c>
      <c r="O10" s="494">
        <v>38.6</v>
      </c>
      <c r="P10" s="495"/>
      <c r="Q10" s="495">
        <v>11.9</v>
      </c>
      <c r="R10" s="496">
        <f t="shared" si="4"/>
        <v>50.5</v>
      </c>
      <c r="S10" s="334">
        <v>2</v>
      </c>
      <c r="T10" s="342"/>
      <c r="U10" s="355"/>
      <c r="V10" s="343" t="s">
        <v>1111</v>
      </c>
      <c r="W10" s="334" t="s">
        <v>74</v>
      </c>
      <c r="X10" s="334" t="s">
        <v>11</v>
      </c>
      <c r="Y10" s="344">
        <v>28.7</v>
      </c>
      <c r="Z10" s="334" t="s">
        <v>485</v>
      </c>
      <c r="AA10" s="334" t="s">
        <v>98</v>
      </c>
      <c r="AB10" s="334" t="s">
        <v>12</v>
      </c>
      <c r="AC10" s="334">
        <v>11.9</v>
      </c>
      <c r="AD10" s="343" t="s">
        <v>1105</v>
      </c>
      <c r="AE10" s="334" t="s">
        <v>307</v>
      </c>
      <c r="AF10" s="334" t="s">
        <v>11</v>
      </c>
      <c r="AG10" s="344">
        <v>9.9</v>
      </c>
      <c r="AL10" s="343"/>
      <c r="AO10" s="344"/>
      <c r="AP10" s="343"/>
      <c r="AS10" s="344"/>
      <c r="AW10" s="344"/>
      <c r="BA10" s="345"/>
    </row>
    <row r="11" spans="1:53" s="73" customFormat="1" x14ac:dyDescent="0.15">
      <c r="A11" s="73">
        <v>1994</v>
      </c>
      <c r="B11" s="121">
        <v>34646</v>
      </c>
      <c r="C11" s="811" t="s">
        <v>1099</v>
      </c>
      <c r="D11" s="811"/>
      <c r="E11" s="73">
        <v>54</v>
      </c>
      <c r="F11" s="73">
        <v>5</v>
      </c>
      <c r="G11" s="480">
        <v>7</v>
      </c>
      <c r="H11" s="531"/>
      <c r="I11" s="531">
        <v>3</v>
      </c>
      <c r="J11" s="482">
        <v>14</v>
      </c>
      <c r="K11" s="477">
        <f t="shared" si="0"/>
        <v>50</v>
      </c>
      <c r="L11" s="477">
        <f t="shared" si="1"/>
        <v>0</v>
      </c>
      <c r="M11" s="477">
        <f t="shared" si="2"/>
        <v>21.428571428571427</v>
      </c>
      <c r="N11" s="481">
        <f t="shared" si="3"/>
        <v>71.428571428571431</v>
      </c>
      <c r="O11" s="476">
        <v>38.6</v>
      </c>
      <c r="P11" s="477"/>
      <c r="Q11" s="477">
        <v>11.9</v>
      </c>
      <c r="R11" s="478">
        <f t="shared" si="4"/>
        <v>50.5</v>
      </c>
      <c r="S11" s="73">
        <v>6</v>
      </c>
      <c r="T11" s="95"/>
      <c r="U11" s="85">
        <v>34646</v>
      </c>
      <c r="V11" s="82" t="s">
        <v>1111</v>
      </c>
      <c r="W11" s="73" t="s">
        <v>74</v>
      </c>
      <c r="X11" s="73" t="s">
        <v>11</v>
      </c>
      <c r="Y11" s="83">
        <v>28.7</v>
      </c>
      <c r="Z11" s="73" t="s">
        <v>485</v>
      </c>
      <c r="AA11" s="73" t="s">
        <v>98</v>
      </c>
      <c r="AB11" s="73" t="s">
        <v>12</v>
      </c>
      <c r="AC11" s="73">
        <v>11.9</v>
      </c>
      <c r="AD11" s="82" t="s">
        <v>1105</v>
      </c>
      <c r="AE11" s="73" t="s">
        <v>307</v>
      </c>
      <c r="AF11" s="73" t="s">
        <v>11</v>
      </c>
      <c r="AG11" s="83">
        <v>9.9</v>
      </c>
      <c r="AL11" s="82"/>
      <c r="AO11" s="83"/>
      <c r="AP11" s="82"/>
      <c r="AS11" s="83"/>
      <c r="AW11" s="83"/>
      <c r="BA11" s="84"/>
    </row>
    <row r="12" spans="1:53" s="73" customFormat="1" x14ac:dyDescent="0.15">
      <c r="A12" s="73">
        <v>1995</v>
      </c>
      <c r="B12" s="121"/>
      <c r="C12" s="811" t="s">
        <v>1099</v>
      </c>
      <c r="D12" s="811"/>
      <c r="E12" s="73">
        <v>106</v>
      </c>
      <c r="G12" s="480">
        <v>7</v>
      </c>
      <c r="H12" s="531"/>
      <c r="I12" s="531">
        <v>3</v>
      </c>
      <c r="J12" s="482">
        <v>14</v>
      </c>
      <c r="K12" s="477">
        <f t="shared" si="0"/>
        <v>50</v>
      </c>
      <c r="L12" s="477">
        <f t="shared" si="1"/>
        <v>0</v>
      </c>
      <c r="M12" s="477">
        <f t="shared" si="2"/>
        <v>21.428571428571427</v>
      </c>
      <c r="N12" s="481">
        <f t="shared" si="3"/>
        <v>71.428571428571431</v>
      </c>
      <c r="O12" s="476">
        <v>38.6</v>
      </c>
      <c r="P12" s="477"/>
      <c r="Q12" s="477">
        <v>11.9</v>
      </c>
      <c r="R12" s="478">
        <f t="shared" si="4"/>
        <v>50.5</v>
      </c>
      <c r="S12" s="73">
        <v>6</v>
      </c>
      <c r="T12" s="95"/>
      <c r="U12" s="85"/>
      <c r="V12" s="82" t="s">
        <v>1111</v>
      </c>
      <c r="W12" s="73" t="s">
        <v>74</v>
      </c>
      <c r="X12" s="73" t="s">
        <v>11</v>
      </c>
      <c r="Y12" s="83">
        <v>28.7</v>
      </c>
      <c r="Z12" s="73" t="s">
        <v>485</v>
      </c>
      <c r="AA12" s="73" t="s">
        <v>98</v>
      </c>
      <c r="AB12" s="73" t="s">
        <v>12</v>
      </c>
      <c r="AC12" s="73">
        <v>11.9</v>
      </c>
      <c r="AD12" s="82" t="s">
        <v>1105</v>
      </c>
      <c r="AE12" s="73" t="s">
        <v>307</v>
      </c>
      <c r="AF12" s="73" t="s">
        <v>11</v>
      </c>
      <c r="AG12" s="83">
        <v>9.9</v>
      </c>
      <c r="AL12" s="82"/>
      <c r="AO12" s="83"/>
      <c r="AP12" s="82"/>
      <c r="AS12" s="83"/>
      <c r="AW12" s="83"/>
      <c r="BA12" s="84"/>
    </row>
    <row r="13" spans="1:53" s="334" customFormat="1" x14ac:dyDescent="0.15">
      <c r="A13" s="334">
        <v>1995</v>
      </c>
      <c r="B13" s="335">
        <v>34806</v>
      </c>
      <c r="C13" s="812" t="s">
        <v>1106</v>
      </c>
      <c r="D13" s="812"/>
      <c r="E13" s="334">
        <v>200</v>
      </c>
      <c r="F13" s="334">
        <v>1</v>
      </c>
      <c r="G13" s="497"/>
      <c r="H13" s="532">
        <v>5</v>
      </c>
      <c r="I13" s="532">
        <v>9</v>
      </c>
      <c r="J13" s="499">
        <v>14</v>
      </c>
      <c r="K13" s="495">
        <f>G13/J13*100</f>
        <v>0</v>
      </c>
      <c r="L13" s="495">
        <f>H13/J13*100</f>
        <v>35.714285714285715</v>
      </c>
      <c r="M13" s="495">
        <f>I13/J13*100</f>
        <v>64.285714285714292</v>
      </c>
      <c r="N13" s="498">
        <f t="shared" si="3"/>
        <v>100</v>
      </c>
      <c r="O13" s="494"/>
      <c r="P13" s="495">
        <v>15.8</v>
      </c>
      <c r="Q13" s="495">
        <v>40.6</v>
      </c>
      <c r="R13" s="496">
        <f t="shared" si="4"/>
        <v>56.400000000000006</v>
      </c>
      <c r="S13" s="334">
        <v>2</v>
      </c>
      <c r="T13" s="342">
        <v>34763</v>
      </c>
      <c r="U13" s="355">
        <v>34806</v>
      </c>
      <c r="V13" s="343" t="s">
        <v>1109</v>
      </c>
      <c r="W13" s="334" t="s">
        <v>886</v>
      </c>
      <c r="X13" s="334" t="s">
        <v>12</v>
      </c>
      <c r="Y13" s="344">
        <v>40.6</v>
      </c>
      <c r="Z13" s="334" t="s">
        <v>1355</v>
      </c>
      <c r="AA13" s="334" t="s">
        <v>100</v>
      </c>
      <c r="AB13" s="334" t="s">
        <v>18</v>
      </c>
      <c r="AC13" s="334">
        <v>15.8</v>
      </c>
      <c r="AD13" s="343"/>
      <c r="AG13" s="344"/>
      <c r="AL13" s="343"/>
      <c r="AO13" s="344"/>
      <c r="AP13" s="343"/>
      <c r="AS13" s="344"/>
      <c r="AW13" s="344"/>
      <c r="BA13" s="345"/>
    </row>
    <row r="14" spans="1:53" s="73" customFormat="1" x14ac:dyDescent="0.15">
      <c r="A14" s="73">
        <v>1995</v>
      </c>
      <c r="B14" s="121">
        <v>35006</v>
      </c>
      <c r="C14" s="811" t="s">
        <v>1107</v>
      </c>
      <c r="D14" s="811"/>
      <c r="E14" s="73">
        <v>59</v>
      </c>
      <c r="F14" s="73">
        <v>2</v>
      </c>
      <c r="G14" s="480">
        <v>6</v>
      </c>
      <c r="H14" s="531"/>
      <c r="I14" s="531">
        <v>9</v>
      </c>
      <c r="J14" s="482">
        <v>15</v>
      </c>
      <c r="K14" s="477">
        <f t="shared" si="0"/>
        <v>40</v>
      </c>
      <c r="L14" s="477">
        <f t="shared" si="1"/>
        <v>0</v>
      </c>
      <c r="M14" s="477">
        <f t="shared" si="2"/>
        <v>60</v>
      </c>
      <c r="N14" s="481">
        <f t="shared" si="3"/>
        <v>100</v>
      </c>
      <c r="O14" s="476">
        <v>18.8</v>
      </c>
      <c r="P14" s="477"/>
      <c r="Q14" s="477">
        <v>40.6</v>
      </c>
      <c r="R14" s="478">
        <f t="shared" si="4"/>
        <v>59.400000000000006</v>
      </c>
      <c r="S14" s="73">
        <v>2</v>
      </c>
      <c r="T14" s="95"/>
      <c r="U14" s="85">
        <v>35006</v>
      </c>
      <c r="V14" s="82" t="s">
        <v>1109</v>
      </c>
      <c r="W14" s="73" t="s">
        <v>886</v>
      </c>
      <c r="X14" s="73" t="s">
        <v>12</v>
      </c>
      <c r="Y14" s="83">
        <v>40.6</v>
      </c>
      <c r="Z14" s="73" t="s">
        <v>1110</v>
      </c>
      <c r="AA14" s="73" t="s">
        <v>88</v>
      </c>
      <c r="AB14" s="73" t="s">
        <v>11</v>
      </c>
      <c r="AC14" s="73">
        <v>18.8</v>
      </c>
      <c r="AD14" s="82"/>
      <c r="AG14" s="83"/>
      <c r="AL14" s="82"/>
      <c r="AO14" s="83"/>
      <c r="AP14" s="82"/>
      <c r="AS14" s="83"/>
      <c r="AW14" s="83"/>
      <c r="BA14" s="84"/>
    </row>
    <row r="15" spans="1:53" s="73" customFormat="1" x14ac:dyDescent="0.15">
      <c r="A15" s="73">
        <v>1996</v>
      </c>
      <c r="B15" s="85"/>
      <c r="C15" s="811" t="s">
        <v>1107</v>
      </c>
      <c r="D15" s="811"/>
      <c r="E15" s="73">
        <v>0</v>
      </c>
      <c r="G15" s="480">
        <v>6</v>
      </c>
      <c r="H15" s="531"/>
      <c r="I15" s="531">
        <v>9</v>
      </c>
      <c r="J15" s="482">
        <v>15</v>
      </c>
      <c r="K15" s="477">
        <f t="shared" si="0"/>
        <v>40</v>
      </c>
      <c r="L15" s="477">
        <f t="shared" si="1"/>
        <v>0</v>
      </c>
      <c r="M15" s="477">
        <f t="shared" si="2"/>
        <v>60</v>
      </c>
      <c r="N15" s="481">
        <f t="shared" si="3"/>
        <v>100</v>
      </c>
      <c r="O15" s="476">
        <v>18.8</v>
      </c>
      <c r="P15" s="477"/>
      <c r="Q15" s="477">
        <v>40.6</v>
      </c>
      <c r="R15" s="478">
        <f t="shared" si="4"/>
        <v>59.400000000000006</v>
      </c>
      <c r="S15" s="73">
        <v>2</v>
      </c>
      <c r="T15" s="95"/>
      <c r="U15" s="85"/>
      <c r="V15" s="82" t="s">
        <v>1109</v>
      </c>
      <c r="W15" s="73" t="s">
        <v>886</v>
      </c>
      <c r="X15" s="73" t="s">
        <v>12</v>
      </c>
      <c r="Y15" s="83">
        <v>40.6</v>
      </c>
      <c r="Z15" s="73" t="s">
        <v>1110</v>
      </c>
      <c r="AA15" s="73" t="s">
        <v>88</v>
      </c>
      <c r="AB15" s="73" t="s">
        <v>11</v>
      </c>
      <c r="AC15" s="73">
        <v>18.8</v>
      </c>
      <c r="AD15" s="82"/>
      <c r="AG15" s="83"/>
      <c r="AL15" s="82"/>
      <c r="AO15" s="83"/>
      <c r="AP15" s="82"/>
      <c r="AS15" s="83"/>
      <c r="AW15" s="83"/>
      <c r="BA15" s="84"/>
    </row>
    <row r="16" spans="1:53" s="73" customFormat="1" x14ac:dyDescent="0.15">
      <c r="A16" s="73">
        <v>1996</v>
      </c>
      <c r="B16" s="85"/>
      <c r="C16" s="811" t="s">
        <v>1107</v>
      </c>
      <c r="D16" s="811"/>
      <c r="E16" s="73">
        <v>366</v>
      </c>
      <c r="G16" s="480">
        <v>6</v>
      </c>
      <c r="H16" s="531"/>
      <c r="I16" s="531">
        <v>9</v>
      </c>
      <c r="J16" s="482">
        <v>15</v>
      </c>
      <c r="K16" s="477">
        <f t="shared" si="0"/>
        <v>40</v>
      </c>
      <c r="L16" s="477">
        <f t="shared" si="1"/>
        <v>0</v>
      </c>
      <c r="M16" s="477">
        <f t="shared" si="2"/>
        <v>60</v>
      </c>
      <c r="N16" s="481">
        <f t="shared" si="3"/>
        <v>100</v>
      </c>
      <c r="O16" s="476">
        <v>18.8</v>
      </c>
      <c r="P16" s="477"/>
      <c r="Q16" s="477">
        <v>40.6</v>
      </c>
      <c r="R16" s="478">
        <f t="shared" si="4"/>
        <v>59.400000000000006</v>
      </c>
      <c r="S16" s="73">
        <v>2</v>
      </c>
      <c r="T16" s="95"/>
      <c r="U16" s="85"/>
      <c r="V16" s="82" t="s">
        <v>1109</v>
      </c>
      <c r="W16" s="73" t="s">
        <v>886</v>
      </c>
      <c r="X16" s="73" t="s">
        <v>12</v>
      </c>
      <c r="Y16" s="83">
        <v>40.6</v>
      </c>
      <c r="Z16" s="73" t="s">
        <v>1110</v>
      </c>
      <c r="AA16" s="73" t="s">
        <v>88</v>
      </c>
      <c r="AB16" s="73" t="s">
        <v>11</v>
      </c>
      <c r="AC16" s="73">
        <v>18.8</v>
      </c>
      <c r="AD16" s="82"/>
      <c r="AG16" s="83"/>
      <c r="AL16" s="82"/>
      <c r="AO16" s="83"/>
      <c r="AP16" s="82"/>
      <c r="AS16" s="83"/>
      <c r="AW16" s="83"/>
      <c r="BA16" s="84"/>
    </row>
    <row r="17" spans="1:53" s="73" customFormat="1" x14ac:dyDescent="0.15">
      <c r="A17" s="73">
        <v>1997</v>
      </c>
      <c r="B17" s="85"/>
      <c r="C17" s="811" t="s">
        <v>1107</v>
      </c>
      <c r="D17" s="811"/>
      <c r="E17" s="73">
        <v>75</v>
      </c>
      <c r="G17" s="480">
        <v>6</v>
      </c>
      <c r="H17" s="531"/>
      <c r="I17" s="531">
        <v>9</v>
      </c>
      <c r="J17" s="482">
        <v>15</v>
      </c>
      <c r="K17" s="477">
        <f t="shared" si="0"/>
        <v>40</v>
      </c>
      <c r="L17" s="477">
        <f t="shared" si="1"/>
        <v>0</v>
      </c>
      <c r="M17" s="477">
        <f t="shared" si="2"/>
        <v>60</v>
      </c>
      <c r="N17" s="481">
        <f t="shared" si="3"/>
        <v>100</v>
      </c>
      <c r="O17" s="476">
        <v>18.8</v>
      </c>
      <c r="P17" s="477"/>
      <c r="Q17" s="477">
        <v>40.6</v>
      </c>
      <c r="R17" s="478">
        <f t="shared" si="4"/>
        <v>59.400000000000006</v>
      </c>
      <c r="S17" s="73">
        <v>2</v>
      </c>
      <c r="T17" s="95"/>
      <c r="U17" s="85"/>
      <c r="V17" s="82" t="s">
        <v>1109</v>
      </c>
      <c r="W17" s="73" t="s">
        <v>886</v>
      </c>
      <c r="X17" s="73" t="s">
        <v>12</v>
      </c>
      <c r="Y17" s="83">
        <v>40.6</v>
      </c>
      <c r="Z17" s="73" t="s">
        <v>1110</v>
      </c>
      <c r="AA17" s="73" t="s">
        <v>88</v>
      </c>
      <c r="AB17" s="73" t="s">
        <v>11</v>
      </c>
      <c r="AC17" s="73">
        <v>18.8</v>
      </c>
      <c r="AD17" s="82"/>
      <c r="AG17" s="83"/>
      <c r="AL17" s="82"/>
      <c r="AO17" s="83"/>
      <c r="AP17" s="82"/>
      <c r="AS17" s="83"/>
      <c r="AW17" s="83"/>
      <c r="BA17" s="84"/>
    </row>
    <row r="18" spans="1:53" s="334" customFormat="1" x14ac:dyDescent="0.15">
      <c r="A18" s="334">
        <v>1997</v>
      </c>
      <c r="B18" s="355">
        <v>35506</v>
      </c>
      <c r="C18" s="812" t="s">
        <v>1108</v>
      </c>
      <c r="D18" s="812"/>
      <c r="E18" s="334">
        <v>290</v>
      </c>
      <c r="F18" s="334">
        <v>2</v>
      </c>
      <c r="G18" s="497"/>
      <c r="H18" s="532"/>
      <c r="I18" s="532">
        <v>11</v>
      </c>
      <c r="J18" s="499">
        <v>14</v>
      </c>
      <c r="K18" s="495">
        <f t="shared" si="0"/>
        <v>0</v>
      </c>
      <c r="L18" s="495">
        <f t="shared" si="1"/>
        <v>0</v>
      </c>
      <c r="M18" s="495">
        <f t="shared" si="2"/>
        <v>78.571428571428569</v>
      </c>
      <c r="N18" s="498">
        <f t="shared" si="3"/>
        <v>78.571428571428569</v>
      </c>
      <c r="O18" s="494"/>
      <c r="P18" s="495"/>
      <c r="Q18" s="495">
        <v>40.6</v>
      </c>
      <c r="R18" s="496">
        <f t="shared" si="4"/>
        <v>40.6</v>
      </c>
      <c r="S18" s="334">
        <v>4</v>
      </c>
      <c r="T18" s="342"/>
      <c r="U18" s="355">
        <v>35506</v>
      </c>
      <c r="V18" s="343" t="s">
        <v>1109</v>
      </c>
      <c r="W18" s="334" t="s">
        <v>886</v>
      </c>
      <c r="X18" s="334" t="s">
        <v>12</v>
      </c>
      <c r="Y18" s="344">
        <v>40.6</v>
      </c>
      <c r="AD18" s="343"/>
      <c r="AG18" s="344"/>
      <c r="AL18" s="343"/>
      <c r="AO18" s="344"/>
      <c r="AP18" s="343"/>
      <c r="AS18" s="344"/>
      <c r="AW18" s="344"/>
      <c r="BA18" s="345"/>
    </row>
    <row r="19" spans="1:53" s="334" customFormat="1" x14ac:dyDescent="0.15">
      <c r="A19" s="334">
        <v>1998</v>
      </c>
      <c r="B19" s="355"/>
      <c r="C19" s="812" t="s">
        <v>1108</v>
      </c>
      <c r="D19" s="812"/>
      <c r="E19" s="334">
        <v>0</v>
      </c>
      <c r="G19" s="497"/>
      <c r="H19" s="532"/>
      <c r="I19" s="532">
        <v>11</v>
      </c>
      <c r="J19" s="499">
        <v>14</v>
      </c>
      <c r="K19" s="495">
        <f t="shared" si="0"/>
        <v>0</v>
      </c>
      <c r="L19" s="495">
        <f t="shared" si="1"/>
        <v>0</v>
      </c>
      <c r="M19" s="495">
        <f t="shared" si="2"/>
        <v>78.571428571428569</v>
      </c>
      <c r="N19" s="498">
        <f t="shared" si="3"/>
        <v>78.571428571428569</v>
      </c>
      <c r="O19" s="494"/>
      <c r="P19" s="495"/>
      <c r="Q19" s="495">
        <v>40.6</v>
      </c>
      <c r="R19" s="496">
        <f t="shared" si="4"/>
        <v>40.6</v>
      </c>
      <c r="S19" s="334">
        <v>4</v>
      </c>
      <c r="T19" s="342"/>
      <c r="U19" s="355"/>
      <c r="V19" s="343" t="s">
        <v>1109</v>
      </c>
      <c r="W19" s="334" t="s">
        <v>886</v>
      </c>
      <c r="X19" s="334" t="s">
        <v>12</v>
      </c>
      <c r="Y19" s="344">
        <v>40.6</v>
      </c>
      <c r="AD19" s="343"/>
      <c r="AG19" s="344"/>
      <c r="AL19" s="343"/>
      <c r="AO19" s="344"/>
      <c r="AP19" s="343"/>
      <c r="AS19" s="344"/>
      <c r="AW19" s="344"/>
      <c r="BA19" s="345"/>
    </row>
    <row r="20" spans="1:53" s="334" customFormat="1" x14ac:dyDescent="0.15">
      <c r="A20" s="334">
        <v>1998</v>
      </c>
      <c r="B20" s="355"/>
      <c r="C20" s="812" t="s">
        <v>1108</v>
      </c>
      <c r="D20" s="812"/>
      <c r="E20" s="334">
        <v>365</v>
      </c>
      <c r="G20" s="497"/>
      <c r="H20" s="532"/>
      <c r="I20" s="532">
        <v>11</v>
      </c>
      <c r="J20" s="499">
        <v>14</v>
      </c>
      <c r="K20" s="495">
        <f t="shared" si="0"/>
        <v>0</v>
      </c>
      <c r="L20" s="495">
        <f t="shared" si="1"/>
        <v>0</v>
      </c>
      <c r="M20" s="495">
        <f t="shared" si="2"/>
        <v>78.571428571428569</v>
      </c>
      <c r="N20" s="498">
        <f t="shared" si="3"/>
        <v>78.571428571428569</v>
      </c>
      <c r="O20" s="494"/>
      <c r="P20" s="495"/>
      <c r="Q20" s="495">
        <v>40.6</v>
      </c>
      <c r="R20" s="496">
        <f t="shared" si="4"/>
        <v>40.6</v>
      </c>
      <c r="S20" s="334">
        <v>4</v>
      </c>
      <c r="T20" s="342"/>
      <c r="U20" s="355"/>
      <c r="V20" s="343" t="s">
        <v>1109</v>
      </c>
      <c r="W20" s="334" t="s">
        <v>886</v>
      </c>
      <c r="X20" s="334" t="s">
        <v>12</v>
      </c>
      <c r="Y20" s="344">
        <v>40.6</v>
      </c>
      <c r="AD20" s="343"/>
      <c r="AG20" s="344"/>
      <c r="AL20" s="343"/>
      <c r="AO20" s="344"/>
      <c r="AP20" s="343"/>
      <c r="AS20" s="344"/>
      <c r="AW20" s="344"/>
      <c r="BA20" s="345"/>
    </row>
    <row r="21" spans="1:53" s="334" customFormat="1" x14ac:dyDescent="0.15">
      <c r="A21" s="334">
        <v>1999</v>
      </c>
      <c r="B21" s="355"/>
      <c r="C21" s="812" t="s">
        <v>1108</v>
      </c>
      <c r="D21" s="812"/>
      <c r="E21" s="334">
        <v>83</v>
      </c>
      <c r="G21" s="497"/>
      <c r="H21" s="532"/>
      <c r="I21" s="532">
        <v>11</v>
      </c>
      <c r="J21" s="499">
        <v>14</v>
      </c>
      <c r="K21" s="495">
        <f t="shared" si="0"/>
        <v>0</v>
      </c>
      <c r="L21" s="495">
        <f t="shared" si="1"/>
        <v>0</v>
      </c>
      <c r="M21" s="495">
        <f t="shared" si="2"/>
        <v>78.571428571428569</v>
      </c>
      <c r="N21" s="498">
        <f t="shared" si="3"/>
        <v>78.571428571428569</v>
      </c>
      <c r="O21" s="494"/>
      <c r="P21" s="495"/>
      <c r="Q21" s="495">
        <v>40.6</v>
      </c>
      <c r="R21" s="496">
        <f t="shared" si="4"/>
        <v>40.6</v>
      </c>
      <c r="S21" s="334">
        <v>4</v>
      </c>
      <c r="T21" s="342"/>
      <c r="U21" s="355"/>
      <c r="V21" s="343" t="s">
        <v>1109</v>
      </c>
      <c r="W21" s="334" t="s">
        <v>886</v>
      </c>
      <c r="X21" s="334" t="s">
        <v>12</v>
      </c>
      <c r="Y21" s="344">
        <v>40.6</v>
      </c>
      <c r="AD21" s="343"/>
      <c r="AG21" s="344"/>
      <c r="AL21" s="343"/>
      <c r="AO21" s="344"/>
      <c r="AP21" s="343"/>
      <c r="AS21" s="344"/>
      <c r="AW21" s="344"/>
      <c r="BA21" s="345"/>
    </row>
    <row r="22" spans="1:53" s="73" customFormat="1" x14ac:dyDescent="0.15">
      <c r="A22" s="73">
        <v>1999</v>
      </c>
      <c r="B22" s="85">
        <v>36244</v>
      </c>
      <c r="C22" s="811" t="s">
        <v>1113</v>
      </c>
      <c r="D22" s="811"/>
      <c r="E22" s="73">
        <v>282</v>
      </c>
      <c r="F22" s="73">
        <v>1</v>
      </c>
      <c r="G22" s="480">
        <v>10</v>
      </c>
      <c r="H22" s="531"/>
      <c r="I22" s="531">
        <v>5</v>
      </c>
      <c r="J22" s="482">
        <v>15</v>
      </c>
      <c r="K22" s="477">
        <f t="shared" si="0"/>
        <v>66.666666666666657</v>
      </c>
      <c r="L22" s="477">
        <f t="shared" si="1"/>
        <v>0</v>
      </c>
      <c r="M22" s="477">
        <f t="shared" si="2"/>
        <v>33.333333333333329</v>
      </c>
      <c r="N22" s="481">
        <f t="shared" si="3"/>
        <v>99.999999999999986</v>
      </c>
      <c r="O22" s="476">
        <v>35.6</v>
      </c>
      <c r="P22" s="477"/>
      <c r="Q22" s="477">
        <v>16.8</v>
      </c>
      <c r="R22" s="478">
        <f t="shared" si="4"/>
        <v>52.400000000000006</v>
      </c>
      <c r="S22" s="73">
        <v>2</v>
      </c>
      <c r="T22" s="95">
        <v>36226</v>
      </c>
      <c r="U22" s="85">
        <v>36244</v>
      </c>
      <c r="V22" s="82" t="s">
        <v>1111</v>
      </c>
      <c r="W22" s="73" t="s">
        <v>74</v>
      </c>
      <c r="X22" s="73" t="s">
        <v>11</v>
      </c>
      <c r="Y22" s="83">
        <v>17.8</v>
      </c>
      <c r="Z22" s="73" t="s">
        <v>1110</v>
      </c>
      <c r="AA22" s="73" t="s">
        <v>88</v>
      </c>
      <c r="AB22" s="73" t="s">
        <v>11</v>
      </c>
      <c r="AC22" s="73">
        <v>17.8</v>
      </c>
      <c r="AD22" s="82" t="s">
        <v>485</v>
      </c>
      <c r="AE22" s="73" t="s">
        <v>98</v>
      </c>
      <c r="AF22" s="73" t="s">
        <v>12</v>
      </c>
      <c r="AG22" s="83">
        <v>16.8</v>
      </c>
      <c r="AL22" s="82"/>
      <c r="AO22" s="83"/>
      <c r="AP22" s="82"/>
      <c r="AS22" s="83"/>
      <c r="AW22" s="83"/>
      <c r="BA22" s="84"/>
    </row>
    <row r="23" spans="1:53" s="73" customFormat="1" x14ac:dyDescent="0.15">
      <c r="A23" s="73">
        <v>2000</v>
      </c>
      <c r="B23" s="85"/>
      <c r="C23" s="811" t="s">
        <v>1113</v>
      </c>
      <c r="D23" s="811"/>
      <c r="E23" s="73">
        <v>0</v>
      </c>
      <c r="G23" s="480">
        <v>10</v>
      </c>
      <c r="H23" s="531"/>
      <c r="I23" s="531">
        <v>5</v>
      </c>
      <c r="J23" s="482">
        <v>15</v>
      </c>
      <c r="K23" s="477">
        <f t="shared" si="0"/>
        <v>66.666666666666657</v>
      </c>
      <c r="L23" s="477">
        <f t="shared" si="1"/>
        <v>0</v>
      </c>
      <c r="M23" s="477">
        <f t="shared" si="2"/>
        <v>33.333333333333329</v>
      </c>
      <c r="N23" s="481">
        <f t="shared" si="3"/>
        <v>99.999999999999986</v>
      </c>
      <c r="O23" s="476">
        <v>35.6</v>
      </c>
      <c r="P23" s="477"/>
      <c r="Q23" s="477">
        <v>16.8</v>
      </c>
      <c r="R23" s="478">
        <f t="shared" si="4"/>
        <v>52.400000000000006</v>
      </c>
      <c r="S23" s="73">
        <v>2</v>
      </c>
      <c r="T23" s="95"/>
      <c r="U23" s="85"/>
      <c r="V23" s="82" t="s">
        <v>1111</v>
      </c>
      <c r="W23" s="73" t="s">
        <v>74</v>
      </c>
      <c r="X23" s="73" t="s">
        <v>11</v>
      </c>
      <c r="Y23" s="83">
        <v>17.8</v>
      </c>
      <c r="Z23" s="73" t="s">
        <v>1110</v>
      </c>
      <c r="AA23" s="73" t="s">
        <v>88</v>
      </c>
      <c r="AB23" s="73" t="s">
        <v>11</v>
      </c>
      <c r="AC23" s="73">
        <v>17.8</v>
      </c>
      <c r="AD23" s="82" t="s">
        <v>485</v>
      </c>
      <c r="AE23" s="73" t="s">
        <v>98</v>
      </c>
      <c r="AF23" s="73" t="s">
        <v>12</v>
      </c>
      <c r="AG23" s="83">
        <v>16.8</v>
      </c>
      <c r="AL23" s="82"/>
      <c r="AO23" s="83"/>
      <c r="AP23" s="82"/>
      <c r="AS23" s="83"/>
      <c r="AW23" s="83"/>
      <c r="BA23" s="84"/>
    </row>
    <row r="24" spans="1:53" s="73" customFormat="1" x14ac:dyDescent="0.15">
      <c r="A24" s="73">
        <v>2000</v>
      </c>
      <c r="B24" s="85"/>
      <c r="C24" s="811" t="s">
        <v>1113</v>
      </c>
      <c r="D24" s="811"/>
      <c r="E24" s="73">
        <v>366</v>
      </c>
      <c r="G24" s="480">
        <v>10</v>
      </c>
      <c r="H24" s="531"/>
      <c r="I24" s="531">
        <v>5</v>
      </c>
      <c r="J24" s="482">
        <v>15</v>
      </c>
      <c r="K24" s="477">
        <f t="shared" si="0"/>
        <v>66.666666666666657</v>
      </c>
      <c r="L24" s="477">
        <f t="shared" si="1"/>
        <v>0</v>
      </c>
      <c r="M24" s="477">
        <f t="shared" si="2"/>
        <v>33.333333333333329</v>
      </c>
      <c r="N24" s="481">
        <f t="shared" si="3"/>
        <v>99.999999999999986</v>
      </c>
      <c r="O24" s="476">
        <v>35.6</v>
      </c>
      <c r="P24" s="477"/>
      <c r="Q24" s="477">
        <v>16.8</v>
      </c>
      <c r="R24" s="478">
        <f t="shared" si="4"/>
        <v>52.400000000000006</v>
      </c>
      <c r="S24" s="73">
        <v>2</v>
      </c>
      <c r="T24" s="95"/>
      <c r="U24" s="85"/>
      <c r="V24" s="82" t="s">
        <v>1111</v>
      </c>
      <c r="W24" s="73" t="s">
        <v>74</v>
      </c>
      <c r="X24" s="73" t="s">
        <v>11</v>
      </c>
      <c r="Y24" s="83">
        <v>17.8</v>
      </c>
      <c r="Z24" s="73" t="s">
        <v>1110</v>
      </c>
      <c r="AA24" s="73" t="s">
        <v>88</v>
      </c>
      <c r="AB24" s="73" t="s">
        <v>11</v>
      </c>
      <c r="AC24" s="73">
        <v>17.8</v>
      </c>
      <c r="AD24" s="82" t="s">
        <v>485</v>
      </c>
      <c r="AE24" s="73" t="s">
        <v>98</v>
      </c>
      <c r="AF24" s="73" t="s">
        <v>12</v>
      </c>
      <c r="AG24" s="83">
        <v>16.8</v>
      </c>
      <c r="AL24" s="82"/>
      <c r="AO24" s="83"/>
      <c r="AP24" s="82"/>
      <c r="AS24" s="83"/>
      <c r="AW24" s="83"/>
      <c r="BA24" s="84"/>
    </row>
    <row r="25" spans="1:53" s="73" customFormat="1" x14ac:dyDescent="0.15">
      <c r="A25" s="73">
        <v>2001</v>
      </c>
      <c r="B25" s="85"/>
      <c r="C25" s="811" t="s">
        <v>1113</v>
      </c>
      <c r="D25" s="811"/>
      <c r="E25" s="73">
        <v>0</v>
      </c>
      <c r="G25" s="480">
        <v>10</v>
      </c>
      <c r="H25" s="531"/>
      <c r="I25" s="531">
        <v>5</v>
      </c>
      <c r="J25" s="482">
        <v>15</v>
      </c>
      <c r="K25" s="477">
        <f t="shared" si="0"/>
        <v>66.666666666666657</v>
      </c>
      <c r="L25" s="477">
        <f t="shared" si="1"/>
        <v>0</v>
      </c>
      <c r="M25" s="477">
        <f t="shared" si="2"/>
        <v>33.333333333333329</v>
      </c>
      <c r="N25" s="481">
        <f t="shared" si="3"/>
        <v>99.999999999999986</v>
      </c>
      <c r="O25" s="476">
        <v>35.6</v>
      </c>
      <c r="P25" s="477"/>
      <c r="Q25" s="477">
        <v>16.8</v>
      </c>
      <c r="R25" s="478">
        <f t="shared" si="4"/>
        <v>52.400000000000006</v>
      </c>
      <c r="S25" s="73">
        <v>2</v>
      </c>
      <c r="T25" s="95"/>
      <c r="U25" s="85"/>
      <c r="V25" s="82" t="s">
        <v>1111</v>
      </c>
      <c r="W25" s="73" t="s">
        <v>74</v>
      </c>
      <c r="X25" s="73" t="s">
        <v>11</v>
      </c>
      <c r="Y25" s="83">
        <v>17.8</v>
      </c>
      <c r="Z25" s="73" t="s">
        <v>1110</v>
      </c>
      <c r="AA25" s="73" t="s">
        <v>88</v>
      </c>
      <c r="AB25" s="73" t="s">
        <v>11</v>
      </c>
      <c r="AC25" s="73">
        <v>17.8</v>
      </c>
      <c r="AD25" s="82" t="s">
        <v>485</v>
      </c>
      <c r="AE25" s="73" t="s">
        <v>98</v>
      </c>
      <c r="AF25" s="73" t="s">
        <v>12</v>
      </c>
      <c r="AG25" s="83">
        <v>16.8</v>
      </c>
      <c r="AL25" s="82"/>
      <c r="AO25" s="83"/>
      <c r="AP25" s="82"/>
      <c r="AS25" s="83"/>
      <c r="AW25" s="83"/>
      <c r="BA25" s="84"/>
    </row>
    <row r="26" spans="1:53" s="73" customFormat="1" x14ac:dyDescent="0.15">
      <c r="A26" s="73">
        <v>2001</v>
      </c>
      <c r="B26" s="85"/>
      <c r="C26" s="811" t="s">
        <v>1113</v>
      </c>
      <c r="D26" s="811"/>
      <c r="E26" s="73">
        <v>365</v>
      </c>
      <c r="G26" s="480">
        <v>10</v>
      </c>
      <c r="H26" s="531"/>
      <c r="I26" s="531">
        <v>5</v>
      </c>
      <c r="J26" s="482">
        <v>15</v>
      </c>
      <c r="K26" s="477">
        <f t="shared" si="0"/>
        <v>66.666666666666657</v>
      </c>
      <c r="L26" s="477">
        <f t="shared" si="1"/>
        <v>0</v>
      </c>
      <c r="M26" s="477">
        <f t="shared" si="2"/>
        <v>33.333333333333329</v>
      </c>
      <c r="N26" s="481">
        <f t="shared" si="3"/>
        <v>99.999999999999986</v>
      </c>
      <c r="O26" s="476">
        <v>35.6</v>
      </c>
      <c r="P26" s="477"/>
      <c r="Q26" s="477">
        <v>16.8</v>
      </c>
      <c r="R26" s="478">
        <f t="shared" si="4"/>
        <v>52.400000000000006</v>
      </c>
      <c r="S26" s="73">
        <v>2</v>
      </c>
      <c r="T26" s="95"/>
      <c r="U26" s="85"/>
      <c r="V26" s="82" t="s">
        <v>1111</v>
      </c>
      <c r="W26" s="73" t="s">
        <v>74</v>
      </c>
      <c r="X26" s="73" t="s">
        <v>11</v>
      </c>
      <c r="Y26" s="83">
        <v>17.8</v>
      </c>
      <c r="Z26" s="73" t="s">
        <v>1110</v>
      </c>
      <c r="AA26" s="73" t="s">
        <v>88</v>
      </c>
      <c r="AB26" s="73" t="s">
        <v>11</v>
      </c>
      <c r="AC26" s="73">
        <v>17.8</v>
      </c>
      <c r="AD26" s="82" t="s">
        <v>485</v>
      </c>
      <c r="AE26" s="73" t="s">
        <v>98</v>
      </c>
      <c r="AF26" s="73" t="s">
        <v>12</v>
      </c>
      <c r="AG26" s="83">
        <v>16.8</v>
      </c>
      <c r="AL26" s="82"/>
      <c r="AO26" s="83"/>
      <c r="AP26" s="82"/>
      <c r="AS26" s="83"/>
      <c r="AW26" s="83"/>
      <c r="BA26" s="84"/>
    </row>
    <row r="27" spans="1:53" s="73" customFormat="1" x14ac:dyDescent="0.15">
      <c r="A27" s="73">
        <v>2002</v>
      </c>
      <c r="B27" s="85"/>
      <c r="C27" s="811" t="s">
        <v>1113</v>
      </c>
      <c r="D27" s="811"/>
      <c r="E27" s="73">
        <v>27</v>
      </c>
      <c r="G27" s="480">
        <v>10</v>
      </c>
      <c r="H27" s="531"/>
      <c r="I27" s="531">
        <v>5</v>
      </c>
      <c r="J27" s="482">
        <v>15</v>
      </c>
      <c r="K27" s="477">
        <f t="shared" si="0"/>
        <v>66.666666666666657</v>
      </c>
      <c r="L27" s="477">
        <f t="shared" si="1"/>
        <v>0</v>
      </c>
      <c r="M27" s="477">
        <f t="shared" si="2"/>
        <v>33.333333333333329</v>
      </c>
      <c r="N27" s="481">
        <f t="shared" si="3"/>
        <v>99.999999999999986</v>
      </c>
      <c r="O27" s="476">
        <v>35.6</v>
      </c>
      <c r="P27" s="477"/>
      <c r="Q27" s="477">
        <v>16.8</v>
      </c>
      <c r="R27" s="478">
        <f t="shared" si="4"/>
        <v>52.400000000000006</v>
      </c>
      <c r="S27" s="73">
        <v>2</v>
      </c>
      <c r="T27" s="95"/>
      <c r="U27" s="85"/>
      <c r="V27" s="82" t="s">
        <v>1111</v>
      </c>
      <c r="W27" s="73" t="s">
        <v>74</v>
      </c>
      <c r="X27" s="73" t="s">
        <v>11</v>
      </c>
      <c r="Y27" s="83">
        <v>17.8</v>
      </c>
      <c r="Z27" s="73" t="s">
        <v>1110</v>
      </c>
      <c r="AA27" s="73" t="s">
        <v>88</v>
      </c>
      <c r="AB27" s="73" t="s">
        <v>11</v>
      </c>
      <c r="AC27" s="73">
        <v>17.8</v>
      </c>
      <c r="AD27" s="82" t="s">
        <v>485</v>
      </c>
      <c r="AE27" s="73" t="s">
        <v>98</v>
      </c>
      <c r="AF27" s="73" t="s">
        <v>12</v>
      </c>
      <c r="AG27" s="83">
        <v>16.8</v>
      </c>
      <c r="AL27" s="82"/>
      <c r="AO27" s="83"/>
      <c r="AP27" s="82"/>
      <c r="AS27" s="83"/>
      <c r="AW27" s="83"/>
      <c r="BA27" s="84"/>
    </row>
    <row r="28" spans="1:53" s="334" customFormat="1" x14ac:dyDescent="0.15">
      <c r="A28" s="334">
        <v>2002</v>
      </c>
      <c r="B28" s="355">
        <v>37284</v>
      </c>
      <c r="C28" s="812" t="s">
        <v>1100</v>
      </c>
      <c r="D28" s="812"/>
      <c r="E28" s="334">
        <v>338</v>
      </c>
      <c r="F28" s="334">
        <v>4</v>
      </c>
      <c r="G28" s="497">
        <v>6</v>
      </c>
      <c r="H28" s="532">
        <v>8</v>
      </c>
      <c r="I28" s="532"/>
      <c r="J28" s="499">
        <v>14</v>
      </c>
      <c r="K28" s="495">
        <f t="shared" si="0"/>
        <v>42.857142857142854</v>
      </c>
      <c r="L28" s="495">
        <f t="shared" si="1"/>
        <v>57.142857142857139</v>
      </c>
      <c r="M28" s="495">
        <f t="shared" si="2"/>
        <v>0</v>
      </c>
      <c r="N28" s="498">
        <f t="shared" si="3"/>
        <v>100</v>
      </c>
      <c r="O28" s="494">
        <v>17.8</v>
      </c>
      <c r="P28" s="495">
        <v>27.7</v>
      </c>
      <c r="Q28" s="495"/>
      <c r="R28" s="496">
        <f t="shared" si="4"/>
        <v>45.5</v>
      </c>
      <c r="S28" s="334">
        <v>5</v>
      </c>
      <c r="T28" s="342"/>
      <c r="U28" s="355">
        <v>37284</v>
      </c>
      <c r="V28" s="343" t="s">
        <v>1355</v>
      </c>
      <c r="W28" s="334" t="s">
        <v>100</v>
      </c>
      <c r="X28" s="334" t="s">
        <v>18</v>
      </c>
      <c r="Y28" s="344">
        <v>27.7</v>
      </c>
      <c r="Z28" s="334" t="s">
        <v>1110</v>
      </c>
      <c r="AA28" s="334" t="s">
        <v>88</v>
      </c>
      <c r="AB28" s="334" t="s">
        <v>11</v>
      </c>
      <c r="AC28" s="334">
        <v>17.8</v>
      </c>
      <c r="AD28" s="343"/>
      <c r="AG28" s="344"/>
      <c r="AL28" s="343"/>
      <c r="AO28" s="344"/>
      <c r="AP28" s="343"/>
      <c r="AS28" s="344"/>
      <c r="AW28" s="344"/>
      <c r="BA28" s="345"/>
    </row>
    <row r="29" spans="1:53" s="334" customFormat="1" x14ac:dyDescent="0.15">
      <c r="A29" s="334">
        <v>2003</v>
      </c>
      <c r="B29" s="355"/>
      <c r="C29" s="812" t="s">
        <v>1100</v>
      </c>
      <c r="D29" s="812"/>
      <c r="E29" s="334">
        <v>99</v>
      </c>
      <c r="G29" s="497">
        <v>6</v>
      </c>
      <c r="H29" s="532">
        <v>8</v>
      </c>
      <c r="I29" s="532"/>
      <c r="J29" s="499">
        <v>14</v>
      </c>
      <c r="K29" s="495">
        <f t="shared" si="0"/>
        <v>42.857142857142854</v>
      </c>
      <c r="L29" s="495">
        <f t="shared" si="1"/>
        <v>57.142857142857139</v>
      </c>
      <c r="M29" s="495">
        <f t="shared" si="2"/>
        <v>0</v>
      </c>
      <c r="N29" s="498">
        <f t="shared" si="3"/>
        <v>100</v>
      </c>
      <c r="O29" s="494">
        <v>17.8</v>
      </c>
      <c r="P29" s="495">
        <v>27.7</v>
      </c>
      <c r="Q29" s="495"/>
      <c r="R29" s="496">
        <f t="shared" si="4"/>
        <v>45.5</v>
      </c>
      <c r="S29" s="334">
        <v>5</v>
      </c>
      <c r="T29" s="342"/>
      <c r="U29" s="355"/>
      <c r="V29" s="343" t="s">
        <v>1355</v>
      </c>
      <c r="W29" s="334" t="s">
        <v>100</v>
      </c>
      <c r="X29" s="334" t="s">
        <v>18</v>
      </c>
      <c r="Y29" s="344">
        <v>27.7</v>
      </c>
      <c r="Z29" s="334" t="s">
        <v>1110</v>
      </c>
      <c r="AA29" s="334" t="s">
        <v>88</v>
      </c>
      <c r="AB29" s="334" t="s">
        <v>11</v>
      </c>
      <c r="AC29" s="334">
        <v>17.8</v>
      </c>
      <c r="AD29" s="343"/>
      <c r="AG29" s="344"/>
      <c r="AL29" s="343"/>
      <c r="AO29" s="344"/>
      <c r="AP29" s="343"/>
      <c r="AS29" s="344"/>
      <c r="AW29" s="344"/>
      <c r="BA29" s="345"/>
    </row>
    <row r="30" spans="1:53" s="73" customFormat="1" x14ac:dyDescent="0.15">
      <c r="A30" s="73">
        <v>2003</v>
      </c>
      <c r="B30" s="121">
        <v>37721</v>
      </c>
      <c r="C30" s="811" t="s">
        <v>1114</v>
      </c>
      <c r="D30" s="811"/>
      <c r="E30" s="73">
        <v>266</v>
      </c>
      <c r="F30" s="73">
        <v>1</v>
      </c>
      <c r="G30" s="480">
        <v>14</v>
      </c>
      <c r="H30" s="531"/>
      <c r="I30" s="531"/>
      <c r="J30" s="482">
        <v>14</v>
      </c>
      <c r="K30" s="477">
        <f t="shared" si="0"/>
        <v>100</v>
      </c>
      <c r="L30" s="477">
        <f t="shared" si="1"/>
        <v>0</v>
      </c>
      <c r="M30" s="477">
        <f t="shared" si="2"/>
        <v>0</v>
      </c>
      <c r="N30" s="481">
        <f t="shared" si="3"/>
        <v>100</v>
      </c>
      <c r="O30" s="476">
        <v>59.4</v>
      </c>
      <c r="P30" s="477"/>
      <c r="Q30" s="477"/>
      <c r="R30" s="478">
        <f>SUM(O30:Q30)</f>
        <v>59.4</v>
      </c>
      <c r="S30" s="73">
        <v>2</v>
      </c>
      <c r="T30" s="95">
        <v>37682</v>
      </c>
      <c r="U30" s="85">
        <v>37721</v>
      </c>
      <c r="V30" s="82" t="s">
        <v>343</v>
      </c>
      <c r="W30" s="73" t="s">
        <v>77</v>
      </c>
      <c r="X30" s="73" t="s">
        <v>11</v>
      </c>
      <c r="Y30" s="83">
        <v>27.7</v>
      </c>
      <c r="Z30" s="73" t="s">
        <v>1110</v>
      </c>
      <c r="AA30" s="73" t="s">
        <v>88</v>
      </c>
      <c r="AB30" s="73" t="s">
        <v>11</v>
      </c>
      <c r="AC30" s="73">
        <v>18.8</v>
      </c>
      <c r="AD30" s="82" t="s">
        <v>1115</v>
      </c>
      <c r="AE30" s="73" t="s">
        <v>79</v>
      </c>
      <c r="AF30" s="73" t="s">
        <v>11</v>
      </c>
      <c r="AG30" s="83">
        <v>12.9</v>
      </c>
      <c r="AL30" s="82"/>
      <c r="AO30" s="83"/>
      <c r="AP30" s="82"/>
      <c r="AS30" s="83"/>
      <c r="AW30" s="83"/>
      <c r="BA30" s="84"/>
    </row>
    <row r="31" spans="1:53" s="73" customFormat="1" x14ac:dyDescent="0.15">
      <c r="A31" s="73">
        <v>2004</v>
      </c>
      <c r="B31" s="121"/>
      <c r="C31" s="811" t="s">
        <v>1114</v>
      </c>
      <c r="D31" s="811"/>
      <c r="E31" s="73">
        <v>0</v>
      </c>
      <c r="G31" s="480">
        <v>14</v>
      </c>
      <c r="H31" s="531"/>
      <c r="I31" s="531"/>
      <c r="J31" s="482">
        <v>14</v>
      </c>
      <c r="K31" s="477">
        <f t="shared" si="0"/>
        <v>100</v>
      </c>
      <c r="L31" s="477">
        <f t="shared" si="1"/>
        <v>0</v>
      </c>
      <c r="M31" s="477">
        <f t="shared" si="2"/>
        <v>0</v>
      </c>
      <c r="N31" s="481">
        <f t="shared" si="3"/>
        <v>100</v>
      </c>
      <c r="O31" s="476">
        <v>59.4</v>
      </c>
      <c r="P31" s="477"/>
      <c r="Q31" s="477"/>
      <c r="R31" s="478">
        <f t="shared" ref="R31:R48" si="5">SUM(O31:Q31)</f>
        <v>59.4</v>
      </c>
      <c r="S31" s="73">
        <v>2</v>
      </c>
      <c r="T31" s="95"/>
      <c r="U31" s="85"/>
      <c r="V31" s="82" t="s">
        <v>343</v>
      </c>
      <c r="W31" s="73" t="s">
        <v>77</v>
      </c>
      <c r="X31" s="73" t="s">
        <v>11</v>
      </c>
      <c r="Y31" s="83">
        <v>27.7</v>
      </c>
      <c r="Z31" s="73" t="s">
        <v>1110</v>
      </c>
      <c r="AA31" s="73" t="s">
        <v>88</v>
      </c>
      <c r="AB31" s="73" t="s">
        <v>11</v>
      </c>
      <c r="AC31" s="73">
        <v>18.8</v>
      </c>
      <c r="AD31" s="82" t="s">
        <v>1115</v>
      </c>
      <c r="AE31" s="73" t="s">
        <v>79</v>
      </c>
      <c r="AF31" s="73" t="s">
        <v>11</v>
      </c>
      <c r="AG31" s="83">
        <v>12.9</v>
      </c>
      <c r="AL31" s="82"/>
      <c r="AO31" s="83"/>
      <c r="AP31" s="82"/>
      <c r="AS31" s="83"/>
      <c r="AW31" s="83"/>
      <c r="BA31" s="84"/>
    </row>
    <row r="32" spans="1:53" s="73" customFormat="1" x14ac:dyDescent="0.15">
      <c r="A32" s="73">
        <v>2004</v>
      </c>
      <c r="B32" s="121"/>
      <c r="C32" s="811" t="s">
        <v>1114</v>
      </c>
      <c r="D32" s="811"/>
      <c r="E32" s="73">
        <v>366</v>
      </c>
      <c r="G32" s="480">
        <v>14</v>
      </c>
      <c r="H32" s="531"/>
      <c r="I32" s="531"/>
      <c r="J32" s="482">
        <v>14</v>
      </c>
      <c r="K32" s="477">
        <f t="shared" si="0"/>
        <v>100</v>
      </c>
      <c r="L32" s="477">
        <f t="shared" si="1"/>
        <v>0</v>
      </c>
      <c r="M32" s="477">
        <f t="shared" si="2"/>
        <v>0</v>
      </c>
      <c r="N32" s="481">
        <f t="shared" si="3"/>
        <v>100</v>
      </c>
      <c r="O32" s="476">
        <v>59.4</v>
      </c>
      <c r="P32" s="477"/>
      <c r="Q32" s="477"/>
      <c r="R32" s="478">
        <f t="shared" si="5"/>
        <v>59.4</v>
      </c>
      <c r="S32" s="73">
        <v>2</v>
      </c>
      <c r="T32" s="95"/>
      <c r="U32" s="85"/>
      <c r="V32" s="82" t="s">
        <v>343</v>
      </c>
      <c r="W32" s="73" t="s">
        <v>77</v>
      </c>
      <c r="X32" s="73" t="s">
        <v>11</v>
      </c>
      <c r="Y32" s="83">
        <v>27.7</v>
      </c>
      <c r="Z32" s="73" t="s">
        <v>1110</v>
      </c>
      <c r="AA32" s="73" t="s">
        <v>88</v>
      </c>
      <c r="AB32" s="73" t="s">
        <v>11</v>
      </c>
      <c r="AC32" s="73">
        <v>18.8</v>
      </c>
      <c r="AD32" s="82" t="s">
        <v>1115</v>
      </c>
      <c r="AE32" s="73" t="s">
        <v>79</v>
      </c>
      <c r="AF32" s="73" t="s">
        <v>11</v>
      </c>
      <c r="AG32" s="83">
        <v>12.9</v>
      </c>
      <c r="AL32" s="82"/>
      <c r="AO32" s="83"/>
      <c r="AP32" s="82"/>
      <c r="AS32" s="83"/>
      <c r="AW32" s="83"/>
      <c r="BA32" s="84"/>
    </row>
    <row r="33" spans="1:53" s="73" customFormat="1" x14ac:dyDescent="0.15">
      <c r="A33" s="73">
        <v>2005</v>
      </c>
      <c r="B33" s="121"/>
      <c r="C33" s="811" t="s">
        <v>1114</v>
      </c>
      <c r="D33" s="811"/>
      <c r="E33" s="73">
        <v>102</v>
      </c>
      <c r="G33" s="480">
        <v>14</v>
      </c>
      <c r="H33" s="531"/>
      <c r="I33" s="531"/>
      <c r="J33" s="482">
        <v>14</v>
      </c>
      <c r="K33" s="477">
        <f t="shared" si="0"/>
        <v>100</v>
      </c>
      <c r="L33" s="477">
        <f t="shared" si="1"/>
        <v>0</v>
      </c>
      <c r="M33" s="477">
        <f t="shared" si="2"/>
        <v>0</v>
      </c>
      <c r="N33" s="481">
        <f t="shared" si="3"/>
        <v>100</v>
      </c>
      <c r="O33" s="476">
        <v>59.4</v>
      </c>
      <c r="P33" s="477"/>
      <c r="Q33" s="477"/>
      <c r="R33" s="478">
        <f t="shared" si="5"/>
        <v>59.4</v>
      </c>
      <c r="S33" s="73">
        <v>2</v>
      </c>
      <c r="T33" s="95"/>
      <c r="U33" s="85"/>
      <c r="V33" s="82" t="s">
        <v>343</v>
      </c>
      <c r="W33" s="73" t="s">
        <v>77</v>
      </c>
      <c r="X33" s="73" t="s">
        <v>11</v>
      </c>
      <c r="Y33" s="83">
        <v>27.7</v>
      </c>
      <c r="Z33" s="73" t="s">
        <v>1110</v>
      </c>
      <c r="AA33" s="73" t="s">
        <v>88</v>
      </c>
      <c r="AB33" s="73" t="s">
        <v>11</v>
      </c>
      <c r="AC33" s="73">
        <v>18.8</v>
      </c>
      <c r="AD33" s="82" t="s">
        <v>1115</v>
      </c>
      <c r="AE33" s="73" t="s">
        <v>79</v>
      </c>
      <c r="AF33" s="73" t="s">
        <v>11</v>
      </c>
      <c r="AG33" s="83">
        <v>12.9</v>
      </c>
      <c r="AL33" s="82"/>
      <c r="AO33" s="83"/>
      <c r="AP33" s="82"/>
      <c r="AS33" s="83"/>
      <c r="AW33" s="83"/>
      <c r="BA33" s="84"/>
    </row>
    <row r="34" spans="1:53" s="334" customFormat="1" x14ac:dyDescent="0.15">
      <c r="A34" s="334">
        <v>2005</v>
      </c>
      <c r="B34" s="335">
        <v>38455</v>
      </c>
      <c r="C34" s="812" t="s">
        <v>1101</v>
      </c>
      <c r="D34" s="812"/>
      <c r="E34" s="334">
        <v>263</v>
      </c>
      <c r="F34" s="334">
        <v>2</v>
      </c>
      <c r="G34" s="497">
        <v>9</v>
      </c>
      <c r="H34" s="532">
        <v>5</v>
      </c>
      <c r="I34" s="532"/>
      <c r="J34" s="499">
        <v>14</v>
      </c>
      <c r="K34" s="495">
        <f t="shared" si="0"/>
        <v>64.285714285714292</v>
      </c>
      <c r="L34" s="495">
        <f t="shared" si="1"/>
        <v>35.714285714285715</v>
      </c>
      <c r="M34" s="495">
        <f t="shared" si="2"/>
        <v>0</v>
      </c>
      <c r="N34" s="498">
        <f t="shared" si="3"/>
        <v>100</v>
      </c>
      <c r="O34" s="494">
        <v>31.7</v>
      </c>
      <c r="P34" s="495">
        <v>27.7</v>
      </c>
      <c r="Q34" s="495"/>
      <c r="R34" s="496">
        <f t="shared" si="5"/>
        <v>59.4</v>
      </c>
      <c r="S34" s="334">
        <v>2</v>
      </c>
      <c r="T34" s="342"/>
      <c r="U34" s="355">
        <v>38455</v>
      </c>
      <c r="V34" s="343" t="s">
        <v>1355</v>
      </c>
      <c r="W34" s="334" t="s">
        <v>100</v>
      </c>
      <c r="X34" s="334" t="s">
        <v>18</v>
      </c>
      <c r="Y34" s="344">
        <v>27.7</v>
      </c>
      <c r="Z34" s="334" t="s">
        <v>1110</v>
      </c>
      <c r="AA34" s="334" t="s">
        <v>88</v>
      </c>
      <c r="AB34" s="334" t="s">
        <v>11</v>
      </c>
      <c r="AC34" s="334">
        <v>18.8</v>
      </c>
      <c r="AD34" s="343" t="s">
        <v>1115</v>
      </c>
      <c r="AE34" s="334" t="s">
        <v>79</v>
      </c>
      <c r="AF34" s="334" t="s">
        <v>11</v>
      </c>
      <c r="AG34" s="344">
        <v>12.9</v>
      </c>
      <c r="AL34" s="343"/>
      <c r="AO34" s="344"/>
      <c r="AP34" s="343"/>
      <c r="AS34" s="344"/>
      <c r="AW34" s="344"/>
      <c r="BA34" s="345"/>
    </row>
    <row r="35" spans="1:53" s="334" customFormat="1" x14ac:dyDescent="0.15">
      <c r="A35" s="334">
        <v>2006</v>
      </c>
      <c r="B35" s="335"/>
      <c r="C35" s="812" t="s">
        <v>1101</v>
      </c>
      <c r="D35" s="812"/>
      <c r="E35" s="334">
        <v>0</v>
      </c>
      <c r="G35" s="497">
        <v>9</v>
      </c>
      <c r="H35" s="532">
        <v>5</v>
      </c>
      <c r="I35" s="532"/>
      <c r="J35" s="499">
        <v>14</v>
      </c>
      <c r="K35" s="495">
        <f t="shared" si="0"/>
        <v>64.285714285714292</v>
      </c>
      <c r="L35" s="495">
        <f t="shared" si="1"/>
        <v>35.714285714285715</v>
      </c>
      <c r="M35" s="495">
        <f t="shared" si="2"/>
        <v>0</v>
      </c>
      <c r="N35" s="498">
        <f t="shared" si="3"/>
        <v>100</v>
      </c>
      <c r="O35" s="494">
        <v>31.7</v>
      </c>
      <c r="P35" s="495">
        <v>27.7</v>
      </c>
      <c r="Q35" s="495"/>
      <c r="R35" s="496">
        <f t="shared" si="5"/>
        <v>59.4</v>
      </c>
      <c r="S35" s="334">
        <v>2</v>
      </c>
      <c r="T35" s="342"/>
      <c r="U35" s="355"/>
      <c r="V35" s="641" t="s">
        <v>1355</v>
      </c>
      <c r="W35" s="334" t="s">
        <v>100</v>
      </c>
      <c r="X35" s="334" t="s">
        <v>18</v>
      </c>
      <c r="Y35" s="344">
        <v>27.7</v>
      </c>
      <c r="Z35" s="334" t="s">
        <v>1110</v>
      </c>
      <c r="AA35" s="334" t="s">
        <v>88</v>
      </c>
      <c r="AB35" s="334" t="s">
        <v>11</v>
      </c>
      <c r="AC35" s="334">
        <v>18.8</v>
      </c>
      <c r="AD35" s="343" t="s">
        <v>1115</v>
      </c>
      <c r="AE35" s="334" t="s">
        <v>79</v>
      </c>
      <c r="AF35" s="334" t="s">
        <v>11</v>
      </c>
      <c r="AG35" s="344">
        <v>12.9</v>
      </c>
      <c r="AL35" s="343"/>
      <c r="AO35" s="344"/>
      <c r="AP35" s="343"/>
      <c r="AS35" s="344"/>
      <c r="AW35" s="344"/>
      <c r="BA35" s="345"/>
    </row>
    <row r="36" spans="1:53" s="334" customFormat="1" x14ac:dyDescent="0.15">
      <c r="A36" s="334">
        <v>2006</v>
      </c>
      <c r="B36" s="335"/>
      <c r="C36" s="812" t="s">
        <v>1101</v>
      </c>
      <c r="D36" s="812"/>
      <c r="E36" s="334">
        <v>365</v>
      </c>
      <c r="G36" s="497">
        <v>9</v>
      </c>
      <c r="H36" s="532">
        <v>5</v>
      </c>
      <c r="I36" s="532"/>
      <c r="J36" s="499">
        <v>14</v>
      </c>
      <c r="K36" s="495">
        <f t="shared" si="0"/>
        <v>64.285714285714292</v>
      </c>
      <c r="L36" s="495">
        <f t="shared" si="1"/>
        <v>35.714285714285715</v>
      </c>
      <c r="M36" s="495">
        <f t="shared" si="2"/>
        <v>0</v>
      </c>
      <c r="N36" s="498">
        <f t="shared" si="3"/>
        <v>100</v>
      </c>
      <c r="O36" s="494">
        <v>31.7</v>
      </c>
      <c r="P36" s="495">
        <v>27.7</v>
      </c>
      <c r="Q36" s="495"/>
      <c r="R36" s="496">
        <f t="shared" si="5"/>
        <v>59.4</v>
      </c>
      <c r="S36" s="334">
        <v>2</v>
      </c>
      <c r="T36" s="342"/>
      <c r="U36" s="355"/>
      <c r="V36" s="641" t="s">
        <v>1355</v>
      </c>
      <c r="W36" s="334" t="s">
        <v>100</v>
      </c>
      <c r="X36" s="334" t="s">
        <v>18</v>
      </c>
      <c r="Y36" s="344">
        <v>27.7</v>
      </c>
      <c r="Z36" s="334" t="s">
        <v>1110</v>
      </c>
      <c r="AA36" s="334" t="s">
        <v>88</v>
      </c>
      <c r="AB36" s="334" t="s">
        <v>11</v>
      </c>
      <c r="AC36" s="334">
        <v>18.8</v>
      </c>
      <c r="AD36" s="343" t="s">
        <v>1115</v>
      </c>
      <c r="AE36" s="334" t="s">
        <v>79</v>
      </c>
      <c r="AF36" s="334" t="s">
        <v>11</v>
      </c>
      <c r="AG36" s="344">
        <v>12.9</v>
      </c>
      <c r="AL36" s="343"/>
      <c r="AO36" s="344"/>
      <c r="AP36" s="343"/>
      <c r="AS36" s="344"/>
      <c r="AW36" s="344"/>
      <c r="BA36" s="345"/>
    </row>
    <row r="37" spans="1:53" s="334" customFormat="1" x14ac:dyDescent="0.15">
      <c r="A37" s="334">
        <v>2007</v>
      </c>
      <c r="B37" s="335"/>
      <c r="C37" s="812" t="s">
        <v>1101</v>
      </c>
      <c r="D37" s="812"/>
      <c r="E37" s="334">
        <v>94</v>
      </c>
      <c r="G37" s="497">
        <v>9</v>
      </c>
      <c r="H37" s="532">
        <v>5</v>
      </c>
      <c r="I37" s="532"/>
      <c r="J37" s="499">
        <v>14</v>
      </c>
      <c r="K37" s="495">
        <f t="shared" si="0"/>
        <v>64.285714285714292</v>
      </c>
      <c r="L37" s="495">
        <f t="shared" si="1"/>
        <v>35.714285714285715</v>
      </c>
      <c r="M37" s="495">
        <f t="shared" si="2"/>
        <v>0</v>
      </c>
      <c r="N37" s="498">
        <f t="shared" si="3"/>
        <v>100</v>
      </c>
      <c r="O37" s="494">
        <v>31.7</v>
      </c>
      <c r="P37" s="495">
        <v>27.7</v>
      </c>
      <c r="Q37" s="495"/>
      <c r="R37" s="496">
        <f t="shared" si="5"/>
        <v>59.4</v>
      </c>
      <c r="S37" s="334">
        <v>2</v>
      </c>
      <c r="T37" s="342"/>
      <c r="U37" s="355"/>
      <c r="V37" s="641" t="s">
        <v>1355</v>
      </c>
      <c r="W37" s="334" t="s">
        <v>100</v>
      </c>
      <c r="X37" s="334" t="s">
        <v>18</v>
      </c>
      <c r="Y37" s="344">
        <v>27.7</v>
      </c>
      <c r="Z37" s="334" t="s">
        <v>1110</v>
      </c>
      <c r="AA37" s="334" t="s">
        <v>88</v>
      </c>
      <c r="AB37" s="334" t="s">
        <v>11</v>
      </c>
      <c r="AC37" s="334">
        <v>18.8</v>
      </c>
      <c r="AD37" s="343" t="s">
        <v>1115</v>
      </c>
      <c r="AE37" s="334" t="s">
        <v>79</v>
      </c>
      <c r="AF37" s="334" t="s">
        <v>11</v>
      </c>
      <c r="AG37" s="344">
        <v>12.9</v>
      </c>
      <c r="AL37" s="343"/>
      <c r="AO37" s="344"/>
      <c r="AP37" s="343"/>
      <c r="AS37" s="344"/>
      <c r="AW37" s="344"/>
      <c r="BA37" s="345"/>
    </row>
    <row r="38" spans="1:53" s="73" customFormat="1" x14ac:dyDescent="0.15">
      <c r="A38" s="73">
        <v>2007</v>
      </c>
      <c r="B38" s="121">
        <v>39177</v>
      </c>
      <c r="C38" s="811" t="s">
        <v>1102</v>
      </c>
      <c r="D38" s="811"/>
      <c r="E38" s="73">
        <v>271</v>
      </c>
      <c r="F38" s="73">
        <v>1</v>
      </c>
      <c r="G38" s="480">
        <v>11</v>
      </c>
      <c r="H38" s="531"/>
      <c r="I38" s="531">
        <v>3</v>
      </c>
      <c r="J38" s="482">
        <v>14</v>
      </c>
      <c r="K38" s="477">
        <f t="shared" si="0"/>
        <v>78.571428571428569</v>
      </c>
      <c r="L38" s="477">
        <f t="shared" si="1"/>
        <v>0</v>
      </c>
      <c r="M38" s="477">
        <f t="shared" si="2"/>
        <v>21.428571428571427</v>
      </c>
      <c r="N38" s="481">
        <f t="shared" si="3"/>
        <v>100</v>
      </c>
      <c r="O38" s="476">
        <v>49.5</v>
      </c>
      <c r="P38" s="477"/>
      <c r="Q38" s="477">
        <v>9.9</v>
      </c>
      <c r="R38" s="478">
        <f t="shared" si="5"/>
        <v>59.4</v>
      </c>
      <c r="S38" s="73">
        <v>2</v>
      </c>
      <c r="T38" s="95">
        <v>39145</v>
      </c>
      <c r="U38" s="85">
        <v>39177</v>
      </c>
      <c r="V38" s="82" t="s">
        <v>1110</v>
      </c>
      <c r="W38" s="73" t="s">
        <v>88</v>
      </c>
      <c r="X38" s="73" t="s">
        <v>11</v>
      </c>
      <c r="Y38" s="83">
        <v>30.7</v>
      </c>
      <c r="Z38" s="73" t="s">
        <v>1116</v>
      </c>
      <c r="AA38" s="73" t="s">
        <v>80</v>
      </c>
      <c r="AB38" s="73" t="s">
        <v>11</v>
      </c>
      <c r="AC38" s="73">
        <v>18.8</v>
      </c>
      <c r="AD38" s="82" t="s">
        <v>1117</v>
      </c>
      <c r="AE38" s="73" t="s">
        <v>98</v>
      </c>
      <c r="AF38" s="73" t="s">
        <v>12</v>
      </c>
      <c r="AG38" s="83">
        <v>9.9</v>
      </c>
      <c r="AL38" s="82"/>
      <c r="AO38" s="83"/>
      <c r="AP38" s="82"/>
      <c r="AS38" s="83"/>
      <c r="AW38" s="83"/>
      <c r="BA38" s="84"/>
    </row>
    <row r="39" spans="1:53" s="73" customFormat="1" x14ac:dyDescent="0.15">
      <c r="A39" s="73">
        <v>2008</v>
      </c>
      <c r="B39" s="121"/>
      <c r="C39" s="811" t="s">
        <v>1102</v>
      </c>
      <c r="D39" s="811"/>
      <c r="E39" s="73">
        <v>0</v>
      </c>
      <c r="G39" s="480">
        <v>11</v>
      </c>
      <c r="H39" s="531"/>
      <c r="I39" s="531">
        <v>3</v>
      </c>
      <c r="J39" s="482">
        <v>14</v>
      </c>
      <c r="K39" s="477">
        <f t="shared" si="0"/>
        <v>78.571428571428569</v>
      </c>
      <c r="L39" s="477">
        <f t="shared" si="1"/>
        <v>0</v>
      </c>
      <c r="M39" s="477">
        <f t="shared" si="2"/>
        <v>21.428571428571427</v>
      </c>
      <c r="N39" s="481">
        <f t="shared" si="3"/>
        <v>100</v>
      </c>
      <c r="O39" s="476">
        <v>49.5</v>
      </c>
      <c r="P39" s="477"/>
      <c r="Q39" s="477">
        <v>9.9</v>
      </c>
      <c r="R39" s="478">
        <f t="shared" si="5"/>
        <v>59.4</v>
      </c>
      <c r="S39" s="73">
        <v>2</v>
      </c>
      <c r="T39" s="95"/>
      <c r="U39" s="85"/>
      <c r="V39" s="82" t="s">
        <v>1110</v>
      </c>
      <c r="W39" s="73" t="s">
        <v>88</v>
      </c>
      <c r="X39" s="73" t="s">
        <v>11</v>
      </c>
      <c r="Y39" s="83">
        <v>30.7</v>
      </c>
      <c r="Z39" s="73" t="s">
        <v>1116</v>
      </c>
      <c r="AA39" s="73" t="s">
        <v>80</v>
      </c>
      <c r="AB39" s="73" t="s">
        <v>11</v>
      </c>
      <c r="AC39" s="73">
        <v>18.8</v>
      </c>
      <c r="AD39" s="82" t="s">
        <v>1117</v>
      </c>
      <c r="AE39" s="73" t="s">
        <v>98</v>
      </c>
      <c r="AF39" s="73" t="s">
        <v>12</v>
      </c>
      <c r="AG39" s="83">
        <v>9.9</v>
      </c>
      <c r="AL39" s="82"/>
      <c r="AO39" s="83"/>
      <c r="AP39" s="82"/>
      <c r="AS39" s="83"/>
      <c r="AW39" s="83"/>
      <c r="BA39" s="84"/>
    </row>
    <row r="40" spans="1:53" s="73" customFormat="1" x14ac:dyDescent="0.15">
      <c r="A40" s="73">
        <v>2008</v>
      </c>
      <c r="B40" s="121"/>
      <c r="C40" s="811" t="s">
        <v>1102</v>
      </c>
      <c r="D40" s="811"/>
      <c r="E40" s="73">
        <v>366</v>
      </c>
      <c r="G40" s="480">
        <v>11</v>
      </c>
      <c r="H40" s="531"/>
      <c r="I40" s="531">
        <v>3</v>
      </c>
      <c r="J40" s="482">
        <v>14</v>
      </c>
      <c r="K40" s="477">
        <f t="shared" si="0"/>
        <v>78.571428571428569</v>
      </c>
      <c r="L40" s="477">
        <f t="shared" si="1"/>
        <v>0</v>
      </c>
      <c r="M40" s="477">
        <f t="shared" si="2"/>
        <v>21.428571428571427</v>
      </c>
      <c r="N40" s="481">
        <f t="shared" si="3"/>
        <v>100</v>
      </c>
      <c r="O40" s="476">
        <v>49.5</v>
      </c>
      <c r="P40" s="477"/>
      <c r="Q40" s="477">
        <v>9.9</v>
      </c>
      <c r="R40" s="478">
        <f t="shared" si="5"/>
        <v>59.4</v>
      </c>
      <c r="S40" s="73">
        <v>2</v>
      </c>
      <c r="T40" s="95"/>
      <c r="U40" s="85"/>
      <c r="V40" s="82" t="s">
        <v>1110</v>
      </c>
      <c r="W40" s="73" t="s">
        <v>88</v>
      </c>
      <c r="X40" s="73" t="s">
        <v>11</v>
      </c>
      <c r="Y40" s="83">
        <v>30.7</v>
      </c>
      <c r="Z40" s="73" t="s">
        <v>1116</v>
      </c>
      <c r="AA40" s="73" t="s">
        <v>80</v>
      </c>
      <c r="AB40" s="73" t="s">
        <v>11</v>
      </c>
      <c r="AC40" s="73">
        <v>18.8</v>
      </c>
      <c r="AD40" s="82" t="s">
        <v>1117</v>
      </c>
      <c r="AE40" s="73" t="s">
        <v>98</v>
      </c>
      <c r="AF40" s="73" t="s">
        <v>12</v>
      </c>
      <c r="AG40" s="83">
        <v>9.9</v>
      </c>
      <c r="AL40" s="82"/>
      <c r="AO40" s="83"/>
      <c r="AP40" s="82"/>
      <c r="AS40" s="83"/>
      <c r="AW40" s="83"/>
      <c r="BA40" s="84"/>
    </row>
    <row r="41" spans="1:53" s="73" customFormat="1" x14ac:dyDescent="0.15">
      <c r="A41" s="73">
        <v>2009</v>
      </c>
      <c r="B41" s="121"/>
      <c r="C41" s="811" t="s">
        <v>1102</v>
      </c>
      <c r="D41" s="811"/>
      <c r="E41" s="73">
        <v>154</v>
      </c>
      <c r="G41" s="480">
        <v>11</v>
      </c>
      <c r="H41" s="531"/>
      <c r="I41" s="531">
        <v>3</v>
      </c>
      <c r="J41" s="482">
        <v>14</v>
      </c>
      <c r="K41" s="477">
        <f t="shared" si="0"/>
        <v>78.571428571428569</v>
      </c>
      <c r="L41" s="477">
        <f t="shared" si="1"/>
        <v>0</v>
      </c>
      <c r="M41" s="477">
        <f t="shared" si="2"/>
        <v>21.428571428571427</v>
      </c>
      <c r="N41" s="481">
        <f t="shared" si="3"/>
        <v>100</v>
      </c>
      <c r="O41" s="476">
        <v>49.5</v>
      </c>
      <c r="P41" s="477"/>
      <c r="Q41" s="477">
        <v>9.9</v>
      </c>
      <c r="R41" s="478">
        <f t="shared" si="5"/>
        <v>59.4</v>
      </c>
      <c r="S41" s="73">
        <v>2</v>
      </c>
      <c r="T41" s="95"/>
      <c r="U41" s="85"/>
      <c r="V41" s="82" t="s">
        <v>1110</v>
      </c>
      <c r="W41" s="73" t="s">
        <v>88</v>
      </c>
      <c r="X41" s="73" t="s">
        <v>11</v>
      </c>
      <c r="Y41" s="83">
        <v>30.7</v>
      </c>
      <c r="Z41" s="73" t="s">
        <v>1116</v>
      </c>
      <c r="AA41" s="73" t="s">
        <v>80</v>
      </c>
      <c r="AB41" s="73" t="s">
        <v>11</v>
      </c>
      <c r="AC41" s="73">
        <v>18.8</v>
      </c>
      <c r="AD41" s="82" t="s">
        <v>1117</v>
      </c>
      <c r="AE41" s="73" t="s">
        <v>98</v>
      </c>
      <c r="AF41" s="73" t="s">
        <v>12</v>
      </c>
      <c r="AG41" s="83">
        <v>9.9</v>
      </c>
      <c r="AL41" s="82"/>
      <c r="AO41" s="83"/>
      <c r="AP41" s="82"/>
      <c r="AS41" s="83"/>
      <c r="AW41" s="83"/>
      <c r="BA41" s="84"/>
    </row>
    <row r="42" spans="1:53" s="334" customFormat="1" x14ac:dyDescent="0.15">
      <c r="A42" s="334">
        <v>2009</v>
      </c>
      <c r="B42" s="335">
        <v>39968</v>
      </c>
      <c r="C42" s="812" t="s">
        <v>1103</v>
      </c>
      <c r="D42" s="812"/>
      <c r="E42" s="334">
        <v>211</v>
      </c>
      <c r="F42" s="334">
        <v>4</v>
      </c>
      <c r="G42" s="497">
        <v>13</v>
      </c>
      <c r="H42" s="532"/>
      <c r="I42" s="532"/>
      <c r="J42" s="499">
        <v>13</v>
      </c>
      <c r="K42" s="495">
        <f t="shared" si="0"/>
        <v>100</v>
      </c>
      <c r="L42" s="495">
        <f t="shared" si="1"/>
        <v>0</v>
      </c>
      <c r="M42" s="495">
        <f t="shared" si="2"/>
        <v>0</v>
      </c>
      <c r="N42" s="498">
        <f t="shared" si="3"/>
        <v>100</v>
      </c>
      <c r="O42" s="494">
        <v>49.5</v>
      </c>
      <c r="P42" s="495"/>
      <c r="Q42" s="495"/>
      <c r="R42" s="496">
        <f t="shared" si="5"/>
        <v>49.5</v>
      </c>
      <c r="S42" s="334">
        <v>5</v>
      </c>
      <c r="T42" s="342"/>
      <c r="U42" s="355">
        <v>39968</v>
      </c>
      <c r="V42" s="343" t="s">
        <v>1110</v>
      </c>
      <c r="W42" s="334" t="s">
        <v>88</v>
      </c>
      <c r="X42" s="334" t="s">
        <v>11</v>
      </c>
      <c r="Y42" s="344">
        <v>30.7</v>
      </c>
      <c r="Z42" s="334" t="s">
        <v>1116</v>
      </c>
      <c r="AA42" s="334" t="s">
        <v>80</v>
      </c>
      <c r="AB42" s="334" t="s">
        <v>11</v>
      </c>
      <c r="AC42" s="334">
        <v>18.8</v>
      </c>
      <c r="AD42" s="343"/>
      <c r="AG42" s="344"/>
      <c r="AL42" s="343"/>
      <c r="AO42" s="344"/>
      <c r="AP42" s="343"/>
      <c r="AS42" s="344"/>
      <c r="AW42" s="344"/>
      <c r="BA42" s="345"/>
    </row>
    <row r="43" spans="1:53" s="334" customFormat="1" x14ac:dyDescent="0.15">
      <c r="A43" s="334">
        <v>2010</v>
      </c>
      <c r="B43" s="335"/>
      <c r="C43" s="812" t="s">
        <v>1103</v>
      </c>
      <c r="D43" s="812"/>
      <c r="E43" s="334">
        <v>0</v>
      </c>
      <c r="G43" s="497">
        <v>13</v>
      </c>
      <c r="H43" s="532"/>
      <c r="I43" s="532"/>
      <c r="J43" s="499">
        <v>13</v>
      </c>
      <c r="K43" s="495">
        <f t="shared" si="0"/>
        <v>100</v>
      </c>
      <c r="L43" s="495">
        <f t="shared" si="1"/>
        <v>0</v>
      </c>
      <c r="M43" s="495">
        <f t="shared" si="2"/>
        <v>0</v>
      </c>
      <c r="N43" s="498">
        <f t="shared" si="3"/>
        <v>100</v>
      </c>
      <c r="O43" s="494">
        <v>49.5</v>
      </c>
      <c r="P43" s="495"/>
      <c r="Q43" s="495"/>
      <c r="R43" s="496">
        <f t="shared" si="5"/>
        <v>49.5</v>
      </c>
      <c r="S43" s="334">
        <v>5</v>
      </c>
      <c r="T43" s="342"/>
      <c r="U43" s="355"/>
      <c r="V43" s="343" t="s">
        <v>1110</v>
      </c>
      <c r="W43" s="334" t="s">
        <v>88</v>
      </c>
      <c r="X43" s="334" t="s">
        <v>11</v>
      </c>
      <c r="Y43" s="344">
        <v>30.7</v>
      </c>
      <c r="Z43" s="334" t="s">
        <v>1116</v>
      </c>
      <c r="AA43" s="334" t="s">
        <v>80</v>
      </c>
      <c r="AB43" s="334" t="s">
        <v>11</v>
      </c>
      <c r="AC43" s="334">
        <v>18.8</v>
      </c>
      <c r="AD43" s="343"/>
      <c r="AG43" s="344"/>
      <c r="AL43" s="343"/>
      <c r="AO43" s="344"/>
      <c r="AP43" s="343"/>
      <c r="AS43" s="344"/>
      <c r="AW43" s="344"/>
      <c r="BA43" s="345"/>
    </row>
    <row r="44" spans="1:53" s="334" customFormat="1" x14ac:dyDescent="0.15">
      <c r="A44" s="334">
        <v>2010</v>
      </c>
      <c r="B44" s="335"/>
      <c r="C44" s="812" t="s">
        <v>1103</v>
      </c>
      <c r="D44" s="812"/>
      <c r="E44" s="334">
        <v>365</v>
      </c>
      <c r="G44" s="497">
        <v>13</v>
      </c>
      <c r="H44" s="532"/>
      <c r="I44" s="532"/>
      <c r="J44" s="499">
        <v>13</v>
      </c>
      <c r="K44" s="495">
        <f t="shared" si="0"/>
        <v>100</v>
      </c>
      <c r="L44" s="495">
        <f t="shared" si="1"/>
        <v>0</v>
      </c>
      <c r="M44" s="495">
        <f t="shared" si="2"/>
        <v>0</v>
      </c>
      <c r="N44" s="498">
        <f t="shared" si="3"/>
        <v>100</v>
      </c>
      <c r="O44" s="494">
        <v>49.5</v>
      </c>
      <c r="P44" s="495"/>
      <c r="Q44" s="495"/>
      <c r="R44" s="496">
        <f t="shared" si="5"/>
        <v>49.5</v>
      </c>
      <c r="S44" s="334">
        <v>5</v>
      </c>
      <c r="T44" s="342"/>
      <c r="U44" s="355"/>
      <c r="V44" s="343" t="s">
        <v>1110</v>
      </c>
      <c r="W44" s="334" t="s">
        <v>88</v>
      </c>
      <c r="X44" s="334" t="s">
        <v>11</v>
      </c>
      <c r="Y44" s="344">
        <v>30.7</v>
      </c>
      <c r="Z44" s="334" t="s">
        <v>1116</v>
      </c>
      <c r="AA44" s="334" t="s">
        <v>80</v>
      </c>
      <c r="AB44" s="334" t="s">
        <v>11</v>
      </c>
      <c r="AC44" s="334">
        <v>18.8</v>
      </c>
      <c r="AD44" s="343"/>
      <c r="AG44" s="344"/>
      <c r="AL44" s="343"/>
      <c r="AO44" s="344"/>
      <c r="AP44" s="343"/>
      <c r="AS44" s="344"/>
      <c r="AW44" s="344"/>
      <c r="BA44" s="345"/>
    </row>
    <row r="45" spans="1:53" s="334" customFormat="1" x14ac:dyDescent="0.15">
      <c r="A45" s="334">
        <v>2011</v>
      </c>
      <c r="B45" s="335"/>
      <c r="C45" s="812" t="s">
        <v>1103</v>
      </c>
      <c r="D45" s="812"/>
      <c r="E45" s="334">
        <v>95</v>
      </c>
      <c r="G45" s="497">
        <v>13</v>
      </c>
      <c r="H45" s="532"/>
      <c r="I45" s="532"/>
      <c r="J45" s="499">
        <v>13</v>
      </c>
      <c r="K45" s="495">
        <f t="shared" ref="K45:K52" si="6">G45/J45*100</f>
        <v>100</v>
      </c>
      <c r="L45" s="495">
        <f t="shared" ref="L45:L52" si="7">H45/J45*100</f>
        <v>0</v>
      </c>
      <c r="M45" s="495">
        <f t="shared" ref="M45:M52" si="8">I45/J45*100</f>
        <v>0</v>
      </c>
      <c r="N45" s="498">
        <f t="shared" si="3"/>
        <v>100</v>
      </c>
      <c r="O45" s="494">
        <v>49.5</v>
      </c>
      <c r="P45" s="495"/>
      <c r="Q45" s="495"/>
      <c r="R45" s="496">
        <f t="shared" si="5"/>
        <v>49.5</v>
      </c>
      <c r="S45" s="334">
        <v>5</v>
      </c>
      <c r="T45" s="342"/>
      <c r="U45" s="355"/>
      <c r="V45" s="343" t="s">
        <v>1110</v>
      </c>
      <c r="W45" s="334" t="s">
        <v>88</v>
      </c>
      <c r="X45" s="334" t="s">
        <v>11</v>
      </c>
      <c r="Y45" s="344">
        <v>30.7</v>
      </c>
      <c r="Z45" s="334" t="s">
        <v>1116</v>
      </c>
      <c r="AA45" s="334" t="s">
        <v>80</v>
      </c>
      <c r="AB45" s="334" t="s">
        <v>11</v>
      </c>
      <c r="AC45" s="334">
        <v>18.8</v>
      </c>
      <c r="AD45" s="343"/>
      <c r="AG45" s="344"/>
      <c r="AL45" s="343"/>
      <c r="AO45" s="344"/>
      <c r="AP45" s="343"/>
      <c r="AS45" s="344"/>
      <c r="AW45" s="344"/>
      <c r="BA45" s="345"/>
    </row>
    <row r="46" spans="1:53" s="73" customFormat="1" x14ac:dyDescent="0.15">
      <c r="A46" s="73">
        <v>2011</v>
      </c>
      <c r="B46" s="121">
        <v>40639</v>
      </c>
      <c r="C46" s="811" t="s">
        <v>1104</v>
      </c>
      <c r="D46" s="811"/>
      <c r="E46" s="73">
        <v>270</v>
      </c>
      <c r="F46" s="73">
        <v>1</v>
      </c>
      <c r="G46" s="480">
        <v>13</v>
      </c>
      <c r="H46" s="531"/>
      <c r="I46" s="531"/>
      <c r="J46" s="482">
        <v>13</v>
      </c>
      <c r="K46" s="477">
        <f t="shared" si="6"/>
        <v>100</v>
      </c>
      <c r="L46" s="477">
        <f t="shared" si="7"/>
        <v>0</v>
      </c>
      <c r="M46" s="477">
        <f t="shared" si="8"/>
        <v>0</v>
      </c>
      <c r="N46" s="481">
        <f t="shared" si="3"/>
        <v>100</v>
      </c>
      <c r="O46" s="476">
        <v>55.5</v>
      </c>
      <c r="P46" s="477"/>
      <c r="Q46" s="477"/>
      <c r="R46" s="478">
        <f t="shared" si="5"/>
        <v>55.5</v>
      </c>
      <c r="S46" s="73">
        <v>2</v>
      </c>
      <c r="T46" s="95">
        <v>40608</v>
      </c>
      <c r="U46" s="85">
        <v>40639</v>
      </c>
      <c r="V46" s="82" t="s">
        <v>1110</v>
      </c>
      <c r="W46" s="73" t="s">
        <v>88</v>
      </c>
      <c r="X46" s="73" t="s">
        <v>11</v>
      </c>
      <c r="Y46" s="83">
        <v>32.700000000000003</v>
      </c>
      <c r="Z46" s="73" t="s">
        <v>1116</v>
      </c>
      <c r="AA46" s="73" t="s">
        <v>80</v>
      </c>
      <c r="AB46" s="73" t="s">
        <v>11</v>
      </c>
      <c r="AC46" s="73">
        <v>22.8</v>
      </c>
      <c r="AD46" s="82"/>
      <c r="AG46" s="83"/>
      <c r="AL46" s="82"/>
      <c r="AO46" s="83"/>
      <c r="AP46" s="82"/>
      <c r="AS46" s="83"/>
      <c r="AW46" s="83"/>
      <c r="BA46" s="84"/>
    </row>
    <row r="47" spans="1:53" s="73" customFormat="1" x14ac:dyDescent="0.15">
      <c r="A47" s="73">
        <v>2012</v>
      </c>
      <c r="B47" s="121"/>
      <c r="C47" s="811" t="s">
        <v>1104</v>
      </c>
      <c r="D47" s="811"/>
      <c r="E47" s="73">
        <v>0</v>
      </c>
      <c r="G47" s="480">
        <v>13</v>
      </c>
      <c r="H47" s="531"/>
      <c r="I47" s="531"/>
      <c r="J47" s="482">
        <v>13</v>
      </c>
      <c r="K47" s="477">
        <f t="shared" si="6"/>
        <v>100</v>
      </c>
      <c r="L47" s="477">
        <f t="shared" si="7"/>
        <v>0</v>
      </c>
      <c r="M47" s="477">
        <f t="shared" si="8"/>
        <v>0</v>
      </c>
      <c r="N47" s="481">
        <f t="shared" si="3"/>
        <v>100</v>
      </c>
      <c r="O47" s="476">
        <v>55.5</v>
      </c>
      <c r="P47" s="477"/>
      <c r="Q47" s="477"/>
      <c r="R47" s="478">
        <f t="shared" si="5"/>
        <v>55.5</v>
      </c>
      <c r="S47" s="73">
        <v>2</v>
      </c>
      <c r="T47" s="95"/>
      <c r="U47" s="85"/>
      <c r="V47" s="82" t="s">
        <v>1110</v>
      </c>
      <c r="W47" s="73" t="s">
        <v>88</v>
      </c>
      <c r="X47" s="73" t="s">
        <v>11</v>
      </c>
      <c r="Y47" s="83">
        <v>32.700000000000003</v>
      </c>
      <c r="Z47" s="73" t="s">
        <v>1116</v>
      </c>
      <c r="AA47" s="73" t="s">
        <v>80</v>
      </c>
      <c r="AB47" s="73" t="s">
        <v>11</v>
      </c>
      <c r="AC47" s="73">
        <v>22.8</v>
      </c>
      <c r="AD47" s="82"/>
      <c r="AG47" s="83"/>
      <c r="AL47" s="82"/>
      <c r="AO47" s="83"/>
      <c r="AP47" s="82"/>
      <c r="AS47" s="83"/>
      <c r="AW47" s="83"/>
      <c r="BA47" s="84"/>
    </row>
    <row r="48" spans="1:53" s="73" customFormat="1" x14ac:dyDescent="0.15">
      <c r="A48" s="73">
        <v>2012</v>
      </c>
      <c r="B48" s="121"/>
      <c r="C48" s="811" t="s">
        <v>1104</v>
      </c>
      <c r="D48" s="811"/>
      <c r="E48" s="73">
        <v>366</v>
      </c>
      <c r="G48" s="480">
        <v>13</v>
      </c>
      <c r="H48" s="531"/>
      <c r="I48" s="531"/>
      <c r="J48" s="482">
        <v>13</v>
      </c>
      <c r="K48" s="477">
        <f t="shared" si="6"/>
        <v>100</v>
      </c>
      <c r="L48" s="477">
        <f t="shared" si="7"/>
        <v>0</v>
      </c>
      <c r="M48" s="477">
        <f t="shared" si="8"/>
        <v>0</v>
      </c>
      <c r="N48" s="481">
        <f t="shared" si="3"/>
        <v>100</v>
      </c>
      <c r="O48" s="476">
        <v>55.5</v>
      </c>
      <c r="P48" s="477"/>
      <c r="Q48" s="477"/>
      <c r="R48" s="478">
        <f t="shared" si="5"/>
        <v>55.5</v>
      </c>
      <c r="S48" s="73">
        <v>2</v>
      </c>
      <c r="T48" s="95"/>
      <c r="U48" s="85"/>
      <c r="V48" s="82" t="s">
        <v>1110</v>
      </c>
      <c r="W48" s="73" t="s">
        <v>88</v>
      </c>
      <c r="X48" s="73" t="s">
        <v>11</v>
      </c>
      <c r="Y48" s="83">
        <v>32.700000000000003</v>
      </c>
      <c r="Z48" s="73" t="s">
        <v>1116</v>
      </c>
      <c r="AA48" s="73" t="s">
        <v>80</v>
      </c>
      <c r="AB48" s="73" t="s">
        <v>11</v>
      </c>
      <c r="AC48" s="73">
        <v>22.8</v>
      </c>
      <c r="AD48" s="82"/>
      <c r="AG48" s="83"/>
      <c r="AL48" s="82"/>
      <c r="AO48" s="83"/>
      <c r="AP48" s="82"/>
      <c r="AS48" s="83"/>
      <c r="AW48" s="83"/>
      <c r="BA48" s="84"/>
    </row>
    <row r="49" spans="1:53" s="316" customFormat="1" x14ac:dyDescent="0.15">
      <c r="A49" s="316">
        <v>2013</v>
      </c>
      <c r="B49" s="121"/>
      <c r="C49" s="811" t="s">
        <v>1104</v>
      </c>
      <c r="D49" s="811"/>
      <c r="E49" s="316">
        <v>0</v>
      </c>
      <c r="G49" s="480">
        <v>13</v>
      </c>
      <c r="H49" s="531"/>
      <c r="I49" s="531"/>
      <c r="J49" s="482">
        <v>13</v>
      </c>
      <c r="K49" s="477">
        <f t="shared" si="6"/>
        <v>100</v>
      </c>
      <c r="L49" s="477">
        <f t="shared" si="7"/>
        <v>0</v>
      </c>
      <c r="M49" s="477">
        <f t="shared" si="8"/>
        <v>0</v>
      </c>
      <c r="N49" s="481">
        <f t="shared" si="3"/>
        <v>100</v>
      </c>
      <c r="O49" s="476">
        <v>55.5</v>
      </c>
      <c r="P49" s="477"/>
      <c r="Q49" s="477"/>
      <c r="R49" s="478">
        <f>SUM(O49:Q49)</f>
        <v>55.5</v>
      </c>
      <c r="S49" s="316">
        <v>2</v>
      </c>
      <c r="T49" s="95"/>
      <c r="U49" s="314"/>
      <c r="V49" s="82" t="s">
        <v>1110</v>
      </c>
      <c r="W49" s="316" t="s">
        <v>88</v>
      </c>
      <c r="X49" s="316" t="s">
        <v>11</v>
      </c>
      <c r="Y49" s="83">
        <v>32.700000000000003</v>
      </c>
      <c r="Z49" s="316" t="s">
        <v>1116</v>
      </c>
      <c r="AA49" s="316" t="s">
        <v>80</v>
      </c>
      <c r="AB49" s="316" t="s">
        <v>11</v>
      </c>
      <c r="AC49" s="316">
        <v>22.8</v>
      </c>
      <c r="AD49" s="82"/>
      <c r="AG49" s="83"/>
      <c r="AL49" s="82"/>
      <c r="AO49" s="83"/>
      <c r="AP49" s="82"/>
      <c r="AS49" s="83"/>
      <c r="AW49" s="83"/>
      <c r="BA49" s="84"/>
    </row>
    <row r="50" spans="1:53" s="531" customFormat="1" x14ac:dyDescent="0.15">
      <c r="A50" s="531">
        <v>2013</v>
      </c>
      <c r="B50" s="121"/>
      <c r="C50" s="811" t="s">
        <v>1104</v>
      </c>
      <c r="D50" s="811"/>
      <c r="E50" s="531">
        <v>365</v>
      </c>
      <c r="G50" s="480">
        <v>13</v>
      </c>
      <c r="J50" s="482">
        <v>13</v>
      </c>
      <c r="K50" s="477">
        <f t="shared" si="6"/>
        <v>100</v>
      </c>
      <c r="L50" s="477">
        <f t="shared" si="7"/>
        <v>0</v>
      </c>
      <c r="M50" s="477">
        <f t="shared" si="8"/>
        <v>0</v>
      </c>
      <c r="N50" s="481">
        <f t="shared" si="3"/>
        <v>100</v>
      </c>
      <c r="O50" s="476">
        <v>55.5</v>
      </c>
      <c r="P50" s="477"/>
      <c r="Q50" s="477"/>
      <c r="R50" s="478">
        <f>SUM(O50:Q50)</f>
        <v>55.5</v>
      </c>
      <c r="S50" s="531">
        <v>2</v>
      </c>
      <c r="T50" s="479"/>
      <c r="U50" s="528"/>
      <c r="V50" s="472" t="s">
        <v>1110</v>
      </c>
      <c r="W50" s="531" t="s">
        <v>88</v>
      </c>
      <c r="X50" s="531" t="s">
        <v>11</v>
      </c>
      <c r="Y50" s="473">
        <v>32.700000000000003</v>
      </c>
      <c r="Z50" s="531" t="s">
        <v>1116</v>
      </c>
      <c r="AA50" s="531" t="s">
        <v>80</v>
      </c>
      <c r="AB50" s="531" t="s">
        <v>11</v>
      </c>
      <c r="AC50" s="531">
        <v>22.8</v>
      </c>
      <c r="AD50" s="472"/>
      <c r="AG50" s="473"/>
      <c r="AL50" s="472"/>
      <c r="AO50" s="473"/>
      <c r="AP50" s="472"/>
      <c r="AS50" s="473"/>
      <c r="AW50" s="473"/>
      <c r="BA50" s="474"/>
    </row>
    <row r="51" spans="1:53" s="531" customFormat="1" x14ac:dyDescent="0.15">
      <c r="A51" s="531">
        <v>2014</v>
      </c>
      <c r="B51" s="121"/>
      <c r="C51" s="811" t="s">
        <v>1104</v>
      </c>
      <c r="D51" s="811"/>
      <c r="E51" s="531">
        <v>84</v>
      </c>
      <c r="G51" s="480">
        <v>13</v>
      </c>
      <c r="J51" s="482">
        <v>13</v>
      </c>
      <c r="K51" s="477">
        <f t="shared" si="6"/>
        <v>100</v>
      </c>
      <c r="L51" s="477">
        <f t="shared" si="7"/>
        <v>0</v>
      </c>
      <c r="M51" s="477">
        <f t="shared" si="8"/>
        <v>0</v>
      </c>
      <c r="N51" s="481">
        <f t="shared" si="3"/>
        <v>100</v>
      </c>
      <c r="O51" s="476">
        <v>55.5</v>
      </c>
      <c r="P51" s="477"/>
      <c r="Q51" s="477"/>
      <c r="R51" s="478">
        <f>SUM(O51:Q51)</f>
        <v>55.5</v>
      </c>
      <c r="S51" s="531">
        <v>2</v>
      </c>
      <c r="T51" s="479"/>
      <c r="U51" s="528"/>
      <c r="V51" s="472" t="s">
        <v>1110</v>
      </c>
      <c r="W51" s="531" t="s">
        <v>88</v>
      </c>
      <c r="X51" s="531" t="s">
        <v>11</v>
      </c>
      <c r="Y51" s="473">
        <v>32.700000000000003</v>
      </c>
      <c r="Z51" s="531" t="s">
        <v>1116</v>
      </c>
      <c r="AA51" s="531" t="s">
        <v>80</v>
      </c>
      <c r="AB51" s="531" t="s">
        <v>11</v>
      </c>
      <c r="AC51" s="531">
        <v>22.8</v>
      </c>
      <c r="AD51" s="472"/>
      <c r="AG51" s="473"/>
      <c r="AL51" s="472"/>
      <c r="AO51" s="473"/>
      <c r="AP51" s="472"/>
      <c r="AS51" s="473"/>
      <c r="AW51" s="473"/>
      <c r="BA51" s="474"/>
    </row>
    <row r="52" spans="1:53" s="532" customFormat="1" x14ac:dyDescent="0.15">
      <c r="A52" s="532">
        <v>2014</v>
      </c>
      <c r="B52" s="335">
        <v>41724</v>
      </c>
      <c r="C52" s="812" t="s">
        <v>1306</v>
      </c>
      <c r="D52" s="812"/>
      <c r="E52" s="532">
        <v>281</v>
      </c>
      <c r="F52" s="532">
        <v>2</v>
      </c>
      <c r="G52" s="497">
        <v>8</v>
      </c>
      <c r="I52" s="532">
        <v>6</v>
      </c>
      <c r="J52" s="499">
        <v>14</v>
      </c>
      <c r="K52" s="495">
        <f t="shared" si="6"/>
        <v>57.142857142857139</v>
      </c>
      <c r="L52" s="495">
        <f t="shared" si="7"/>
        <v>0</v>
      </c>
      <c r="M52" s="495">
        <f t="shared" si="8"/>
        <v>42.857142857142854</v>
      </c>
      <c r="N52" s="498">
        <f t="shared" si="3"/>
        <v>100</v>
      </c>
      <c r="O52" s="494">
        <v>33.700000000000003</v>
      </c>
      <c r="P52" s="495"/>
      <c r="Q52" s="495">
        <v>20.8</v>
      </c>
      <c r="R52" s="496">
        <f>SUM(O52:Q52)</f>
        <v>54.5</v>
      </c>
      <c r="S52" s="532">
        <v>2</v>
      </c>
      <c r="T52" s="487"/>
      <c r="U52" s="529">
        <v>41724</v>
      </c>
      <c r="V52" s="488" t="s">
        <v>1110</v>
      </c>
      <c r="W52" s="532" t="s">
        <v>88</v>
      </c>
      <c r="X52" s="532" t="s">
        <v>11</v>
      </c>
      <c r="Y52" s="489">
        <v>33.700000000000003</v>
      </c>
      <c r="Z52" s="532" t="s">
        <v>1117</v>
      </c>
      <c r="AA52" s="532" t="s">
        <v>98</v>
      </c>
      <c r="AB52" s="532" t="s">
        <v>12</v>
      </c>
      <c r="AC52" s="532">
        <v>20.8</v>
      </c>
      <c r="AD52" s="488"/>
      <c r="AG52" s="489"/>
      <c r="AL52" s="488"/>
      <c r="AO52" s="489"/>
      <c r="AP52" s="488"/>
      <c r="AS52" s="489"/>
      <c r="AW52" s="489"/>
      <c r="BA52" s="490"/>
    </row>
    <row r="53" spans="1:53" s="720" customFormat="1" x14ac:dyDescent="0.15">
      <c r="A53" s="720">
        <v>2015</v>
      </c>
      <c r="B53" s="335"/>
      <c r="C53" s="812" t="s">
        <v>1306</v>
      </c>
      <c r="D53" s="812"/>
      <c r="E53" s="720">
        <v>98</v>
      </c>
      <c r="G53" s="649">
        <v>8</v>
      </c>
      <c r="I53" s="720">
        <v>6</v>
      </c>
      <c r="J53" s="651">
        <v>14</v>
      </c>
      <c r="K53" s="647">
        <f t="shared" ref="K53:K55" si="9">G53/J53*100</f>
        <v>57.142857142857139</v>
      </c>
      <c r="L53" s="647">
        <f t="shared" ref="L53:L55" si="10">H53/J53*100</f>
        <v>0</v>
      </c>
      <c r="M53" s="647">
        <f t="shared" ref="M53:M55" si="11">I53/J53*100</f>
        <v>42.857142857142854</v>
      </c>
      <c r="N53" s="650">
        <f t="shared" ref="N53:N54" si="12">SUM(K53:M53)</f>
        <v>100</v>
      </c>
      <c r="O53" s="646">
        <v>33.700000000000003</v>
      </c>
      <c r="P53" s="647"/>
      <c r="Q53" s="647">
        <v>20.8</v>
      </c>
      <c r="R53" s="648">
        <f>SUM(O53:Q53)</f>
        <v>54.5</v>
      </c>
      <c r="S53" s="720">
        <v>2</v>
      </c>
      <c r="T53" s="487"/>
      <c r="U53" s="715"/>
      <c r="V53" s="641" t="s">
        <v>1110</v>
      </c>
      <c r="W53" s="720" t="s">
        <v>88</v>
      </c>
      <c r="X53" s="720" t="s">
        <v>11</v>
      </c>
      <c r="Y53" s="642">
        <v>33.700000000000003</v>
      </c>
      <c r="Z53" s="720" t="s">
        <v>1117</v>
      </c>
      <c r="AA53" s="720" t="s">
        <v>98</v>
      </c>
      <c r="AB53" s="720" t="s">
        <v>12</v>
      </c>
      <c r="AC53" s="720">
        <v>20.8</v>
      </c>
      <c r="AD53" s="641"/>
      <c r="AG53" s="642"/>
      <c r="AL53" s="641"/>
      <c r="AO53" s="642"/>
      <c r="AP53" s="641"/>
      <c r="AS53" s="642"/>
      <c r="AW53" s="642"/>
      <c r="BA53" s="643"/>
    </row>
    <row r="54" spans="1:53" s="719" customFormat="1" x14ac:dyDescent="0.15">
      <c r="A54" s="719">
        <v>2015</v>
      </c>
      <c r="B54" s="121">
        <v>42103</v>
      </c>
      <c r="C54" s="811" t="s">
        <v>1338</v>
      </c>
      <c r="D54" s="811"/>
      <c r="E54" s="719">
        <v>98</v>
      </c>
      <c r="F54" s="719">
        <v>1</v>
      </c>
      <c r="G54" s="600">
        <v>11</v>
      </c>
      <c r="I54" s="719">
        <v>4</v>
      </c>
      <c r="J54" s="602">
        <v>15</v>
      </c>
      <c r="K54" s="597">
        <f t="shared" si="9"/>
        <v>73.333333333333329</v>
      </c>
      <c r="L54" s="597">
        <f t="shared" si="10"/>
        <v>0</v>
      </c>
      <c r="M54" s="597">
        <f t="shared" si="11"/>
        <v>26.666666666666668</v>
      </c>
      <c r="N54" s="601">
        <f t="shared" si="12"/>
        <v>100</v>
      </c>
      <c r="O54" s="596">
        <v>43.6</v>
      </c>
      <c r="P54" s="597"/>
      <c r="Q54" s="597">
        <v>14.9</v>
      </c>
      <c r="R54" s="598">
        <f t="shared" ref="R54:R55" si="13">SUM(O54:Q54)</f>
        <v>58.5</v>
      </c>
      <c r="S54" s="719">
        <v>2</v>
      </c>
      <c r="T54" s="599">
        <v>42064</v>
      </c>
      <c r="U54" s="121">
        <v>42103</v>
      </c>
      <c r="V54" s="592" t="s">
        <v>1110</v>
      </c>
      <c r="W54" s="719" t="s">
        <v>88</v>
      </c>
      <c r="X54" s="719" t="s">
        <v>11</v>
      </c>
      <c r="Y54" s="593">
        <v>29.7</v>
      </c>
      <c r="Z54" s="719" t="s">
        <v>1117</v>
      </c>
      <c r="AA54" s="719" t="s">
        <v>98</v>
      </c>
      <c r="AB54" s="719" t="s">
        <v>12</v>
      </c>
      <c r="AC54" s="719">
        <v>14.9</v>
      </c>
      <c r="AD54" s="592" t="s">
        <v>1116</v>
      </c>
      <c r="AE54" s="719" t="s">
        <v>80</v>
      </c>
      <c r="AF54" s="719" t="s">
        <v>11</v>
      </c>
      <c r="AG54" s="593">
        <v>13.9</v>
      </c>
      <c r="AL54" s="592"/>
      <c r="AO54" s="593"/>
      <c r="AP54" s="592"/>
      <c r="AS54" s="593"/>
      <c r="AW54" s="593"/>
      <c r="BA54" s="594"/>
    </row>
    <row r="55" spans="1:53" s="719" customFormat="1" x14ac:dyDescent="0.15">
      <c r="A55" s="719">
        <v>2015</v>
      </c>
      <c r="B55" s="154">
        <v>42201</v>
      </c>
      <c r="C55" s="811" t="s">
        <v>1338</v>
      </c>
      <c r="D55" s="811"/>
      <c r="E55" s="719">
        <v>169</v>
      </c>
      <c r="F55" s="604">
        <v>0</v>
      </c>
      <c r="G55" s="600">
        <v>10</v>
      </c>
      <c r="I55" s="719">
        <v>4</v>
      </c>
      <c r="J55" s="602">
        <v>15</v>
      </c>
      <c r="K55" s="597">
        <f t="shared" si="9"/>
        <v>66.666666666666657</v>
      </c>
      <c r="L55" s="597">
        <f t="shared" si="10"/>
        <v>0</v>
      </c>
      <c r="M55" s="597">
        <f t="shared" si="11"/>
        <v>26.666666666666668</v>
      </c>
      <c r="N55" s="601">
        <f>SUM(K55:M55)</f>
        <v>93.333333333333329</v>
      </c>
      <c r="O55" s="596">
        <v>43.6</v>
      </c>
      <c r="P55" s="597"/>
      <c r="Q55" s="597">
        <v>14.9</v>
      </c>
      <c r="R55" s="598">
        <f t="shared" si="13"/>
        <v>58.5</v>
      </c>
      <c r="S55" s="719">
        <v>2</v>
      </c>
      <c r="T55" s="599"/>
      <c r="U55" s="716"/>
      <c r="V55" s="592" t="s">
        <v>1110</v>
      </c>
      <c r="W55" s="719" t="s">
        <v>88</v>
      </c>
      <c r="X55" s="719" t="s">
        <v>11</v>
      </c>
      <c r="Y55" s="593">
        <v>29.7</v>
      </c>
      <c r="Z55" s="719" t="s">
        <v>1117</v>
      </c>
      <c r="AA55" s="719" t="s">
        <v>98</v>
      </c>
      <c r="AB55" s="719" t="s">
        <v>12</v>
      </c>
      <c r="AC55" s="719">
        <v>14.9</v>
      </c>
      <c r="AD55" s="592" t="s">
        <v>1116</v>
      </c>
      <c r="AE55" s="719" t="s">
        <v>80</v>
      </c>
      <c r="AF55" s="719" t="s">
        <v>11</v>
      </c>
      <c r="AG55" s="593">
        <v>13.9</v>
      </c>
      <c r="AL55" s="592"/>
      <c r="AO55" s="593"/>
      <c r="AP55" s="592"/>
      <c r="AS55" s="593"/>
      <c r="AW55" s="593"/>
      <c r="BA55" s="594"/>
    </row>
    <row r="57" spans="1:53" x14ac:dyDescent="0.15">
      <c r="B57" s="2"/>
      <c r="C57" s="2"/>
      <c r="D57" s="2"/>
      <c r="E57" s="2"/>
      <c r="F57" s="2"/>
      <c r="G57" s="2"/>
      <c r="H57" s="2"/>
      <c r="I57" s="2"/>
      <c r="J57" s="2"/>
      <c r="K57" s="2"/>
      <c r="L57" s="2"/>
      <c r="M57" s="2"/>
      <c r="N57" s="2"/>
    </row>
    <row r="58" spans="1:53" s="2" customFormat="1" ht="18" customHeight="1" x14ac:dyDescent="0.2">
      <c r="B58" s="22" t="s">
        <v>1284</v>
      </c>
    </row>
    <row r="59" spans="1:53" s="2" customFormat="1" ht="9" customHeight="1" x14ac:dyDescent="0.15"/>
    <row r="60" spans="1:53" s="364" customFormat="1" ht="9" customHeight="1" x14ac:dyDescent="0.15">
      <c r="A60" s="362"/>
      <c r="B60" s="363" t="s">
        <v>1235</v>
      </c>
      <c r="C60" s="363"/>
      <c r="D60" s="363"/>
      <c r="E60" s="363"/>
      <c r="F60" s="363"/>
      <c r="G60" s="363" t="s">
        <v>1236</v>
      </c>
      <c r="H60" s="363"/>
      <c r="I60" s="363"/>
      <c r="J60" s="363"/>
      <c r="K60" s="363"/>
      <c r="L60" s="363"/>
      <c r="M60" s="363"/>
      <c r="N60" s="363"/>
      <c r="R60" s="802" t="s">
        <v>1237</v>
      </c>
      <c r="S60" s="802"/>
      <c r="T60" s="802"/>
      <c r="U60" s="802"/>
      <c r="V60" s="802"/>
      <c r="W60" s="802"/>
      <c r="X60" s="365"/>
      <c r="Y60" s="365"/>
      <c r="AA60" s="365"/>
      <c r="AB60" s="365"/>
      <c r="AC60" s="365"/>
      <c r="AD60" s="365"/>
    </row>
    <row r="61" spans="1:53" s="369" customFormat="1" ht="9" customHeight="1" x14ac:dyDescent="0.15">
      <c r="A61" s="366"/>
      <c r="B61" s="367" t="s">
        <v>1239</v>
      </c>
      <c r="C61" s="368"/>
      <c r="D61" s="368"/>
      <c r="E61" s="368"/>
      <c r="F61" s="368"/>
      <c r="G61" s="367" t="s">
        <v>1238</v>
      </c>
      <c r="H61" s="368"/>
      <c r="I61" s="368"/>
      <c r="J61" s="368"/>
      <c r="K61" s="368"/>
      <c r="L61" s="368"/>
      <c r="M61" s="368"/>
      <c r="N61" s="368"/>
      <c r="R61" s="370" t="s">
        <v>1240</v>
      </c>
      <c r="S61" s="371"/>
      <c r="T61" s="372"/>
      <c r="U61" s="372"/>
      <c r="V61" s="372"/>
      <c r="W61" s="370" t="s">
        <v>1241</v>
      </c>
      <c r="X61" s="372"/>
      <c r="Y61" s="372"/>
      <c r="AA61" s="372"/>
      <c r="AB61" s="372"/>
      <c r="AC61" s="372"/>
      <c r="AD61" s="372"/>
    </row>
    <row r="62" spans="1:53" s="351" customFormat="1" ht="12" customHeight="1" x14ac:dyDescent="0.15">
      <c r="A62" s="373" t="s">
        <v>3</v>
      </c>
      <c r="B62" s="374" t="s">
        <v>8</v>
      </c>
      <c r="C62" s="374" t="s">
        <v>9</v>
      </c>
      <c r="D62" s="374" t="s">
        <v>10</v>
      </c>
      <c r="E62" s="375" t="s">
        <v>1215</v>
      </c>
      <c r="F62" s="374"/>
      <c r="G62" s="351" t="s">
        <v>3</v>
      </c>
      <c r="H62" s="803" t="s">
        <v>0</v>
      </c>
      <c r="I62" s="803"/>
      <c r="J62" s="803" t="s">
        <v>1</v>
      </c>
      <c r="K62" s="803"/>
      <c r="L62" s="803" t="s">
        <v>2</v>
      </c>
      <c r="M62" s="803"/>
      <c r="N62" s="804" t="s">
        <v>1215</v>
      </c>
      <c r="O62" s="804"/>
      <c r="P62" s="376"/>
      <c r="Q62" s="376"/>
      <c r="R62" s="377" t="s">
        <v>3</v>
      </c>
      <c r="S62" s="378" t="s">
        <v>136</v>
      </c>
      <c r="T62" s="376" t="s">
        <v>134</v>
      </c>
      <c r="U62" s="374" t="s">
        <v>135</v>
      </c>
      <c r="V62" s="376"/>
      <c r="W62" s="379" t="s">
        <v>26</v>
      </c>
    </row>
    <row r="63" spans="1:53" ht="9" customHeight="1" x14ac:dyDescent="0.15">
      <c r="A63" s="1">
        <v>1990</v>
      </c>
      <c r="C63" s="8"/>
      <c r="D63" s="8"/>
      <c r="E63" s="69"/>
      <c r="G63" s="1">
        <v>1990</v>
      </c>
      <c r="H63" s="822"/>
      <c r="I63" s="822"/>
      <c r="J63" s="822"/>
      <c r="K63" s="822"/>
      <c r="L63" s="822"/>
      <c r="M63" s="822"/>
      <c r="N63" s="781"/>
      <c r="O63" s="781"/>
      <c r="R63" s="1">
        <v>1990</v>
      </c>
    </row>
    <row r="64" spans="1:53" ht="9" customHeight="1" x14ac:dyDescent="0.15">
      <c r="A64" s="1">
        <v>1991</v>
      </c>
      <c r="C64" s="8"/>
      <c r="D64" s="8"/>
      <c r="E64" s="69"/>
      <c r="G64" s="1">
        <v>1991</v>
      </c>
      <c r="H64" s="822"/>
      <c r="I64" s="822"/>
      <c r="J64" s="822"/>
      <c r="K64" s="822"/>
      <c r="L64" s="822"/>
      <c r="M64" s="822"/>
      <c r="N64" s="781"/>
      <c r="O64" s="781"/>
      <c r="R64" s="1">
        <v>1991</v>
      </c>
    </row>
    <row r="65" spans="1:25" ht="9" customHeight="1" x14ac:dyDescent="0.15">
      <c r="A65" s="1">
        <v>1992</v>
      </c>
      <c r="B65" s="8">
        <f>(K7*($E7/72))</f>
        <v>50</v>
      </c>
      <c r="C65" s="8">
        <f>(L7*($E7/72))</f>
        <v>0</v>
      </c>
      <c r="D65" s="8">
        <f>(M7*($E7/72))</f>
        <v>21.428571428571427</v>
      </c>
      <c r="E65" s="69">
        <f>SUM(B65:D65)</f>
        <v>71.428571428571431</v>
      </c>
      <c r="G65" s="1">
        <v>1992</v>
      </c>
      <c r="H65" s="823">
        <f>(O7/$R7*100*($E7/72))</f>
        <v>76.43564356435644</v>
      </c>
      <c r="I65" s="823"/>
      <c r="J65" s="823">
        <f>(P7/$R7*100*($E7/72))</f>
        <v>0</v>
      </c>
      <c r="K65" s="823"/>
      <c r="L65" s="823">
        <f>(Q7/$R7*100*($E7/72))</f>
        <v>23.564356435643568</v>
      </c>
      <c r="M65" s="823"/>
      <c r="N65" s="781">
        <f>SUM(H65:M65)</f>
        <v>100</v>
      </c>
      <c r="O65" s="781"/>
      <c r="R65" s="1">
        <v>1992</v>
      </c>
      <c r="S65" s="8">
        <f>(O7*($E7/72))</f>
        <v>38.6</v>
      </c>
      <c r="T65" s="8">
        <f>(P7*($E7/72))</f>
        <v>0</v>
      </c>
      <c r="U65" s="8">
        <f>(Q7*($E7/72))</f>
        <v>11.9</v>
      </c>
      <c r="W65" s="5">
        <f>SUM(S65:U65)</f>
        <v>50.5</v>
      </c>
      <c r="Y65" s="71" t="s">
        <v>1157</v>
      </c>
    </row>
    <row r="66" spans="1:25" ht="9" customHeight="1" x14ac:dyDescent="0.15">
      <c r="A66" s="1">
        <v>1993</v>
      </c>
      <c r="B66" s="8">
        <f>(K8*($E8/365))+(K9*($E9/365))</f>
        <v>50</v>
      </c>
      <c r="C66" s="8">
        <f>(L8*($E8/365))+(L9*($E9/365))</f>
        <v>0</v>
      </c>
      <c r="D66" s="8">
        <f>(M8*($E8/365))+(M9*($E9/365))</f>
        <v>21.428571428571427</v>
      </c>
      <c r="E66" s="69">
        <f t="shared" ref="E66:E85" si="14">SUM(B66:D66)</f>
        <v>71.428571428571431</v>
      </c>
      <c r="G66" s="1">
        <v>1993</v>
      </c>
      <c r="H66" s="823">
        <f>(O8/$R8*100*($E8/365))+(O9/$R9*100*($E9/365))</f>
        <v>76.43564356435644</v>
      </c>
      <c r="I66" s="823"/>
      <c r="J66" s="823">
        <f>(P8/$R8*100*($E8/365))+(P9/$R9*100*($E9/365))</f>
        <v>0</v>
      </c>
      <c r="K66" s="823"/>
      <c r="L66" s="823">
        <f>(Q8/$R8*100*($E8/365))+(Q9/$R9*100*($E9/365))</f>
        <v>23.564356435643568</v>
      </c>
      <c r="M66" s="823"/>
      <c r="N66" s="781">
        <f t="shared" ref="N66:N85" si="15">SUM(H66:M66)</f>
        <v>100</v>
      </c>
      <c r="O66" s="781"/>
      <c r="R66" s="1">
        <v>1993</v>
      </c>
      <c r="S66" s="8">
        <f>(O8*($E8/365))+(O9*($E9/365))</f>
        <v>38.6</v>
      </c>
      <c r="T66" s="8">
        <f>(P8*($E8/365))+(P9*($E9/365))</f>
        <v>0</v>
      </c>
      <c r="U66" s="8">
        <f>(Q8*($E8/365))+(Q9*($E9/365))</f>
        <v>11.9</v>
      </c>
      <c r="W66" s="5">
        <f t="shared" ref="W66:W85" si="16">SUM(S66:U66)</f>
        <v>50.5</v>
      </c>
    </row>
    <row r="67" spans="1:25" ht="9" customHeight="1" x14ac:dyDescent="0.15">
      <c r="A67" s="1">
        <v>1994</v>
      </c>
      <c r="B67" s="8">
        <f>(K10*($E10/365))+(K11*($E11/365))</f>
        <v>50.000000000000007</v>
      </c>
      <c r="C67" s="8">
        <f>(L10*($E10/365))+(L11*($E11/365))</f>
        <v>0</v>
      </c>
      <c r="D67" s="8">
        <f>(M10*($E10/365))+(M11*($E11/365))</f>
        <v>21.428571428571427</v>
      </c>
      <c r="E67" s="69">
        <f t="shared" si="14"/>
        <v>71.428571428571431</v>
      </c>
      <c r="G67" s="1">
        <v>1994</v>
      </c>
      <c r="H67" s="823">
        <f>(O10/$R10*100*($E10/365))+(O11/$R11*100*($E11/365))</f>
        <v>76.43564356435644</v>
      </c>
      <c r="I67" s="823"/>
      <c r="J67" s="823">
        <f>(P10/$R10*100*($E10/365))+(P11/$R11*100*($E11/365))</f>
        <v>0</v>
      </c>
      <c r="K67" s="823"/>
      <c r="L67" s="823">
        <f>(Q10/$R10*100*($E10/365))+(Q11/$R11*100*($E11/365))</f>
        <v>23.564356435643568</v>
      </c>
      <c r="M67" s="823"/>
      <c r="N67" s="781">
        <f t="shared" si="15"/>
        <v>100</v>
      </c>
      <c r="O67" s="781"/>
      <c r="R67" s="1">
        <v>1994</v>
      </c>
      <c r="S67" s="8">
        <f>(O10*($E10/365))+(O11*($E11/365))</f>
        <v>38.6</v>
      </c>
      <c r="T67" s="8">
        <f>(P10*($E10/365))+(P11*($E11/365))</f>
        <v>0</v>
      </c>
      <c r="U67" s="8">
        <f>(Q10*($E10/365))+(Q11*($E11/365))</f>
        <v>11.9</v>
      </c>
      <c r="W67" s="5">
        <f t="shared" si="16"/>
        <v>50.5</v>
      </c>
    </row>
    <row r="68" spans="1:25" ht="9" customHeight="1" x14ac:dyDescent="0.15">
      <c r="A68" s="1">
        <v>1995</v>
      </c>
      <c r="B68" s="8">
        <f>(K12*($E12/365))+(K13*($E13/365))+(K14*($E14/365))</f>
        <v>20.986301369863014</v>
      </c>
      <c r="C68" s="8">
        <f>(L12*($E12/365))+(L13*($E13/365))+(L14*($E14/365))</f>
        <v>19.569471624266143</v>
      </c>
      <c r="D68" s="8">
        <f>(M12*($E12/365))+(M13*($E13/365))+(M14*($E14/365))</f>
        <v>51.146771037181999</v>
      </c>
      <c r="E68" s="69">
        <f t="shared" si="14"/>
        <v>91.702544031311163</v>
      </c>
      <c r="G68" s="1">
        <v>1995</v>
      </c>
      <c r="H68" s="823">
        <f>(O12/$R12*100*($E12/365))+(O13/$R13*100*($E13/365))+(O14/$R14*100*($E14/365))</f>
        <v>27.31374872647082</v>
      </c>
      <c r="I68" s="823"/>
      <c r="J68" s="823">
        <f>(P12/$R12*100*($E12/365))+(P13/$R13*100*($E13/365))+(P14/$R14*100*($E14/365))</f>
        <v>15.350238025842803</v>
      </c>
      <c r="K68" s="823"/>
      <c r="L68" s="823">
        <f>(Q12/$R12*100*($E12/365))+(Q13/$R13*100*($E13/365))+(Q14/$R14*100*($E14/365))</f>
        <v>57.336013247686374</v>
      </c>
      <c r="M68" s="823"/>
      <c r="N68" s="781">
        <f t="shared" si="15"/>
        <v>100</v>
      </c>
      <c r="O68" s="781"/>
      <c r="R68" s="1">
        <v>1995</v>
      </c>
      <c r="S68" s="8">
        <f>(O12*($E12/365))+(O13*($E13/365))+(O14*($E14/365))</f>
        <v>14.248767123287671</v>
      </c>
      <c r="T68" s="8">
        <f>(P12*($E12/365))+(P13*($E13/365))+(P14*($E14/365))</f>
        <v>8.6575342465753415</v>
      </c>
      <c r="U68" s="8">
        <f>(Q12*($E12/365))+(Q13*($E13/365))+(Q14*($E14/365))</f>
        <v>32.265205479452057</v>
      </c>
      <c r="W68" s="5">
        <f t="shared" si="16"/>
        <v>55.171506849315065</v>
      </c>
    </row>
    <row r="69" spans="1:25" ht="9" customHeight="1" x14ac:dyDescent="0.15">
      <c r="A69" s="1">
        <v>1996</v>
      </c>
      <c r="B69" s="8">
        <f>(K15*($E15/366))+(K16*($E16/366))</f>
        <v>40</v>
      </c>
      <c r="C69" s="8">
        <f>(L15*($E15/366))+(L16*($E16/366))</f>
        <v>0</v>
      </c>
      <c r="D69" s="8">
        <f>(M15*($E15/366))+(M16*($E16/366))</f>
        <v>60</v>
      </c>
      <c r="E69" s="69">
        <f t="shared" si="14"/>
        <v>100</v>
      </c>
      <c r="G69" s="1">
        <v>1996</v>
      </c>
      <c r="H69" s="823">
        <f>(O15/$R15*100*($E15/366))+(O16/$R16*100*($E16/366))</f>
        <v>31.649831649831651</v>
      </c>
      <c r="I69" s="823"/>
      <c r="J69" s="823">
        <f>(P15/$R15*100*($E15/366))+(P16/$R16*100*($E16/366))</f>
        <v>0</v>
      </c>
      <c r="K69" s="823"/>
      <c r="L69" s="823">
        <f>(Q15/$R15*100*($E15/366))+(Q16/$R16*100*($E16/366))</f>
        <v>68.350168350168346</v>
      </c>
      <c r="M69" s="823"/>
      <c r="N69" s="781">
        <f t="shared" si="15"/>
        <v>100</v>
      </c>
      <c r="O69" s="781"/>
      <c r="R69" s="1">
        <v>1996</v>
      </c>
      <c r="S69" s="8">
        <f>(O15*($E15/366))+(O16*($E16/366))</f>
        <v>18.8</v>
      </c>
      <c r="T69" s="8">
        <f>(P15*($E15/366))+(P16*($E16/366))</f>
        <v>0</v>
      </c>
      <c r="U69" s="8">
        <f>(Q15*($E15/366))+(Q16*($E16/366))</f>
        <v>40.6</v>
      </c>
      <c r="W69" s="5">
        <f t="shared" si="16"/>
        <v>59.400000000000006</v>
      </c>
    </row>
    <row r="70" spans="1:25" ht="9" customHeight="1" x14ac:dyDescent="0.15">
      <c r="A70" s="1">
        <v>1997</v>
      </c>
      <c r="B70" s="8">
        <f>(K17*($E17/365))+(K18*($E18/365))</f>
        <v>8.2191780821917799</v>
      </c>
      <c r="C70" s="8">
        <f>(L17*($E17/365))+(L18*($E18/365))</f>
        <v>0</v>
      </c>
      <c r="D70" s="8">
        <f>(M17*($E17/365))+(M18*($E18/365))</f>
        <v>74.755381604696666</v>
      </c>
      <c r="E70" s="69">
        <f t="shared" si="14"/>
        <v>82.974559686888441</v>
      </c>
      <c r="G70" s="1">
        <v>1997</v>
      </c>
      <c r="H70" s="823">
        <f>(O17/$R17*100*($E17/365))+(O18/$R18*100*($E18/365))</f>
        <v>6.5033900650339005</v>
      </c>
      <c r="I70" s="823"/>
      <c r="J70" s="823">
        <f>(P17/$R17*100*($E17/365))+(P18/$R18*100*($E18/365))</f>
        <v>0</v>
      </c>
      <c r="K70" s="823"/>
      <c r="L70" s="823">
        <f>(Q17/$R17*100*($E17/365))+(Q18/$R18*100*($E18/365))</f>
        <v>93.496609934966102</v>
      </c>
      <c r="M70" s="823"/>
      <c r="N70" s="781">
        <f t="shared" si="15"/>
        <v>100</v>
      </c>
      <c r="O70" s="781"/>
      <c r="R70" s="1">
        <v>1997</v>
      </c>
      <c r="S70" s="8">
        <f>(O17*($E17/365))+(O18*($E18/365))</f>
        <v>3.8630136986301369</v>
      </c>
      <c r="T70" s="8">
        <f>(P17*($E17/365))+(P18*($E18/365))</f>
        <v>0</v>
      </c>
      <c r="U70" s="8">
        <f>(Q17*($E17/365))+(Q18*($E18/365))</f>
        <v>40.599999999999994</v>
      </c>
      <c r="W70" s="5">
        <f t="shared" si="16"/>
        <v>44.463013698630128</v>
      </c>
    </row>
    <row r="71" spans="1:25" ht="9" customHeight="1" x14ac:dyDescent="0.15">
      <c r="A71" s="1">
        <v>1998</v>
      </c>
      <c r="B71" s="8">
        <f>(K19*($E19/365))+(K20*($E20/365))</f>
        <v>0</v>
      </c>
      <c r="C71" s="8">
        <f>(L19*($E19/365))+(L20*($E20/365))</f>
        <v>0</v>
      </c>
      <c r="D71" s="8">
        <f>(M19*($E19/365))+(M20*($E20/365))</f>
        <v>78.571428571428569</v>
      </c>
      <c r="E71" s="69">
        <f t="shared" si="14"/>
        <v>78.571428571428569</v>
      </c>
      <c r="G71" s="1">
        <v>1998</v>
      </c>
      <c r="H71" s="823">
        <f>(O19/$R19*100*($E19/365))+(O20/$R20*100*($E20/365))</f>
        <v>0</v>
      </c>
      <c r="I71" s="823"/>
      <c r="J71" s="823">
        <f>(P19/$R19*100*($E19/365))+(P20/$R20*100*($E20/365))</f>
        <v>0</v>
      </c>
      <c r="K71" s="823"/>
      <c r="L71" s="823">
        <f>(Q19/$R19*100*($E19/365))+(Q20/$R20*100*($E20/365))</f>
        <v>100</v>
      </c>
      <c r="M71" s="823"/>
      <c r="N71" s="781">
        <f t="shared" si="15"/>
        <v>100</v>
      </c>
      <c r="O71" s="781"/>
      <c r="R71" s="1">
        <v>1998</v>
      </c>
      <c r="S71" s="8">
        <f>(O19*($E19/365))+(O20*($E20/365))</f>
        <v>0</v>
      </c>
      <c r="T71" s="8">
        <f>(P19*($E19/365))+(P20*($E20/365))</f>
        <v>0</v>
      </c>
      <c r="U71" s="8">
        <f>(Q19*($E19/365))+(Q20*($E20/365))</f>
        <v>40.6</v>
      </c>
      <c r="W71" s="5">
        <f t="shared" si="16"/>
        <v>40.6</v>
      </c>
    </row>
    <row r="72" spans="1:25" ht="9" customHeight="1" x14ac:dyDescent="0.15">
      <c r="A72" s="1">
        <v>1999</v>
      </c>
      <c r="B72" s="8">
        <f>(K21*($E21/365))+(K22*($E22/365))</f>
        <v>51.506849315068486</v>
      </c>
      <c r="C72" s="8">
        <f>(L21*($E21/365))+(L22*($E22/365))</f>
        <v>0</v>
      </c>
      <c r="D72" s="8">
        <f>(M21*($E21/365))+(M22*($E22/365))</f>
        <v>43.620352250489233</v>
      </c>
      <c r="E72" s="69">
        <f t="shared" si="14"/>
        <v>95.127201565557726</v>
      </c>
      <c r="G72" s="1">
        <v>1999</v>
      </c>
      <c r="H72" s="823">
        <f>(O21/$R21*100*($E21/365))+(O22/$R22*100*($E22/365))</f>
        <v>52.489804454669034</v>
      </c>
      <c r="I72" s="823"/>
      <c r="J72" s="823">
        <f>(P21/$R21*100*($E21/365))+(P22/$R22*100*($E22/365))</f>
        <v>0</v>
      </c>
      <c r="K72" s="823"/>
      <c r="L72" s="823">
        <f>(Q21/$R21*100*($E21/365))+(Q22/$R22*100*($E22/365))</f>
        <v>47.510195545330959</v>
      </c>
      <c r="M72" s="823"/>
      <c r="N72" s="781">
        <f t="shared" si="15"/>
        <v>100</v>
      </c>
      <c r="O72" s="781"/>
      <c r="R72" s="1">
        <v>1999</v>
      </c>
      <c r="S72" s="8">
        <f>(O21*($E21/365))+(O22*($E22/365))</f>
        <v>27.504657534246579</v>
      </c>
      <c r="T72" s="8">
        <f>(P21*($E21/365))+(P22*($E22/365))</f>
        <v>0</v>
      </c>
      <c r="U72" s="8">
        <f>(Q21*($E21/365))+(Q22*($E22/365))</f>
        <v>22.212054794520547</v>
      </c>
      <c r="W72" s="5">
        <f t="shared" si="16"/>
        <v>49.71671232876713</v>
      </c>
    </row>
    <row r="73" spans="1:25" ht="9" customHeight="1" x14ac:dyDescent="0.15">
      <c r="A73" s="1">
        <v>2000</v>
      </c>
      <c r="B73" s="8">
        <f>(K23*($E23/366))+(K24*($E24/366))</f>
        <v>66.666666666666657</v>
      </c>
      <c r="C73" s="8">
        <f>(L23*($E23/366))+(L24*($E24/366))</f>
        <v>0</v>
      </c>
      <c r="D73" s="8">
        <f>(M23*($E23/366))+(M24*($E24/366))</f>
        <v>33.333333333333329</v>
      </c>
      <c r="E73" s="69">
        <f t="shared" si="14"/>
        <v>99.999999999999986</v>
      </c>
      <c r="G73" s="1">
        <v>2000</v>
      </c>
      <c r="H73" s="823">
        <f>(O23/$R23*100*($E23/366))+(O24/$R24*100*($E24/366))</f>
        <v>67.938931297709914</v>
      </c>
      <c r="I73" s="823"/>
      <c r="J73" s="823">
        <f>(P23/$R23*100*($E23/366))+(P24/$R24*100*($E24/366))</f>
        <v>0</v>
      </c>
      <c r="K73" s="823"/>
      <c r="L73" s="823">
        <f>(Q23/$R23*100*($E23/366))+(Q24/$R24*100*($E24/366))</f>
        <v>32.061068702290072</v>
      </c>
      <c r="M73" s="823"/>
      <c r="N73" s="781">
        <f t="shared" si="15"/>
        <v>99.999999999999986</v>
      </c>
      <c r="O73" s="781"/>
      <c r="R73" s="1">
        <v>2000</v>
      </c>
      <c r="S73" s="8">
        <f>(O23*($E23/366))+(O24*($E24/366))</f>
        <v>35.6</v>
      </c>
      <c r="T73" s="8">
        <f>(P23*($E23/366))+(P24*($E24/366))</f>
        <v>0</v>
      </c>
      <c r="U73" s="8">
        <f>(Q23*($E23/366))+(Q24*($E24/366))</f>
        <v>16.8</v>
      </c>
      <c r="W73" s="5">
        <f t="shared" si="16"/>
        <v>52.400000000000006</v>
      </c>
    </row>
    <row r="74" spans="1:25" ht="9" customHeight="1" x14ac:dyDescent="0.15">
      <c r="A74" s="1">
        <v>2001</v>
      </c>
      <c r="B74" s="8">
        <f>(K25*($E25/365))+(K26*($E26/365))</f>
        <v>66.666666666666657</v>
      </c>
      <c r="C74" s="8">
        <f>(L25*($E25/365))+(L26*($E26/365))</f>
        <v>0</v>
      </c>
      <c r="D74" s="8">
        <f>(M25*($E25/365))+(M26*($E26/365))</f>
        <v>33.333333333333329</v>
      </c>
      <c r="E74" s="69">
        <f t="shared" si="14"/>
        <v>99.999999999999986</v>
      </c>
      <c r="G74" s="1">
        <v>2001</v>
      </c>
      <c r="H74" s="823">
        <f>(O25/$R25*100*($E25/365))+(O26/$R26*100*($E26/365))</f>
        <v>67.938931297709914</v>
      </c>
      <c r="I74" s="823"/>
      <c r="J74" s="823">
        <f>(P25/$R25*100*($E25/365))+(P26/$R26*100*($E26/365))</f>
        <v>0</v>
      </c>
      <c r="K74" s="823"/>
      <c r="L74" s="823">
        <f>(Q25/$R25*100*($E25/365))+(Q26/$R26*100*($E26/365))</f>
        <v>32.061068702290072</v>
      </c>
      <c r="M74" s="823"/>
      <c r="N74" s="781">
        <f t="shared" si="15"/>
        <v>99.999999999999986</v>
      </c>
      <c r="O74" s="781"/>
      <c r="R74" s="1">
        <v>2001</v>
      </c>
      <c r="S74" s="8">
        <f>(O25*($E25/365))+(O26*($E26/365))</f>
        <v>35.6</v>
      </c>
      <c r="T74" s="8">
        <f>(P25*($E25/365))+(P26*($E26/365))</f>
        <v>0</v>
      </c>
      <c r="U74" s="8">
        <f>(Q25*($E25/365))+(Q26*($E26/365))</f>
        <v>16.8</v>
      </c>
      <c r="W74" s="5">
        <f t="shared" si="16"/>
        <v>52.400000000000006</v>
      </c>
    </row>
    <row r="75" spans="1:25" ht="9" customHeight="1" x14ac:dyDescent="0.15">
      <c r="A75" s="1">
        <v>2002</v>
      </c>
      <c r="B75" s="8">
        <f>(K27*($E27/365))+(K28*($E28/365))</f>
        <v>44.618395303326807</v>
      </c>
      <c r="C75" s="8">
        <f>(L27*($E27/365))+(L28*($E28/365))</f>
        <v>52.915851272015651</v>
      </c>
      <c r="D75" s="8">
        <f>(M27*($E27/365))+(M28*($E28/365))</f>
        <v>2.4657534246575339</v>
      </c>
      <c r="E75" s="69">
        <f t="shared" si="14"/>
        <v>99.999999999999986</v>
      </c>
      <c r="G75" s="1">
        <v>2002</v>
      </c>
      <c r="H75" s="823">
        <f>(O27/$R27*100*($E27/365))+(O28/$R28*100*($E28/365))</f>
        <v>41.252625446288519</v>
      </c>
      <c r="I75" s="823"/>
      <c r="J75" s="823">
        <f>(P27/$R27*100*($E27/365))+(P28/$R28*100*($E28/365))</f>
        <v>56.375733855185906</v>
      </c>
      <c r="K75" s="823"/>
      <c r="L75" s="823">
        <f>(Q27/$R27*100*($E27/365))+(Q28/$R28*100*($E28/365))</f>
        <v>2.3716406985255669</v>
      </c>
      <c r="M75" s="823"/>
      <c r="N75" s="781">
        <f t="shared" si="15"/>
        <v>100</v>
      </c>
      <c r="O75" s="781"/>
      <c r="R75" s="1">
        <v>2002</v>
      </c>
      <c r="S75" s="8">
        <f>(O27*($E27/365))+(O28*($E28/365))</f>
        <v>19.116712328767122</v>
      </c>
      <c r="T75" s="8">
        <f>(P27*($E27/365))+(P28*($E28/365))</f>
        <v>25.650958904109586</v>
      </c>
      <c r="U75" s="8">
        <f>(Q27*($E27/365))+(Q28*($E28/365))</f>
        <v>1.2427397260273974</v>
      </c>
      <c r="W75" s="5">
        <f t="shared" si="16"/>
        <v>46.010410958904103</v>
      </c>
    </row>
    <row r="76" spans="1:25" ht="9" customHeight="1" x14ac:dyDescent="0.15">
      <c r="A76" s="1">
        <v>2003</v>
      </c>
      <c r="B76" s="8">
        <f>(K29*($E29/365))+(K30*($E30/365))</f>
        <v>84.500978473581213</v>
      </c>
      <c r="C76" s="8">
        <f>(L29*($E29/365))+(L30*($E30/365))</f>
        <v>15.499021526418785</v>
      </c>
      <c r="D76" s="8">
        <f>(M29*($E29/365))+(M30*($E30/365))</f>
        <v>0</v>
      </c>
      <c r="E76" s="69">
        <f t="shared" si="14"/>
        <v>100</v>
      </c>
      <c r="G76" s="1">
        <v>2003</v>
      </c>
      <c r="H76" s="823">
        <f>(O29/$R29*100*($E29/365))+(O30/$R30*100*($E30/365))</f>
        <v>83.487580912238457</v>
      </c>
      <c r="I76" s="823"/>
      <c r="J76" s="823">
        <f>(P29/$R29*100*($E29/365))+(P30/$R30*100*($E30/365))</f>
        <v>16.512419087761554</v>
      </c>
      <c r="K76" s="823"/>
      <c r="L76" s="823">
        <f>(Q29/$R29*100*($E29/365))+(Q30/$R30*100*($E30/365))</f>
        <v>0</v>
      </c>
      <c r="M76" s="823"/>
      <c r="N76" s="781">
        <f t="shared" si="15"/>
        <v>100.00000000000001</v>
      </c>
      <c r="O76" s="781"/>
      <c r="R76" s="1">
        <v>2003</v>
      </c>
      <c r="S76" s="8">
        <f>(O29*($E29/365))+(O30*($E30/365))</f>
        <v>48.116712328767122</v>
      </c>
      <c r="T76" s="8">
        <f>(P29*($E29/365))+(P30*($E30/365))</f>
        <v>7.5131506849315066</v>
      </c>
      <c r="U76" s="8">
        <f>(Q29*($E29/365))+(Q30*($E30/365))</f>
        <v>0</v>
      </c>
      <c r="W76" s="5">
        <f t="shared" si="16"/>
        <v>55.629863013698625</v>
      </c>
    </row>
    <row r="77" spans="1:25" ht="9" customHeight="1" x14ac:dyDescent="0.15">
      <c r="A77" s="1">
        <v>2004</v>
      </c>
      <c r="B77" s="8">
        <f>(K31*($E31/366))+(K32*($E32/366))</f>
        <v>100</v>
      </c>
      <c r="C77" s="8">
        <f>(L31*($E31/366))+(L32*($E32/366))</f>
        <v>0</v>
      </c>
      <c r="D77" s="8">
        <f>(M31*($E31/366))+(M32*($E32/366))</f>
        <v>0</v>
      </c>
      <c r="E77" s="69">
        <f t="shared" si="14"/>
        <v>100</v>
      </c>
      <c r="G77" s="1">
        <v>2004</v>
      </c>
      <c r="H77" s="823">
        <f>(O31/$R31*100*($E31/366))+(O32/$R32*100*($E32/366))</f>
        <v>100</v>
      </c>
      <c r="I77" s="823"/>
      <c r="J77" s="823">
        <f>(P31/$R31*100*($E31/366))+(P32/$R32*100*($E32/366))</f>
        <v>0</v>
      </c>
      <c r="K77" s="823"/>
      <c r="L77" s="823">
        <f>(Q31/$R31*100*($E31/366))+(Q32/$R32*100*($E32/366))</f>
        <v>0</v>
      </c>
      <c r="M77" s="823"/>
      <c r="N77" s="781">
        <f t="shared" si="15"/>
        <v>100</v>
      </c>
      <c r="O77" s="781"/>
      <c r="R77" s="1">
        <v>2004</v>
      </c>
      <c r="S77" s="8">
        <f>(O31*($E31/366))+(O32*($E32/366))</f>
        <v>59.4</v>
      </c>
      <c r="T77" s="8">
        <f>(P31*($E31/366))+(P32*($E32/366))</f>
        <v>0</v>
      </c>
      <c r="U77" s="8">
        <f>(Q31*($E31/366))+(Q32*($E32/366))</f>
        <v>0</v>
      </c>
      <c r="W77" s="5">
        <f t="shared" si="16"/>
        <v>59.4</v>
      </c>
    </row>
    <row r="78" spans="1:25" ht="9" customHeight="1" x14ac:dyDescent="0.15">
      <c r="A78" s="1">
        <v>2005</v>
      </c>
      <c r="B78" s="8">
        <f>(K33*($E33/365))+(K34*($E34/365))</f>
        <v>74.266144814090026</v>
      </c>
      <c r="C78" s="8">
        <f>(L33*($E33/365))+(L34*($E34/365))</f>
        <v>25.733855185909981</v>
      </c>
      <c r="D78" s="8">
        <f>(M33*($E33/365))+(M34*($E34/365))</f>
        <v>0</v>
      </c>
      <c r="E78" s="69">
        <f t="shared" si="14"/>
        <v>100</v>
      </c>
      <c r="G78" s="1">
        <v>2005</v>
      </c>
      <c r="H78" s="823">
        <f>(O33/$R33*100*($E33/365))+(O34/$R34*100*($E34/365))</f>
        <v>66.398690097320241</v>
      </c>
      <c r="I78" s="823"/>
      <c r="J78" s="823">
        <f>(P33/$R33*100*($E33/365))+(P34/$R34*100*($E34/365))</f>
        <v>33.601309902679766</v>
      </c>
      <c r="K78" s="823"/>
      <c r="L78" s="823">
        <f>(Q33/$R33*100*($E33/365))+(Q34/$R34*100*($E34/365))</f>
        <v>0</v>
      </c>
      <c r="M78" s="823"/>
      <c r="N78" s="781">
        <f t="shared" si="15"/>
        <v>100</v>
      </c>
      <c r="O78" s="781"/>
      <c r="R78" s="1">
        <v>2005</v>
      </c>
      <c r="S78" s="8">
        <f>(O33*($E33/365))+(O34*($E34/365))</f>
        <v>39.440821917808222</v>
      </c>
      <c r="T78" s="8">
        <f>(P33*($E33/365))+(P34*($E34/365))</f>
        <v>19.95917808219178</v>
      </c>
      <c r="U78" s="8">
        <f>(Q33*($E33/365))+(Q34*($E34/365))</f>
        <v>0</v>
      </c>
      <c r="W78" s="5">
        <f t="shared" si="16"/>
        <v>59.400000000000006</v>
      </c>
    </row>
    <row r="79" spans="1:25" ht="9" customHeight="1" x14ac:dyDescent="0.15">
      <c r="A79" s="1">
        <v>2006</v>
      </c>
      <c r="B79" s="8">
        <f>(K35*($E35/365))+(K36*($E36/365))</f>
        <v>64.285714285714292</v>
      </c>
      <c r="C79" s="8">
        <f>(L35*($E35/365))+(L36*($E36/365))</f>
        <v>35.714285714285715</v>
      </c>
      <c r="D79" s="8">
        <f>(M35*($E35/365))+(M36*($E36/365))</f>
        <v>0</v>
      </c>
      <c r="E79" s="69">
        <f t="shared" si="14"/>
        <v>100</v>
      </c>
      <c r="G79" s="1">
        <v>2006</v>
      </c>
      <c r="H79" s="823">
        <f>(O35/$R35*100*($E35/365))+(O36/$R36*100*($E36/365))</f>
        <v>53.367003367003363</v>
      </c>
      <c r="I79" s="823"/>
      <c r="J79" s="823">
        <f>(P35/$R35*100*($E35/365))+(P36/$R36*100*($E36/365))</f>
        <v>46.63299663299663</v>
      </c>
      <c r="K79" s="823"/>
      <c r="L79" s="823">
        <f>(Q35/$R35*100*($E35/365))+(Q36/$R36*100*($E36/365))</f>
        <v>0</v>
      </c>
      <c r="M79" s="823"/>
      <c r="N79" s="781">
        <f t="shared" si="15"/>
        <v>100</v>
      </c>
      <c r="O79" s="781"/>
      <c r="R79" s="1">
        <v>2006</v>
      </c>
      <c r="S79" s="8">
        <f>(O35*($E35/365))+(O36*($E36/365))</f>
        <v>31.7</v>
      </c>
      <c r="T79" s="8">
        <f>(P35*($E35/365))+(P36*($E36/365))</f>
        <v>27.7</v>
      </c>
      <c r="U79" s="8">
        <f>(Q35*($E35/365))+(Q36*($E36/365))</f>
        <v>0</v>
      </c>
      <c r="W79" s="5">
        <f t="shared" si="16"/>
        <v>59.4</v>
      </c>
    </row>
    <row r="80" spans="1:25" ht="9" customHeight="1" x14ac:dyDescent="0.15">
      <c r="A80" s="1">
        <v>2007</v>
      </c>
      <c r="B80" s="8">
        <f>(K37*($E37/365))+(K38*($E38/365))</f>
        <v>74.892367906066539</v>
      </c>
      <c r="C80" s="8">
        <f>(L37*($E37/365))+(L38*($E38/365))</f>
        <v>9.1976516634050878</v>
      </c>
      <c r="D80" s="8">
        <f>(M37*($E37/365))+(M38*($E38/365))</f>
        <v>15.909980430528373</v>
      </c>
      <c r="E80" s="69">
        <f t="shared" si="14"/>
        <v>100</v>
      </c>
      <c r="G80" s="1">
        <v>2007</v>
      </c>
      <c r="H80" s="823">
        <f>(O37/$R37*100*($E37/365))+(O38/$R38*100*($E38/365))</f>
        <v>75.61597712282645</v>
      </c>
      <c r="I80" s="823"/>
      <c r="J80" s="823">
        <f>(P37/$R37*100*($E37/365))+(P38/$R38*100*($E38/365))</f>
        <v>12.009593653429269</v>
      </c>
      <c r="K80" s="823"/>
      <c r="L80" s="823">
        <f>(Q37/$R37*100*($E37/365))+(Q38/$R38*100*($E38/365))</f>
        <v>12.374429223744292</v>
      </c>
      <c r="M80" s="823"/>
      <c r="N80" s="781">
        <f t="shared" si="15"/>
        <v>100</v>
      </c>
      <c r="O80" s="781"/>
      <c r="R80" s="1">
        <v>2007</v>
      </c>
      <c r="S80" s="8">
        <f>(O37*($E37/365))+(O38*($E38/365))</f>
        <v>44.915890410958902</v>
      </c>
      <c r="T80" s="8">
        <f>(P37*($E37/365))+(P38*($E38/365))</f>
        <v>7.133698630136986</v>
      </c>
      <c r="U80" s="8">
        <f>(Q37*($E37/365))+(Q38*($E38/365))</f>
        <v>7.3504109589041091</v>
      </c>
      <c r="W80" s="5">
        <f t="shared" si="16"/>
        <v>59.399999999999991</v>
      </c>
    </row>
    <row r="81" spans="1:23" ht="9" customHeight="1" x14ac:dyDescent="0.15">
      <c r="A81" s="1">
        <v>2008</v>
      </c>
      <c r="B81" s="8">
        <f>(K39*($E39/366))+(K40*($E40/366))</f>
        <v>78.571428571428569</v>
      </c>
      <c r="C81" s="8">
        <f>(L39*($E39/366))+(L40*($E40/366))</f>
        <v>0</v>
      </c>
      <c r="D81" s="8">
        <f>(M39*($E39/366))+(M40*($E40/366))</f>
        <v>21.428571428571427</v>
      </c>
      <c r="E81" s="69">
        <f t="shared" si="14"/>
        <v>100</v>
      </c>
      <c r="G81" s="1">
        <v>2008</v>
      </c>
      <c r="H81" s="823">
        <f>(O39/$R39*100*($E39/366))+(O40/$R40*100*($E40/366))</f>
        <v>83.333333333333343</v>
      </c>
      <c r="I81" s="823"/>
      <c r="J81" s="823">
        <f>(P39/$R39*100*($E39/366))+(P40/$R40*100*($E40/366))</f>
        <v>0</v>
      </c>
      <c r="K81" s="823"/>
      <c r="L81" s="823">
        <f>(Q39/$R39*100*($E39/366))+(Q40/$R40*100*($E40/366))</f>
        <v>16.666666666666668</v>
      </c>
      <c r="M81" s="823"/>
      <c r="N81" s="781">
        <f t="shared" si="15"/>
        <v>100.00000000000001</v>
      </c>
      <c r="O81" s="781"/>
      <c r="R81" s="1">
        <v>2008</v>
      </c>
      <c r="S81" s="8">
        <f>(O39*($E39/366))+(O40*($E40/366))</f>
        <v>49.5</v>
      </c>
      <c r="T81" s="8">
        <f>(P39*($E39/366))+(P40*($E40/366))</f>
        <v>0</v>
      </c>
      <c r="U81" s="8">
        <f>(Q39*($E39/366))+(Q40*($E40/366))</f>
        <v>9.9</v>
      </c>
      <c r="W81" s="5">
        <f t="shared" si="16"/>
        <v>59.4</v>
      </c>
    </row>
    <row r="82" spans="1:23" ht="9" customHeight="1" x14ac:dyDescent="0.15">
      <c r="A82" s="1">
        <v>2009</v>
      </c>
      <c r="B82" s="8">
        <f>(K41*($E41/365))+(K42*($E42/365))</f>
        <v>90.958904109589042</v>
      </c>
      <c r="C82" s="8">
        <f>(L41*($E41/365))+(L42*($E42/365))</f>
        <v>0</v>
      </c>
      <c r="D82" s="8">
        <f>(M41*($E41/365))+(M42*($E42/365))</f>
        <v>9.0410958904109577</v>
      </c>
      <c r="E82" s="69">
        <f t="shared" si="14"/>
        <v>100</v>
      </c>
      <c r="G82" s="1">
        <v>2009</v>
      </c>
      <c r="H82" s="823">
        <f>(O41/$R41*100*($E41/365))+(O42/$R42*100*($E42/365))</f>
        <v>92.968036529680376</v>
      </c>
      <c r="I82" s="823"/>
      <c r="J82" s="823">
        <f>(P41/$R41*100*($E41/365))+(P42/$R42*100*($E42/365))</f>
        <v>0</v>
      </c>
      <c r="K82" s="823"/>
      <c r="L82" s="823">
        <f>(Q41/$R41*100*($E41/365))+(Q42/$R42*100*($E42/365))</f>
        <v>7.031963470319635</v>
      </c>
      <c r="M82" s="823"/>
      <c r="N82" s="781">
        <f t="shared" si="15"/>
        <v>100.00000000000001</v>
      </c>
      <c r="O82" s="781"/>
      <c r="R82" s="1">
        <v>2009</v>
      </c>
      <c r="S82" s="8">
        <f>(O41*($E41/365))+(O42*($E42/365))</f>
        <v>49.5</v>
      </c>
      <c r="T82" s="8">
        <f>(P41*($E41/365))+(P42*($E42/365))</f>
        <v>0</v>
      </c>
      <c r="U82" s="8">
        <f>(Q41*($E41/365))+(Q42*($E42/365))</f>
        <v>4.1769863013698627</v>
      </c>
      <c r="W82" s="5">
        <f t="shared" si="16"/>
        <v>53.676986301369865</v>
      </c>
    </row>
    <row r="83" spans="1:23" ht="9" customHeight="1" x14ac:dyDescent="0.15">
      <c r="A83" s="1">
        <v>2010</v>
      </c>
      <c r="B83" s="8">
        <f>(K43*($E43/365))+(K44*($E44/365))</f>
        <v>100</v>
      </c>
      <c r="C83" s="8">
        <f>(L43*($E43/365))+(L44*($E44/365))</f>
        <v>0</v>
      </c>
      <c r="D83" s="8">
        <f>(M43*($E43/365))+(M44*($E44/365))</f>
        <v>0</v>
      </c>
      <c r="E83" s="69">
        <f t="shared" si="14"/>
        <v>100</v>
      </c>
      <c r="G83" s="1">
        <v>2010</v>
      </c>
      <c r="H83" s="823">
        <f>(O43/$R43*100*($E43/365))+(O44/$R44*100*($E44/365))</f>
        <v>100</v>
      </c>
      <c r="I83" s="823"/>
      <c r="J83" s="823">
        <f>(P43/$R43*100*($E43/365))+(P44/$R44*100*($E44/365))</f>
        <v>0</v>
      </c>
      <c r="K83" s="823"/>
      <c r="L83" s="823">
        <f>(Q43/$R43*100*($E43/365))+(Q44/$R44*100*($E44/365))</f>
        <v>0</v>
      </c>
      <c r="M83" s="823"/>
      <c r="N83" s="781">
        <f t="shared" si="15"/>
        <v>100</v>
      </c>
      <c r="O83" s="781"/>
      <c r="R83" s="1">
        <v>2010</v>
      </c>
      <c r="S83" s="8">
        <f>(O43*($E43/365))+(O44*($E44/365))</f>
        <v>49.5</v>
      </c>
      <c r="T83" s="8">
        <f>(P43*($E43/365))+(P44*($E44/365))</f>
        <v>0</v>
      </c>
      <c r="U83" s="8">
        <f>(Q43*($E43/365))+(Q44*($E44/365))</f>
        <v>0</v>
      </c>
      <c r="W83" s="5">
        <f t="shared" si="16"/>
        <v>49.5</v>
      </c>
    </row>
    <row r="84" spans="1:23" ht="9" customHeight="1" x14ac:dyDescent="0.15">
      <c r="A84" s="1">
        <v>2011</v>
      </c>
      <c r="B84" s="8">
        <f>(K45*($E45/365))+(K46*($E46/365))</f>
        <v>100</v>
      </c>
      <c r="C84" s="8">
        <f>(L45*($E45/365))+(L46*($E46/365))</f>
        <v>0</v>
      </c>
      <c r="D84" s="8">
        <f>(M45*($E45/365))+(M46*($E46/365))</f>
        <v>0</v>
      </c>
      <c r="E84" s="69">
        <f t="shared" si="14"/>
        <v>100</v>
      </c>
      <c r="G84" s="1">
        <v>2011</v>
      </c>
      <c r="H84" s="823">
        <f>(O45/$R45*100*($E45/365))+(O46/$R46*100*($E46/365))</f>
        <v>100</v>
      </c>
      <c r="I84" s="823"/>
      <c r="J84" s="823">
        <f>(P45/$R45*100*($E45/365))+(P46/$R46*100*($E46/365))</f>
        <v>0</v>
      </c>
      <c r="K84" s="823"/>
      <c r="L84" s="823">
        <f>(Q45/$R45*100*($E45/365))+(Q46/$R46*100*($E46/365))</f>
        <v>0</v>
      </c>
      <c r="M84" s="823"/>
      <c r="N84" s="781">
        <f t="shared" si="15"/>
        <v>100</v>
      </c>
      <c r="O84" s="781"/>
      <c r="R84" s="1">
        <v>2011</v>
      </c>
      <c r="S84" s="8">
        <f>(O45*($E45/365))+(O46*($E46/365))</f>
        <v>53.938356164383563</v>
      </c>
      <c r="T84" s="8">
        <f>(P45*($E45/365))+(P46*($E46/365))</f>
        <v>0</v>
      </c>
      <c r="U84" s="8">
        <f>(Q45*($E45/365))+(Q46*($E46/365))</f>
        <v>0</v>
      </c>
      <c r="W84" s="5">
        <f t="shared" si="16"/>
        <v>53.938356164383563</v>
      </c>
    </row>
    <row r="85" spans="1:23" ht="9" customHeight="1" x14ac:dyDescent="0.15">
      <c r="A85" s="1">
        <v>2012</v>
      </c>
      <c r="B85" s="8">
        <f>(K47*($E47/366))+(K48*($E48/366))</f>
        <v>100</v>
      </c>
      <c r="C85" s="8">
        <f>(L47*($E47/366))+(L48*($E48/366))</f>
        <v>0</v>
      </c>
      <c r="D85" s="8">
        <f>(M47*($E47/366))+(M48*($E48/366))</f>
        <v>0</v>
      </c>
      <c r="E85" s="69">
        <f t="shared" si="14"/>
        <v>100</v>
      </c>
      <c r="G85" s="1">
        <v>2012</v>
      </c>
      <c r="H85" s="823">
        <f>(O47/$R47*100*($E47/366))+(O48/$R48*100*($E48/366))</f>
        <v>100</v>
      </c>
      <c r="I85" s="823"/>
      <c r="J85" s="823">
        <f>(P47/$R47*100*($E47/366))+(P48/$R48*100*($E48/366))</f>
        <v>0</v>
      </c>
      <c r="K85" s="823"/>
      <c r="L85" s="823">
        <f>(Q47/$R47*100*($E47/366))+(Q48/$R48*100*($E48/366))</f>
        <v>0</v>
      </c>
      <c r="M85" s="823"/>
      <c r="N85" s="781">
        <f t="shared" si="15"/>
        <v>100</v>
      </c>
      <c r="O85" s="781"/>
      <c r="R85" s="1">
        <v>2012</v>
      </c>
      <c r="S85" s="8">
        <f>(O47*($E47/366))+(O48*($E48/366))</f>
        <v>55.5</v>
      </c>
      <c r="T85" s="8">
        <f>(P47*($E47/366))+(P48*($E48/366))</f>
        <v>0</v>
      </c>
      <c r="U85" s="8">
        <f>(Q47*($E47/366))+(Q48*($E48/366))</f>
        <v>0</v>
      </c>
      <c r="W85" s="5">
        <f t="shared" si="16"/>
        <v>55.5</v>
      </c>
    </row>
    <row r="86" spans="1:23" ht="9" customHeight="1" x14ac:dyDescent="0.15">
      <c r="A86" s="1">
        <v>2013</v>
      </c>
      <c r="B86" s="8">
        <f>(K49*($E49/365))+(K50*($E50/365))</f>
        <v>100</v>
      </c>
      <c r="C86" s="8">
        <f>(L49*($E49/365))+(L50*($E50/365))</f>
        <v>0</v>
      </c>
      <c r="D86" s="8">
        <f>(M49*($E49/365))+(M50*($E50/365))</f>
        <v>0</v>
      </c>
      <c r="E86" s="315">
        <f>SUM(B86:D86)</f>
        <v>100</v>
      </c>
      <c r="G86" s="1">
        <v>2013</v>
      </c>
      <c r="H86" s="823">
        <f>(O49/$R49*100*($E49/365))+(O50/$R50*100*($E50/365))</f>
        <v>100</v>
      </c>
      <c r="I86" s="823"/>
      <c r="J86" s="823">
        <f>(P49/$R49*100*($E49/365))+(P50/$R50*100*($E50/365))</f>
        <v>0</v>
      </c>
      <c r="K86" s="823"/>
      <c r="L86" s="823">
        <f>(Q49/$R49*100*($E49/365))+(Q50/$R50*100*($E50/365))</f>
        <v>0</v>
      </c>
      <c r="M86" s="823"/>
      <c r="N86" s="781">
        <f>SUM(H86:M86)</f>
        <v>100</v>
      </c>
      <c r="O86" s="781"/>
      <c r="R86" s="1">
        <v>2013</v>
      </c>
      <c r="S86" s="8">
        <f>(O49*($E49/365))+(O50*($E50/365))</f>
        <v>55.5</v>
      </c>
      <c r="T86" s="8">
        <f>(P49*($E49/365))+(P50*($E50/365))</f>
        <v>0</v>
      </c>
      <c r="U86" s="8">
        <f>(Q49*($E49/365))+(Q50*($E50/365))</f>
        <v>0</v>
      </c>
      <c r="W86" s="5">
        <f>SUM(S86:U86)</f>
        <v>55.5</v>
      </c>
    </row>
    <row r="87" spans="1:23" ht="9" customHeight="1" x14ac:dyDescent="0.15">
      <c r="A87" s="1">
        <v>2014</v>
      </c>
      <c r="B87" s="8">
        <f>(K51*($E51/365))+(K52*($E52/365))</f>
        <v>67.00587084148728</v>
      </c>
      <c r="C87" s="8">
        <f>(L51*($E51/365))+(L52*($E52/365))</f>
        <v>0</v>
      </c>
      <c r="D87" s="8">
        <f>(M51*($E51/365))+(M52*($E52/365))</f>
        <v>32.994129158512713</v>
      </c>
      <c r="E87" s="530">
        <f>SUM(B87:D87)</f>
        <v>100</v>
      </c>
      <c r="G87" s="1">
        <v>2014</v>
      </c>
      <c r="H87" s="823">
        <f>(O51/$R51*100*($E51/365))+(O52/$R52*100*($E52/365))</f>
        <v>70.618072137740356</v>
      </c>
      <c r="I87" s="823"/>
      <c r="J87" s="823">
        <f>(P51/$R51*100*($E51/365))+(P52/$R52*100*($E52/365))</f>
        <v>0</v>
      </c>
      <c r="K87" s="823"/>
      <c r="L87" s="823">
        <f>(Q51/$R51*100*($E51/365))+(Q52/$R52*100*($E52/365))</f>
        <v>29.381927862259641</v>
      </c>
      <c r="M87" s="823"/>
      <c r="N87" s="781">
        <f>SUM(H87:M87)</f>
        <v>100</v>
      </c>
      <c r="O87" s="781"/>
      <c r="R87" s="1">
        <v>2014</v>
      </c>
      <c r="S87" s="8">
        <f>(O51*($E51/365))+(O52*($E52/365))</f>
        <v>38.716986301369865</v>
      </c>
      <c r="T87" s="8">
        <f>(P51*($E51/365))+(P52*($E52/365))</f>
        <v>0</v>
      </c>
      <c r="U87" s="8">
        <f>(Q51*($E51/365))+(Q52*($E52/365))</f>
        <v>16.013150684931507</v>
      </c>
      <c r="W87" s="5">
        <f>SUM(S87:U87)</f>
        <v>54.730136986301375</v>
      </c>
    </row>
    <row r="88" spans="1:23" s="723" customFormat="1" ht="9" customHeight="1" x14ac:dyDescent="0.15">
      <c r="A88" s="723">
        <v>2015</v>
      </c>
      <c r="B88" s="717">
        <f>(K53*($E53/365))+(K54*($E54/365))+(K55*($E55/365))</f>
        <v>65.899543378995418</v>
      </c>
      <c r="C88" s="717">
        <f>(L53*($E53/365))+(L54*($E54/365))+(L55*($E55/365))</f>
        <v>0</v>
      </c>
      <c r="D88" s="717">
        <f>(M53*($E53/365))+(M54*($E54/365))+(M55*($E55/365))</f>
        <v>31.013698630136986</v>
      </c>
      <c r="E88" s="718">
        <f>SUM(B88:D88)</f>
        <v>96.913242009132404</v>
      </c>
      <c r="G88" s="723">
        <v>2015</v>
      </c>
      <c r="H88" s="823">
        <f>(O53/$R53*100*($E53/365))+(O54/$R54*100*($E54/365))+(O55/$R55*100*($E55/365))</f>
        <v>71.121379981503139</v>
      </c>
      <c r="I88" s="823"/>
      <c r="J88" s="823">
        <f>(P53/$R53*100*($E53/365))+(P54/$R54*100*($E54/365))+(P55/$R55*100*($E55/365))</f>
        <v>0</v>
      </c>
      <c r="K88" s="823"/>
      <c r="L88" s="823">
        <f>(Q53/$R53*100*($E53/365))+(Q54/$R54*100*($E54/365))+(Q55/$R55*100*($E55/365))</f>
        <v>28.878620018496854</v>
      </c>
      <c r="M88" s="823"/>
      <c r="N88" s="781">
        <f>SUM(H88:M88)</f>
        <v>100</v>
      </c>
      <c r="O88" s="781"/>
      <c r="R88" s="723">
        <v>2015</v>
      </c>
      <c r="S88" s="717">
        <f>(O53*($E53/365))+(O54*($E54/365))+(O55*($E55/365))</f>
        <v>40.941917808219173</v>
      </c>
      <c r="T88" s="717">
        <f>(P53*($E53/365))+(P54*($E54/365))+(P55*($E55/365))</f>
        <v>0</v>
      </c>
      <c r="U88" s="717">
        <f>(Q53*($E53/365))+(Q54*($E54/365))+(Q55*($E55/365))</f>
        <v>16.484109589041097</v>
      </c>
      <c r="W88" s="5">
        <f>SUM(S88:U88)</f>
        <v>57.42602739726027</v>
      </c>
    </row>
    <row r="89" spans="1:23" s="723" customFormat="1" ht="9" customHeight="1" x14ac:dyDescent="0.15"/>
    <row r="90" spans="1:23" ht="9" customHeight="1" x14ac:dyDescent="0.15">
      <c r="B90" s="717"/>
      <c r="C90" s="717"/>
      <c r="D90" s="717"/>
      <c r="E90" s="718"/>
      <c r="H90" s="14"/>
      <c r="I90" s="14"/>
      <c r="J90" s="14"/>
      <c r="K90" s="14"/>
      <c r="L90" s="14"/>
      <c r="M90" s="14"/>
      <c r="N90" s="527"/>
      <c r="O90" s="527"/>
      <c r="S90" s="8"/>
      <c r="T90" s="8"/>
      <c r="U90" s="8"/>
      <c r="W90" s="5"/>
    </row>
  </sheetData>
  <mergeCells count="180">
    <mergeCell ref="AT4:AW4"/>
    <mergeCell ref="AX4:BA4"/>
    <mergeCell ref="K4:N4"/>
    <mergeCell ref="O4:R4"/>
    <mergeCell ref="Z4:AC4"/>
    <mergeCell ref="AD4:AG4"/>
    <mergeCell ref="AH4:AK4"/>
    <mergeCell ref="AL4:AO4"/>
    <mergeCell ref="AP4:AS4"/>
    <mergeCell ref="S4:S5"/>
    <mergeCell ref="U4:U5"/>
    <mergeCell ref="V4:Y4"/>
    <mergeCell ref="G3:M3"/>
    <mergeCell ref="O3:Q3"/>
    <mergeCell ref="A4:A5"/>
    <mergeCell ref="B4:B5"/>
    <mergeCell ref="C4:D5"/>
    <mergeCell ref="E4:E5"/>
    <mergeCell ref="F4:F5"/>
    <mergeCell ref="G4:J4"/>
    <mergeCell ref="T4:T5"/>
    <mergeCell ref="C13:D13"/>
    <mergeCell ref="C19:D19"/>
    <mergeCell ref="C20:D20"/>
    <mergeCell ref="C21:D21"/>
    <mergeCell ref="C22:D22"/>
    <mergeCell ref="C23:D23"/>
    <mergeCell ref="C6:D6"/>
    <mergeCell ref="C7:D7"/>
    <mergeCell ref="C8:D8"/>
    <mergeCell ref="C9:D9"/>
    <mergeCell ref="C10:D10"/>
    <mergeCell ref="C11:D11"/>
    <mergeCell ref="C12:D12"/>
    <mergeCell ref="C14:D14"/>
    <mergeCell ref="C15:D15"/>
    <mergeCell ref="C24:D24"/>
    <mergeCell ref="C25:D25"/>
    <mergeCell ref="C26:D26"/>
    <mergeCell ref="C27:D27"/>
    <mergeCell ref="C28:D28"/>
    <mergeCell ref="C29:D29"/>
    <mergeCell ref="C36:D36"/>
    <mergeCell ref="C37:D37"/>
    <mergeCell ref="C16:D16"/>
    <mergeCell ref="C17:D17"/>
    <mergeCell ref="C18:D18"/>
    <mergeCell ref="C38:D38"/>
    <mergeCell ref="C39:D39"/>
    <mergeCell ref="C40:D40"/>
    <mergeCell ref="C30:D30"/>
    <mergeCell ref="C31:D31"/>
    <mergeCell ref="C32:D32"/>
    <mergeCell ref="C33:D33"/>
    <mergeCell ref="C34:D34"/>
    <mergeCell ref="C41:D41"/>
    <mergeCell ref="C35:D35"/>
    <mergeCell ref="C42:D42"/>
    <mergeCell ref="C43:D43"/>
    <mergeCell ref="C44:D44"/>
    <mergeCell ref="C45:D45"/>
    <mergeCell ref="C46:D46"/>
    <mergeCell ref="C47:D47"/>
    <mergeCell ref="C48:D48"/>
    <mergeCell ref="R60:W60"/>
    <mergeCell ref="H62:I62"/>
    <mergeCell ref="J62:K62"/>
    <mergeCell ref="L62:M62"/>
    <mergeCell ref="N62:O62"/>
    <mergeCell ref="C49:D49"/>
    <mergeCell ref="C50:D50"/>
    <mergeCell ref="C51:D51"/>
    <mergeCell ref="C52:D52"/>
    <mergeCell ref="C54:D54"/>
    <mergeCell ref="C53:D53"/>
    <mergeCell ref="C55:D55"/>
    <mergeCell ref="N63:O63"/>
    <mergeCell ref="H64:I64"/>
    <mergeCell ref="J64:K64"/>
    <mergeCell ref="L64:M64"/>
    <mergeCell ref="N64:O64"/>
    <mergeCell ref="H65:I65"/>
    <mergeCell ref="J65:K65"/>
    <mergeCell ref="L65:M65"/>
    <mergeCell ref="N65:O65"/>
    <mergeCell ref="H63:I63"/>
    <mergeCell ref="J63:K63"/>
    <mergeCell ref="L63:M63"/>
    <mergeCell ref="N66:O66"/>
    <mergeCell ref="H67:I67"/>
    <mergeCell ref="J67:K67"/>
    <mergeCell ref="L67:M67"/>
    <mergeCell ref="N67:O67"/>
    <mergeCell ref="H68:I68"/>
    <mergeCell ref="J68:K68"/>
    <mergeCell ref="L68:M68"/>
    <mergeCell ref="N68:O68"/>
    <mergeCell ref="H66:I66"/>
    <mergeCell ref="J66:K66"/>
    <mergeCell ref="L66:M66"/>
    <mergeCell ref="N69:O69"/>
    <mergeCell ref="H70:I70"/>
    <mergeCell ref="J70:K70"/>
    <mergeCell ref="L70:M70"/>
    <mergeCell ref="N70:O70"/>
    <mergeCell ref="H71:I71"/>
    <mergeCell ref="J71:K71"/>
    <mergeCell ref="L71:M71"/>
    <mergeCell ref="N71:O71"/>
    <mergeCell ref="H69:I69"/>
    <mergeCell ref="J69:K69"/>
    <mergeCell ref="L69:M69"/>
    <mergeCell ref="H80:I80"/>
    <mergeCell ref="J79:K79"/>
    <mergeCell ref="J80:K80"/>
    <mergeCell ref="L79:M79"/>
    <mergeCell ref="L80:M80"/>
    <mergeCell ref="H75:I75"/>
    <mergeCell ref="J75:K75"/>
    <mergeCell ref="L75:M75"/>
    <mergeCell ref="N72:O72"/>
    <mergeCell ref="H73:I73"/>
    <mergeCell ref="J73:K73"/>
    <mergeCell ref="L73:M73"/>
    <mergeCell ref="N73:O73"/>
    <mergeCell ref="H74:I74"/>
    <mergeCell ref="J74:K74"/>
    <mergeCell ref="L74:M74"/>
    <mergeCell ref="N74:O74"/>
    <mergeCell ref="H72:I72"/>
    <mergeCell ref="J72:K72"/>
    <mergeCell ref="L72:M72"/>
    <mergeCell ref="J81:K81"/>
    <mergeCell ref="L81:M81"/>
    <mergeCell ref="N81:O81"/>
    <mergeCell ref="H82:I82"/>
    <mergeCell ref="J82:K82"/>
    <mergeCell ref="L82:M82"/>
    <mergeCell ref="N82:O82"/>
    <mergeCell ref="H81:I81"/>
    <mergeCell ref="N75:O75"/>
    <mergeCell ref="H76:I76"/>
    <mergeCell ref="J76:K76"/>
    <mergeCell ref="L76:M76"/>
    <mergeCell ref="N76:O76"/>
    <mergeCell ref="N79:O79"/>
    <mergeCell ref="N80:O80"/>
    <mergeCell ref="H77:I77"/>
    <mergeCell ref="J77:K77"/>
    <mergeCell ref="L77:M77"/>
    <mergeCell ref="N77:O77"/>
    <mergeCell ref="H78:I78"/>
    <mergeCell ref="J78:K78"/>
    <mergeCell ref="L78:M78"/>
    <mergeCell ref="N78:O78"/>
    <mergeCell ref="H79:I79"/>
    <mergeCell ref="H85:I85"/>
    <mergeCell ref="J85:K85"/>
    <mergeCell ref="L85:M85"/>
    <mergeCell ref="N85:O85"/>
    <mergeCell ref="H83:I83"/>
    <mergeCell ref="J83:K83"/>
    <mergeCell ref="L83:M83"/>
    <mergeCell ref="N83:O83"/>
    <mergeCell ref="H84:I84"/>
    <mergeCell ref="J84:K84"/>
    <mergeCell ref="L84:M84"/>
    <mergeCell ref="N84:O84"/>
    <mergeCell ref="H88:I88"/>
    <mergeCell ref="J88:K88"/>
    <mergeCell ref="L88:M88"/>
    <mergeCell ref="N88:O88"/>
    <mergeCell ref="H87:I87"/>
    <mergeCell ref="J87:K87"/>
    <mergeCell ref="L87:M87"/>
    <mergeCell ref="N87:O87"/>
    <mergeCell ref="H86:I86"/>
    <mergeCell ref="J86:K86"/>
    <mergeCell ref="L86:M86"/>
    <mergeCell ref="N86:O86"/>
  </mergeCells>
  <pageMargins left="0.78740157499999996" right="0.78740157499999996" top="0.984251969" bottom="0.984251969" header="0.4921259845" footer="0.4921259845"/>
  <pageSetup paperSize="9" orientation="portrait"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94"/>
  <sheetViews>
    <sheetView zoomScale="120" zoomScaleNormal="120" workbookViewId="0">
      <pane xSplit="1" ySplit="5" topLeftCell="B122" activePane="bottomRight" state="frozen"/>
      <selection pane="topRight" activeCell="B1" sqref="B1"/>
      <selection pane="bottomLeft" activeCell="A6" sqref="A6"/>
      <selection pane="bottomRight" activeCell="W193" sqref="W193"/>
    </sheetView>
  </sheetViews>
  <sheetFormatPr baseColWidth="10" defaultColWidth="10.7109375" defaultRowHeight="9" x14ac:dyDescent="0.15"/>
  <cols>
    <col min="1" max="1" width="5.85546875" style="1" customWidth="1"/>
    <col min="2" max="6" width="7.85546875" style="1" customWidth="1"/>
    <col min="7" max="18" width="4.5703125" style="1" customWidth="1"/>
    <col min="19" max="21" width="7.85546875" style="1" customWidth="1"/>
    <col min="22" max="53" width="5.7109375" style="1" customWidth="1"/>
    <col min="54" max="16384" width="10.7109375" style="1"/>
  </cols>
  <sheetData>
    <row r="1" spans="1:53" s="2" customFormat="1" ht="15" customHeight="1" x14ac:dyDescent="0.2">
      <c r="B1" s="22" t="s">
        <v>14</v>
      </c>
    </row>
    <row r="2" spans="1:53" s="2" customFormat="1" ht="15" customHeight="1" x14ac:dyDescent="0.2">
      <c r="B2" s="22" t="s">
        <v>53</v>
      </c>
    </row>
    <row r="3" spans="1:53" s="2" customFormat="1" x14ac:dyDescent="0.15">
      <c r="G3" s="814"/>
      <c r="H3" s="814"/>
      <c r="I3" s="814"/>
      <c r="J3" s="814"/>
      <c r="K3" s="814"/>
      <c r="L3" s="814"/>
      <c r="M3" s="814"/>
      <c r="O3" s="814"/>
      <c r="P3" s="814"/>
      <c r="Q3" s="814"/>
      <c r="R3" s="6"/>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1" t="s">
        <v>23</v>
      </c>
      <c r="AU5" s="351" t="s">
        <v>24</v>
      </c>
      <c r="AV5" s="351" t="s">
        <v>25</v>
      </c>
      <c r="AW5" s="353" t="s">
        <v>1217</v>
      </c>
      <c r="AX5" s="351" t="s">
        <v>23</v>
      </c>
      <c r="AY5" s="351" t="s">
        <v>24</v>
      </c>
      <c r="AZ5" s="351" t="s">
        <v>25</v>
      </c>
      <c r="BA5" s="354" t="s">
        <v>1217</v>
      </c>
    </row>
    <row r="6" spans="1:53" s="257" customFormat="1" x14ac:dyDescent="0.15">
      <c r="A6" s="263">
        <v>1959</v>
      </c>
      <c r="B6" s="252"/>
      <c r="C6" s="798" t="s">
        <v>1247</v>
      </c>
      <c r="D6" s="798"/>
      <c r="E6" s="257">
        <v>12</v>
      </c>
      <c r="G6" s="265">
        <v>3</v>
      </c>
      <c r="H6" s="257">
        <v>4</v>
      </c>
      <c r="I6" s="257">
        <v>3</v>
      </c>
      <c r="J6" s="272">
        <v>11</v>
      </c>
      <c r="K6" s="248">
        <f>G6/J6*100</f>
        <v>27.27272727272727</v>
      </c>
      <c r="L6" s="248">
        <f>H6/J6*100</f>
        <v>36.363636363636367</v>
      </c>
      <c r="M6" s="248">
        <f>I6/J6*100</f>
        <v>27.27272727272727</v>
      </c>
      <c r="N6" s="267">
        <f>SUM(K6:M6)</f>
        <v>90.909090909090907</v>
      </c>
      <c r="O6" s="247">
        <f>AG6+AK6</f>
        <v>21</v>
      </c>
      <c r="P6" s="248">
        <v>24</v>
      </c>
      <c r="Q6" s="248">
        <v>24</v>
      </c>
      <c r="R6" s="249">
        <f>SUM(O6:Q6)</f>
        <v>69</v>
      </c>
      <c r="S6" s="254">
        <v>2</v>
      </c>
      <c r="T6" s="251"/>
      <c r="U6" s="252"/>
      <c r="V6" s="256" t="s">
        <v>108</v>
      </c>
      <c r="W6" s="257" t="s">
        <v>75</v>
      </c>
      <c r="X6" s="257" t="s">
        <v>18</v>
      </c>
      <c r="Y6" s="258">
        <v>24</v>
      </c>
      <c r="Z6" s="256" t="s">
        <v>112</v>
      </c>
      <c r="AA6" s="257" t="s">
        <v>20</v>
      </c>
      <c r="AB6" s="257" t="s">
        <v>12</v>
      </c>
      <c r="AC6" s="257">
        <v>24</v>
      </c>
      <c r="AD6" s="256" t="s">
        <v>110</v>
      </c>
      <c r="AE6" s="257" t="s">
        <v>90</v>
      </c>
      <c r="AF6" s="257" t="s">
        <v>11</v>
      </c>
      <c r="AG6" s="258">
        <v>6.5</v>
      </c>
      <c r="AH6" s="256" t="s">
        <v>109</v>
      </c>
      <c r="AI6" s="257" t="s">
        <v>74</v>
      </c>
      <c r="AJ6" s="257" t="s">
        <v>11</v>
      </c>
      <c r="AK6" s="257">
        <v>14.5</v>
      </c>
      <c r="AL6" s="256"/>
      <c r="AO6" s="258"/>
      <c r="AP6" s="256"/>
      <c r="AS6" s="258"/>
      <c r="AW6" s="258"/>
      <c r="BA6" s="259"/>
    </row>
    <row r="7" spans="1:53" s="257" customFormat="1" x14ac:dyDescent="0.15">
      <c r="A7" s="263">
        <v>1959</v>
      </c>
      <c r="B7" s="252">
        <v>21563</v>
      </c>
      <c r="C7" s="798" t="s">
        <v>344</v>
      </c>
      <c r="D7" s="798"/>
      <c r="E7" s="257">
        <f>365-E6</f>
        <v>353</v>
      </c>
      <c r="F7" s="257">
        <v>4</v>
      </c>
      <c r="G7" s="265"/>
      <c r="H7" s="257">
        <v>11</v>
      </c>
      <c r="J7" s="272">
        <v>11</v>
      </c>
      <c r="K7" s="248">
        <f>G7/J7*100</f>
        <v>0</v>
      </c>
      <c r="L7" s="248">
        <f>H7/J7*100</f>
        <v>100</v>
      </c>
      <c r="M7" s="248">
        <f>I7/J7*100</f>
        <v>0</v>
      </c>
      <c r="N7" s="267">
        <f>SUM(K7:M7)</f>
        <v>100</v>
      </c>
      <c r="O7" s="247"/>
      <c r="P7" s="248">
        <v>24</v>
      </c>
      <c r="Q7" s="248"/>
      <c r="R7" s="249">
        <f>SUM(O7:Q7)</f>
        <v>24</v>
      </c>
      <c r="S7" s="254">
        <v>4</v>
      </c>
      <c r="T7" s="251"/>
      <c r="U7" s="252">
        <v>21563</v>
      </c>
      <c r="V7" s="256" t="s">
        <v>108</v>
      </c>
      <c r="W7" s="257" t="s">
        <v>75</v>
      </c>
      <c r="X7" s="257" t="s">
        <v>18</v>
      </c>
      <c r="Y7" s="258">
        <v>24</v>
      </c>
      <c r="AD7" s="256"/>
      <c r="AG7" s="258"/>
      <c r="AL7" s="256"/>
      <c r="AO7" s="258"/>
      <c r="AP7" s="256"/>
      <c r="AS7" s="258"/>
      <c r="AW7" s="258"/>
      <c r="BA7" s="259"/>
    </row>
    <row r="8" spans="1:53" s="73" customFormat="1" x14ac:dyDescent="0.15">
      <c r="A8" s="102">
        <v>1960</v>
      </c>
      <c r="B8" s="85"/>
      <c r="C8" s="786" t="s">
        <v>344</v>
      </c>
      <c r="D8" s="786"/>
      <c r="E8" s="73">
        <v>0</v>
      </c>
      <c r="G8" s="123"/>
      <c r="H8" s="73">
        <v>11</v>
      </c>
      <c r="J8" s="134">
        <v>11</v>
      </c>
      <c r="K8" s="92">
        <f>G8/J8*100</f>
        <v>0</v>
      </c>
      <c r="L8" s="92">
        <f>H8/J8*100</f>
        <v>100</v>
      </c>
      <c r="M8" s="92">
        <f>I8/J8*100</f>
        <v>0</v>
      </c>
      <c r="N8" s="125">
        <f>SUM(K8:M8)</f>
        <v>100</v>
      </c>
      <c r="O8" s="91"/>
      <c r="P8" s="92">
        <v>24</v>
      </c>
      <c r="Q8" s="92"/>
      <c r="R8" s="93">
        <f>SUM(O8:Q8)</f>
        <v>24</v>
      </c>
      <c r="S8" s="97">
        <v>4</v>
      </c>
      <c r="T8" s="95"/>
      <c r="U8" s="85"/>
      <c r="V8" s="82" t="s">
        <v>108</v>
      </c>
      <c r="W8" s="73" t="s">
        <v>75</v>
      </c>
      <c r="X8" s="73" t="s">
        <v>18</v>
      </c>
      <c r="Y8" s="83">
        <v>24</v>
      </c>
      <c r="AD8" s="82"/>
      <c r="AG8" s="83"/>
      <c r="AL8" s="82"/>
      <c r="AO8" s="83"/>
      <c r="AP8" s="82"/>
      <c r="AS8" s="83"/>
      <c r="AW8" s="83"/>
      <c r="BA8" s="84"/>
    </row>
    <row r="9" spans="1:53" s="73" customFormat="1" x14ac:dyDescent="0.15">
      <c r="A9" s="102">
        <v>1960</v>
      </c>
      <c r="B9" s="85"/>
      <c r="C9" s="786" t="s">
        <v>344</v>
      </c>
      <c r="D9" s="786"/>
      <c r="E9" s="73">
        <v>366</v>
      </c>
      <c r="G9" s="123"/>
      <c r="H9" s="73">
        <v>11</v>
      </c>
      <c r="J9" s="134">
        <v>11</v>
      </c>
      <c r="K9" s="92">
        <f t="shared" ref="K9:K14" si="0">G9/J9*100</f>
        <v>0</v>
      </c>
      <c r="L9" s="92">
        <f t="shared" ref="L9:L14" si="1">H9/J9*100</f>
        <v>100</v>
      </c>
      <c r="M9" s="92">
        <f t="shared" ref="M9:M14" si="2">I9/J9*100</f>
        <v>0</v>
      </c>
      <c r="N9" s="125">
        <f t="shared" ref="N9:N72" si="3">SUM(K9:M9)</f>
        <v>100</v>
      </c>
      <c r="O9" s="91"/>
      <c r="P9" s="92">
        <v>24</v>
      </c>
      <c r="Q9" s="92"/>
      <c r="R9" s="93">
        <f t="shared" ref="R9:R72" si="4">SUM(O9:Q9)</f>
        <v>24</v>
      </c>
      <c r="S9" s="97">
        <v>4</v>
      </c>
      <c r="T9" s="95"/>
      <c r="U9" s="85"/>
      <c r="V9" s="82" t="s">
        <v>108</v>
      </c>
      <c r="W9" s="73" t="s">
        <v>75</v>
      </c>
      <c r="X9" s="73" t="s">
        <v>18</v>
      </c>
      <c r="Y9" s="83">
        <v>24</v>
      </c>
      <c r="Z9" s="82"/>
      <c r="AC9" s="83"/>
      <c r="AD9" s="82"/>
      <c r="AG9" s="83"/>
      <c r="AL9" s="82"/>
      <c r="AO9" s="83"/>
      <c r="AP9" s="82"/>
      <c r="AS9" s="83"/>
      <c r="AW9" s="83"/>
      <c r="BA9" s="84"/>
    </row>
    <row r="10" spans="1:53" s="73" customFormat="1" x14ac:dyDescent="0.15">
      <c r="A10" s="102">
        <v>1961</v>
      </c>
      <c r="B10" s="85"/>
      <c r="C10" s="786" t="s">
        <v>344</v>
      </c>
      <c r="D10" s="786"/>
      <c r="E10" s="73">
        <v>194</v>
      </c>
      <c r="G10" s="123"/>
      <c r="H10" s="73">
        <v>11</v>
      </c>
      <c r="J10" s="134">
        <v>11</v>
      </c>
      <c r="K10" s="92">
        <f t="shared" si="0"/>
        <v>0</v>
      </c>
      <c r="L10" s="92">
        <f t="shared" si="1"/>
        <v>100</v>
      </c>
      <c r="M10" s="92">
        <f t="shared" si="2"/>
        <v>0</v>
      </c>
      <c r="N10" s="125">
        <f t="shared" si="3"/>
        <v>100</v>
      </c>
      <c r="O10" s="91"/>
      <c r="P10" s="92">
        <v>24</v>
      </c>
      <c r="Q10" s="92"/>
      <c r="R10" s="93">
        <f t="shared" si="4"/>
        <v>24</v>
      </c>
      <c r="S10" s="97">
        <v>4</v>
      </c>
      <c r="T10" s="95"/>
      <c r="U10" s="85"/>
      <c r="V10" s="82" t="s">
        <v>108</v>
      </c>
      <c r="W10" s="73" t="s">
        <v>75</v>
      </c>
      <c r="X10" s="73" t="s">
        <v>18</v>
      </c>
      <c r="Y10" s="83">
        <v>24</v>
      </c>
      <c r="Z10" s="82"/>
      <c r="AC10" s="83"/>
      <c r="AD10" s="82"/>
      <c r="AG10" s="83"/>
      <c r="AL10" s="82"/>
      <c r="AO10" s="83"/>
      <c r="AP10" s="82"/>
      <c r="AS10" s="83"/>
      <c r="AW10" s="83"/>
      <c r="BA10" s="84"/>
    </row>
    <row r="11" spans="1:53" s="334" customFormat="1" x14ac:dyDescent="0.15">
      <c r="A11" s="386">
        <v>1961</v>
      </c>
      <c r="B11" s="355">
        <v>22476</v>
      </c>
      <c r="C11" s="785" t="s">
        <v>345</v>
      </c>
      <c r="D11" s="785"/>
      <c r="E11" s="334">
        <v>171</v>
      </c>
      <c r="F11" s="334">
        <v>2</v>
      </c>
      <c r="G11" s="419"/>
      <c r="H11" s="334">
        <v>12</v>
      </c>
      <c r="J11" s="435">
        <v>13</v>
      </c>
      <c r="K11" s="384">
        <f t="shared" si="0"/>
        <v>0</v>
      </c>
      <c r="L11" s="384">
        <f t="shared" si="1"/>
        <v>92.307692307692307</v>
      </c>
      <c r="M11" s="384">
        <f t="shared" si="2"/>
        <v>0</v>
      </c>
      <c r="N11" s="421">
        <f t="shared" si="3"/>
        <v>92.307692307692307</v>
      </c>
      <c r="O11" s="383"/>
      <c r="P11" s="384">
        <v>24</v>
      </c>
      <c r="Q11" s="384"/>
      <c r="R11" s="385">
        <f t="shared" si="4"/>
        <v>24</v>
      </c>
      <c r="S11" s="388">
        <v>4</v>
      </c>
      <c r="T11" s="342"/>
      <c r="U11" s="355">
        <v>22476</v>
      </c>
      <c r="V11" s="343" t="s">
        <v>108</v>
      </c>
      <c r="W11" s="334" t="s">
        <v>75</v>
      </c>
      <c r="X11" s="334" t="s">
        <v>18</v>
      </c>
      <c r="Y11" s="344">
        <v>24</v>
      </c>
      <c r="Z11" s="343"/>
      <c r="AC11" s="344"/>
      <c r="AD11" s="343"/>
      <c r="AG11" s="344"/>
      <c r="AL11" s="343"/>
      <c r="AO11" s="344"/>
      <c r="AP11" s="343"/>
      <c r="AS11" s="344"/>
      <c r="AW11" s="344"/>
      <c r="BA11" s="345"/>
    </row>
    <row r="12" spans="1:53" s="334" customFormat="1" x14ac:dyDescent="0.15">
      <c r="A12" s="386">
        <v>1962</v>
      </c>
      <c r="B12" s="355"/>
      <c r="C12" s="785" t="s">
        <v>345</v>
      </c>
      <c r="D12" s="785"/>
      <c r="E12" s="334">
        <v>102</v>
      </c>
      <c r="G12" s="419"/>
      <c r="H12" s="334">
        <v>12</v>
      </c>
      <c r="J12" s="435">
        <v>13</v>
      </c>
      <c r="K12" s="384">
        <f t="shared" si="0"/>
        <v>0</v>
      </c>
      <c r="L12" s="384">
        <f t="shared" si="1"/>
        <v>92.307692307692307</v>
      </c>
      <c r="M12" s="384">
        <f t="shared" si="2"/>
        <v>0</v>
      </c>
      <c r="N12" s="421">
        <f t="shared" si="3"/>
        <v>92.307692307692307</v>
      </c>
      <c r="O12" s="383"/>
      <c r="P12" s="384">
        <v>24</v>
      </c>
      <c r="Q12" s="384"/>
      <c r="R12" s="385">
        <f t="shared" si="4"/>
        <v>24</v>
      </c>
      <c r="S12" s="388">
        <v>4</v>
      </c>
      <c r="T12" s="342"/>
      <c r="U12" s="355"/>
      <c r="V12" s="343" t="s">
        <v>108</v>
      </c>
      <c r="W12" s="334" t="s">
        <v>75</v>
      </c>
      <c r="X12" s="334" t="s">
        <v>18</v>
      </c>
      <c r="Y12" s="344">
        <v>24</v>
      </c>
      <c r="Z12" s="343"/>
      <c r="AC12" s="344"/>
      <c r="AD12" s="343"/>
      <c r="AG12" s="344"/>
      <c r="AL12" s="343"/>
      <c r="AO12" s="344"/>
      <c r="AP12" s="343"/>
      <c r="AS12" s="344"/>
      <c r="AW12" s="344"/>
      <c r="BA12" s="345"/>
    </row>
    <row r="13" spans="1:53" s="73" customFormat="1" x14ac:dyDescent="0.15">
      <c r="A13" s="102">
        <v>1962</v>
      </c>
      <c r="B13" s="85">
        <v>22749</v>
      </c>
      <c r="C13" s="786" t="s">
        <v>346</v>
      </c>
      <c r="D13" s="786"/>
      <c r="E13" s="73">
        <v>263</v>
      </c>
      <c r="F13" s="73">
        <v>6</v>
      </c>
      <c r="G13" s="123">
        <v>3</v>
      </c>
      <c r="H13" s="73">
        <v>7</v>
      </c>
      <c r="J13" s="134">
        <v>11</v>
      </c>
      <c r="K13" s="92">
        <f t="shared" si="0"/>
        <v>27.27272727272727</v>
      </c>
      <c r="L13" s="92">
        <f t="shared" si="1"/>
        <v>63.636363636363633</v>
      </c>
      <c r="M13" s="92">
        <f t="shared" si="2"/>
        <v>0</v>
      </c>
      <c r="N13" s="125">
        <f t="shared" si="3"/>
        <v>90.909090909090907</v>
      </c>
      <c r="O13" s="91">
        <v>23</v>
      </c>
      <c r="P13" s="92">
        <v>33</v>
      </c>
      <c r="Q13" s="92"/>
      <c r="R13" s="93">
        <f t="shared" si="4"/>
        <v>56</v>
      </c>
      <c r="S13" s="97">
        <v>2</v>
      </c>
      <c r="T13" s="95">
        <v>22681</v>
      </c>
      <c r="U13" s="85">
        <v>22749</v>
      </c>
      <c r="V13" s="82" t="s">
        <v>108</v>
      </c>
      <c r="W13" s="73" t="s">
        <v>75</v>
      </c>
      <c r="X13" s="73" t="s">
        <v>18</v>
      </c>
      <c r="Y13" s="73">
        <v>26.5</v>
      </c>
      <c r="Z13" s="82" t="s">
        <v>109</v>
      </c>
      <c r="AA13" s="73" t="s">
        <v>74</v>
      </c>
      <c r="AB13" s="73" t="s">
        <v>11</v>
      </c>
      <c r="AC13" s="83">
        <v>16</v>
      </c>
      <c r="AD13" s="82" t="s">
        <v>110</v>
      </c>
      <c r="AE13" s="73" t="s">
        <v>90</v>
      </c>
      <c r="AF13" s="73" t="s">
        <v>11</v>
      </c>
      <c r="AG13" s="83">
        <v>7</v>
      </c>
      <c r="AH13" s="73" t="s">
        <v>111</v>
      </c>
      <c r="AI13" s="73" t="s">
        <v>22</v>
      </c>
      <c r="AJ13" s="73" t="s">
        <v>18</v>
      </c>
      <c r="AK13" s="73">
        <v>6.5</v>
      </c>
      <c r="AL13" s="82"/>
      <c r="AO13" s="83"/>
      <c r="AP13" s="82"/>
      <c r="AS13" s="83"/>
      <c r="AW13" s="83"/>
      <c r="BA13" s="84"/>
    </row>
    <row r="14" spans="1:53" s="73" customFormat="1" x14ac:dyDescent="0.15">
      <c r="A14" s="102">
        <v>1962.6</v>
      </c>
      <c r="B14" s="85"/>
      <c r="C14" s="786" t="s">
        <v>346</v>
      </c>
      <c r="D14" s="786"/>
      <c r="E14" s="73">
        <v>294</v>
      </c>
      <c r="G14" s="123">
        <v>3</v>
      </c>
      <c r="H14" s="73">
        <v>7</v>
      </c>
      <c r="J14" s="134">
        <v>11</v>
      </c>
      <c r="K14" s="92">
        <f t="shared" si="0"/>
        <v>27.27272727272727</v>
      </c>
      <c r="L14" s="92">
        <f t="shared" si="1"/>
        <v>63.636363636363633</v>
      </c>
      <c r="M14" s="92">
        <f t="shared" si="2"/>
        <v>0</v>
      </c>
      <c r="N14" s="125">
        <f t="shared" si="3"/>
        <v>90.909090909090907</v>
      </c>
      <c r="O14" s="91">
        <v>23</v>
      </c>
      <c r="P14" s="92">
        <v>33</v>
      </c>
      <c r="Q14" s="92"/>
      <c r="R14" s="93">
        <f t="shared" si="4"/>
        <v>56</v>
      </c>
      <c r="S14" s="97">
        <v>2</v>
      </c>
      <c r="T14" s="95"/>
      <c r="U14" s="85"/>
      <c r="V14" s="82" t="s">
        <v>108</v>
      </c>
      <c r="W14" s="73" t="s">
        <v>75</v>
      </c>
      <c r="X14" s="73" t="s">
        <v>18</v>
      </c>
      <c r="Y14" s="73">
        <v>26.5</v>
      </c>
      <c r="Z14" s="82" t="s">
        <v>109</v>
      </c>
      <c r="AA14" s="73" t="s">
        <v>74</v>
      </c>
      <c r="AB14" s="73" t="s">
        <v>11</v>
      </c>
      <c r="AC14" s="83">
        <v>16</v>
      </c>
      <c r="AD14" s="82" t="s">
        <v>110</v>
      </c>
      <c r="AE14" s="73" t="s">
        <v>90</v>
      </c>
      <c r="AF14" s="73" t="s">
        <v>11</v>
      </c>
      <c r="AG14" s="83">
        <v>7</v>
      </c>
      <c r="AH14" s="73" t="s">
        <v>111</v>
      </c>
      <c r="AI14" s="73" t="s">
        <v>22</v>
      </c>
      <c r="AJ14" s="73" t="s">
        <v>18</v>
      </c>
      <c r="AK14" s="73">
        <v>6.5</v>
      </c>
      <c r="AL14" s="82"/>
      <c r="AO14" s="83"/>
      <c r="AP14" s="82"/>
      <c r="AS14" s="83"/>
      <c r="AW14" s="83"/>
      <c r="BA14" s="84"/>
    </row>
    <row r="15" spans="1:53" s="334" customFormat="1" x14ac:dyDescent="0.15">
      <c r="A15" s="386">
        <v>1963.05714285714</v>
      </c>
      <c r="B15" s="355">
        <v>23306</v>
      </c>
      <c r="C15" s="785" t="s">
        <v>347</v>
      </c>
      <c r="D15" s="785"/>
      <c r="E15" s="334">
        <v>57</v>
      </c>
      <c r="F15" s="334">
        <v>4</v>
      </c>
      <c r="G15" s="419">
        <v>3</v>
      </c>
      <c r="H15" s="334">
        <v>7</v>
      </c>
      <c r="J15" s="435">
        <v>10</v>
      </c>
      <c r="K15" s="384">
        <f>G15/J15*100</f>
        <v>30</v>
      </c>
      <c r="L15" s="384">
        <f>H15/J15*100</f>
        <v>70</v>
      </c>
      <c r="M15" s="384">
        <f>I15/J15*100</f>
        <v>0</v>
      </c>
      <c r="N15" s="421">
        <f t="shared" si="3"/>
        <v>100</v>
      </c>
      <c r="O15" s="383">
        <v>23</v>
      </c>
      <c r="P15" s="384">
        <v>33</v>
      </c>
      <c r="Q15" s="384"/>
      <c r="R15" s="385">
        <f t="shared" si="4"/>
        <v>56</v>
      </c>
      <c r="S15" s="388">
        <v>2</v>
      </c>
      <c r="T15" s="342"/>
      <c r="U15" s="355">
        <v>23306</v>
      </c>
      <c r="V15" s="343" t="s">
        <v>108</v>
      </c>
      <c r="W15" s="334" t="s">
        <v>75</v>
      </c>
      <c r="X15" s="334" t="s">
        <v>18</v>
      </c>
      <c r="Y15" s="334">
        <v>26.5</v>
      </c>
      <c r="Z15" s="343" t="s">
        <v>109</v>
      </c>
      <c r="AA15" s="334" t="s">
        <v>74</v>
      </c>
      <c r="AB15" s="334" t="s">
        <v>11</v>
      </c>
      <c r="AC15" s="344">
        <v>16</v>
      </c>
      <c r="AD15" s="343" t="s">
        <v>110</v>
      </c>
      <c r="AE15" s="334" t="s">
        <v>90</v>
      </c>
      <c r="AF15" s="334" t="s">
        <v>11</v>
      </c>
      <c r="AG15" s="344">
        <v>7</v>
      </c>
      <c r="AH15" s="334" t="s">
        <v>111</v>
      </c>
      <c r="AI15" s="334" t="s">
        <v>22</v>
      </c>
      <c r="AJ15" s="334" t="s">
        <v>18</v>
      </c>
      <c r="AK15" s="334">
        <v>6.5</v>
      </c>
      <c r="AL15" s="343"/>
      <c r="AO15" s="344"/>
      <c r="AP15" s="343"/>
      <c r="AS15" s="344"/>
      <c r="AW15" s="344"/>
      <c r="BA15" s="345"/>
    </row>
    <row r="16" spans="1:53" s="73" customFormat="1" x14ac:dyDescent="0.15">
      <c r="A16" s="102">
        <v>1963.05714285714</v>
      </c>
      <c r="B16" s="85">
        <v>23363</v>
      </c>
      <c r="C16" s="786" t="s">
        <v>352</v>
      </c>
      <c r="D16" s="786"/>
      <c r="E16" s="73">
        <v>14</v>
      </c>
      <c r="F16" s="73">
        <v>4</v>
      </c>
      <c r="G16" s="123">
        <v>0</v>
      </c>
      <c r="H16" s="73">
        <v>0</v>
      </c>
      <c r="I16" s="73">
        <v>0</v>
      </c>
      <c r="J16" s="134">
        <v>12</v>
      </c>
      <c r="K16" s="92">
        <f>G16/J16*100</f>
        <v>0</v>
      </c>
      <c r="L16" s="92">
        <f>H16/J16*100</f>
        <v>0</v>
      </c>
      <c r="M16" s="92">
        <f>I16/J16*100</f>
        <v>0</v>
      </c>
      <c r="N16" s="125">
        <f t="shared" si="3"/>
        <v>0</v>
      </c>
      <c r="O16" s="91">
        <v>0</v>
      </c>
      <c r="P16" s="92">
        <v>0</v>
      </c>
      <c r="Q16" s="92">
        <v>0</v>
      </c>
      <c r="R16" s="93">
        <f t="shared" si="4"/>
        <v>0</v>
      </c>
      <c r="S16" s="97">
        <v>7</v>
      </c>
      <c r="T16" s="95"/>
      <c r="U16" s="85">
        <v>23363</v>
      </c>
      <c r="V16" s="158" t="s">
        <v>815</v>
      </c>
      <c r="Z16" s="82"/>
      <c r="AC16" s="83"/>
      <c r="AD16" s="82"/>
      <c r="AG16" s="83"/>
      <c r="AL16" s="82"/>
      <c r="AO16" s="83"/>
      <c r="AP16" s="82"/>
      <c r="AS16" s="83"/>
      <c r="AW16" s="83"/>
      <c r="BA16" s="84"/>
    </row>
    <row r="17" spans="1:53" s="73" customFormat="1" x14ac:dyDescent="0.15">
      <c r="A17" s="102">
        <v>1963.5142857142901</v>
      </c>
      <c r="B17" s="85"/>
      <c r="C17" s="786" t="s">
        <v>352</v>
      </c>
      <c r="D17" s="786"/>
      <c r="E17" s="73">
        <v>255</v>
      </c>
      <c r="G17" s="123">
        <v>0</v>
      </c>
      <c r="H17" s="73">
        <v>0</v>
      </c>
      <c r="I17" s="73">
        <v>0</v>
      </c>
      <c r="J17" s="134">
        <v>12</v>
      </c>
      <c r="K17" s="92">
        <f t="shared" ref="K17:K22" si="5">G17/J17*100</f>
        <v>0</v>
      </c>
      <c r="L17" s="92">
        <f t="shared" ref="L17:L22" si="6">H17/J17*100</f>
        <v>0</v>
      </c>
      <c r="M17" s="92">
        <f t="shared" ref="M17:M22" si="7">I17/J17*100</f>
        <v>0</v>
      </c>
      <c r="N17" s="125">
        <f t="shared" si="3"/>
        <v>0</v>
      </c>
      <c r="O17" s="91">
        <v>0</v>
      </c>
      <c r="P17" s="92">
        <v>0</v>
      </c>
      <c r="Q17" s="92">
        <v>0</v>
      </c>
      <c r="R17" s="93">
        <f t="shared" si="4"/>
        <v>0</v>
      </c>
      <c r="S17" s="97">
        <v>7</v>
      </c>
      <c r="T17" s="95"/>
      <c r="U17" s="85"/>
      <c r="V17" s="158" t="s">
        <v>815</v>
      </c>
      <c r="Z17" s="82"/>
      <c r="AC17" s="83"/>
      <c r="AD17" s="82"/>
      <c r="AG17" s="83"/>
      <c r="AL17" s="82"/>
      <c r="AO17" s="83"/>
      <c r="AP17" s="82"/>
      <c r="AS17" s="83"/>
      <c r="AW17" s="83"/>
      <c r="BA17" s="84"/>
    </row>
    <row r="18" spans="1:53" s="334" customFormat="1" x14ac:dyDescent="0.15">
      <c r="A18" s="386">
        <v>1963.9714285714299</v>
      </c>
      <c r="B18" s="355">
        <v>23632</v>
      </c>
      <c r="C18" s="785" t="s">
        <v>349</v>
      </c>
      <c r="D18" s="785"/>
      <c r="E18" s="334">
        <v>111</v>
      </c>
      <c r="F18" s="334" t="s">
        <v>348</v>
      </c>
      <c r="G18" s="419">
        <v>4</v>
      </c>
      <c r="H18" s="334">
        <v>7</v>
      </c>
      <c r="J18" s="435">
        <v>11</v>
      </c>
      <c r="K18" s="384">
        <f t="shared" si="5"/>
        <v>36.363636363636367</v>
      </c>
      <c r="L18" s="384">
        <f t="shared" si="6"/>
        <v>63.636363636363633</v>
      </c>
      <c r="M18" s="384">
        <f t="shared" si="7"/>
        <v>0</v>
      </c>
      <c r="N18" s="421">
        <f t="shared" si="3"/>
        <v>100</v>
      </c>
      <c r="O18" s="383">
        <v>23</v>
      </c>
      <c r="P18" s="384">
        <v>33</v>
      </c>
      <c r="Q18" s="384"/>
      <c r="R18" s="385">
        <f t="shared" si="4"/>
        <v>56</v>
      </c>
      <c r="S18" s="388">
        <v>2</v>
      </c>
      <c r="T18" s="342"/>
      <c r="U18" s="355">
        <v>23632</v>
      </c>
      <c r="V18" s="343" t="s">
        <v>108</v>
      </c>
      <c r="W18" s="334" t="s">
        <v>75</v>
      </c>
      <c r="X18" s="334" t="s">
        <v>18</v>
      </c>
      <c r="Y18" s="334">
        <v>26.5</v>
      </c>
      <c r="Z18" s="343" t="s">
        <v>109</v>
      </c>
      <c r="AA18" s="334" t="s">
        <v>74</v>
      </c>
      <c r="AB18" s="334" t="s">
        <v>11</v>
      </c>
      <c r="AC18" s="344">
        <v>16</v>
      </c>
      <c r="AD18" s="343" t="s">
        <v>110</v>
      </c>
      <c r="AE18" s="334" t="s">
        <v>90</v>
      </c>
      <c r="AF18" s="334" t="s">
        <v>11</v>
      </c>
      <c r="AG18" s="344">
        <v>7</v>
      </c>
      <c r="AH18" s="334" t="s">
        <v>111</v>
      </c>
      <c r="AI18" s="334" t="s">
        <v>22</v>
      </c>
      <c r="AJ18" s="334" t="s">
        <v>18</v>
      </c>
      <c r="AK18" s="334">
        <v>6.5</v>
      </c>
      <c r="AL18" s="343"/>
      <c r="AO18" s="344"/>
      <c r="AP18" s="343"/>
      <c r="AS18" s="344"/>
      <c r="AW18" s="344"/>
      <c r="BA18" s="345"/>
    </row>
    <row r="19" spans="1:53" s="334" customFormat="1" x14ac:dyDescent="0.15">
      <c r="A19" s="386">
        <v>1965</v>
      </c>
      <c r="B19" s="355"/>
      <c r="C19" s="785" t="s">
        <v>349</v>
      </c>
      <c r="D19" s="785"/>
      <c r="E19" s="334">
        <v>0</v>
      </c>
      <c r="G19" s="419">
        <v>4</v>
      </c>
      <c r="H19" s="334">
        <v>7</v>
      </c>
      <c r="J19" s="435">
        <v>11</v>
      </c>
      <c r="K19" s="384">
        <f t="shared" si="5"/>
        <v>36.363636363636367</v>
      </c>
      <c r="L19" s="384">
        <f t="shared" si="6"/>
        <v>63.636363636363633</v>
      </c>
      <c r="M19" s="384">
        <f t="shared" si="7"/>
        <v>0</v>
      </c>
      <c r="N19" s="421">
        <f t="shared" si="3"/>
        <v>100</v>
      </c>
      <c r="O19" s="383">
        <v>23</v>
      </c>
      <c r="P19" s="384">
        <v>33</v>
      </c>
      <c r="Q19" s="384"/>
      <c r="R19" s="385">
        <f t="shared" si="4"/>
        <v>56</v>
      </c>
      <c r="S19" s="388">
        <v>2</v>
      </c>
      <c r="T19" s="342"/>
      <c r="U19" s="355"/>
      <c r="V19" s="343" t="s">
        <v>108</v>
      </c>
      <c r="W19" s="334" t="s">
        <v>75</v>
      </c>
      <c r="X19" s="334" t="s">
        <v>18</v>
      </c>
      <c r="Y19" s="334">
        <v>26.5</v>
      </c>
      <c r="Z19" s="343" t="s">
        <v>109</v>
      </c>
      <c r="AA19" s="334" t="s">
        <v>74</v>
      </c>
      <c r="AB19" s="334" t="s">
        <v>11</v>
      </c>
      <c r="AC19" s="344">
        <v>16</v>
      </c>
      <c r="AD19" s="343" t="s">
        <v>110</v>
      </c>
      <c r="AE19" s="334" t="s">
        <v>90</v>
      </c>
      <c r="AF19" s="334" t="s">
        <v>11</v>
      </c>
      <c r="AG19" s="344">
        <v>7</v>
      </c>
      <c r="AH19" s="334" t="s">
        <v>111</v>
      </c>
      <c r="AI19" s="334" t="s">
        <v>22</v>
      </c>
      <c r="AJ19" s="334" t="s">
        <v>18</v>
      </c>
      <c r="AK19" s="334">
        <v>6.5</v>
      </c>
      <c r="AL19" s="343"/>
      <c r="AO19" s="344"/>
      <c r="AP19" s="343"/>
      <c r="AS19" s="344"/>
      <c r="AW19" s="344"/>
      <c r="BA19" s="345"/>
    </row>
    <row r="20" spans="1:53" s="334" customFormat="1" x14ac:dyDescent="0.15">
      <c r="A20" s="386">
        <v>1964.88571428572</v>
      </c>
      <c r="C20" s="785" t="s">
        <v>349</v>
      </c>
      <c r="D20" s="785"/>
      <c r="E20" s="334">
        <v>365</v>
      </c>
      <c r="G20" s="419">
        <v>4</v>
      </c>
      <c r="H20" s="334">
        <v>7</v>
      </c>
      <c r="J20" s="435">
        <v>11</v>
      </c>
      <c r="K20" s="384">
        <f t="shared" si="5"/>
        <v>36.363636363636367</v>
      </c>
      <c r="L20" s="384">
        <f t="shared" si="6"/>
        <v>63.636363636363633</v>
      </c>
      <c r="M20" s="384">
        <f t="shared" si="7"/>
        <v>0</v>
      </c>
      <c r="N20" s="421">
        <f t="shared" si="3"/>
        <v>100</v>
      </c>
      <c r="O20" s="383">
        <v>23</v>
      </c>
      <c r="P20" s="384">
        <v>33</v>
      </c>
      <c r="Q20" s="384"/>
      <c r="R20" s="385">
        <f t="shared" si="4"/>
        <v>56</v>
      </c>
      <c r="S20" s="388">
        <v>2</v>
      </c>
      <c r="T20" s="342"/>
      <c r="U20" s="355"/>
      <c r="V20" s="343" t="s">
        <v>108</v>
      </c>
      <c r="W20" s="334" t="s">
        <v>75</v>
      </c>
      <c r="X20" s="334" t="s">
        <v>18</v>
      </c>
      <c r="Y20" s="334">
        <v>26.5</v>
      </c>
      <c r="Z20" s="343" t="s">
        <v>109</v>
      </c>
      <c r="AA20" s="334" t="s">
        <v>74</v>
      </c>
      <c r="AB20" s="334" t="s">
        <v>11</v>
      </c>
      <c r="AC20" s="344">
        <v>16</v>
      </c>
      <c r="AD20" s="343" t="s">
        <v>110</v>
      </c>
      <c r="AE20" s="334" t="s">
        <v>90</v>
      </c>
      <c r="AF20" s="334" t="s">
        <v>11</v>
      </c>
      <c r="AG20" s="344">
        <v>7</v>
      </c>
      <c r="AH20" s="334" t="s">
        <v>111</v>
      </c>
      <c r="AI20" s="334" t="s">
        <v>22</v>
      </c>
      <c r="AJ20" s="334" t="s">
        <v>18</v>
      </c>
      <c r="AK20" s="334">
        <v>6.5</v>
      </c>
      <c r="AL20" s="343"/>
      <c r="AO20" s="344"/>
      <c r="AP20" s="343"/>
      <c r="AS20" s="344"/>
      <c r="AW20" s="344"/>
      <c r="BA20" s="345"/>
    </row>
    <row r="21" spans="1:53" s="334" customFormat="1" x14ac:dyDescent="0.15">
      <c r="A21" s="386">
        <v>1966</v>
      </c>
      <c r="B21" s="355"/>
      <c r="C21" s="785" t="s">
        <v>349</v>
      </c>
      <c r="D21" s="785"/>
      <c r="E21" s="334">
        <v>146</v>
      </c>
      <c r="G21" s="419">
        <v>4</v>
      </c>
      <c r="H21" s="334">
        <v>7</v>
      </c>
      <c r="J21" s="435">
        <v>11</v>
      </c>
      <c r="K21" s="384">
        <f t="shared" si="5"/>
        <v>36.363636363636367</v>
      </c>
      <c r="L21" s="384">
        <f t="shared" si="6"/>
        <v>63.636363636363633</v>
      </c>
      <c r="M21" s="384">
        <f t="shared" si="7"/>
        <v>0</v>
      </c>
      <c r="N21" s="421">
        <f t="shared" si="3"/>
        <v>100</v>
      </c>
      <c r="O21" s="383">
        <v>23</v>
      </c>
      <c r="P21" s="384">
        <v>33</v>
      </c>
      <c r="Q21" s="384"/>
      <c r="R21" s="385">
        <f t="shared" si="4"/>
        <v>56</v>
      </c>
      <c r="S21" s="388">
        <v>2</v>
      </c>
      <c r="T21" s="342"/>
      <c r="U21" s="355"/>
      <c r="V21" s="343" t="s">
        <v>108</v>
      </c>
      <c r="W21" s="334" t="s">
        <v>75</v>
      </c>
      <c r="X21" s="334" t="s">
        <v>18</v>
      </c>
      <c r="Y21" s="334">
        <v>26.5</v>
      </c>
      <c r="Z21" s="343" t="s">
        <v>109</v>
      </c>
      <c r="AA21" s="334" t="s">
        <v>74</v>
      </c>
      <c r="AB21" s="334" t="s">
        <v>11</v>
      </c>
      <c r="AC21" s="344">
        <v>16</v>
      </c>
      <c r="AD21" s="343" t="s">
        <v>110</v>
      </c>
      <c r="AE21" s="334" t="s">
        <v>90</v>
      </c>
      <c r="AF21" s="334" t="s">
        <v>11</v>
      </c>
      <c r="AG21" s="344">
        <v>7</v>
      </c>
      <c r="AH21" s="334" t="s">
        <v>111</v>
      </c>
      <c r="AI21" s="334" t="s">
        <v>22</v>
      </c>
      <c r="AJ21" s="334" t="s">
        <v>18</v>
      </c>
      <c r="AK21" s="334">
        <v>6.5</v>
      </c>
      <c r="AL21" s="343"/>
      <c r="AO21" s="344"/>
      <c r="AP21" s="343"/>
      <c r="AS21" s="344"/>
      <c r="AW21" s="344"/>
      <c r="BA21" s="345"/>
    </row>
    <row r="22" spans="1:53" s="73" customFormat="1" x14ac:dyDescent="0.15">
      <c r="A22" s="102">
        <v>1965.8</v>
      </c>
      <c r="B22" s="85">
        <v>24254</v>
      </c>
      <c r="C22" s="786" t="s">
        <v>350</v>
      </c>
      <c r="D22" s="786"/>
      <c r="E22" s="73">
        <v>219</v>
      </c>
      <c r="F22" s="73">
        <v>1</v>
      </c>
      <c r="G22" s="123"/>
      <c r="H22" s="73">
        <v>4</v>
      </c>
      <c r="I22" s="73">
        <v>8</v>
      </c>
      <c r="J22" s="134">
        <v>12</v>
      </c>
      <c r="K22" s="92">
        <f t="shared" si="5"/>
        <v>0</v>
      </c>
      <c r="L22" s="92">
        <f t="shared" si="6"/>
        <v>33.333333333333329</v>
      </c>
      <c r="M22" s="92">
        <f t="shared" si="7"/>
        <v>66.666666666666657</v>
      </c>
      <c r="N22" s="125">
        <f t="shared" si="3"/>
        <v>99.999999999999986</v>
      </c>
      <c r="O22" s="91"/>
      <c r="P22" s="92">
        <v>24.5</v>
      </c>
      <c r="Q22" s="92">
        <v>51.5</v>
      </c>
      <c r="R22" s="93">
        <f t="shared" si="4"/>
        <v>76</v>
      </c>
      <c r="S22" s="97">
        <v>3</v>
      </c>
      <c r="T22" s="95">
        <v>24186</v>
      </c>
      <c r="U22" s="85">
        <v>24254</v>
      </c>
      <c r="V22" s="82" t="s">
        <v>112</v>
      </c>
      <c r="W22" s="73" t="s">
        <v>20</v>
      </c>
      <c r="X22" s="73" t="s">
        <v>12</v>
      </c>
      <c r="Y22" s="83">
        <v>27.5</v>
      </c>
      <c r="Z22" s="82" t="s">
        <v>108</v>
      </c>
      <c r="AA22" s="73" t="s">
        <v>75</v>
      </c>
      <c r="AB22" s="73" t="s">
        <v>18</v>
      </c>
      <c r="AC22" s="83">
        <v>24.5</v>
      </c>
      <c r="AD22" s="82" t="s">
        <v>113</v>
      </c>
      <c r="AE22" s="73" t="s">
        <v>114</v>
      </c>
      <c r="AF22" s="73" t="s">
        <v>12</v>
      </c>
      <c r="AG22" s="83">
        <v>20.5</v>
      </c>
      <c r="AH22" s="73" t="s">
        <v>115</v>
      </c>
      <c r="AI22" s="73" t="s">
        <v>116</v>
      </c>
      <c r="AJ22" s="73" t="s">
        <v>12</v>
      </c>
      <c r="AK22" s="73">
        <v>3.5</v>
      </c>
      <c r="AL22" s="82"/>
      <c r="AO22" s="83"/>
      <c r="AP22" s="82"/>
      <c r="AS22" s="83"/>
      <c r="AW22" s="83"/>
      <c r="BA22" s="84"/>
    </row>
    <row r="23" spans="1:53" s="73" customFormat="1" x14ac:dyDescent="0.15">
      <c r="A23" s="102">
        <v>1967</v>
      </c>
      <c r="B23" s="85"/>
      <c r="C23" s="786" t="s">
        <v>350</v>
      </c>
      <c r="D23" s="786"/>
      <c r="E23" s="73">
        <v>0</v>
      </c>
      <c r="G23" s="123"/>
      <c r="H23" s="73">
        <v>4</v>
      </c>
      <c r="I23" s="73">
        <v>8</v>
      </c>
      <c r="J23" s="134">
        <v>12</v>
      </c>
      <c r="K23" s="92">
        <f>G23/J23*100</f>
        <v>0</v>
      </c>
      <c r="L23" s="92">
        <f>H23/J23*100</f>
        <v>33.333333333333329</v>
      </c>
      <c r="M23" s="92">
        <f>I23/J23*100</f>
        <v>66.666666666666657</v>
      </c>
      <c r="N23" s="125">
        <f t="shared" si="3"/>
        <v>99.999999999999986</v>
      </c>
      <c r="O23" s="91"/>
      <c r="P23" s="92">
        <v>24.5</v>
      </c>
      <c r="Q23" s="92">
        <v>51.5</v>
      </c>
      <c r="R23" s="93">
        <f t="shared" si="4"/>
        <v>76</v>
      </c>
      <c r="S23" s="97">
        <v>3</v>
      </c>
      <c r="T23" s="95"/>
      <c r="U23" s="85"/>
      <c r="V23" s="82" t="s">
        <v>112</v>
      </c>
      <c r="W23" s="73" t="s">
        <v>20</v>
      </c>
      <c r="X23" s="73" t="s">
        <v>12</v>
      </c>
      <c r="Y23" s="83">
        <v>27.5</v>
      </c>
      <c r="Z23" s="82" t="s">
        <v>108</v>
      </c>
      <c r="AA23" s="73" t="s">
        <v>75</v>
      </c>
      <c r="AB23" s="73" t="s">
        <v>18</v>
      </c>
      <c r="AC23" s="83">
        <v>24.5</v>
      </c>
      <c r="AD23" s="82" t="s">
        <v>113</v>
      </c>
      <c r="AE23" s="73" t="s">
        <v>114</v>
      </c>
      <c r="AF23" s="73" t="s">
        <v>12</v>
      </c>
      <c r="AG23" s="83">
        <v>20.5</v>
      </c>
      <c r="AH23" s="73" t="s">
        <v>115</v>
      </c>
      <c r="AI23" s="73" t="s">
        <v>116</v>
      </c>
      <c r="AJ23" s="73" t="s">
        <v>12</v>
      </c>
      <c r="AK23" s="73">
        <v>3.5</v>
      </c>
      <c r="AL23" s="82"/>
      <c r="AO23" s="83"/>
      <c r="AP23" s="82"/>
      <c r="AS23" s="83"/>
      <c r="AW23" s="83"/>
      <c r="BA23" s="84"/>
    </row>
    <row r="24" spans="1:53" s="73" customFormat="1" x14ac:dyDescent="0.15">
      <c r="A24" s="102">
        <v>1966.7142857142901</v>
      </c>
      <c r="B24" s="85"/>
      <c r="C24" s="786" t="s">
        <v>350</v>
      </c>
      <c r="D24" s="786"/>
      <c r="E24" s="73">
        <v>365</v>
      </c>
      <c r="G24" s="123"/>
      <c r="H24" s="73">
        <v>4</v>
      </c>
      <c r="I24" s="73">
        <v>8</v>
      </c>
      <c r="J24" s="134">
        <v>12</v>
      </c>
      <c r="K24" s="92">
        <f t="shared" ref="K24:K29" si="8">G24/J24*100</f>
        <v>0</v>
      </c>
      <c r="L24" s="92">
        <f t="shared" ref="L24:L29" si="9">H24/J24*100</f>
        <v>33.333333333333329</v>
      </c>
      <c r="M24" s="92">
        <f t="shared" ref="M24:M29" si="10">I24/J24*100</f>
        <v>66.666666666666657</v>
      </c>
      <c r="N24" s="125">
        <f t="shared" si="3"/>
        <v>99.999999999999986</v>
      </c>
      <c r="O24" s="91"/>
      <c r="P24" s="92">
        <v>24.5</v>
      </c>
      <c r="Q24" s="92">
        <v>51.5</v>
      </c>
      <c r="R24" s="93">
        <f t="shared" si="4"/>
        <v>76</v>
      </c>
      <c r="S24" s="97">
        <v>3</v>
      </c>
      <c r="T24" s="95"/>
      <c r="U24" s="85"/>
      <c r="V24" s="82" t="s">
        <v>112</v>
      </c>
      <c r="W24" s="73" t="s">
        <v>20</v>
      </c>
      <c r="X24" s="73" t="s">
        <v>12</v>
      </c>
      <c r="Y24" s="83">
        <v>27.5</v>
      </c>
      <c r="Z24" s="82" t="s">
        <v>108</v>
      </c>
      <c r="AA24" s="73" t="s">
        <v>75</v>
      </c>
      <c r="AB24" s="73" t="s">
        <v>18</v>
      </c>
      <c r="AC24" s="83">
        <v>24.5</v>
      </c>
      <c r="AD24" s="82" t="s">
        <v>113</v>
      </c>
      <c r="AE24" s="73" t="s">
        <v>114</v>
      </c>
      <c r="AF24" s="73" t="s">
        <v>12</v>
      </c>
      <c r="AG24" s="83">
        <v>20.5</v>
      </c>
      <c r="AH24" s="73" t="s">
        <v>115</v>
      </c>
      <c r="AI24" s="73" t="s">
        <v>116</v>
      </c>
      <c r="AJ24" s="73" t="s">
        <v>12</v>
      </c>
      <c r="AK24" s="73">
        <v>3.5</v>
      </c>
      <c r="AL24" s="82"/>
      <c r="AO24" s="83"/>
      <c r="AP24" s="82"/>
      <c r="AS24" s="83"/>
      <c r="AW24" s="83"/>
      <c r="BA24" s="84"/>
    </row>
    <row r="25" spans="1:53" s="73" customFormat="1" x14ac:dyDescent="0.15">
      <c r="A25" s="102">
        <v>1968</v>
      </c>
      <c r="B25" s="85"/>
      <c r="C25" s="786" t="s">
        <v>350</v>
      </c>
      <c r="D25" s="786"/>
      <c r="E25" s="73">
        <v>81</v>
      </c>
      <c r="G25" s="123"/>
      <c r="H25" s="73">
        <v>4</v>
      </c>
      <c r="I25" s="73">
        <v>8</v>
      </c>
      <c r="J25" s="134">
        <v>12</v>
      </c>
      <c r="K25" s="92">
        <f t="shared" si="8"/>
        <v>0</v>
      </c>
      <c r="L25" s="92">
        <f t="shared" si="9"/>
        <v>33.333333333333329</v>
      </c>
      <c r="M25" s="92">
        <f t="shared" si="10"/>
        <v>66.666666666666657</v>
      </c>
      <c r="N25" s="125">
        <f t="shared" si="3"/>
        <v>99.999999999999986</v>
      </c>
      <c r="O25" s="91">
        <v>6</v>
      </c>
      <c r="P25" s="92">
        <v>24.5</v>
      </c>
      <c r="Q25" s="92">
        <v>51.5</v>
      </c>
      <c r="R25" s="93">
        <f t="shared" si="4"/>
        <v>82</v>
      </c>
      <c r="S25" s="97">
        <v>3</v>
      </c>
      <c r="T25" s="95"/>
      <c r="U25" s="85"/>
      <c r="V25" s="82" t="s">
        <v>112</v>
      </c>
      <c r="W25" s="73" t="s">
        <v>20</v>
      </c>
      <c r="X25" s="73" t="s">
        <v>12</v>
      </c>
      <c r="Y25" s="83">
        <v>27.5</v>
      </c>
      <c r="Z25" s="82" t="s">
        <v>108</v>
      </c>
      <c r="AA25" s="73" t="s">
        <v>75</v>
      </c>
      <c r="AB25" s="73" t="s">
        <v>18</v>
      </c>
      <c r="AC25" s="83">
        <v>24.5</v>
      </c>
      <c r="AD25" s="82" t="s">
        <v>113</v>
      </c>
      <c r="AE25" s="73" t="s">
        <v>114</v>
      </c>
      <c r="AF25" s="73" t="s">
        <v>12</v>
      </c>
      <c r="AG25" s="83">
        <v>20.5</v>
      </c>
      <c r="AH25" s="73" t="s">
        <v>115</v>
      </c>
      <c r="AI25" s="73" t="s">
        <v>116</v>
      </c>
      <c r="AJ25" s="73" t="s">
        <v>12</v>
      </c>
      <c r="AK25" s="73">
        <v>3.5</v>
      </c>
      <c r="AL25" s="82"/>
      <c r="AO25" s="83"/>
      <c r="AP25" s="82"/>
      <c r="AS25" s="83"/>
      <c r="AW25" s="83"/>
      <c r="BA25" s="84"/>
    </row>
    <row r="26" spans="1:53" s="334" customFormat="1" x14ac:dyDescent="0.15">
      <c r="A26" s="386">
        <v>1967.62857142857</v>
      </c>
      <c r="B26" s="355">
        <v>24919</v>
      </c>
      <c r="C26" s="785" t="s">
        <v>351</v>
      </c>
      <c r="D26" s="785"/>
      <c r="E26" s="334">
        <v>285</v>
      </c>
      <c r="F26" s="334">
        <v>2</v>
      </c>
      <c r="G26" s="419">
        <v>1</v>
      </c>
      <c r="H26" s="334">
        <v>4</v>
      </c>
      <c r="I26" s="334">
        <v>7</v>
      </c>
      <c r="J26" s="435">
        <v>12</v>
      </c>
      <c r="K26" s="384">
        <f t="shared" si="8"/>
        <v>8.3333333333333321</v>
      </c>
      <c r="L26" s="384">
        <f t="shared" si="9"/>
        <v>33.333333333333329</v>
      </c>
      <c r="M26" s="384">
        <f t="shared" si="10"/>
        <v>58.333333333333336</v>
      </c>
      <c r="N26" s="421">
        <f t="shared" si="3"/>
        <v>100</v>
      </c>
      <c r="O26" s="383">
        <v>6</v>
      </c>
      <c r="P26" s="384">
        <v>24.5</v>
      </c>
      <c r="Q26" s="384">
        <v>51.5</v>
      </c>
      <c r="R26" s="385">
        <f t="shared" si="4"/>
        <v>82</v>
      </c>
      <c r="S26" s="388">
        <v>3</v>
      </c>
      <c r="T26" s="342"/>
      <c r="U26" s="355">
        <v>24919</v>
      </c>
      <c r="V26" s="343" t="s">
        <v>112</v>
      </c>
      <c r="W26" s="334" t="s">
        <v>20</v>
      </c>
      <c r="X26" s="334" t="s">
        <v>12</v>
      </c>
      <c r="Y26" s="344">
        <v>27.5</v>
      </c>
      <c r="Z26" s="343" t="s">
        <v>108</v>
      </c>
      <c r="AA26" s="334" t="s">
        <v>75</v>
      </c>
      <c r="AB26" s="334" t="s">
        <v>18</v>
      </c>
      <c r="AC26" s="344">
        <v>24.5</v>
      </c>
      <c r="AD26" s="343" t="s">
        <v>113</v>
      </c>
      <c r="AE26" s="334" t="s">
        <v>114</v>
      </c>
      <c r="AF26" s="334" t="s">
        <v>12</v>
      </c>
      <c r="AG26" s="344">
        <v>20.5</v>
      </c>
      <c r="AH26" s="334" t="s">
        <v>115</v>
      </c>
      <c r="AI26" s="334" t="s">
        <v>116</v>
      </c>
      <c r="AJ26" s="334" t="s">
        <v>12</v>
      </c>
      <c r="AK26" s="334">
        <v>3.5</v>
      </c>
      <c r="AL26" s="343" t="s">
        <v>110</v>
      </c>
      <c r="AM26" s="334" t="s">
        <v>90</v>
      </c>
      <c r="AN26" s="334" t="s">
        <v>11</v>
      </c>
      <c r="AO26" s="344">
        <v>6</v>
      </c>
      <c r="AP26" s="343"/>
      <c r="AS26" s="344"/>
      <c r="AW26" s="344"/>
      <c r="BA26" s="345"/>
    </row>
    <row r="27" spans="1:53" s="334" customFormat="1" x14ac:dyDescent="0.15">
      <c r="A27" s="386">
        <v>1969</v>
      </c>
      <c r="B27" s="355"/>
      <c r="C27" s="785" t="s">
        <v>351</v>
      </c>
      <c r="D27" s="785"/>
      <c r="E27" s="334">
        <v>0</v>
      </c>
      <c r="G27" s="419">
        <v>1</v>
      </c>
      <c r="H27" s="334">
        <v>4</v>
      </c>
      <c r="I27" s="334">
        <v>7</v>
      </c>
      <c r="J27" s="435">
        <v>12</v>
      </c>
      <c r="K27" s="384">
        <f t="shared" si="8"/>
        <v>8.3333333333333321</v>
      </c>
      <c r="L27" s="384">
        <f t="shared" si="9"/>
        <v>33.333333333333329</v>
      </c>
      <c r="M27" s="384">
        <f t="shared" si="10"/>
        <v>58.333333333333336</v>
      </c>
      <c r="N27" s="421">
        <f t="shared" si="3"/>
        <v>100</v>
      </c>
      <c r="O27" s="383">
        <v>6</v>
      </c>
      <c r="P27" s="384">
        <v>24.5</v>
      </c>
      <c r="Q27" s="384">
        <v>51.5</v>
      </c>
      <c r="R27" s="385">
        <f t="shared" si="4"/>
        <v>82</v>
      </c>
      <c r="S27" s="388">
        <v>3</v>
      </c>
      <c r="T27" s="342"/>
      <c r="U27" s="355"/>
      <c r="V27" s="343" t="s">
        <v>112</v>
      </c>
      <c r="W27" s="334" t="s">
        <v>20</v>
      </c>
      <c r="X27" s="334" t="s">
        <v>12</v>
      </c>
      <c r="Y27" s="344">
        <v>27.5</v>
      </c>
      <c r="Z27" s="343" t="s">
        <v>108</v>
      </c>
      <c r="AA27" s="334" t="s">
        <v>75</v>
      </c>
      <c r="AB27" s="334" t="s">
        <v>18</v>
      </c>
      <c r="AC27" s="344">
        <v>24.5</v>
      </c>
      <c r="AD27" s="343" t="s">
        <v>113</v>
      </c>
      <c r="AE27" s="334" t="s">
        <v>114</v>
      </c>
      <c r="AF27" s="334" t="s">
        <v>12</v>
      </c>
      <c r="AG27" s="344">
        <v>20.5</v>
      </c>
      <c r="AH27" s="334" t="s">
        <v>115</v>
      </c>
      <c r="AI27" s="334" t="s">
        <v>116</v>
      </c>
      <c r="AJ27" s="334" t="s">
        <v>12</v>
      </c>
      <c r="AK27" s="334">
        <v>3.5</v>
      </c>
      <c r="AL27" s="343" t="s">
        <v>110</v>
      </c>
      <c r="AM27" s="334" t="s">
        <v>90</v>
      </c>
      <c r="AN27" s="334" t="s">
        <v>11</v>
      </c>
      <c r="AO27" s="344">
        <v>6</v>
      </c>
      <c r="AP27" s="343"/>
      <c r="AS27" s="344"/>
      <c r="AW27" s="344"/>
      <c r="BA27" s="345"/>
    </row>
    <row r="28" spans="1:53" s="334" customFormat="1" x14ac:dyDescent="0.15">
      <c r="A28" s="386">
        <v>1968.5428571428599</v>
      </c>
      <c r="B28" s="355"/>
      <c r="C28" s="785" t="s">
        <v>351</v>
      </c>
      <c r="D28" s="785"/>
      <c r="E28" s="334">
        <v>365</v>
      </c>
      <c r="G28" s="419">
        <v>1</v>
      </c>
      <c r="H28" s="334">
        <v>4</v>
      </c>
      <c r="I28" s="334">
        <v>7</v>
      </c>
      <c r="J28" s="435">
        <v>12</v>
      </c>
      <c r="K28" s="384">
        <f t="shared" si="8"/>
        <v>8.3333333333333321</v>
      </c>
      <c r="L28" s="384">
        <f t="shared" si="9"/>
        <v>33.333333333333329</v>
      </c>
      <c r="M28" s="384">
        <f t="shared" si="10"/>
        <v>58.333333333333336</v>
      </c>
      <c r="N28" s="421">
        <f t="shared" si="3"/>
        <v>100</v>
      </c>
      <c r="O28" s="383">
        <v>6</v>
      </c>
      <c r="P28" s="384">
        <v>24.5</v>
      </c>
      <c r="Q28" s="384">
        <v>51.5</v>
      </c>
      <c r="R28" s="385">
        <f t="shared" si="4"/>
        <v>82</v>
      </c>
      <c r="S28" s="388">
        <v>3</v>
      </c>
      <c r="T28" s="342"/>
      <c r="U28" s="355"/>
      <c r="V28" s="343" t="s">
        <v>112</v>
      </c>
      <c r="W28" s="334" t="s">
        <v>20</v>
      </c>
      <c r="X28" s="334" t="s">
        <v>12</v>
      </c>
      <c r="Y28" s="344">
        <v>27.5</v>
      </c>
      <c r="Z28" s="343" t="s">
        <v>108</v>
      </c>
      <c r="AA28" s="334" t="s">
        <v>75</v>
      </c>
      <c r="AB28" s="334" t="s">
        <v>18</v>
      </c>
      <c r="AC28" s="344">
        <v>24.5</v>
      </c>
      <c r="AD28" s="343" t="s">
        <v>113</v>
      </c>
      <c r="AE28" s="334" t="s">
        <v>114</v>
      </c>
      <c r="AF28" s="334" t="s">
        <v>12</v>
      </c>
      <c r="AG28" s="344">
        <v>20.5</v>
      </c>
      <c r="AH28" s="334" t="s">
        <v>115</v>
      </c>
      <c r="AI28" s="334" t="s">
        <v>116</v>
      </c>
      <c r="AJ28" s="334" t="s">
        <v>12</v>
      </c>
      <c r="AK28" s="334">
        <v>3.5</v>
      </c>
      <c r="AL28" s="343" t="s">
        <v>110</v>
      </c>
      <c r="AM28" s="334" t="s">
        <v>90</v>
      </c>
      <c r="AN28" s="334" t="s">
        <v>11</v>
      </c>
      <c r="AO28" s="344">
        <v>6</v>
      </c>
      <c r="AP28" s="343"/>
      <c r="AS28" s="344"/>
      <c r="AW28" s="344"/>
      <c r="BA28" s="345"/>
    </row>
    <row r="29" spans="1:53" s="334" customFormat="1" x14ac:dyDescent="0.15">
      <c r="A29" s="386">
        <v>1970</v>
      </c>
      <c r="B29" s="355"/>
      <c r="C29" s="785" t="s">
        <v>351</v>
      </c>
      <c r="D29" s="785"/>
      <c r="E29" s="334">
        <v>133</v>
      </c>
      <c r="G29" s="419">
        <v>1</v>
      </c>
      <c r="H29" s="334">
        <v>4</v>
      </c>
      <c r="I29" s="334">
        <v>7</v>
      </c>
      <c r="J29" s="435">
        <v>12</v>
      </c>
      <c r="K29" s="384">
        <f t="shared" si="8"/>
        <v>8.3333333333333321</v>
      </c>
      <c r="L29" s="384">
        <f t="shared" si="9"/>
        <v>33.333333333333329</v>
      </c>
      <c r="M29" s="384">
        <f t="shared" si="10"/>
        <v>58.333333333333336</v>
      </c>
      <c r="N29" s="421">
        <f t="shared" si="3"/>
        <v>100</v>
      </c>
      <c r="O29" s="383">
        <v>6</v>
      </c>
      <c r="P29" s="384">
        <v>24.5</v>
      </c>
      <c r="Q29" s="384">
        <v>51.5</v>
      </c>
      <c r="R29" s="385">
        <f t="shared" si="4"/>
        <v>82</v>
      </c>
      <c r="S29" s="388">
        <v>3</v>
      </c>
      <c r="T29" s="342"/>
      <c r="U29" s="355"/>
      <c r="V29" s="343" t="s">
        <v>112</v>
      </c>
      <c r="W29" s="334" t="s">
        <v>20</v>
      </c>
      <c r="X29" s="334" t="s">
        <v>12</v>
      </c>
      <c r="Y29" s="344">
        <v>27.5</v>
      </c>
      <c r="Z29" s="343" t="s">
        <v>108</v>
      </c>
      <c r="AA29" s="334" t="s">
        <v>75</v>
      </c>
      <c r="AB29" s="334" t="s">
        <v>18</v>
      </c>
      <c r="AC29" s="344">
        <v>24.5</v>
      </c>
      <c r="AD29" s="343" t="s">
        <v>113</v>
      </c>
      <c r="AE29" s="334" t="s">
        <v>114</v>
      </c>
      <c r="AF29" s="334" t="s">
        <v>12</v>
      </c>
      <c r="AG29" s="344">
        <v>20.5</v>
      </c>
      <c r="AH29" s="334" t="s">
        <v>115</v>
      </c>
      <c r="AI29" s="334" t="s">
        <v>116</v>
      </c>
      <c r="AJ29" s="334" t="s">
        <v>12</v>
      </c>
      <c r="AK29" s="334">
        <v>3.5</v>
      </c>
      <c r="AL29" s="343" t="s">
        <v>110</v>
      </c>
      <c r="AM29" s="334" t="s">
        <v>90</v>
      </c>
      <c r="AN29" s="334" t="s">
        <v>11</v>
      </c>
      <c r="AO29" s="344">
        <v>6</v>
      </c>
      <c r="AP29" s="343"/>
      <c r="AS29" s="344"/>
      <c r="AW29" s="344"/>
      <c r="BA29" s="345"/>
    </row>
    <row r="30" spans="1:53" s="73" customFormat="1" x14ac:dyDescent="0.15">
      <c r="A30" s="102">
        <v>1970</v>
      </c>
      <c r="B30" s="85">
        <v>25702</v>
      </c>
      <c r="C30" s="786" t="s">
        <v>353</v>
      </c>
      <c r="D30" s="786"/>
      <c r="E30" s="73">
        <v>62</v>
      </c>
      <c r="F30" s="73">
        <v>1</v>
      </c>
      <c r="G30" s="123">
        <v>1</v>
      </c>
      <c r="H30" s="73">
        <v>4</v>
      </c>
      <c r="I30" s="73">
        <v>7</v>
      </c>
      <c r="J30" s="134">
        <v>12</v>
      </c>
      <c r="K30" s="92">
        <f>G30/J30*100</f>
        <v>8.3333333333333321</v>
      </c>
      <c r="L30" s="92">
        <f>H30/J30*100</f>
        <v>33.333333333333329</v>
      </c>
      <c r="M30" s="92">
        <f>I30/J30*100</f>
        <v>58.333333333333336</v>
      </c>
      <c r="N30" s="125">
        <f t="shared" si="3"/>
        <v>100</v>
      </c>
      <c r="O30" s="91">
        <v>24.5</v>
      </c>
      <c r="P30" s="92">
        <v>22.5</v>
      </c>
      <c r="Q30" s="92">
        <v>25.5</v>
      </c>
      <c r="R30" s="93">
        <f t="shared" si="4"/>
        <v>72.5</v>
      </c>
      <c r="S30" s="97">
        <v>6</v>
      </c>
      <c r="T30" s="95">
        <v>25642</v>
      </c>
      <c r="U30" s="85">
        <v>25702</v>
      </c>
      <c r="V30" s="82" t="s">
        <v>108</v>
      </c>
      <c r="W30" s="73" t="s">
        <v>75</v>
      </c>
      <c r="X30" s="73" t="s">
        <v>18</v>
      </c>
      <c r="Y30" s="83">
        <v>18.5</v>
      </c>
      <c r="Z30" s="82" t="s">
        <v>112</v>
      </c>
      <c r="AA30" s="73" t="s">
        <v>20</v>
      </c>
      <c r="AB30" s="73" t="s">
        <v>12</v>
      </c>
      <c r="AC30" s="83">
        <v>25.5</v>
      </c>
      <c r="AD30" s="82" t="s">
        <v>109</v>
      </c>
      <c r="AE30" s="73" t="s">
        <v>74</v>
      </c>
      <c r="AF30" s="73" t="s">
        <v>11</v>
      </c>
      <c r="AG30" s="83">
        <v>18.5</v>
      </c>
      <c r="AH30" s="82" t="s">
        <v>110</v>
      </c>
      <c r="AI30" s="73" t="s">
        <v>90</v>
      </c>
      <c r="AJ30" s="73" t="s">
        <v>11</v>
      </c>
      <c r="AK30" s="83">
        <v>6</v>
      </c>
      <c r="AL30" s="73" t="s">
        <v>111</v>
      </c>
      <c r="AM30" s="73" t="s">
        <v>22</v>
      </c>
      <c r="AN30" s="73" t="s">
        <v>18</v>
      </c>
      <c r="AO30" s="73">
        <v>4</v>
      </c>
      <c r="AP30" s="82"/>
      <c r="AS30" s="83"/>
      <c r="AW30" s="83"/>
      <c r="BA30" s="84"/>
    </row>
    <row r="31" spans="1:53" s="334" customFormat="1" x14ac:dyDescent="0.15">
      <c r="A31" s="386">
        <v>1970</v>
      </c>
      <c r="B31" s="355">
        <v>25764</v>
      </c>
      <c r="C31" s="785" t="s">
        <v>354</v>
      </c>
      <c r="D31" s="785"/>
      <c r="E31" s="334">
        <v>170</v>
      </c>
      <c r="F31" s="334">
        <v>6</v>
      </c>
      <c r="G31" s="419">
        <v>2</v>
      </c>
      <c r="H31" s="334">
        <v>6</v>
      </c>
      <c r="I31" s="334">
        <v>5</v>
      </c>
      <c r="J31" s="435">
        <v>13</v>
      </c>
      <c r="K31" s="384">
        <f>G31/J31*100</f>
        <v>15.384615384615385</v>
      </c>
      <c r="L31" s="384">
        <f>H31/J31*100</f>
        <v>46.153846153846153</v>
      </c>
      <c r="M31" s="384">
        <f>I31/J31*100</f>
        <v>38.461538461538467</v>
      </c>
      <c r="N31" s="421">
        <f t="shared" si="3"/>
        <v>100</v>
      </c>
      <c r="O31" s="383">
        <v>6</v>
      </c>
      <c r="P31" s="384">
        <v>22.5</v>
      </c>
      <c r="Q31" s="384">
        <v>43.5</v>
      </c>
      <c r="R31" s="385">
        <f t="shared" si="4"/>
        <v>72</v>
      </c>
      <c r="S31" s="388">
        <v>3</v>
      </c>
      <c r="T31" s="342"/>
      <c r="U31" s="355">
        <v>25764</v>
      </c>
      <c r="V31" s="343" t="s">
        <v>108</v>
      </c>
      <c r="W31" s="334" t="s">
        <v>75</v>
      </c>
      <c r="X31" s="334" t="s">
        <v>18</v>
      </c>
      <c r="Y31" s="344">
        <v>18.5</v>
      </c>
      <c r="Z31" s="343" t="s">
        <v>112</v>
      </c>
      <c r="AA31" s="334" t="s">
        <v>20</v>
      </c>
      <c r="AB31" s="334" t="s">
        <v>12</v>
      </c>
      <c r="AC31" s="344">
        <v>25.5</v>
      </c>
      <c r="AD31" s="343" t="s">
        <v>113</v>
      </c>
      <c r="AE31" s="334" t="s">
        <v>114</v>
      </c>
      <c r="AF31" s="334" t="s">
        <v>12</v>
      </c>
      <c r="AG31" s="344">
        <v>18</v>
      </c>
      <c r="AH31" s="343" t="s">
        <v>110</v>
      </c>
      <c r="AI31" s="334" t="s">
        <v>90</v>
      </c>
      <c r="AJ31" s="334" t="s">
        <v>11</v>
      </c>
      <c r="AK31" s="344">
        <v>6</v>
      </c>
      <c r="AL31" s="334" t="s">
        <v>111</v>
      </c>
      <c r="AM31" s="334" t="s">
        <v>22</v>
      </c>
      <c r="AN31" s="334" t="s">
        <v>18</v>
      </c>
      <c r="AO31" s="334">
        <v>4</v>
      </c>
      <c r="AP31" s="343"/>
      <c r="AS31" s="344"/>
      <c r="AW31" s="344"/>
      <c r="BA31" s="345"/>
    </row>
    <row r="32" spans="1:53" s="334" customFormat="1" x14ac:dyDescent="0.15">
      <c r="A32" s="386">
        <v>1971</v>
      </c>
      <c r="B32" s="355"/>
      <c r="C32" s="785" t="s">
        <v>354</v>
      </c>
      <c r="D32" s="785"/>
      <c r="E32" s="334">
        <v>84</v>
      </c>
      <c r="G32" s="419">
        <v>2</v>
      </c>
      <c r="H32" s="334">
        <v>6</v>
      </c>
      <c r="I32" s="334">
        <v>5</v>
      </c>
      <c r="J32" s="435">
        <v>13</v>
      </c>
      <c r="K32" s="384">
        <f t="shared" ref="K32:K39" si="11">G32/J32*100</f>
        <v>15.384615384615385</v>
      </c>
      <c r="L32" s="384">
        <f t="shared" ref="L32:L39" si="12">H32/J32*100</f>
        <v>46.153846153846153</v>
      </c>
      <c r="M32" s="384">
        <f t="shared" ref="M32:M39" si="13">I32/J32*100</f>
        <v>38.461538461538467</v>
      </c>
      <c r="N32" s="421">
        <f t="shared" si="3"/>
        <v>100</v>
      </c>
      <c r="O32" s="383">
        <v>6</v>
      </c>
      <c r="P32" s="384">
        <v>22.5</v>
      </c>
      <c r="Q32" s="384">
        <v>43.5</v>
      </c>
      <c r="R32" s="385">
        <f t="shared" si="4"/>
        <v>72</v>
      </c>
      <c r="S32" s="388">
        <v>3</v>
      </c>
      <c r="T32" s="342"/>
      <c r="U32" s="355"/>
      <c r="V32" s="343" t="s">
        <v>108</v>
      </c>
      <c r="W32" s="334" t="s">
        <v>75</v>
      </c>
      <c r="X32" s="334" t="s">
        <v>18</v>
      </c>
      <c r="Y32" s="344">
        <v>18.5</v>
      </c>
      <c r="Z32" s="343" t="s">
        <v>112</v>
      </c>
      <c r="AA32" s="334" t="s">
        <v>20</v>
      </c>
      <c r="AB32" s="334" t="s">
        <v>12</v>
      </c>
      <c r="AC32" s="344">
        <v>25.5</v>
      </c>
      <c r="AD32" s="343" t="s">
        <v>113</v>
      </c>
      <c r="AE32" s="334" t="s">
        <v>114</v>
      </c>
      <c r="AF32" s="334" t="s">
        <v>12</v>
      </c>
      <c r="AG32" s="344">
        <v>18</v>
      </c>
      <c r="AH32" s="343" t="s">
        <v>110</v>
      </c>
      <c r="AI32" s="334" t="s">
        <v>90</v>
      </c>
      <c r="AJ32" s="334" t="s">
        <v>11</v>
      </c>
      <c r="AK32" s="344">
        <v>6</v>
      </c>
      <c r="AL32" s="334" t="s">
        <v>111</v>
      </c>
      <c r="AM32" s="334" t="s">
        <v>22</v>
      </c>
      <c r="AN32" s="334" t="s">
        <v>18</v>
      </c>
      <c r="AO32" s="334">
        <v>4</v>
      </c>
      <c r="AP32" s="343"/>
      <c r="AS32" s="344"/>
      <c r="AW32" s="344"/>
      <c r="BA32" s="345"/>
    </row>
    <row r="33" spans="1:53" s="73" customFormat="1" x14ac:dyDescent="0.15">
      <c r="A33" s="102">
        <v>1971</v>
      </c>
      <c r="B33" s="85">
        <v>26018</v>
      </c>
      <c r="C33" s="786" t="s">
        <v>355</v>
      </c>
      <c r="D33" s="786"/>
      <c r="E33" s="73">
        <v>217</v>
      </c>
      <c r="F33" s="73">
        <v>4</v>
      </c>
      <c r="G33" s="123">
        <v>2</v>
      </c>
      <c r="H33" s="73">
        <v>6</v>
      </c>
      <c r="I33" s="73">
        <v>6</v>
      </c>
      <c r="J33" s="134">
        <v>14</v>
      </c>
      <c r="K33" s="92">
        <f>G33/J33*100</f>
        <v>14.285714285714285</v>
      </c>
      <c r="L33" s="92">
        <f>H33/J33*100</f>
        <v>42.857142857142854</v>
      </c>
      <c r="M33" s="92">
        <f>I33/J33*100</f>
        <v>42.857142857142854</v>
      </c>
      <c r="N33" s="125">
        <f t="shared" si="3"/>
        <v>100</v>
      </c>
      <c r="O33" s="91">
        <v>6</v>
      </c>
      <c r="P33" s="92">
        <v>22.5</v>
      </c>
      <c r="Q33" s="92">
        <v>25.5</v>
      </c>
      <c r="R33" s="93">
        <f t="shared" si="4"/>
        <v>54</v>
      </c>
      <c r="S33" s="97">
        <v>3</v>
      </c>
      <c r="T33" s="95"/>
      <c r="U33" s="85">
        <v>26018</v>
      </c>
      <c r="V33" s="82" t="s">
        <v>108</v>
      </c>
      <c r="W33" s="73" t="s">
        <v>75</v>
      </c>
      <c r="X33" s="73" t="s">
        <v>18</v>
      </c>
      <c r="Y33" s="83">
        <v>18.5</v>
      </c>
      <c r="Z33" s="82" t="s">
        <v>112</v>
      </c>
      <c r="AA33" s="73" t="s">
        <v>20</v>
      </c>
      <c r="AB33" s="73" t="s">
        <v>12</v>
      </c>
      <c r="AC33" s="83">
        <v>25.5</v>
      </c>
      <c r="AD33" s="82" t="s">
        <v>110</v>
      </c>
      <c r="AE33" s="73" t="s">
        <v>90</v>
      </c>
      <c r="AF33" s="73" t="s">
        <v>11</v>
      </c>
      <c r="AG33" s="83">
        <v>6</v>
      </c>
      <c r="AH33" s="73" t="s">
        <v>111</v>
      </c>
      <c r="AI33" s="73" t="s">
        <v>22</v>
      </c>
      <c r="AJ33" s="73" t="s">
        <v>18</v>
      </c>
      <c r="AK33" s="73">
        <v>4</v>
      </c>
      <c r="AL33" s="82"/>
      <c r="AO33" s="83"/>
      <c r="AP33" s="82"/>
      <c r="AS33" s="83"/>
      <c r="AW33" s="83"/>
      <c r="BA33" s="84"/>
    </row>
    <row r="34" spans="1:53" s="334" customFormat="1" x14ac:dyDescent="0.15">
      <c r="A34" s="386">
        <v>1971</v>
      </c>
      <c r="B34" s="355">
        <v>26235</v>
      </c>
      <c r="C34" s="785" t="s">
        <v>356</v>
      </c>
      <c r="D34" s="785"/>
      <c r="E34" s="334">
        <v>64</v>
      </c>
      <c r="F34" s="334">
        <v>4</v>
      </c>
      <c r="G34" s="419">
        <v>1</v>
      </c>
      <c r="H34" s="334">
        <v>4</v>
      </c>
      <c r="I34" s="334">
        <v>3</v>
      </c>
      <c r="J34" s="435">
        <v>13</v>
      </c>
      <c r="K34" s="384">
        <f t="shared" si="11"/>
        <v>7.6923076923076925</v>
      </c>
      <c r="L34" s="384">
        <f t="shared" si="12"/>
        <v>30.76923076923077</v>
      </c>
      <c r="M34" s="384">
        <f t="shared" si="13"/>
        <v>23.076923076923077</v>
      </c>
      <c r="N34" s="421">
        <f t="shared" si="3"/>
        <v>61.538461538461533</v>
      </c>
      <c r="O34" s="383">
        <v>18.5</v>
      </c>
      <c r="P34" s="384">
        <v>22.5</v>
      </c>
      <c r="Q34" s="384">
        <v>25.5</v>
      </c>
      <c r="R34" s="385">
        <f t="shared" si="4"/>
        <v>66.5</v>
      </c>
      <c r="S34" s="388">
        <v>6</v>
      </c>
      <c r="T34" s="342"/>
      <c r="U34" s="355">
        <v>26235</v>
      </c>
      <c r="V34" s="343" t="s">
        <v>108</v>
      </c>
      <c r="W34" s="334" t="s">
        <v>75</v>
      </c>
      <c r="X34" s="334" t="s">
        <v>18</v>
      </c>
      <c r="Y34" s="344">
        <v>18.5</v>
      </c>
      <c r="Z34" s="343" t="s">
        <v>112</v>
      </c>
      <c r="AA34" s="334" t="s">
        <v>20</v>
      </c>
      <c r="AB34" s="334" t="s">
        <v>12</v>
      </c>
      <c r="AC34" s="344">
        <v>25.5</v>
      </c>
      <c r="AD34" s="343" t="s">
        <v>109</v>
      </c>
      <c r="AE34" s="334" t="s">
        <v>74</v>
      </c>
      <c r="AF34" s="334" t="s">
        <v>11</v>
      </c>
      <c r="AG34" s="344">
        <v>18.5</v>
      </c>
      <c r="AH34" s="334" t="s">
        <v>111</v>
      </c>
      <c r="AI34" s="334" t="s">
        <v>22</v>
      </c>
      <c r="AJ34" s="334" t="s">
        <v>18</v>
      </c>
      <c r="AK34" s="334">
        <v>4</v>
      </c>
      <c r="AL34" s="343"/>
      <c r="AO34" s="344"/>
      <c r="AP34" s="343"/>
      <c r="AS34" s="344"/>
      <c r="AW34" s="344"/>
      <c r="BA34" s="345"/>
    </row>
    <row r="35" spans="1:53" s="334" customFormat="1" x14ac:dyDescent="0.15">
      <c r="A35" s="386">
        <v>1972</v>
      </c>
      <c r="B35" s="355"/>
      <c r="C35" s="785" t="s">
        <v>356</v>
      </c>
      <c r="D35" s="785"/>
      <c r="E35" s="334">
        <v>53</v>
      </c>
      <c r="G35" s="419">
        <v>1</v>
      </c>
      <c r="H35" s="334">
        <v>4</v>
      </c>
      <c r="I35" s="334">
        <v>3</v>
      </c>
      <c r="J35" s="435">
        <v>13</v>
      </c>
      <c r="K35" s="384">
        <f t="shared" si="11"/>
        <v>7.6923076923076925</v>
      </c>
      <c r="L35" s="384">
        <f t="shared" si="12"/>
        <v>30.76923076923077</v>
      </c>
      <c r="M35" s="384">
        <f t="shared" si="13"/>
        <v>23.076923076923077</v>
      </c>
      <c r="N35" s="421">
        <f t="shared" si="3"/>
        <v>61.538461538461533</v>
      </c>
      <c r="O35" s="383">
        <v>18.5</v>
      </c>
      <c r="P35" s="384">
        <v>22.5</v>
      </c>
      <c r="Q35" s="384">
        <v>25.5</v>
      </c>
      <c r="R35" s="385">
        <f t="shared" si="4"/>
        <v>66.5</v>
      </c>
      <c r="S35" s="388">
        <v>6</v>
      </c>
      <c r="T35" s="342"/>
      <c r="U35" s="355"/>
      <c r="V35" s="343" t="s">
        <v>108</v>
      </c>
      <c r="W35" s="334" t="s">
        <v>75</v>
      </c>
      <c r="X35" s="334" t="s">
        <v>18</v>
      </c>
      <c r="Y35" s="344">
        <v>18.5</v>
      </c>
      <c r="Z35" s="343" t="s">
        <v>112</v>
      </c>
      <c r="AA35" s="334" t="s">
        <v>20</v>
      </c>
      <c r="AB35" s="334" t="s">
        <v>12</v>
      </c>
      <c r="AC35" s="344">
        <v>25.5</v>
      </c>
      <c r="AD35" s="343" t="s">
        <v>109</v>
      </c>
      <c r="AE35" s="334" t="s">
        <v>74</v>
      </c>
      <c r="AF35" s="334" t="s">
        <v>11</v>
      </c>
      <c r="AG35" s="344">
        <v>18.5</v>
      </c>
      <c r="AH35" s="334" t="s">
        <v>111</v>
      </c>
      <c r="AI35" s="334" t="s">
        <v>22</v>
      </c>
      <c r="AJ35" s="334" t="s">
        <v>18</v>
      </c>
      <c r="AK35" s="334">
        <v>4</v>
      </c>
      <c r="AL35" s="343"/>
      <c r="AO35" s="344"/>
      <c r="AP35" s="343"/>
      <c r="AS35" s="344"/>
      <c r="AW35" s="344"/>
      <c r="BA35" s="345"/>
    </row>
    <row r="36" spans="1:53" s="73" customFormat="1" x14ac:dyDescent="0.15">
      <c r="A36" s="102">
        <v>1972</v>
      </c>
      <c r="B36" s="85">
        <v>26352</v>
      </c>
      <c r="C36" s="786" t="s">
        <v>357</v>
      </c>
      <c r="D36" s="786"/>
      <c r="E36" s="73">
        <v>194</v>
      </c>
      <c r="F36" s="73">
        <v>1</v>
      </c>
      <c r="G36" s="123"/>
      <c r="I36" s="73">
        <v>14</v>
      </c>
      <c r="J36" s="134">
        <v>14</v>
      </c>
      <c r="K36" s="92">
        <f>G36/J36*100</f>
        <v>0</v>
      </c>
      <c r="L36" s="92">
        <f>H36/J36*100</f>
        <v>0</v>
      </c>
      <c r="M36" s="92">
        <f>I36/J36*100</f>
        <v>100</v>
      </c>
      <c r="N36" s="125">
        <f t="shared" si="3"/>
        <v>100</v>
      </c>
      <c r="O36" s="91"/>
      <c r="P36" s="92"/>
      <c r="Q36" s="92">
        <v>27.5</v>
      </c>
      <c r="R36" s="93">
        <f t="shared" si="4"/>
        <v>27.5</v>
      </c>
      <c r="S36" s="97">
        <v>4</v>
      </c>
      <c r="T36" s="95">
        <v>26300</v>
      </c>
      <c r="U36" s="85">
        <v>26352</v>
      </c>
      <c r="V36" s="82" t="s">
        <v>112</v>
      </c>
      <c r="W36" s="73" t="s">
        <v>20</v>
      </c>
      <c r="X36" s="73" t="s">
        <v>12</v>
      </c>
      <c r="Y36" s="83">
        <v>27.5</v>
      </c>
      <c r="Z36" s="82"/>
      <c r="AC36" s="83"/>
      <c r="AD36" s="82"/>
      <c r="AG36" s="83"/>
      <c r="AL36" s="82"/>
      <c r="AO36" s="83"/>
      <c r="AP36" s="82"/>
      <c r="AS36" s="83"/>
      <c r="AW36" s="83"/>
      <c r="BA36" s="84"/>
    </row>
    <row r="37" spans="1:53" s="334" customFormat="1" x14ac:dyDescent="0.15">
      <c r="A37" s="386">
        <v>1972</v>
      </c>
      <c r="B37" s="355">
        <v>26546</v>
      </c>
      <c r="C37" s="785" t="s">
        <v>358</v>
      </c>
      <c r="D37" s="785"/>
      <c r="E37" s="334">
        <v>119</v>
      </c>
      <c r="F37" s="334">
        <v>2</v>
      </c>
      <c r="G37" s="419">
        <v>2</v>
      </c>
      <c r="H37" s="334">
        <v>6</v>
      </c>
      <c r="I37" s="334">
        <v>7</v>
      </c>
      <c r="J37" s="435">
        <v>16</v>
      </c>
      <c r="K37" s="384">
        <f t="shared" si="11"/>
        <v>12.5</v>
      </c>
      <c r="L37" s="384">
        <f t="shared" si="12"/>
        <v>37.5</v>
      </c>
      <c r="M37" s="384">
        <f t="shared" si="13"/>
        <v>43.75</v>
      </c>
      <c r="N37" s="421">
        <f t="shared" si="3"/>
        <v>93.75</v>
      </c>
      <c r="O37" s="383">
        <v>5</v>
      </c>
      <c r="P37" s="384">
        <v>21</v>
      </c>
      <c r="Q37" s="384">
        <v>27.5</v>
      </c>
      <c r="R37" s="385">
        <f t="shared" si="4"/>
        <v>53.5</v>
      </c>
      <c r="S37" s="388">
        <v>2</v>
      </c>
      <c r="T37" s="342"/>
      <c r="U37" s="355">
        <v>26546</v>
      </c>
      <c r="V37" s="343" t="s">
        <v>112</v>
      </c>
      <c r="W37" s="334" t="s">
        <v>20</v>
      </c>
      <c r="X37" s="334" t="s">
        <v>12</v>
      </c>
      <c r="Y37" s="344">
        <v>27.5</v>
      </c>
      <c r="Z37" s="343" t="s">
        <v>108</v>
      </c>
      <c r="AA37" s="334" t="s">
        <v>75</v>
      </c>
      <c r="AB37" s="334" t="s">
        <v>18</v>
      </c>
      <c r="AC37" s="344">
        <v>17.5</v>
      </c>
      <c r="AD37" s="343" t="s">
        <v>110</v>
      </c>
      <c r="AE37" s="334" t="s">
        <v>90</v>
      </c>
      <c r="AF37" s="334" t="s">
        <v>11</v>
      </c>
      <c r="AG37" s="344">
        <v>5</v>
      </c>
      <c r="AH37" s="334" t="s">
        <v>111</v>
      </c>
      <c r="AI37" s="334" t="s">
        <v>22</v>
      </c>
      <c r="AJ37" s="334" t="s">
        <v>18</v>
      </c>
      <c r="AK37" s="334">
        <v>3.5</v>
      </c>
      <c r="AL37" s="343"/>
      <c r="AO37" s="344"/>
      <c r="AP37" s="343"/>
      <c r="AS37" s="344"/>
      <c r="AW37" s="344"/>
      <c r="BA37" s="345"/>
    </row>
    <row r="38" spans="1:53" s="334" customFormat="1" x14ac:dyDescent="0.15">
      <c r="A38" s="386">
        <v>1973</v>
      </c>
      <c r="B38" s="355"/>
      <c r="C38" s="785" t="s">
        <v>358</v>
      </c>
      <c r="D38" s="785"/>
      <c r="E38" s="334">
        <v>0</v>
      </c>
      <c r="G38" s="419">
        <v>2</v>
      </c>
      <c r="H38" s="334">
        <v>6</v>
      </c>
      <c r="I38" s="334">
        <v>7</v>
      </c>
      <c r="J38" s="435">
        <v>16</v>
      </c>
      <c r="K38" s="384">
        <f t="shared" si="11"/>
        <v>12.5</v>
      </c>
      <c r="L38" s="384">
        <f t="shared" si="12"/>
        <v>37.5</v>
      </c>
      <c r="M38" s="384">
        <f t="shared" si="13"/>
        <v>43.75</v>
      </c>
      <c r="N38" s="421">
        <f t="shared" si="3"/>
        <v>93.75</v>
      </c>
      <c r="O38" s="383">
        <v>5</v>
      </c>
      <c r="P38" s="384">
        <v>21</v>
      </c>
      <c r="Q38" s="384">
        <v>27.5</v>
      </c>
      <c r="R38" s="385">
        <f t="shared" si="4"/>
        <v>53.5</v>
      </c>
      <c r="S38" s="388">
        <v>2</v>
      </c>
      <c r="T38" s="342"/>
      <c r="U38" s="355"/>
      <c r="V38" s="343" t="s">
        <v>112</v>
      </c>
      <c r="W38" s="334" t="s">
        <v>20</v>
      </c>
      <c r="X38" s="334" t="s">
        <v>12</v>
      </c>
      <c r="Y38" s="344">
        <v>27.5</v>
      </c>
      <c r="Z38" s="343" t="s">
        <v>108</v>
      </c>
      <c r="AA38" s="334" t="s">
        <v>75</v>
      </c>
      <c r="AB38" s="334" t="s">
        <v>18</v>
      </c>
      <c r="AC38" s="344">
        <v>17.5</v>
      </c>
      <c r="AD38" s="343" t="s">
        <v>110</v>
      </c>
      <c r="AE38" s="334" t="s">
        <v>90</v>
      </c>
      <c r="AF38" s="334" t="s">
        <v>11</v>
      </c>
      <c r="AG38" s="344">
        <v>5</v>
      </c>
      <c r="AH38" s="334" t="s">
        <v>111</v>
      </c>
      <c r="AI38" s="334" t="s">
        <v>22</v>
      </c>
      <c r="AJ38" s="334" t="s">
        <v>18</v>
      </c>
      <c r="AK38" s="334">
        <v>3.5</v>
      </c>
      <c r="AL38" s="343"/>
      <c r="AO38" s="344"/>
      <c r="AP38" s="343"/>
      <c r="AS38" s="344"/>
      <c r="AW38" s="344"/>
      <c r="BA38" s="345"/>
    </row>
    <row r="39" spans="1:53" s="334" customFormat="1" x14ac:dyDescent="0.15">
      <c r="A39" s="386">
        <v>1973</v>
      </c>
      <c r="B39" s="355"/>
      <c r="C39" s="785" t="s">
        <v>358</v>
      </c>
      <c r="D39" s="785"/>
      <c r="E39" s="334">
        <v>365</v>
      </c>
      <c r="G39" s="419">
        <v>2</v>
      </c>
      <c r="H39" s="334">
        <v>6</v>
      </c>
      <c r="I39" s="334">
        <v>7</v>
      </c>
      <c r="J39" s="435">
        <v>16</v>
      </c>
      <c r="K39" s="384">
        <f t="shared" si="11"/>
        <v>12.5</v>
      </c>
      <c r="L39" s="384">
        <f t="shared" si="12"/>
        <v>37.5</v>
      </c>
      <c r="M39" s="384">
        <f t="shared" si="13"/>
        <v>43.75</v>
      </c>
      <c r="N39" s="421">
        <f t="shared" si="3"/>
        <v>93.75</v>
      </c>
      <c r="O39" s="383">
        <v>5</v>
      </c>
      <c r="P39" s="384">
        <v>21</v>
      </c>
      <c r="Q39" s="384">
        <v>27.5</v>
      </c>
      <c r="R39" s="385">
        <f t="shared" si="4"/>
        <v>53.5</v>
      </c>
      <c r="S39" s="388">
        <v>2</v>
      </c>
      <c r="T39" s="342"/>
      <c r="U39" s="355"/>
      <c r="V39" s="343" t="s">
        <v>112</v>
      </c>
      <c r="W39" s="334" t="s">
        <v>20</v>
      </c>
      <c r="X39" s="334" t="s">
        <v>12</v>
      </c>
      <c r="Y39" s="344">
        <v>27.5</v>
      </c>
      <c r="Z39" s="343" t="s">
        <v>108</v>
      </c>
      <c r="AA39" s="334" t="s">
        <v>75</v>
      </c>
      <c r="AB39" s="334" t="s">
        <v>18</v>
      </c>
      <c r="AC39" s="344">
        <v>17.5</v>
      </c>
      <c r="AD39" s="343" t="s">
        <v>110</v>
      </c>
      <c r="AE39" s="334" t="s">
        <v>90</v>
      </c>
      <c r="AF39" s="334" t="s">
        <v>11</v>
      </c>
      <c r="AG39" s="344">
        <v>5</v>
      </c>
      <c r="AH39" s="334" t="s">
        <v>111</v>
      </c>
      <c r="AI39" s="334" t="s">
        <v>22</v>
      </c>
      <c r="AJ39" s="334" t="s">
        <v>18</v>
      </c>
      <c r="AK39" s="334">
        <v>3.5</v>
      </c>
      <c r="AL39" s="343"/>
      <c r="AO39" s="344"/>
      <c r="AP39" s="343"/>
      <c r="AS39" s="344"/>
      <c r="AW39" s="344"/>
      <c r="BA39" s="345"/>
    </row>
    <row r="40" spans="1:53" s="334" customFormat="1" x14ac:dyDescent="0.15">
      <c r="A40" s="386">
        <v>1974</v>
      </c>
      <c r="B40" s="355"/>
      <c r="C40" s="785" t="s">
        <v>358</v>
      </c>
      <c r="D40" s="785"/>
      <c r="E40" s="334">
        <v>0</v>
      </c>
      <c r="G40" s="419">
        <v>2</v>
      </c>
      <c r="H40" s="334">
        <v>6</v>
      </c>
      <c r="I40" s="334">
        <v>7</v>
      </c>
      <c r="J40" s="435">
        <v>16</v>
      </c>
      <c r="K40" s="384">
        <f>G40/J40*100</f>
        <v>12.5</v>
      </c>
      <c r="L40" s="384">
        <f>H40/J40*100</f>
        <v>37.5</v>
      </c>
      <c r="M40" s="384">
        <f>I40/J40*100</f>
        <v>43.75</v>
      </c>
      <c r="N40" s="421">
        <f t="shared" si="3"/>
        <v>93.75</v>
      </c>
      <c r="O40" s="383">
        <v>5</v>
      </c>
      <c r="P40" s="384">
        <v>21</v>
      </c>
      <c r="Q40" s="384">
        <v>27.5</v>
      </c>
      <c r="R40" s="385">
        <f t="shared" si="4"/>
        <v>53.5</v>
      </c>
      <c r="S40" s="388">
        <v>2</v>
      </c>
      <c r="T40" s="342"/>
      <c r="U40" s="355"/>
      <c r="V40" s="343" t="s">
        <v>112</v>
      </c>
      <c r="W40" s="334" t="s">
        <v>20</v>
      </c>
      <c r="X40" s="334" t="s">
        <v>12</v>
      </c>
      <c r="Y40" s="344">
        <v>27.5</v>
      </c>
      <c r="Z40" s="343" t="s">
        <v>108</v>
      </c>
      <c r="AA40" s="334" t="s">
        <v>75</v>
      </c>
      <c r="AB40" s="334" t="s">
        <v>18</v>
      </c>
      <c r="AC40" s="344">
        <v>17.5</v>
      </c>
      <c r="AD40" s="343" t="s">
        <v>110</v>
      </c>
      <c r="AE40" s="334" t="s">
        <v>90</v>
      </c>
      <c r="AF40" s="334" t="s">
        <v>11</v>
      </c>
      <c r="AG40" s="344">
        <v>5</v>
      </c>
      <c r="AH40" s="334" t="s">
        <v>111</v>
      </c>
      <c r="AI40" s="334" t="s">
        <v>22</v>
      </c>
      <c r="AJ40" s="334" t="s">
        <v>18</v>
      </c>
      <c r="AK40" s="334">
        <v>3.5</v>
      </c>
      <c r="AL40" s="343"/>
      <c r="AO40" s="344"/>
      <c r="AP40" s="343"/>
      <c r="AS40" s="344"/>
      <c r="AW40" s="344"/>
      <c r="BA40" s="345"/>
    </row>
    <row r="41" spans="1:53" s="334" customFormat="1" x14ac:dyDescent="0.15">
      <c r="A41" s="386">
        <v>1974</v>
      </c>
      <c r="B41" s="355"/>
      <c r="C41" s="785" t="s">
        <v>358</v>
      </c>
      <c r="D41" s="785"/>
      <c r="E41" s="334">
        <v>365</v>
      </c>
      <c r="G41" s="419">
        <v>2</v>
      </c>
      <c r="H41" s="334">
        <v>6</v>
      </c>
      <c r="I41" s="334">
        <v>7</v>
      </c>
      <c r="J41" s="435">
        <v>16</v>
      </c>
      <c r="K41" s="384">
        <f t="shared" ref="K41:K47" si="14">G41/J41*100</f>
        <v>12.5</v>
      </c>
      <c r="L41" s="384">
        <f t="shared" ref="L41:L47" si="15">H41/J41*100</f>
        <v>37.5</v>
      </c>
      <c r="M41" s="384">
        <f t="shared" ref="M41:M47" si="16">I41/J41*100</f>
        <v>43.75</v>
      </c>
      <c r="N41" s="421">
        <f t="shared" si="3"/>
        <v>93.75</v>
      </c>
      <c r="O41" s="383">
        <v>5</v>
      </c>
      <c r="P41" s="384">
        <v>21</v>
      </c>
      <c r="Q41" s="384">
        <v>27.5</v>
      </c>
      <c r="R41" s="385">
        <f t="shared" si="4"/>
        <v>53.5</v>
      </c>
      <c r="S41" s="388">
        <v>2</v>
      </c>
      <c r="T41" s="342"/>
      <c r="U41" s="355"/>
      <c r="V41" s="343" t="s">
        <v>112</v>
      </c>
      <c r="W41" s="334" t="s">
        <v>20</v>
      </c>
      <c r="X41" s="334" t="s">
        <v>12</v>
      </c>
      <c r="Y41" s="344">
        <v>27.5</v>
      </c>
      <c r="Z41" s="343" t="s">
        <v>108</v>
      </c>
      <c r="AA41" s="334" t="s">
        <v>75</v>
      </c>
      <c r="AB41" s="334" t="s">
        <v>18</v>
      </c>
      <c r="AC41" s="344">
        <v>17.5</v>
      </c>
      <c r="AD41" s="343" t="s">
        <v>110</v>
      </c>
      <c r="AE41" s="334" t="s">
        <v>90</v>
      </c>
      <c r="AF41" s="334" t="s">
        <v>11</v>
      </c>
      <c r="AG41" s="344">
        <v>5</v>
      </c>
      <c r="AH41" s="334" t="s">
        <v>111</v>
      </c>
      <c r="AI41" s="334" t="s">
        <v>22</v>
      </c>
      <c r="AJ41" s="334" t="s">
        <v>18</v>
      </c>
      <c r="AK41" s="334">
        <v>3.5</v>
      </c>
      <c r="AL41" s="343"/>
      <c r="AO41" s="344"/>
      <c r="AP41" s="343"/>
      <c r="AS41" s="344"/>
      <c r="AW41" s="344"/>
      <c r="BA41" s="345"/>
    </row>
    <row r="42" spans="1:53" s="334" customFormat="1" x14ac:dyDescent="0.15">
      <c r="A42" s="386">
        <v>1975</v>
      </c>
      <c r="B42" s="355"/>
      <c r="C42" s="785" t="s">
        <v>358</v>
      </c>
      <c r="D42" s="785"/>
      <c r="E42" s="334">
        <v>163</v>
      </c>
      <c r="G42" s="419">
        <v>2</v>
      </c>
      <c r="H42" s="334">
        <v>6</v>
      </c>
      <c r="I42" s="334">
        <v>7</v>
      </c>
      <c r="J42" s="435">
        <v>16</v>
      </c>
      <c r="K42" s="384">
        <f t="shared" si="14"/>
        <v>12.5</v>
      </c>
      <c r="L42" s="384">
        <f t="shared" si="15"/>
        <v>37.5</v>
      </c>
      <c r="M42" s="384">
        <f t="shared" si="16"/>
        <v>43.75</v>
      </c>
      <c r="N42" s="421">
        <f t="shared" si="3"/>
        <v>93.75</v>
      </c>
      <c r="O42" s="383">
        <v>5</v>
      </c>
      <c r="P42" s="384">
        <v>21</v>
      </c>
      <c r="Q42" s="384">
        <v>27.5</v>
      </c>
      <c r="R42" s="385">
        <f t="shared" si="4"/>
        <v>53.5</v>
      </c>
      <c r="S42" s="388">
        <v>2</v>
      </c>
      <c r="T42" s="342"/>
      <c r="U42" s="355"/>
      <c r="V42" s="343" t="s">
        <v>112</v>
      </c>
      <c r="W42" s="334" t="s">
        <v>20</v>
      </c>
      <c r="X42" s="334" t="s">
        <v>12</v>
      </c>
      <c r="Y42" s="344">
        <v>27.5</v>
      </c>
      <c r="Z42" s="343" t="s">
        <v>108</v>
      </c>
      <c r="AA42" s="334" t="s">
        <v>75</v>
      </c>
      <c r="AB42" s="334" t="s">
        <v>18</v>
      </c>
      <c r="AC42" s="344">
        <v>17.5</v>
      </c>
      <c r="AD42" s="343" t="s">
        <v>110</v>
      </c>
      <c r="AE42" s="334" t="s">
        <v>90</v>
      </c>
      <c r="AF42" s="334" t="s">
        <v>11</v>
      </c>
      <c r="AG42" s="344">
        <v>5</v>
      </c>
      <c r="AH42" s="334" t="s">
        <v>111</v>
      </c>
      <c r="AI42" s="334" t="s">
        <v>22</v>
      </c>
      <c r="AJ42" s="334" t="s">
        <v>18</v>
      </c>
      <c r="AK42" s="334">
        <v>3.5</v>
      </c>
      <c r="AL42" s="343"/>
      <c r="AO42" s="344"/>
      <c r="AP42" s="343"/>
      <c r="AS42" s="344"/>
      <c r="AW42" s="344"/>
      <c r="BA42" s="345"/>
    </row>
    <row r="43" spans="1:53" s="73" customFormat="1" x14ac:dyDescent="0.15">
      <c r="A43" s="102">
        <v>1975</v>
      </c>
      <c r="B43" s="85">
        <v>27558</v>
      </c>
      <c r="C43" s="786" t="s">
        <v>359</v>
      </c>
      <c r="D43" s="786"/>
      <c r="E43" s="73">
        <v>170</v>
      </c>
      <c r="F43" s="73">
        <v>7</v>
      </c>
      <c r="G43" s="123">
        <v>2</v>
      </c>
      <c r="H43" s="73">
        <v>4</v>
      </c>
      <c r="I43" s="73">
        <v>5</v>
      </c>
      <c r="J43" s="134">
        <v>17</v>
      </c>
      <c r="K43" s="92">
        <f>G43/J43*100</f>
        <v>11.76470588235294</v>
      </c>
      <c r="L43" s="92">
        <f>H43/J43*100</f>
        <v>23.52941176470588</v>
      </c>
      <c r="M43" s="92">
        <f>I43/J43*100</f>
        <v>29.411764705882355</v>
      </c>
      <c r="N43" s="125">
        <f t="shared" si="3"/>
        <v>64.705882352941174</v>
      </c>
      <c r="O43" s="91">
        <v>22</v>
      </c>
      <c r="P43" s="92">
        <v>21</v>
      </c>
      <c r="Q43" s="92">
        <v>27</v>
      </c>
      <c r="R43" s="93">
        <f t="shared" si="4"/>
        <v>70</v>
      </c>
      <c r="S43" s="97">
        <v>6</v>
      </c>
      <c r="T43" s="95"/>
      <c r="U43" s="85">
        <v>27558</v>
      </c>
      <c r="V43" s="82" t="s">
        <v>112</v>
      </c>
      <c r="W43" s="73" t="s">
        <v>20</v>
      </c>
      <c r="X43" s="73" t="s">
        <v>12</v>
      </c>
      <c r="Y43" s="83">
        <v>27.5</v>
      </c>
      <c r="Z43" s="82" t="s">
        <v>108</v>
      </c>
      <c r="AA43" s="73" t="s">
        <v>75</v>
      </c>
      <c r="AB43" s="73" t="s">
        <v>18</v>
      </c>
      <c r="AC43" s="83">
        <v>17.5</v>
      </c>
      <c r="AD43" s="82" t="s">
        <v>110</v>
      </c>
      <c r="AE43" s="73" t="s">
        <v>90</v>
      </c>
      <c r="AF43" s="73" t="s">
        <v>11</v>
      </c>
      <c r="AG43" s="83">
        <v>5</v>
      </c>
      <c r="AH43" s="73" t="s">
        <v>111</v>
      </c>
      <c r="AI43" s="73" t="s">
        <v>22</v>
      </c>
      <c r="AJ43" s="73" t="s">
        <v>18</v>
      </c>
      <c r="AK43" s="73">
        <v>3.5</v>
      </c>
      <c r="AL43" s="82" t="s">
        <v>109</v>
      </c>
      <c r="AM43" s="73" t="s">
        <v>74</v>
      </c>
      <c r="AN43" s="73" t="s">
        <v>11</v>
      </c>
      <c r="AO43" s="83">
        <v>17</v>
      </c>
      <c r="AP43" s="82"/>
      <c r="AS43" s="83"/>
      <c r="AW43" s="83"/>
      <c r="BA43" s="84"/>
    </row>
    <row r="44" spans="1:53" s="334" customFormat="1" x14ac:dyDescent="0.15">
      <c r="A44" s="386">
        <v>1975</v>
      </c>
      <c r="B44" s="355">
        <v>27728</v>
      </c>
      <c r="C44" s="785" t="s">
        <v>360</v>
      </c>
      <c r="D44" s="785"/>
      <c r="E44" s="334">
        <v>32</v>
      </c>
      <c r="F44" s="334">
        <v>1</v>
      </c>
      <c r="G44" s="419">
        <v>2</v>
      </c>
      <c r="H44" s="334">
        <v>5</v>
      </c>
      <c r="I44" s="334">
        <v>9</v>
      </c>
      <c r="J44" s="435">
        <v>18</v>
      </c>
      <c r="K44" s="384">
        <f t="shared" si="14"/>
        <v>11.111111111111111</v>
      </c>
      <c r="L44" s="384">
        <f t="shared" si="15"/>
        <v>27.777777777777779</v>
      </c>
      <c r="M44" s="384">
        <f t="shared" si="16"/>
        <v>50</v>
      </c>
      <c r="N44" s="421">
        <f t="shared" si="3"/>
        <v>88.888888888888886</v>
      </c>
      <c r="O44" s="383">
        <v>5</v>
      </c>
      <c r="P44" s="384">
        <v>24</v>
      </c>
      <c r="Q44" s="384">
        <v>47</v>
      </c>
      <c r="R44" s="385">
        <f t="shared" si="4"/>
        <v>76</v>
      </c>
      <c r="S44" s="388">
        <v>3</v>
      </c>
      <c r="T44" s="342">
        <v>27658</v>
      </c>
      <c r="U44" s="355">
        <v>27728</v>
      </c>
      <c r="V44" s="343" t="s">
        <v>108</v>
      </c>
      <c r="W44" s="334" t="s">
        <v>75</v>
      </c>
      <c r="X44" s="334" t="s">
        <v>18</v>
      </c>
      <c r="Y44" s="344">
        <v>19.5</v>
      </c>
      <c r="Z44" s="343" t="s">
        <v>112</v>
      </c>
      <c r="AA44" s="334" t="s">
        <v>20</v>
      </c>
      <c r="AB44" s="334" t="s">
        <v>12</v>
      </c>
      <c r="AC44" s="344">
        <v>27</v>
      </c>
      <c r="AD44" s="343" t="s">
        <v>113</v>
      </c>
      <c r="AE44" s="334" t="s">
        <v>114</v>
      </c>
      <c r="AF44" s="334" t="s">
        <v>12</v>
      </c>
      <c r="AG44" s="344">
        <v>20</v>
      </c>
      <c r="AH44" s="343" t="s">
        <v>110</v>
      </c>
      <c r="AI44" s="334" t="s">
        <v>90</v>
      </c>
      <c r="AJ44" s="334" t="s">
        <v>11</v>
      </c>
      <c r="AK44" s="344">
        <v>5</v>
      </c>
      <c r="AL44" s="334" t="s">
        <v>111</v>
      </c>
      <c r="AM44" s="334" t="s">
        <v>22</v>
      </c>
      <c r="AN44" s="334" t="s">
        <v>18</v>
      </c>
      <c r="AO44" s="334">
        <v>4.5</v>
      </c>
      <c r="AP44" s="343"/>
      <c r="AS44" s="344"/>
      <c r="AW44" s="344"/>
      <c r="BA44" s="345"/>
    </row>
    <row r="45" spans="1:53" s="334" customFormat="1" x14ac:dyDescent="0.15">
      <c r="A45" s="386">
        <v>1976</v>
      </c>
      <c r="B45" s="355"/>
      <c r="C45" s="785" t="s">
        <v>360</v>
      </c>
      <c r="D45" s="785"/>
      <c r="E45" s="334">
        <v>272</v>
      </c>
      <c r="G45" s="419">
        <v>2</v>
      </c>
      <c r="H45" s="334">
        <v>5</v>
      </c>
      <c r="I45" s="334">
        <v>9</v>
      </c>
      <c r="J45" s="435">
        <v>18</v>
      </c>
      <c r="K45" s="384">
        <f t="shared" si="14"/>
        <v>11.111111111111111</v>
      </c>
      <c r="L45" s="384">
        <f t="shared" si="15"/>
        <v>27.777777777777779</v>
      </c>
      <c r="M45" s="384">
        <f t="shared" si="16"/>
        <v>50</v>
      </c>
      <c r="N45" s="421">
        <f t="shared" si="3"/>
        <v>88.888888888888886</v>
      </c>
      <c r="O45" s="383">
        <v>5</v>
      </c>
      <c r="P45" s="384">
        <v>24</v>
      </c>
      <c r="Q45" s="384">
        <v>47</v>
      </c>
      <c r="R45" s="385">
        <f t="shared" si="4"/>
        <v>76</v>
      </c>
      <c r="S45" s="388">
        <v>3</v>
      </c>
      <c r="T45" s="342"/>
      <c r="U45" s="355"/>
      <c r="V45" s="343" t="s">
        <v>108</v>
      </c>
      <c r="W45" s="334" t="s">
        <v>75</v>
      </c>
      <c r="X45" s="334" t="s">
        <v>18</v>
      </c>
      <c r="Y45" s="344">
        <v>19.5</v>
      </c>
      <c r="Z45" s="343" t="s">
        <v>112</v>
      </c>
      <c r="AA45" s="334" t="s">
        <v>20</v>
      </c>
      <c r="AB45" s="334" t="s">
        <v>12</v>
      </c>
      <c r="AC45" s="344">
        <v>27</v>
      </c>
      <c r="AD45" s="343" t="s">
        <v>113</v>
      </c>
      <c r="AE45" s="334" t="s">
        <v>114</v>
      </c>
      <c r="AF45" s="334" t="s">
        <v>12</v>
      </c>
      <c r="AG45" s="344">
        <v>20</v>
      </c>
      <c r="AH45" s="343" t="s">
        <v>110</v>
      </c>
      <c r="AI45" s="334" t="s">
        <v>90</v>
      </c>
      <c r="AJ45" s="334" t="s">
        <v>11</v>
      </c>
      <c r="AK45" s="344">
        <v>5</v>
      </c>
      <c r="AL45" s="334" t="s">
        <v>111</v>
      </c>
      <c r="AM45" s="334" t="s">
        <v>22</v>
      </c>
      <c r="AN45" s="334" t="s">
        <v>18</v>
      </c>
      <c r="AO45" s="334">
        <v>4.5</v>
      </c>
      <c r="AP45" s="343"/>
      <c r="AS45" s="344"/>
      <c r="AW45" s="344"/>
      <c r="BA45" s="345"/>
    </row>
    <row r="46" spans="1:53" s="73" customFormat="1" x14ac:dyDescent="0.15">
      <c r="A46" s="102">
        <v>1976</v>
      </c>
      <c r="B46" s="85">
        <v>28032</v>
      </c>
      <c r="C46" s="786" t="s">
        <v>361</v>
      </c>
      <c r="D46" s="786"/>
      <c r="E46" s="73">
        <v>94</v>
      </c>
      <c r="F46" s="73">
        <v>4</v>
      </c>
      <c r="G46" s="123">
        <v>3</v>
      </c>
      <c r="H46" s="73">
        <v>12</v>
      </c>
      <c r="J46" s="134">
        <v>16</v>
      </c>
      <c r="K46" s="92">
        <f t="shared" si="14"/>
        <v>18.75</v>
      </c>
      <c r="L46" s="92">
        <f t="shared" si="15"/>
        <v>75</v>
      </c>
      <c r="M46" s="92">
        <f t="shared" si="16"/>
        <v>0</v>
      </c>
      <c r="N46" s="125">
        <f t="shared" si="3"/>
        <v>93.75</v>
      </c>
      <c r="O46" s="91">
        <v>5</v>
      </c>
      <c r="P46" s="92">
        <v>24</v>
      </c>
      <c r="Q46" s="92"/>
      <c r="R46" s="93">
        <f t="shared" si="4"/>
        <v>29</v>
      </c>
      <c r="S46" s="97">
        <v>5</v>
      </c>
      <c r="T46" s="95"/>
      <c r="U46" s="85">
        <v>28032</v>
      </c>
      <c r="V46" s="82" t="s">
        <v>108</v>
      </c>
      <c r="W46" s="73" t="s">
        <v>75</v>
      </c>
      <c r="X46" s="73" t="s">
        <v>18</v>
      </c>
      <c r="Y46" s="83">
        <v>19.5</v>
      </c>
      <c r="Z46" s="82" t="s">
        <v>110</v>
      </c>
      <c r="AA46" s="73" t="s">
        <v>90</v>
      </c>
      <c r="AB46" s="73" t="s">
        <v>11</v>
      </c>
      <c r="AC46" s="83">
        <v>5</v>
      </c>
      <c r="AD46" s="73" t="s">
        <v>111</v>
      </c>
      <c r="AE46" s="73" t="s">
        <v>22</v>
      </c>
      <c r="AF46" s="73" t="s">
        <v>18</v>
      </c>
      <c r="AG46" s="83">
        <v>4.5</v>
      </c>
      <c r="AL46" s="82"/>
      <c r="AO46" s="83"/>
      <c r="AP46" s="82"/>
      <c r="AS46" s="83"/>
      <c r="AW46" s="83"/>
      <c r="BA46" s="84"/>
    </row>
    <row r="47" spans="1:53" s="73" customFormat="1" x14ac:dyDescent="0.15">
      <c r="A47" s="102">
        <v>1977</v>
      </c>
      <c r="B47" s="85"/>
      <c r="C47" s="786" t="s">
        <v>361</v>
      </c>
      <c r="D47" s="786"/>
      <c r="E47" s="73">
        <v>134</v>
      </c>
      <c r="G47" s="123">
        <v>3</v>
      </c>
      <c r="H47" s="73">
        <v>12</v>
      </c>
      <c r="J47" s="134">
        <v>16</v>
      </c>
      <c r="K47" s="92">
        <f t="shared" si="14"/>
        <v>18.75</v>
      </c>
      <c r="L47" s="92">
        <f t="shared" si="15"/>
        <v>75</v>
      </c>
      <c r="M47" s="92">
        <f t="shared" si="16"/>
        <v>0</v>
      </c>
      <c r="N47" s="125">
        <f t="shared" si="3"/>
        <v>93.75</v>
      </c>
      <c r="O47" s="91">
        <v>5</v>
      </c>
      <c r="P47" s="92">
        <v>24</v>
      </c>
      <c r="Q47" s="92"/>
      <c r="R47" s="93">
        <f t="shared" si="4"/>
        <v>29</v>
      </c>
      <c r="S47" s="97">
        <v>5</v>
      </c>
      <c r="T47" s="95"/>
      <c r="U47" s="85"/>
      <c r="V47" s="82" t="s">
        <v>108</v>
      </c>
      <c r="W47" s="73" t="s">
        <v>75</v>
      </c>
      <c r="X47" s="73" t="s">
        <v>18</v>
      </c>
      <c r="Y47" s="83">
        <v>19.5</v>
      </c>
      <c r="Z47" s="82" t="s">
        <v>110</v>
      </c>
      <c r="AA47" s="73" t="s">
        <v>90</v>
      </c>
      <c r="AB47" s="73" t="s">
        <v>11</v>
      </c>
      <c r="AC47" s="83">
        <v>5</v>
      </c>
      <c r="AD47" s="73" t="s">
        <v>111</v>
      </c>
      <c r="AE47" s="73" t="s">
        <v>22</v>
      </c>
      <c r="AF47" s="73" t="s">
        <v>18</v>
      </c>
      <c r="AG47" s="83">
        <v>4.5</v>
      </c>
      <c r="AL47" s="82"/>
      <c r="AO47" s="83"/>
      <c r="AP47" s="82"/>
      <c r="AS47" s="83"/>
      <c r="AW47" s="83"/>
      <c r="BA47" s="84"/>
    </row>
    <row r="48" spans="1:53" s="334" customFormat="1" x14ac:dyDescent="0.15">
      <c r="A48" s="386">
        <v>1977</v>
      </c>
      <c r="B48" s="355">
        <v>28260</v>
      </c>
      <c r="C48" s="785" t="s">
        <v>362</v>
      </c>
      <c r="D48" s="785"/>
      <c r="E48" s="334">
        <v>231</v>
      </c>
      <c r="F48" s="334">
        <v>6</v>
      </c>
      <c r="G48" s="419">
        <v>1</v>
      </c>
      <c r="H48" s="334">
        <v>6</v>
      </c>
      <c r="I48" s="334">
        <v>7</v>
      </c>
      <c r="J48" s="435">
        <v>15</v>
      </c>
      <c r="K48" s="384">
        <f>G48/J48*100</f>
        <v>6.666666666666667</v>
      </c>
      <c r="L48" s="384">
        <f>H48/J48*100</f>
        <v>40</v>
      </c>
      <c r="M48" s="384">
        <f>I48/J48*100</f>
        <v>46.666666666666664</v>
      </c>
      <c r="N48" s="421">
        <f t="shared" si="3"/>
        <v>93.333333333333329</v>
      </c>
      <c r="O48" s="383">
        <v>5</v>
      </c>
      <c r="P48" s="384">
        <v>24</v>
      </c>
      <c r="Q48" s="384">
        <v>47</v>
      </c>
      <c r="R48" s="385">
        <f t="shared" si="4"/>
        <v>76</v>
      </c>
      <c r="S48" s="388">
        <v>3</v>
      </c>
      <c r="T48" s="342"/>
      <c r="U48" s="355">
        <v>28260</v>
      </c>
      <c r="V48" s="343" t="s">
        <v>112</v>
      </c>
      <c r="W48" s="334" t="s">
        <v>20</v>
      </c>
      <c r="X48" s="334" t="s">
        <v>12</v>
      </c>
      <c r="Y48" s="344">
        <v>27</v>
      </c>
      <c r="Z48" s="343" t="s">
        <v>108</v>
      </c>
      <c r="AA48" s="334" t="s">
        <v>75</v>
      </c>
      <c r="AB48" s="334" t="s">
        <v>18</v>
      </c>
      <c r="AC48" s="344">
        <v>19.5</v>
      </c>
      <c r="AD48" s="343" t="s">
        <v>113</v>
      </c>
      <c r="AE48" s="334" t="s">
        <v>114</v>
      </c>
      <c r="AF48" s="334" t="s">
        <v>12</v>
      </c>
      <c r="AG48" s="344">
        <v>20</v>
      </c>
      <c r="AH48" s="343" t="s">
        <v>110</v>
      </c>
      <c r="AI48" s="334" t="s">
        <v>90</v>
      </c>
      <c r="AJ48" s="334" t="s">
        <v>11</v>
      </c>
      <c r="AK48" s="344">
        <v>5</v>
      </c>
      <c r="AL48" s="334" t="s">
        <v>111</v>
      </c>
      <c r="AM48" s="334" t="s">
        <v>22</v>
      </c>
      <c r="AN48" s="334" t="s">
        <v>18</v>
      </c>
      <c r="AO48" s="334">
        <v>4.5</v>
      </c>
      <c r="AP48" s="343"/>
      <c r="AS48" s="344"/>
      <c r="AW48" s="344"/>
      <c r="BA48" s="345"/>
    </row>
    <row r="49" spans="1:53" s="334" customFormat="1" x14ac:dyDescent="0.15">
      <c r="A49" s="386">
        <v>1978</v>
      </c>
      <c r="B49" s="355"/>
      <c r="C49" s="785" t="s">
        <v>362</v>
      </c>
      <c r="D49" s="785"/>
      <c r="E49" s="334">
        <v>60</v>
      </c>
      <c r="G49" s="419">
        <v>1</v>
      </c>
      <c r="H49" s="334">
        <v>6</v>
      </c>
      <c r="I49" s="334">
        <v>7</v>
      </c>
      <c r="J49" s="435">
        <v>15</v>
      </c>
      <c r="K49" s="384">
        <f t="shared" ref="K49:K54" si="17">G49/J49*100</f>
        <v>6.666666666666667</v>
      </c>
      <c r="L49" s="384">
        <f t="shared" ref="L49:L54" si="18">H49/J49*100</f>
        <v>40</v>
      </c>
      <c r="M49" s="384">
        <f t="shared" ref="M49:M54" si="19">I49/J49*100</f>
        <v>46.666666666666664</v>
      </c>
      <c r="N49" s="421">
        <f t="shared" si="3"/>
        <v>93.333333333333329</v>
      </c>
      <c r="O49" s="383">
        <v>5</v>
      </c>
      <c r="P49" s="384">
        <v>24</v>
      </c>
      <c r="Q49" s="384">
        <v>47</v>
      </c>
      <c r="R49" s="385">
        <f t="shared" si="4"/>
        <v>76</v>
      </c>
      <c r="S49" s="388">
        <v>3</v>
      </c>
      <c r="T49" s="342"/>
      <c r="U49" s="355"/>
      <c r="V49" s="343" t="s">
        <v>112</v>
      </c>
      <c r="W49" s="334" t="s">
        <v>20</v>
      </c>
      <c r="X49" s="334" t="s">
        <v>12</v>
      </c>
      <c r="Y49" s="344">
        <v>27</v>
      </c>
      <c r="Z49" s="343" t="s">
        <v>108</v>
      </c>
      <c r="AA49" s="334" t="s">
        <v>75</v>
      </c>
      <c r="AB49" s="334" t="s">
        <v>18</v>
      </c>
      <c r="AC49" s="344">
        <v>19.5</v>
      </c>
      <c r="AD49" s="343" t="s">
        <v>113</v>
      </c>
      <c r="AE49" s="334" t="s">
        <v>114</v>
      </c>
      <c r="AF49" s="334" t="s">
        <v>12</v>
      </c>
      <c r="AG49" s="344">
        <v>20</v>
      </c>
      <c r="AH49" s="343" t="s">
        <v>110</v>
      </c>
      <c r="AI49" s="334" t="s">
        <v>90</v>
      </c>
      <c r="AJ49" s="334" t="s">
        <v>11</v>
      </c>
      <c r="AK49" s="344">
        <v>5</v>
      </c>
      <c r="AL49" s="334" t="s">
        <v>111</v>
      </c>
      <c r="AM49" s="334" t="s">
        <v>22</v>
      </c>
      <c r="AN49" s="334" t="s">
        <v>18</v>
      </c>
      <c r="AO49" s="334">
        <v>4.5</v>
      </c>
      <c r="AP49" s="343"/>
      <c r="AS49" s="344"/>
      <c r="AW49" s="344"/>
      <c r="BA49" s="345"/>
    </row>
    <row r="50" spans="1:53" s="73" customFormat="1" x14ac:dyDescent="0.15">
      <c r="A50" s="102">
        <v>1978</v>
      </c>
      <c r="B50" s="85">
        <v>28551</v>
      </c>
      <c r="C50" s="786" t="s">
        <v>363</v>
      </c>
      <c r="D50" s="786"/>
      <c r="E50" s="73">
        <v>305</v>
      </c>
      <c r="F50" s="73">
        <v>4</v>
      </c>
      <c r="G50" s="123"/>
      <c r="H50" s="73">
        <v>7</v>
      </c>
      <c r="I50" s="73">
        <v>7</v>
      </c>
      <c r="J50" s="134">
        <v>15</v>
      </c>
      <c r="K50" s="92">
        <f t="shared" si="17"/>
        <v>0</v>
      </c>
      <c r="L50" s="92">
        <f t="shared" si="18"/>
        <v>46.666666666666664</v>
      </c>
      <c r="M50" s="92">
        <f t="shared" si="19"/>
        <v>46.666666666666664</v>
      </c>
      <c r="N50" s="125">
        <f t="shared" si="3"/>
        <v>93.333333333333329</v>
      </c>
      <c r="O50" s="91"/>
      <c r="P50" s="92">
        <v>24</v>
      </c>
      <c r="Q50" s="92">
        <v>47</v>
      </c>
      <c r="R50" s="93">
        <f t="shared" si="4"/>
        <v>71</v>
      </c>
      <c r="S50" s="97">
        <v>3</v>
      </c>
      <c r="T50" s="95"/>
      <c r="U50" s="85">
        <v>28551</v>
      </c>
      <c r="V50" s="82" t="s">
        <v>112</v>
      </c>
      <c r="W50" s="73" t="s">
        <v>20</v>
      </c>
      <c r="X50" s="73" t="s">
        <v>12</v>
      </c>
      <c r="Y50" s="83">
        <v>27</v>
      </c>
      <c r="Z50" s="82" t="s">
        <v>108</v>
      </c>
      <c r="AA50" s="73" t="s">
        <v>75</v>
      </c>
      <c r="AB50" s="73" t="s">
        <v>18</v>
      </c>
      <c r="AC50" s="83">
        <v>19.5</v>
      </c>
      <c r="AD50" s="82" t="s">
        <v>113</v>
      </c>
      <c r="AE50" s="73" t="s">
        <v>114</v>
      </c>
      <c r="AF50" s="73" t="s">
        <v>12</v>
      </c>
      <c r="AG50" s="83">
        <v>20</v>
      </c>
      <c r="AH50" s="73" t="s">
        <v>111</v>
      </c>
      <c r="AI50" s="73" t="s">
        <v>22</v>
      </c>
      <c r="AJ50" s="73" t="s">
        <v>18</v>
      </c>
      <c r="AK50" s="73">
        <v>4.5</v>
      </c>
      <c r="AL50" s="82"/>
      <c r="AO50" s="83"/>
      <c r="AP50" s="82"/>
      <c r="AS50" s="83"/>
      <c r="AW50" s="83"/>
      <c r="BA50" s="84"/>
    </row>
    <row r="51" spans="1:53" s="73" customFormat="1" x14ac:dyDescent="0.15">
      <c r="A51" s="102">
        <v>1979</v>
      </c>
      <c r="B51" s="85"/>
      <c r="C51" s="786" t="s">
        <v>363</v>
      </c>
      <c r="D51" s="786"/>
      <c r="E51" s="73">
        <v>144</v>
      </c>
      <c r="G51" s="123"/>
      <c r="H51" s="73">
        <v>7</v>
      </c>
      <c r="I51" s="73">
        <v>7</v>
      </c>
      <c r="J51" s="134">
        <v>15</v>
      </c>
      <c r="K51" s="92">
        <f t="shared" si="17"/>
        <v>0</v>
      </c>
      <c r="L51" s="92">
        <f t="shared" si="18"/>
        <v>46.666666666666664</v>
      </c>
      <c r="M51" s="92">
        <f t="shared" si="19"/>
        <v>46.666666666666664</v>
      </c>
      <c r="N51" s="125">
        <f t="shared" si="3"/>
        <v>93.333333333333329</v>
      </c>
      <c r="O51" s="91"/>
      <c r="P51" s="92">
        <v>24</v>
      </c>
      <c r="Q51" s="92">
        <v>47</v>
      </c>
      <c r="R51" s="93">
        <f t="shared" si="4"/>
        <v>71</v>
      </c>
      <c r="S51" s="97">
        <v>3</v>
      </c>
      <c r="T51" s="95"/>
      <c r="U51" s="85"/>
      <c r="V51" s="82" t="s">
        <v>112</v>
      </c>
      <c r="W51" s="73" t="s">
        <v>20</v>
      </c>
      <c r="X51" s="73" t="s">
        <v>12</v>
      </c>
      <c r="Y51" s="83">
        <v>27</v>
      </c>
      <c r="Z51" s="82" t="s">
        <v>108</v>
      </c>
      <c r="AA51" s="73" t="s">
        <v>75</v>
      </c>
      <c r="AB51" s="73" t="s">
        <v>18</v>
      </c>
      <c r="AC51" s="83">
        <v>19.5</v>
      </c>
      <c r="AD51" s="82" t="s">
        <v>113</v>
      </c>
      <c r="AE51" s="73" t="s">
        <v>114</v>
      </c>
      <c r="AF51" s="73" t="s">
        <v>12</v>
      </c>
      <c r="AG51" s="83">
        <v>20</v>
      </c>
      <c r="AH51" s="73" t="s">
        <v>111</v>
      </c>
      <c r="AI51" s="73" t="s">
        <v>22</v>
      </c>
      <c r="AJ51" s="73" t="s">
        <v>18</v>
      </c>
      <c r="AK51" s="73">
        <v>4.5</v>
      </c>
      <c r="AL51" s="82"/>
      <c r="AO51" s="83"/>
      <c r="AP51" s="82"/>
      <c r="AS51" s="83"/>
      <c r="AW51" s="83"/>
      <c r="BA51" s="84"/>
    </row>
    <row r="52" spans="1:53" s="334" customFormat="1" x14ac:dyDescent="0.15">
      <c r="A52" s="386">
        <v>1979</v>
      </c>
      <c r="B52" s="355">
        <v>29000</v>
      </c>
      <c r="C52" s="785" t="s">
        <v>364</v>
      </c>
      <c r="D52" s="785"/>
      <c r="E52" s="334">
        <v>221</v>
      </c>
      <c r="F52" s="334">
        <v>1</v>
      </c>
      <c r="G52" s="419">
        <v>2</v>
      </c>
      <c r="H52" s="334">
        <v>6</v>
      </c>
      <c r="I52" s="334">
        <v>8</v>
      </c>
      <c r="J52" s="435">
        <v>17</v>
      </c>
      <c r="K52" s="384">
        <f t="shared" si="17"/>
        <v>11.76470588235294</v>
      </c>
      <c r="L52" s="384">
        <f t="shared" si="18"/>
        <v>35.294117647058826</v>
      </c>
      <c r="M52" s="384">
        <f t="shared" si="19"/>
        <v>47.058823529411761</v>
      </c>
      <c r="N52" s="421">
        <f t="shared" si="3"/>
        <v>94.117647058823536</v>
      </c>
      <c r="O52" s="383">
        <v>5</v>
      </c>
      <c r="P52" s="384">
        <v>18</v>
      </c>
      <c r="Q52" s="384">
        <v>43.5</v>
      </c>
      <c r="R52" s="385">
        <f t="shared" si="4"/>
        <v>66.5</v>
      </c>
      <c r="S52" s="388">
        <v>3</v>
      </c>
      <c r="T52" s="342">
        <v>28926</v>
      </c>
      <c r="U52" s="355">
        <v>29000</v>
      </c>
      <c r="V52" s="343" t="s">
        <v>112</v>
      </c>
      <c r="W52" s="334" t="s">
        <v>20</v>
      </c>
      <c r="X52" s="334" t="s">
        <v>12</v>
      </c>
      <c r="Y52" s="344">
        <v>26</v>
      </c>
      <c r="Z52" s="343" t="s">
        <v>108</v>
      </c>
      <c r="AA52" s="334" t="s">
        <v>75</v>
      </c>
      <c r="AB52" s="334" t="s">
        <v>18</v>
      </c>
      <c r="AC52" s="344">
        <v>18</v>
      </c>
      <c r="AD52" s="343" t="s">
        <v>113</v>
      </c>
      <c r="AE52" s="334" t="s">
        <v>114</v>
      </c>
      <c r="AF52" s="334" t="s">
        <v>12</v>
      </c>
      <c r="AG52" s="344">
        <v>17.5</v>
      </c>
      <c r="AH52" s="343" t="s">
        <v>110</v>
      </c>
      <c r="AI52" s="334" t="s">
        <v>90</v>
      </c>
      <c r="AJ52" s="334" t="s">
        <v>11</v>
      </c>
      <c r="AK52" s="344">
        <v>5</v>
      </c>
      <c r="AL52" s="343"/>
      <c r="AO52" s="344"/>
      <c r="AP52" s="343"/>
      <c r="AS52" s="344"/>
      <c r="AW52" s="344"/>
      <c r="BA52" s="345"/>
    </row>
    <row r="53" spans="1:53" s="334" customFormat="1" x14ac:dyDescent="0.15">
      <c r="A53" s="386">
        <v>1980</v>
      </c>
      <c r="B53" s="355"/>
      <c r="C53" s="785" t="s">
        <v>364</v>
      </c>
      <c r="D53" s="785"/>
      <c r="E53" s="334">
        <v>0</v>
      </c>
      <c r="G53" s="419">
        <v>2</v>
      </c>
      <c r="H53" s="334">
        <v>6</v>
      </c>
      <c r="I53" s="334">
        <v>8</v>
      </c>
      <c r="J53" s="435">
        <v>17</v>
      </c>
      <c r="K53" s="384">
        <f t="shared" si="17"/>
        <v>11.76470588235294</v>
      </c>
      <c r="L53" s="384">
        <f t="shared" si="18"/>
        <v>35.294117647058826</v>
      </c>
      <c r="M53" s="384">
        <f t="shared" si="19"/>
        <v>47.058823529411761</v>
      </c>
      <c r="N53" s="421">
        <f t="shared" si="3"/>
        <v>94.117647058823536</v>
      </c>
      <c r="O53" s="383">
        <v>5</v>
      </c>
      <c r="P53" s="384">
        <v>18</v>
      </c>
      <c r="Q53" s="384">
        <v>43.5</v>
      </c>
      <c r="R53" s="385">
        <f t="shared" si="4"/>
        <v>66.5</v>
      </c>
      <c r="S53" s="388">
        <v>3</v>
      </c>
      <c r="T53" s="342"/>
      <c r="U53" s="355"/>
      <c r="V53" s="343" t="s">
        <v>112</v>
      </c>
      <c r="W53" s="334" t="s">
        <v>20</v>
      </c>
      <c r="X53" s="334" t="s">
        <v>12</v>
      </c>
      <c r="Y53" s="344">
        <v>26</v>
      </c>
      <c r="Z53" s="343" t="s">
        <v>108</v>
      </c>
      <c r="AA53" s="334" t="s">
        <v>75</v>
      </c>
      <c r="AB53" s="334" t="s">
        <v>18</v>
      </c>
      <c r="AC53" s="344">
        <v>18</v>
      </c>
      <c r="AD53" s="343" t="s">
        <v>113</v>
      </c>
      <c r="AE53" s="334" t="s">
        <v>114</v>
      </c>
      <c r="AF53" s="334" t="s">
        <v>12</v>
      </c>
      <c r="AG53" s="344">
        <v>17.5</v>
      </c>
      <c r="AH53" s="343" t="s">
        <v>110</v>
      </c>
      <c r="AI53" s="334" t="s">
        <v>90</v>
      </c>
      <c r="AJ53" s="334" t="s">
        <v>11</v>
      </c>
      <c r="AK53" s="344">
        <v>5</v>
      </c>
      <c r="AL53" s="343"/>
      <c r="AO53" s="344"/>
      <c r="AP53" s="343"/>
      <c r="AS53" s="344"/>
      <c r="AW53" s="344"/>
      <c r="BA53" s="345"/>
    </row>
    <row r="54" spans="1:53" s="334" customFormat="1" x14ac:dyDescent="0.15">
      <c r="A54" s="386">
        <v>1980</v>
      </c>
      <c r="B54" s="355"/>
      <c r="C54" s="785" t="s">
        <v>364</v>
      </c>
      <c r="D54" s="785"/>
      <c r="E54" s="334">
        <v>366</v>
      </c>
      <c r="G54" s="419">
        <v>2</v>
      </c>
      <c r="H54" s="334">
        <v>6</v>
      </c>
      <c r="I54" s="334">
        <v>8</v>
      </c>
      <c r="J54" s="435">
        <v>17</v>
      </c>
      <c r="K54" s="384">
        <f t="shared" si="17"/>
        <v>11.76470588235294</v>
      </c>
      <c r="L54" s="384">
        <f t="shared" si="18"/>
        <v>35.294117647058826</v>
      </c>
      <c r="M54" s="384">
        <f t="shared" si="19"/>
        <v>47.058823529411761</v>
      </c>
      <c r="N54" s="421">
        <f t="shared" si="3"/>
        <v>94.117647058823536</v>
      </c>
      <c r="O54" s="383">
        <v>5</v>
      </c>
      <c r="P54" s="384">
        <v>18</v>
      </c>
      <c r="Q54" s="384">
        <v>43.5</v>
      </c>
      <c r="R54" s="385">
        <f t="shared" si="4"/>
        <v>66.5</v>
      </c>
      <c r="S54" s="388">
        <v>3</v>
      </c>
      <c r="T54" s="342"/>
      <c r="U54" s="355"/>
      <c r="V54" s="343" t="s">
        <v>112</v>
      </c>
      <c r="W54" s="334" t="s">
        <v>20</v>
      </c>
      <c r="X54" s="334" t="s">
        <v>12</v>
      </c>
      <c r="Y54" s="344">
        <v>26</v>
      </c>
      <c r="Z54" s="343" t="s">
        <v>108</v>
      </c>
      <c r="AA54" s="334" t="s">
        <v>75</v>
      </c>
      <c r="AB54" s="334" t="s">
        <v>18</v>
      </c>
      <c r="AC54" s="344">
        <v>18</v>
      </c>
      <c r="AD54" s="343" t="s">
        <v>113</v>
      </c>
      <c r="AE54" s="334" t="s">
        <v>114</v>
      </c>
      <c r="AF54" s="334" t="s">
        <v>12</v>
      </c>
      <c r="AG54" s="344">
        <v>17.5</v>
      </c>
      <c r="AH54" s="343" t="s">
        <v>110</v>
      </c>
      <c r="AI54" s="334" t="s">
        <v>90</v>
      </c>
      <c r="AJ54" s="334" t="s">
        <v>11</v>
      </c>
      <c r="AK54" s="344">
        <v>5</v>
      </c>
      <c r="AL54" s="343"/>
      <c r="AO54" s="344"/>
      <c r="AP54" s="343"/>
      <c r="AS54" s="344"/>
      <c r="AW54" s="344"/>
      <c r="BA54" s="345"/>
    </row>
    <row r="55" spans="1:53" s="334" customFormat="1" x14ac:dyDescent="0.15">
      <c r="A55" s="386">
        <v>1981</v>
      </c>
      <c r="B55" s="355"/>
      <c r="C55" s="785" t="s">
        <v>364</v>
      </c>
      <c r="D55" s="785"/>
      <c r="E55" s="334">
        <v>0</v>
      </c>
      <c r="G55" s="419">
        <v>2</v>
      </c>
      <c r="H55" s="334">
        <v>6</v>
      </c>
      <c r="I55" s="334">
        <v>8</v>
      </c>
      <c r="J55" s="435">
        <v>17</v>
      </c>
      <c r="K55" s="384">
        <f>G55/J55*100</f>
        <v>11.76470588235294</v>
      </c>
      <c r="L55" s="384">
        <f>H55/J55*100</f>
        <v>35.294117647058826</v>
      </c>
      <c r="M55" s="384">
        <f>I55/J55*100</f>
        <v>47.058823529411761</v>
      </c>
      <c r="N55" s="421">
        <f t="shared" si="3"/>
        <v>94.117647058823536</v>
      </c>
      <c r="O55" s="383">
        <v>5</v>
      </c>
      <c r="P55" s="384">
        <v>18</v>
      </c>
      <c r="Q55" s="384">
        <v>43.5</v>
      </c>
      <c r="R55" s="385">
        <f t="shared" si="4"/>
        <v>66.5</v>
      </c>
      <c r="S55" s="388">
        <v>3</v>
      </c>
      <c r="T55" s="342"/>
      <c r="U55" s="355"/>
      <c r="V55" s="343" t="s">
        <v>112</v>
      </c>
      <c r="W55" s="334" t="s">
        <v>20</v>
      </c>
      <c r="X55" s="334" t="s">
        <v>12</v>
      </c>
      <c r="Y55" s="344">
        <v>26</v>
      </c>
      <c r="Z55" s="343" t="s">
        <v>108</v>
      </c>
      <c r="AA55" s="334" t="s">
        <v>75</v>
      </c>
      <c r="AB55" s="334" t="s">
        <v>18</v>
      </c>
      <c r="AC55" s="344">
        <v>18</v>
      </c>
      <c r="AD55" s="343" t="s">
        <v>113</v>
      </c>
      <c r="AE55" s="334" t="s">
        <v>114</v>
      </c>
      <c r="AF55" s="334" t="s">
        <v>12</v>
      </c>
      <c r="AG55" s="344">
        <v>17.5</v>
      </c>
      <c r="AH55" s="343" t="s">
        <v>110</v>
      </c>
      <c r="AI55" s="334" t="s">
        <v>90</v>
      </c>
      <c r="AJ55" s="334" t="s">
        <v>11</v>
      </c>
      <c r="AK55" s="344">
        <v>5</v>
      </c>
      <c r="AL55" s="343"/>
      <c r="AO55" s="344"/>
      <c r="AP55" s="343"/>
      <c r="AS55" s="344"/>
      <c r="AW55" s="344"/>
      <c r="BA55" s="345"/>
    </row>
    <row r="56" spans="1:53" s="334" customFormat="1" x14ac:dyDescent="0.15">
      <c r="A56" s="386">
        <v>1981</v>
      </c>
      <c r="B56" s="355"/>
      <c r="C56" s="785" t="s">
        <v>364</v>
      </c>
      <c r="D56" s="785"/>
      <c r="E56" s="334">
        <v>365</v>
      </c>
      <c r="G56" s="419">
        <v>2</v>
      </c>
      <c r="H56" s="334">
        <v>6</v>
      </c>
      <c r="I56" s="334">
        <v>8</v>
      </c>
      <c r="J56" s="435">
        <v>17</v>
      </c>
      <c r="K56" s="384">
        <f t="shared" ref="K56:K62" si="20">G56/J56*100</f>
        <v>11.76470588235294</v>
      </c>
      <c r="L56" s="384">
        <f t="shared" ref="L56:L62" si="21">H56/J56*100</f>
        <v>35.294117647058826</v>
      </c>
      <c r="M56" s="384">
        <f t="shared" ref="M56:M62" si="22">I56/J56*100</f>
        <v>47.058823529411761</v>
      </c>
      <c r="N56" s="421">
        <f t="shared" si="3"/>
        <v>94.117647058823536</v>
      </c>
      <c r="O56" s="383">
        <v>5</v>
      </c>
      <c r="P56" s="384">
        <v>18</v>
      </c>
      <c r="Q56" s="384">
        <v>43.5</v>
      </c>
      <c r="R56" s="385">
        <f t="shared" si="4"/>
        <v>66.5</v>
      </c>
      <c r="S56" s="388">
        <v>3</v>
      </c>
      <c r="T56" s="342"/>
      <c r="U56" s="355"/>
      <c r="V56" s="343" t="s">
        <v>112</v>
      </c>
      <c r="W56" s="334" t="s">
        <v>20</v>
      </c>
      <c r="X56" s="334" t="s">
        <v>12</v>
      </c>
      <c r="Y56" s="344">
        <v>26</v>
      </c>
      <c r="Z56" s="343" t="s">
        <v>108</v>
      </c>
      <c r="AA56" s="334" t="s">
        <v>75</v>
      </c>
      <c r="AB56" s="334" t="s">
        <v>18</v>
      </c>
      <c r="AC56" s="344">
        <v>18</v>
      </c>
      <c r="AD56" s="343" t="s">
        <v>113</v>
      </c>
      <c r="AE56" s="334" t="s">
        <v>114</v>
      </c>
      <c r="AF56" s="334" t="s">
        <v>12</v>
      </c>
      <c r="AG56" s="344">
        <v>17.5</v>
      </c>
      <c r="AH56" s="343" t="s">
        <v>110</v>
      </c>
      <c r="AI56" s="334" t="s">
        <v>90</v>
      </c>
      <c r="AJ56" s="334" t="s">
        <v>11</v>
      </c>
      <c r="AK56" s="344">
        <v>5</v>
      </c>
      <c r="AL56" s="343"/>
      <c r="AO56" s="344"/>
      <c r="AP56" s="343"/>
      <c r="AS56" s="344"/>
      <c r="AW56" s="344"/>
      <c r="BA56" s="345"/>
    </row>
    <row r="57" spans="1:53" s="334" customFormat="1" x14ac:dyDescent="0.15">
      <c r="A57" s="386">
        <v>1982</v>
      </c>
      <c r="B57" s="355"/>
      <c r="C57" s="785" t="s">
        <v>364</v>
      </c>
      <c r="D57" s="785"/>
      <c r="E57" s="334">
        <v>55</v>
      </c>
      <c r="G57" s="419">
        <v>2</v>
      </c>
      <c r="H57" s="334">
        <v>6</v>
      </c>
      <c r="I57" s="334">
        <v>8</v>
      </c>
      <c r="J57" s="435">
        <v>17</v>
      </c>
      <c r="K57" s="384">
        <f t="shared" si="20"/>
        <v>11.76470588235294</v>
      </c>
      <c r="L57" s="384">
        <f t="shared" si="21"/>
        <v>35.294117647058826</v>
      </c>
      <c r="M57" s="384">
        <f t="shared" si="22"/>
        <v>47.058823529411761</v>
      </c>
      <c r="N57" s="421">
        <f t="shared" si="3"/>
        <v>94.117647058823536</v>
      </c>
      <c r="O57" s="383">
        <v>5</v>
      </c>
      <c r="P57" s="384">
        <v>18</v>
      </c>
      <c r="Q57" s="384">
        <v>43.5</v>
      </c>
      <c r="R57" s="385">
        <f t="shared" si="4"/>
        <v>66.5</v>
      </c>
      <c r="S57" s="388">
        <v>3</v>
      </c>
      <c r="T57" s="342"/>
      <c r="U57" s="355"/>
      <c r="V57" s="343" t="s">
        <v>112</v>
      </c>
      <c r="W57" s="334" t="s">
        <v>20</v>
      </c>
      <c r="X57" s="334" t="s">
        <v>12</v>
      </c>
      <c r="Y57" s="344">
        <v>26</v>
      </c>
      <c r="Z57" s="343" t="s">
        <v>108</v>
      </c>
      <c r="AA57" s="334" t="s">
        <v>75</v>
      </c>
      <c r="AB57" s="334" t="s">
        <v>18</v>
      </c>
      <c r="AC57" s="344">
        <v>18</v>
      </c>
      <c r="AD57" s="343" t="s">
        <v>113</v>
      </c>
      <c r="AE57" s="334" t="s">
        <v>114</v>
      </c>
      <c r="AF57" s="334" t="s">
        <v>12</v>
      </c>
      <c r="AG57" s="344">
        <v>17.5</v>
      </c>
      <c r="AH57" s="343" t="s">
        <v>110</v>
      </c>
      <c r="AI57" s="334" t="s">
        <v>90</v>
      </c>
      <c r="AJ57" s="334" t="s">
        <v>11</v>
      </c>
      <c r="AK57" s="344">
        <v>5</v>
      </c>
      <c r="AL57" s="343"/>
      <c r="AO57" s="344"/>
      <c r="AP57" s="343"/>
      <c r="AS57" s="344"/>
      <c r="AW57" s="344"/>
      <c r="BA57" s="345"/>
    </row>
    <row r="58" spans="1:53" s="73" customFormat="1" x14ac:dyDescent="0.15">
      <c r="A58" s="102">
        <v>1982</v>
      </c>
      <c r="B58" s="85">
        <v>30007</v>
      </c>
      <c r="C58" s="786" t="s">
        <v>365</v>
      </c>
      <c r="D58" s="786"/>
      <c r="E58" s="73">
        <v>308</v>
      </c>
      <c r="F58" s="73">
        <v>2</v>
      </c>
      <c r="G58" s="123">
        <v>2</v>
      </c>
      <c r="H58" s="73">
        <v>6</v>
      </c>
      <c r="I58" s="73">
        <v>8</v>
      </c>
      <c r="J58" s="134">
        <v>17</v>
      </c>
      <c r="K58" s="92">
        <f>G58/J58*100</f>
        <v>11.76470588235294</v>
      </c>
      <c r="L58" s="92">
        <f>H58/J58*100</f>
        <v>35.294117647058826</v>
      </c>
      <c r="M58" s="92">
        <f>I58/J58*100</f>
        <v>47.058823529411761</v>
      </c>
      <c r="N58" s="125">
        <f t="shared" si="3"/>
        <v>94.117647058823536</v>
      </c>
      <c r="O58" s="91">
        <v>5</v>
      </c>
      <c r="P58" s="92">
        <v>18</v>
      </c>
      <c r="Q58" s="92">
        <v>43.5</v>
      </c>
      <c r="R58" s="93">
        <f t="shared" si="4"/>
        <v>66.5</v>
      </c>
      <c r="S58" s="97">
        <v>3</v>
      </c>
      <c r="T58" s="95"/>
      <c r="U58" s="85">
        <v>30007</v>
      </c>
      <c r="V58" s="82" t="s">
        <v>112</v>
      </c>
      <c r="W58" s="73" t="s">
        <v>20</v>
      </c>
      <c r="X58" s="73" t="s">
        <v>12</v>
      </c>
      <c r="Y58" s="83">
        <v>26</v>
      </c>
      <c r="Z58" s="82" t="s">
        <v>108</v>
      </c>
      <c r="AA58" s="73" t="s">
        <v>75</v>
      </c>
      <c r="AB58" s="73" t="s">
        <v>18</v>
      </c>
      <c r="AC58" s="83">
        <v>18</v>
      </c>
      <c r="AD58" s="82" t="s">
        <v>113</v>
      </c>
      <c r="AE58" s="73" t="s">
        <v>114</v>
      </c>
      <c r="AF58" s="73" t="s">
        <v>12</v>
      </c>
      <c r="AG58" s="83">
        <v>17.5</v>
      </c>
      <c r="AH58" s="82" t="s">
        <v>110</v>
      </c>
      <c r="AI58" s="73" t="s">
        <v>90</v>
      </c>
      <c r="AJ58" s="73" t="s">
        <v>11</v>
      </c>
      <c r="AK58" s="83">
        <v>5</v>
      </c>
      <c r="AL58" s="82"/>
      <c r="AO58" s="83"/>
      <c r="AP58" s="82"/>
      <c r="AS58" s="83"/>
      <c r="AW58" s="83"/>
      <c r="BA58" s="84"/>
    </row>
    <row r="59" spans="1:53" s="334" customFormat="1" x14ac:dyDescent="0.15">
      <c r="A59" s="386">
        <v>1982</v>
      </c>
      <c r="B59" s="355">
        <v>30315</v>
      </c>
      <c r="C59" s="785" t="s">
        <v>366</v>
      </c>
      <c r="D59" s="785"/>
      <c r="E59" s="334">
        <v>2</v>
      </c>
      <c r="F59" s="334">
        <v>4</v>
      </c>
      <c r="G59" s="419">
        <v>2</v>
      </c>
      <c r="H59" s="334">
        <v>7</v>
      </c>
      <c r="I59" s="334">
        <v>8</v>
      </c>
      <c r="J59" s="435">
        <v>17</v>
      </c>
      <c r="K59" s="384">
        <f t="shared" si="20"/>
        <v>11.76470588235294</v>
      </c>
      <c r="L59" s="384">
        <f t="shared" si="21"/>
        <v>41.17647058823529</v>
      </c>
      <c r="M59" s="384">
        <f t="shared" si="22"/>
        <v>47.058823529411761</v>
      </c>
      <c r="N59" s="421">
        <f t="shared" si="3"/>
        <v>100</v>
      </c>
      <c r="O59" s="383">
        <v>5</v>
      </c>
      <c r="P59" s="384">
        <v>18</v>
      </c>
      <c r="Q59" s="384">
        <v>26</v>
      </c>
      <c r="R59" s="385">
        <f t="shared" si="4"/>
        <v>49</v>
      </c>
      <c r="S59" s="388">
        <v>5</v>
      </c>
      <c r="T59" s="342"/>
      <c r="U59" s="355">
        <v>30315</v>
      </c>
      <c r="V59" s="343" t="s">
        <v>112</v>
      </c>
      <c r="W59" s="334" t="s">
        <v>20</v>
      </c>
      <c r="X59" s="334" t="s">
        <v>12</v>
      </c>
      <c r="Y59" s="344">
        <v>26</v>
      </c>
      <c r="Z59" s="343" t="s">
        <v>108</v>
      </c>
      <c r="AA59" s="334" t="s">
        <v>75</v>
      </c>
      <c r="AB59" s="334" t="s">
        <v>18</v>
      </c>
      <c r="AC59" s="344">
        <v>18</v>
      </c>
      <c r="AD59" s="343" t="s">
        <v>110</v>
      </c>
      <c r="AE59" s="334" t="s">
        <v>90</v>
      </c>
      <c r="AF59" s="334" t="s">
        <v>11</v>
      </c>
      <c r="AG59" s="344">
        <v>5</v>
      </c>
      <c r="AL59" s="343"/>
      <c r="AO59" s="344"/>
      <c r="AP59" s="343"/>
      <c r="AS59" s="344"/>
      <c r="AW59" s="344"/>
      <c r="BA59" s="345"/>
    </row>
    <row r="60" spans="1:53" s="334" customFormat="1" x14ac:dyDescent="0.15">
      <c r="A60" s="386">
        <v>1983</v>
      </c>
      <c r="B60" s="355"/>
      <c r="C60" s="785" t="s">
        <v>366</v>
      </c>
      <c r="D60" s="785"/>
      <c r="E60" s="334">
        <v>126</v>
      </c>
      <c r="G60" s="419">
        <v>2</v>
      </c>
      <c r="H60" s="334">
        <v>7</v>
      </c>
      <c r="I60" s="334">
        <v>8</v>
      </c>
      <c r="J60" s="435">
        <v>17</v>
      </c>
      <c r="K60" s="384">
        <f t="shared" si="20"/>
        <v>11.76470588235294</v>
      </c>
      <c r="L60" s="384">
        <f t="shared" si="21"/>
        <v>41.17647058823529</v>
      </c>
      <c r="M60" s="384">
        <f t="shared" si="22"/>
        <v>47.058823529411761</v>
      </c>
      <c r="N60" s="421">
        <f t="shared" si="3"/>
        <v>100</v>
      </c>
      <c r="O60" s="383">
        <v>5</v>
      </c>
      <c r="P60" s="384">
        <v>18</v>
      </c>
      <c r="Q60" s="384">
        <v>26</v>
      </c>
      <c r="R60" s="385">
        <f t="shared" si="4"/>
        <v>49</v>
      </c>
      <c r="S60" s="388">
        <v>5</v>
      </c>
      <c r="T60" s="342"/>
      <c r="U60" s="355"/>
      <c r="V60" s="343" t="s">
        <v>112</v>
      </c>
      <c r="W60" s="334" t="s">
        <v>20</v>
      </c>
      <c r="X60" s="334" t="s">
        <v>12</v>
      </c>
      <c r="Y60" s="344">
        <v>26</v>
      </c>
      <c r="Z60" s="343" t="s">
        <v>108</v>
      </c>
      <c r="AA60" s="334" t="s">
        <v>75</v>
      </c>
      <c r="AB60" s="334" t="s">
        <v>18</v>
      </c>
      <c r="AC60" s="344">
        <v>18</v>
      </c>
      <c r="AD60" s="343" t="s">
        <v>110</v>
      </c>
      <c r="AE60" s="334" t="s">
        <v>90</v>
      </c>
      <c r="AF60" s="334" t="s">
        <v>11</v>
      </c>
      <c r="AG60" s="344">
        <v>5</v>
      </c>
      <c r="AL60" s="343"/>
      <c r="AO60" s="344"/>
      <c r="AP60" s="343"/>
      <c r="AS60" s="344"/>
      <c r="AW60" s="344"/>
      <c r="BA60" s="345"/>
    </row>
    <row r="61" spans="1:53" s="73" customFormat="1" x14ac:dyDescent="0.15">
      <c r="A61" s="102">
        <v>1983</v>
      </c>
      <c r="B61" s="85">
        <v>30443</v>
      </c>
      <c r="C61" s="786" t="s">
        <v>367</v>
      </c>
      <c r="D61" s="786"/>
      <c r="E61" s="73">
        <v>239</v>
      </c>
      <c r="F61" s="73">
        <v>1</v>
      </c>
      <c r="G61" s="123">
        <v>2</v>
      </c>
      <c r="H61" s="73">
        <v>7</v>
      </c>
      <c r="I61" s="73">
        <v>8</v>
      </c>
      <c r="J61" s="134">
        <v>17</v>
      </c>
      <c r="K61" s="92">
        <f t="shared" si="20"/>
        <v>11.76470588235294</v>
      </c>
      <c r="L61" s="92">
        <f t="shared" si="21"/>
        <v>41.17647058823529</v>
      </c>
      <c r="M61" s="92">
        <f t="shared" si="22"/>
        <v>47.058823529411761</v>
      </c>
      <c r="N61" s="125">
        <f t="shared" si="3"/>
        <v>100</v>
      </c>
      <c r="O61" s="91">
        <v>5.5</v>
      </c>
      <c r="P61" s="92">
        <v>27.5</v>
      </c>
      <c r="Q61" s="92">
        <v>28.5</v>
      </c>
      <c r="R61" s="93">
        <f t="shared" si="4"/>
        <v>61.5</v>
      </c>
      <c r="S61" s="97">
        <v>3</v>
      </c>
      <c r="T61" s="95">
        <v>30395</v>
      </c>
      <c r="U61" s="85">
        <v>30443</v>
      </c>
      <c r="V61" s="82" t="s">
        <v>112</v>
      </c>
      <c r="W61" s="73" t="s">
        <v>20</v>
      </c>
      <c r="X61" s="73" t="s">
        <v>12</v>
      </c>
      <c r="Y61" s="83">
        <v>28.5</v>
      </c>
      <c r="Z61" s="82" t="s">
        <v>108</v>
      </c>
      <c r="AA61" s="73" t="s">
        <v>75</v>
      </c>
      <c r="AB61" s="73" t="s">
        <v>18</v>
      </c>
      <c r="AC61" s="83">
        <v>19</v>
      </c>
      <c r="AD61" s="82" t="s">
        <v>117</v>
      </c>
      <c r="AE61" s="73" t="s">
        <v>118</v>
      </c>
      <c r="AF61" s="73" t="s">
        <v>18</v>
      </c>
      <c r="AG61" s="83">
        <v>8.5</v>
      </c>
      <c r="AH61" s="82" t="s">
        <v>110</v>
      </c>
      <c r="AI61" s="73" t="s">
        <v>90</v>
      </c>
      <c r="AJ61" s="73" t="s">
        <v>11</v>
      </c>
      <c r="AK61" s="83">
        <v>5.5</v>
      </c>
      <c r="AL61" s="82"/>
      <c r="AO61" s="83"/>
      <c r="AP61" s="82"/>
      <c r="AS61" s="83"/>
      <c r="AW61" s="83"/>
      <c r="BA61" s="84"/>
    </row>
    <row r="62" spans="1:53" s="73" customFormat="1" x14ac:dyDescent="0.15">
      <c r="A62" s="102">
        <v>1984</v>
      </c>
      <c r="B62" s="85"/>
      <c r="C62" s="786" t="s">
        <v>367</v>
      </c>
      <c r="D62" s="786"/>
      <c r="E62" s="73">
        <v>0</v>
      </c>
      <c r="G62" s="123">
        <v>2</v>
      </c>
      <c r="H62" s="73">
        <v>7</v>
      </c>
      <c r="I62" s="73">
        <v>8</v>
      </c>
      <c r="J62" s="134">
        <v>17</v>
      </c>
      <c r="K62" s="92">
        <f t="shared" si="20"/>
        <v>11.76470588235294</v>
      </c>
      <c r="L62" s="92">
        <f t="shared" si="21"/>
        <v>41.17647058823529</v>
      </c>
      <c r="M62" s="92">
        <f t="shared" si="22"/>
        <v>47.058823529411761</v>
      </c>
      <c r="N62" s="125">
        <f t="shared" si="3"/>
        <v>100</v>
      </c>
      <c r="O62" s="91">
        <v>5.5</v>
      </c>
      <c r="P62" s="92">
        <v>27.5</v>
      </c>
      <c r="Q62" s="92">
        <v>28.5</v>
      </c>
      <c r="R62" s="93">
        <f t="shared" si="4"/>
        <v>61.5</v>
      </c>
      <c r="S62" s="97">
        <v>3</v>
      </c>
      <c r="T62" s="95"/>
      <c r="U62" s="85"/>
      <c r="V62" s="82" t="s">
        <v>112</v>
      </c>
      <c r="W62" s="73" t="s">
        <v>20</v>
      </c>
      <c r="X62" s="73" t="s">
        <v>12</v>
      </c>
      <c r="Y62" s="83">
        <v>28.5</v>
      </c>
      <c r="Z62" s="82" t="s">
        <v>108</v>
      </c>
      <c r="AA62" s="73" t="s">
        <v>75</v>
      </c>
      <c r="AB62" s="73" t="s">
        <v>18</v>
      </c>
      <c r="AC62" s="83">
        <v>19</v>
      </c>
      <c r="AD62" s="82" t="s">
        <v>117</v>
      </c>
      <c r="AE62" s="73" t="s">
        <v>118</v>
      </c>
      <c r="AF62" s="73" t="s">
        <v>18</v>
      </c>
      <c r="AG62" s="83">
        <v>8.5</v>
      </c>
      <c r="AH62" s="82" t="s">
        <v>110</v>
      </c>
      <c r="AI62" s="73" t="s">
        <v>90</v>
      </c>
      <c r="AJ62" s="73" t="s">
        <v>11</v>
      </c>
      <c r="AK62" s="83">
        <v>5.5</v>
      </c>
      <c r="AL62" s="82"/>
      <c r="AO62" s="83"/>
      <c r="AP62" s="82"/>
      <c r="AS62" s="83"/>
      <c r="AW62" s="83"/>
      <c r="BA62" s="84"/>
    </row>
    <row r="63" spans="1:53" s="73" customFormat="1" x14ac:dyDescent="0.15">
      <c r="A63" s="102">
        <v>1984</v>
      </c>
      <c r="B63" s="85"/>
      <c r="C63" s="786" t="s">
        <v>367</v>
      </c>
      <c r="D63" s="786"/>
      <c r="E63" s="73">
        <v>366</v>
      </c>
      <c r="G63" s="123">
        <v>2</v>
      </c>
      <c r="H63" s="73">
        <v>7</v>
      </c>
      <c r="I63" s="73">
        <v>8</v>
      </c>
      <c r="J63" s="134">
        <v>17</v>
      </c>
      <c r="K63" s="92">
        <f>G63/J63*100</f>
        <v>11.76470588235294</v>
      </c>
      <c r="L63" s="92">
        <f>H63/J63*100</f>
        <v>41.17647058823529</v>
      </c>
      <c r="M63" s="92">
        <f>I63/J63*100</f>
        <v>47.058823529411761</v>
      </c>
      <c r="N63" s="125">
        <f t="shared" si="3"/>
        <v>100</v>
      </c>
      <c r="O63" s="91">
        <v>5.5</v>
      </c>
      <c r="P63" s="92">
        <v>27.5</v>
      </c>
      <c r="Q63" s="92">
        <v>28.5</v>
      </c>
      <c r="R63" s="93">
        <f t="shared" si="4"/>
        <v>61.5</v>
      </c>
      <c r="S63" s="97">
        <v>3</v>
      </c>
      <c r="T63" s="95"/>
      <c r="U63" s="85"/>
      <c r="V63" s="82" t="s">
        <v>112</v>
      </c>
      <c r="W63" s="73" t="s">
        <v>20</v>
      </c>
      <c r="X63" s="73" t="s">
        <v>12</v>
      </c>
      <c r="Y63" s="83">
        <v>28.5</v>
      </c>
      <c r="Z63" s="82" t="s">
        <v>108</v>
      </c>
      <c r="AA63" s="73" t="s">
        <v>75</v>
      </c>
      <c r="AB63" s="73" t="s">
        <v>18</v>
      </c>
      <c r="AC63" s="83">
        <v>19</v>
      </c>
      <c r="AD63" s="82" t="s">
        <v>117</v>
      </c>
      <c r="AE63" s="73" t="s">
        <v>118</v>
      </c>
      <c r="AF63" s="73" t="s">
        <v>18</v>
      </c>
      <c r="AG63" s="83">
        <v>8.5</v>
      </c>
      <c r="AH63" s="82" t="s">
        <v>110</v>
      </c>
      <c r="AI63" s="73" t="s">
        <v>90</v>
      </c>
      <c r="AJ63" s="73" t="s">
        <v>11</v>
      </c>
      <c r="AK63" s="83">
        <v>5.5</v>
      </c>
      <c r="AL63" s="82"/>
      <c r="AO63" s="83"/>
      <c r="AP63" s="82"/>
      <c r="AS63" s="83"/>
      <c r="AW63" s="83"/>
      <c r="BA63" s="84"/>
    </row>
    <row r="64" spans="1:53" s="73" customFormat="1" x14ac:dyDescent="0.15">
      <c r="A64" s="102">
        <v>1985</v>
      </c>
      <c r="B64" s="85"/>
      <c r="C64" s="786" t="s">
        <v>367</v>
      </c>
      <c r="D64" s="786"/>
      <c r="E64" s="73">
        <v>0</v>
      </c>
      <c r="G64" s="123">
        <v>2</v>
      </c>
      <c r="H64" s="73">
        <v>7</v>
      </c>
      <c r="I64" s="73">
        <v>8</v>
      </c>
      <c r="J64" s="134">
        <v>17</v>
      </c>
      <c r="K64" s="92">
        <f t="shared" ref="K64:K69" si="23">G64/J64*100</f>
        <v>11.76470588235294</v>
      </c>
      <c r="L64" s="92">
        <f t="shared" ref="L64:L69" si="24">H64/J64*100</f>
        <v>41.17647058823529</v>
      </c>
      <c r="M64" s="92">
        <f t="shared" ref="M64:M69" si="25">I64/J64*100</f>
        <v>47.058823529411761</v>
      </c>
      <c r="N64" s="125">
        <f t="shared" si="3"/>
        <v>100</v>
      </c>
      <c r="O64" s="91">
        <v>5.5</v>
      </c>
      <c r="P64" s="92">
        <v>27.5</v>
      </c>
      <c r="Q64" s="92">
        <v>28.5</v>
      </c>
      <c r="R64" s="93">
        <f t="shared" si="4"/>
        <v>61.5</v>
      </c>
      <c r="S64" s="97">
        <v>3</v>
      </c>
      <c r="T64" s="95"/>
      <c r="U64" s="85"/>
      <c r="V64" s="82" t="s">
        <v>112</v>
      </c>
      <c r="W64" s="73" t="s">
        <v>20</v>
      </c>
      <c r="X64" s="73" t="s">
        <v>12</v>
      </c>
      <c r="Y64" s="83">
        <v>28.5</v>
      </c>
      <c r="Z64" s="82" t="s">
        <v>108</v>
      </c>
      <c r="AA64" s="73" t="s">
        <v>75</v>
      </c>
      <c r="AB64" s="73" t="s">
        <v>18</v>
      </c>
      <c r="AC64" s="83">
        <v>19</v>
      </c>
      <c r="AD64" s="82" t="s">
        <v>117</v>
      </c>
      <c r="AE64" s="73" t="s">
        <v>118</v>
      </c>
      <c r="AF64" s="73" t="s">
        <v>18</v>
      </c>
      <c r="AG64" s="83">
        <v>8.5</v>
      </c>
      <c r="AH64" s="82" t="s">
        <v>110</v>
      </c>
      <c r="AI64" s="73" t="s">
        <v>90</v>
      </c>
      <c r="AJ64" s="73" t="s">
        <v>11</v>
      </c>
      <c r="AK64" s="83">
        <v>5.5</v>
      </c>
      <c r="AL64" s="82"/>
      <c r="AO64" s="83"/>
      <c r="AP64" s="82"/>
      <c r="AS64" s="83"/>
      <c r="AW64" s="83"/>
      <c r="BA64" s="84"/>
    </row>
    <row r="65" spans="1:53" s="73" customFormat="1" x14ac:dyDescent="0.15">
      <c r="A65" s="102">
        <v>1985</v>
      </c>
      <c r="B65" s="85"/>
      <c r="C65" s="786" t="s">
        <v>367</v>
      </c>
      <c r="D65" s="786"/>
      <c r="E65" s="73">
        <v>365</v>
      </c>
      <c r="G65" s="123">
        <v>2</v>
      </c>
      <c r="H65" s="73">
        <v>7</v>
      </c>
      <c r="I65" s="73">
        <v>8</v>
      </c>
      <c r="J65" s="134">
        <v>17</v>
      </c>
      <c r="K65" s="92">
        <f t="shared" si="23"/>
        <v>11.76470588235294</v>
      </c>
      <c r="L65" s="92">
        <f t="shared" si="24"/>
        <v>41.17647058823529</v>
      </c>
      <c r="M65" s="92">
        <f t="shared" si="25"/>
        <v>47.058823529411761</v>
      </c>
      <c r="N65" s="125">
        <f t="shared" si="3"/>
        <v>100</v>
      </c>
      <c r="O65" s="91">
        <v>5.5</v>
      </c>
      <c r="P65" s="92">
        <v>27.5</v>
      </c>
      <c r="Q65" s="92">
        <v>28.5</v>
      </c>
      <c r="R65" s="93">
        <f t="shared" si="4"/>
        <v>61.5</v>
      </c>
      <c r="S65" s="97">
        <v>3</v>
      </c>
      <c r="T65" s="95"/>
      <c r="U65" s="85"/>
      <c r="V65" s="82" t="s">
        <v>112</v>
      </c>
      <c r="W65" s="73" t="s">
        <v>20</v>
      </c>
      <c r="X65" s="73" t="s">
        <v>12</v>
      </c>
      <c r="Y65" s="83">
        <v>28.5</v>
      </c>
      <c r="Z65" s="82" t="s">
        <v>108</v>
      </c>
      <c r="AA65" s="73" t="s">
        <v>75</v>
      </c>
      <c r="AB65" s="73" t="s">
        <v>18</v>
      </c>
      <c r="AC65" s="83">
        <v>19</v>
      </c>
      <c r="AD65" s="82" t="s">
        <v>117</v>
      </c>
      <c r="AE65" s="73" t="s">
        <v>118</v>
      </c>
      <c r="AF65" s="73" t="s">
        <v>18</v>
      </c>
      <c r="AG65" s="83">
        <v>8.5</v>
      </c>
      <c r="AH65" s="82" t="s">
        <v>110</v>
      </c>
      <c r="AI65" s="73" t="s">
        <v>90</v>
      </c>
      <c r="AJ65" s="73" t="s">
        <v>11</v>
      </c>
      <c r="AK65" s="83">
        <v>5.5</v>
      </c>
      <c r="AL65" s="82"/>
      <c r="AO65" s="83"/>
      <c r="AP65" s="82"/>
      <c r="AS65" s="83"/>
      <c r="AW65" s="83"/>
      <c r="BA65" s="84"/>
    </row>
    <row r="66" spans="1:53" s="73" customFormat="1" x14ac:dyDescent="0.15">
      <c r="A66" s="102">
        <v>1986</v>
      </c>
      <c r="B66" s="85"/>
      <c r="C66" s="786" t="s">
        <v>367</v>
      </c>
      <c r="D66" s="786"/>
      <c r="E66" s="73">
        <v>0</v>
      </c>
      <c r="G66" s="123">
        <v>2</v>
      </c>
      <c r="H66" s="73">
        <v>7</v>
      </c>
      <c r="I66" s="73">
        <v>8</v>
      </c>
      <c r="J66" s="134">
        <v>17</v>
      </c>
      <c r="K66" s="92">
        <f t="shared" si="23"/>
        <v>11.76470588235294</v>
      </c>
      <c r="L66" s="92">
        <f t="shared" si="24"/>
        <v>41.17647058823529</v>
      </c>
      <c r="M66" s="92">
        <f t="shared" si="25"/>
        <v>47.058823529411761</v>
      </c>
      <c r="N66" s="125">
        <f t="shared" si="3"/>
        <v>100</v>
      </c>
      <c r="O66" s="91">
        <v>5.5</v>
      </c>
      <c r="P66" s="92">
        <v>27.5</v>
      </c>
      <c r="Q66" s="92">
        <v>28.5</v>
      </c>
      <c r="R66" s="93">
        <f t="shared" si="4"/>
        <v>61.5</v>
      </c>
      <c r="S66" s="97">
        <v>3</v>
      </c>
      <c r="T66" s="95"/>
      <c r="U66" s="85"/>
      <c r="V66" s="82" t="s">
        <v>112</v>
      </c>
      <c r="W66" s="73" t="s">
        <v>20</v>
      </c>
      <c r="X66" s="73" t="s">
        <v>12</v>
      </c>
      <c r="Y66" s="83">
        <v>28.5</v>
      </c>
      <c r="Z66" s="82" t="s">
        <v>108</v>
      </c>
      <c r="AA66" s="73" t="s">
        <v>75</v>
      </c>
      <c r="AB66" s="73" t="s">
        <v>18</v>
      </c>
      <c r="AC66" s="83">
        <v>19</v>
      </c>
      <c r="AD66" s="82" t="s">
        <v>117</v>
      </c>
      <c r="AE66" s="73" t="s">
        <v>118</v>
      </c>
      <c r="AF66" s="73" t="s">
        <v>18</v>
      </c>
      <c r="AG66" s="83">
        <v>8.5</v>
      </c>
      <c r="AH66" s="82" t="s">
        <v>110</v>
      </c>
      <c r="AI66" s="73" t="s">
        <v>90</v>
      </c>
      <c r="AJ66" s="73" t="s">
        <v>11</v>
      </c>
      <c r="AK66" s="83">
        <v>5.5</v>
      </c>
      <c r="AL66" s="82"/>
      <c r="AO66" s="83"/>
      <c r="AP66" s="82"/>
      <c r="AS66" s="83"/>
      <c r="AW66" s="83"/>
      <c r="BA66" s="84"/>
    </row>
    <row r="67" spans="1:53" s="73" customFormat="1" x14ac:dyDescent="0.15">
      <c r="A67" s="102">
        <v>1986</v>
      </c>
      <c r="B67" s="85"/>
      <c r="C67" s="786" t="s">
        <v>367</v>
      </c>
      <c r="D67" s="786"/>
      <c r="E67" s="73">
        <v>365</v>
      </c>
      <c r="G67" s="123">
        <v>2</v>
      </c>
      <c r="H67" s="73">
        <v>7</v>
      </c>
      <c r="I67" s="73">
        <v>8</v>
      </c>
      <c r="J67" s="134">
        <v>17</v>
      </c>
      <c r="K67" s="92">
        <f t="shared" si="23"/>
        <v>11.76470588235294</v>
      </c>
      <c r="L67" s="92">
        <f t="shared" si="24"/>
        <v>41.17647058823529</v>
      </c>
      <c r="M67" s="92">
        <f t="shared" si="25"/>
        <v>47.058823529411761</v>
      </c>
      <c r="N67" s="125">
        <f t="shared" si="3"/>
        <v>100</v>
      </c>
      <c r="O67" s="91">
        <v>5.5</v>
      </c>
      <c r="P67" s="92">
        <v>27.5</v>
      </c>
      <c r="Q67" s="92">
        <v>28.5</v>
      </c>
      <c r="R67" s="93">
        <f t="shared" si="4"/>
        <v>61.5</v>
      </c>
      <c r="S67" s="97">
        <v>3</v>
      </c>
      <c r="T67" s="95"/>
      <c r="U67" s="85"/>
      <c r="V67" s="82" t="s">
        <v>112</v>
      </c>
      <c r="W67" s="73" t="s">
        <v>20</v>
      </c>
      <c r="X67" s="73" t="s">
        <v>12</v>
      </c>
      <c r="Y67" s="83">
        <v>28.5</v>
      </c>
      <c r="Z67" s="82" t="s">
        <v>108</v>
      </c>
      <c r="AA67" s="73" t="s">
        <v>75</v>
      </c>
      <c r="AB67" s="73" t="s">
        <v>18</v>
      </c>
      <c r="AC67" s="83">
        <v>19</v>
      </c>
      <c r="AD67" s="82" t="s">
        <v>117</v>
      </c>
      <c r="AE67" s="73" t="s">
        <v>118</v>
      </c>
      <c r="AF67" s="73" t="s">
        <v>18</v>
      </c>
      <c r="AG67" s="83">
        <v>8.5</v>
      </c>
      <c r="AH67" s="82" t="s">
        <v>110</v>
      </c>
      <c r="AI67" s="73" t="s">
        <v>90</v>
      </c>
      <c r="AJ67" s="73" t="s">
        <v>11</v>
      </c>
      <c r="AK67" s="83">
        <v>5.5</v>
      </c>
      <c r="AL67" s="82"/>
      <c r="AO67" s="83"/>
      <c r="AP67" s="82"/>
      <c r="AS67" s="83"/>
      <c r="AW67" s="83"/>
      <c r="BA67" s="84"/>
    </row>
    <row r="68" spans="1:53" s="73" customFormat="1" x14ac:dyDescent="0.15">
      <c r="A68" s="102">
        <v>1987</v>
      </c>
      <c r="B68" s="85"/>
      <c r="C68" s="786" t="s">
        <v>367</v>
      </c>
      <c r="D68" s="786"/>
      <c r="E68" s="73">
        <v>119</v>
      </c>
      <c r="G68" s="123">
        <v>2</v>
      </c>
      <c r="H68" s="73">
        <v>7</v>
      </c>
      <c r="I68" s="73">
        <v>8</v>
      </c>
      <c r="J68" s="134">
        <v>17</v>
      </c>
      <c r="K68" s="92">
        <f t="shared" si="23"/>
        <v>11.76470588235294</v>
      </c>
      <c r="L68" s="92">
        <f t="shared" si="24"/>
        <v>41.17647058823529</v>
      </c>
      <c r="M68" s="92">
        <f t="shared" si="25"/>
        <v>47.058823529411761</v>
      </c>
      <c r="N68" s="125">
        <f t="shared" si="3"/>
        <v>100</v>
      </c>
      <c r="O68" s="91">
        <v>5.5</v>
      </c>
      <c r="P68" s="92">
        <v>27.5</v>
      </c>
      <c r="Q68" s="92">
        <v>28.5</v>
      </c>
      <c r="R68" s="93">
        <f t="shared" si="4"/>
        <v>61.5</v>
      </c>
      <c r="S68" s="97">
        <v>3</v>
      </c>
      <c r="T68" s="95"/>
      <c r="U68" s="85"/>
      <c r="V68" s="82" t="s">
        <v>112</v>
      </c>
      <c r="W68" s="73" t="s">
        <v>20</v>
      </c>
      <c r="X68" s="73" t="s">
        <v>12</v>
      </c>
      <c r="Y68" s="83">
        <v>28.5</v>
      </c>
      <c r="Z68" s="82" t="s">
        <v>108</v>
      </c>
      <c r="AA68" s="73" t="s">
        <v>75</v>
      </c>
      <c r="AB68" s="73" t="s">
        <v>18</v>
      </c>
      <c r="AC68" s="83">
        <v>19</v>
      </c>
      <c r="AD68" s="82" t="s">
        <v>117</v>
      </c>
      <c r="AE68" s="73" t="s">
        <v>118</v>
      </c>
      <c r="AF68" s="73" t="s">
        <v>18</v>
      </c>
      <c r="AG68" s="83">
        <v>8.5</v>
      </c>
      <c r="AH68" s="82" t="s">
        <v>110</v>
      </c>
      <c r="AI68" s="73" t="s">
        <v>90</v>
      </c>
      <c r="AJ68" s="73" t="s">
        <v>11</v>
      </c>
      <c r="AK68" s="83">
        <v>5.5</v>
      </c>
      <c r="AL68" s="82"/>
      <c r="AO68" s="83"/>
      <c r="AP68" s="82"/>
      <c r="AS68" s="83"/>
      <c r="AW68" s="83"/>
      <c r="BA68" s="84"/>
    </row>
    <row r="69" spans="1:53" s="334" customFormat="1" x14ac:dyDescent="0.15">
      <c r="A69" s="386">
        <v>1987</v>
      </c>
      <c r="B69" s="355">
        <v>31897</v>
      </c>
      <c r="C69" s="785" t="s">
        <v>368</v>
      </c>
      <c r="D69" s="785"/>
      <c r="E69" s="334">
        <v>246</v>
      </c>
      <c r="F69" s="334">
        <v>1</v>
      </c>
      <c r="G69" s="419">
        <v>9</v>
      </c>
      <c r="H69" s="334">
        <v>1</v>
      </c>
      <c r="I69" s="334">
        <v>8</v>
      </c>
      <c r="J69" s="435">
        <v>18</v>
      </c>
      <c r="K69" s="384">
        <f t="shared" si="23"/>
        <v>50</v>
      </c>
      <c r="L69" s="384">
        <f t="shared" si="24"/>
        <v>5.5555555555555554</v>
      </c>
      <c r="M69" s="384">
        <f t="shared" si="25"/>
        <v>44.444444444444443</v>
      </c>
      <c r="N69" s="421">
        <f t="shared" si="3"/>
        <v>100</v>
      </c>
      <c r="O69" s="383">
        <v>33</v>
      </c>
      <c r="P69" s="384">
        <v>4.5</v>
      </c>
      <c r="Q69" s="384">
        <v>28</v>
      </c>
      <c r="R69" s="385">
        <f t="shared" si="4"/>
        <v>65.5</v>
      </c>
      <c r="S69" s="388">
        <v>3</v>
      </c>
      <c r="T69" s="342">
        <v>31851</v>
      </c>
      <c r="U69" s="355">
        <v>31897</v>
      </c>
      <c r="V69" s="343" t="s">
        <v>109</v>
      </c>
      <c r="W69" s="334" t="s">
        <v>74</v>
      </c>
      <c r="X69" s="334" t="s">
        <v>11</v>
      </c>
      <c r="Y69" s="344">
        <v>26.5</v>
      </c>
      <c r="Z69" s="343" t="s">
        <v>112</v>
      </c>
      <c r="AA69" s="334" t="s">
        <v>20</v>
      </c>
      <c r="AB69" s="334" t="s">
        <v>12</v>
      </c>
      <c r="AC69" s="344">
        <v>28</v>
      </c>
      <c r="AD69" s="343" t="s">
        <v>110</v>
      </c>
      <c r="AE69" s="334" t="s">
        <v>90</v>
      </c>
      <c r="AF69" s="334" t="s">
        <v>11</v>
      </c>
      <c r="AG69" s="344">
        <v>6.5</v>
      </c>
      <c r="AH69" s="343" t="s">
        <v>117</v>
      </c>
      <c r="AI69" s="334" t="s">
        <v>118</v>
      </c>
      <c r="AJ69" s="334" t="s">
        <v>18</v>
      </c>
      <c r="AK69" s="344">
        <v>4.5</v>
      </c>
      <c r="AL69" s="343"/>
      <c r="AO69" s="344"/>
      <c r="AP69" s="343"/>
      <c r="AS69" s="344"/>
      <c r="AW69" s="344"/>
      <c r="BA69" s="345"/>
    </row>
    <row r="70" spans="1:53" s="334" customFormat="1" x14ac:dyDescent="0.15">
      <c r="A70" s="386">
        <v>1988</v>
      </c>
      <c r="B70" s="355"/>
      <c r="C70" s="785" t="s">
        <v>368</v>
      </c>
      <c r="D70" s="785"/>
      <c r="E70" s="334">
        <v>0</v>
      </c>
      <c r="G70" s="419">
        <v>9</v>
      </c>
      <c r="H70" s="334">
        <v>1</v>
      </c>
      <c r="I70" s="334">
        <v>8</v>
      </c>
      <c r="J70" s="435">
        <v>18</v>
      </c>
      <c r="K70" s="384">
        <f>G70/J70*100</f>
        <v>50</v>
      </c>
      <c r="L70" s="384">
        <f>H70/J70*100</f>
        <v>5.5555555555555554</v>
      </c>
      <c r="M70" s="384">
        <f>I70/J70*100</f>
        <v>44.444444444444443</v>
      </c>
      <c r="N70" s="421">
        <f t="shared" si="3"/>
        <v>100</v>
      </c>
      <c r="O70" s="383">
        <v>33</v>
      </c>
      <c r="P70" s="384">
        <v>4.5</v>
      </c>
      <c r="Q70" s="384">
        <v>28</v>
      </c>
      <c r="R70" s="385">
        <f t="shared" si="4"/>
        <v>65.5</v>
      </c>
      <c r="S70" s="388">
        <v>3</v>
      </c>
      <c r="T70" s="342"/>
      <c r="U70" s="355"/>
      <c r="V70" s="343" t="s">
        <v>109</v>
      </c>
      <c r="W70" s="334" t="s">
        <v>74</v>
      </c>
      <c r="X70" s="334" t="s">
        <v>11</v>
      </c>
      <c r="Y70" s="344">
        <v>26.5</v>
      </c>
      <c r="Z70" s="343" t="s">
        <v>112</v>
      </c>
      <c r="AA70" s="334" t="s">
        <v>20</v>
      </c>
      <c r="AB70" s="334" t="s">
        <v>12</v>
      </c>
      <c r="AC70" s="344">
        <v>28</v>
      </c>
      <c r="AD70" s="343" t="s">
        <v>110</v>
      </c>
      <c r="AE70" s="334" t="s">
        <v>90</v>
      </c>
      <c r="AF70" s="334" t="s">
        <v>11</v>
      </c>
      <c r="AG70" s="344">
        <v>6.5</v>
      </c>
      <c r="AH70" s="343" t="s">
        <v>117</v>
      </c>
      <c r="AI70" s="334" t="s">
        <v>118</v>
      </c>
      <c r="AJ70" s="334" t="s">
        <v>18</v>
      </c>
      <c r="AK70" s="344">
        <v>4.5</v>
      </c>
      <c r="AL70" s="343"/>
      <c r="AO70" s="344"/>
      <c r="AP70" s="343"/>
      <c r="AS70" s="344"/>
      <c r="AW70" s="344"/>
      <c r="BA70" s="345"/>
    </row>
    <row r="71" spans="1:53" s="334" customFormat="1" x14ac:dyDescent="0.15">
      <c r="A71" s="386">
        <v>1988</v>
      </c>
      <c r="B71" s="355"/>
      <c r="C71" s="785" t="s">
        <v>368</v>
      </c>
      <c r="D71" s="785"/>
      <c r="E71" s="334">
        <v>366</v>
      </c>
      <c r="G71" s="419">
        <v>9</v>
      </c>
      <c r="H71" s="334">
        <v>1</v>
      </c>
      <c r="I71" s="334">
        <v>8</v>
      </c>
      <c r="J71" s="435">
        <v>18</v>
      </c>
      <c r="K71" s="384">
        <f>G71/J71*100</f>
        <v>50</v>
      </c>
      <c r="L71" s="384">
        <f>H71/J71*100</f>
        <v>5.5555555555555554</v>
      </c>
      <c r="M71" s="384">
        <f>I71/J71*100</f>
        <v>44.444444444444443</v>
      </c>
      <c r="N71" s="421">
        <f t="shared" si="3"/>
        <v>100</v>
      </c>
      <c r="O71" s="383">
        <v>33</v>
      </c>
      <c r="P71" s="384">
        <v>4.5</v>
      </c>
      <c r="Q71" s="384">
        <v>28</v>
      </c>
      <c r="R71" s="385">
        <f t="shared" si="4"/>
        <v>65.5</v>
      </c>
      <c r="S71" s="388">
        <v>3</v>
      </c>
      <c r="T71" s="342"/>
      <c r="U71" s="355"/>
      <c r="V71" s="343" t="s">
        <v>109</v>
      </c>
      <c r="W71" s="334" t="s">
        <v>74</v>
      </c>
      <c r="X71" s="334" t="s">
        <v>11</v>
      </c>
      <c r="Y71" s="344">
        <v>26.5</v>
      </c>
      <c r="Z71" s="343" t="s">
        <v>112</v>
      </c>
      <c r="AA71" s="334" t="s">
        <v>20</v>
      </c>
      <c r="AB71" s="334" t="s">
        <v>12</v>
      </c>
      <c r="AC71" s="344">
        <v>28</v>
      </c>
      <c r="AD71" s="343" t="s">
        <v>110</v>
      </c>
      <c r="AE71" s="334" t="s">
        <v>90</v>
      </c>
      <c r="AF71" s="334" t="s">
        <v>11</v>
      </c>
      <c r="AG71" s="344">
        <v>6.5</v>
      </c>
      <c r="AH71" s="343" t="s">
        <v>117</v>
      </c>
      <c r="AI71" s="334" t="s">
        <v>118</v>
      </c>
      <c r="AJ71" s="334" t="s">
        <v>18</v>
      </c>
      <c r="AK71" s="344">
        <v>4.5</v>
      </c>
      <c r="AL71" s="343"/>
      <c r="AO71" s="344"/>
      <c r="AP71" s="343"/>
      <c r="AS71" s="344"/>
      <c r="AW71" s="344"/>
      <c r="BA71" s="345"/>
    </row>
    <row r="72" spans="1:53" s="334" customFormat="1" x14ac:dyDescent="0.15">
      <c r="A72" s="334">
        <v>1989</v>
      </c>
      <c r="B72" s="355"/>
      <c r="C72" s="785" t="s">
        <v>368</v>
      </c>
      <c r="D72" s="785"/>
      <c r="E72" s="334">
        <v>0</v>
      </c>
      <c r="G72" s="419">
        <v>9</v>
      </c>
      <c r="H72" s="334">
        <v>1</v>
      </c>
      <c r="I72" s="334">
        <v>8</v>
      </c>
      <c r="J72" s="435">
        <v>18</v>
      </c>
      <c r="K72" s="384">
        <f>G72/J72*100</f>
        <v>50</v>
      </c>
      <c r="L72" s="384">
        <f>H72/J72*100</f>
        <v>5.5555555555555554</v>
      </c>
      <c r="M72" s="384">
        <f>I72/J72*100</f>
        <v>44.444444444444443</v>
      </c>
      <c r="N72" s="421">
        <f t="shared" si="3"/>
        <v>100</v>
      </c>
      <c r="O72" s="383">
        <v>33</v>
      </c>
      <c r="P72" s="384">
        <v>4.5</v>
      </c>
      <c r="Q72" s="384">
        <v>28</v>
      </c>
      <c r="R72" s="385">
        <f t="shared" si="4"/>
        <v>65.5</v>
      </c>
      <c r="S72" s="388">
        <v>3</v>
      </c>
      <c r="T72" s="342"/>
      <c r="U72" s="355"/>
      <c r="V72" s="343" t="s">
        <v>109</v>
      </c>
      <c r="W72" s="334" t="s">
        <v>74</v>
      </c>
      <c r="X72" s="334" t="s">
        <v>11</v>
      </c>
      <c r="Y72" s="344">
        <v>26.5</v>
      </c>
      <c r="Z72" s="343" t="s">
        <v>112</v>
      </c>
      <c r="AA72" s="334" t="s">
        <v>20</v>
      </c>
      <c r="AB72" s="334" t="s">
        <v>12</v>
      </c>
      <c r="AC72" s="344">
        <v>28</v>
      </c>
      <c r="AD72" s="343" t="s">
        <v>110</v>
      </c>
      <c r="AE72" s="334" t="s">
        <v>90</v>
      </c>
      <c r="AF72" s="334" t="s">
        <v>11</v>
      </c>
      <c r="AG72" s="344">
        <v>6.5</v>
      </c>
      <c r="AH72" s="343" t="s">
        <v>117</v>
      </c>
      <c r="AI72" s="334" t="s">
        <v>118</v>
      </c>
      <c r="AJ72" s="334" t="s">
        <v>18</v>
      </c>
      <c r="AK72" s="344">
        <v>4.5</v>
      </c>
      <c r="AL72" s="343"/>
      <c r="AO72" s="344"/>
      <c r="AP72" s="343"/>
      <c r="AS72" s="344"/>
      <c r="AW72" s="344"/>
      <c r="BA72" s="345"/>
    </row>
    <row r="73" spans="1:53" s="104" customFormat="1" x14ac:dyDescent="0.15">
      <c r="A73" s="104">
        <v>1989</v>
      </c>
      <c r="B73" s="407"/>
      <c r="C73" s="784" t="s">
        <v>368</v>
      </c>
      <c r="D73" s="784"/>
      <c r="E73" s="104">
        <f>365-E72</f>
        <v>365</v>
      </c>
      <c r="G73" s="447">
        <v>9</v>
      </c>
      <c r="H73" s="104">
        <v>1</v>
      </c>
      <c r="I73" s="104">
        <v>8</v>
      </c>
      <c r="J73" s="448">
        <v>18</v>
      </c>
      <c r="K73" s="404">
        <f>G73/J73*100</f>
        <v>50</v>
      </c>
      <c r="L73" s="404">
        <f>H73/J73*100</f>
        <v>5.5555555555555554</v>
      </c>
      <c r="M73" s="404">
        <f>I73/J73*100</f>
        <v>44.444444444444443</v>
      </c>
      <c r="N73" s="426">
        <f t="shared" ref="N73:N123" si="26">SUM(K73:M73)</f>
        <v>100</v>
      </c>
      <c r="O73" s="403">
        <v>33</v>
      </c>
      <c r="P73" s="404">
        <v>4.5</v>
      </c>
      <c r="Q73" s="404">
        <v>28</v>
      </c>
      <c r="R73" s="405">
        <f t="shared" ref="R73:R121" si="27">SUM(O73:Q73)</f>
        <v>65.5</v>
      </c>
      <c r="S73" s="409">
        <v>3</v>
      </c>
      <c r="T73" s="406"/>
      <c r="U73" s="407"/>
      <c r="V73" s="105" t="s">
        <v>109</v>
      </c>
      <c r="W73" s="104" t="s">
        <v>74</v>
      </c>
      <c r="X73" s="104" t="s">
        <v>11</v>
      </c>
      <c r="Y73" s="106">
        <v>26.5</v>
      </c>
      <c r="Z73" s="105" t="s">
        <v>112</v>
      </c>
      <c r="AA73" s="104" t="s">
        <v>20</v>
      </c>
      <c r="AB73" s="104" t="s">
        <v>12</v>
      </c>
      <c r="AC73" s="106">
        <v>28</v>
      </c>
      <c r="AD73" s="105" t="s">
        <v>110</v>
      </c>
      <c r="AE73" s="104" t="s">
        <v>90</v>
      </c>
      <c r="AF73" s="104" t="s">
        <v>11</v>
      </c>
      <c r="AG73" s="106">
        <v>6.5</v>
      </c>
      <c r="AH73" s="105" t="s">
        <v>117</v>
      </c>
      <c r="AI73" s="104" t="s">
        <v>118</v>
      </c>
      <c r="AJ73" s="104" t="s">
        <v>18</v>
      </c>
      <c r="AK73" s="106">
        <v>4.5</v>
      </c>
      <c r="AL73" s="105"/>
      <c r="AO73" s="106"/>
      <c r="AP73" s="105"/>
      <c r="AS73" s="106"/>
      <c r="AW73" s="106"/>
      <c r="BA73" s="107"/>
    </row>
    <row r="74" spans="1:53" s="334" customFormat="1" x14ac:dyDescent="0.15">
      <c r="A74" s="334">
        <v>1990</v>
      </c>
      <c r="C74" s="785" t="s">
        <v>368</v>
      </c>
      <c r="D74" s="785"/>
      <c r="E74" s="334">
        <v>239</v>
      </c>
      <c r="G74" s="419">
        <v>9</v>
      </c>
      <c r="H74" s="334">
        <v>1</v>
      </c>
      <c r="I74" s="334">
        <v>8</v>
      </c>
      <c r="J74" s="435">
        <v>18</v>
      </c>
      <c r="K74" s="384">
        <v>44.4</v>
      </c>
      <c r="L74" s="384">
        <v>11.1</v>
      </c>
      <c r="M74" s="384">
        <v>44.4</v>
      </c>
      <c r="N74" s="421">
        <f t="shared" si="26"/>
        <v>99.9</v>
      </c>
      <c r="O74" s="383">
        <v>33</v>
      </c>
      <c r="P74" s="384">
        <v>4.5</v>
      </c>
      <c r="Q74" s="384">
        <v>28</v>
      </c>
      <c r="R74" s="385">
        <f t="shared" si="27"/>
        <v>65.5</v>
      </c>
      <c r="S74" s="388">
        <v>3</v>
      </c>
      <c r="T74" s="342"/>
      <c r="U74" s="355"/>
      <c r="V74" s="343" t="s">
        <v>109</v>
      </c>
      <c r="W74" s="334" t="s">
        <v>74</v>
      </c>
      <c r="X74" s="334" t="s">
        <v>11</v>
      </c>
      <c r="Y74" s="344">
        <v>26.5</v>
      </c>
      <c r="Z74" s="343" t="s">
        <v>112</v>
      </c>
      <c r="AA74" s="334" t="s">
        <v>20</v>
      </c>
      <c r="AB74" s="334" t="s">
        <v>12</v>
      </c>
      <c r="AC74" s="344">
        <v>28</v>
      </c>
      <c r="AD74" s="343" t="s">
        <v>110</v>
      </c>
      <c r="AE74" s="334" t="s">
        <v>90</v>
      </c>
      <c r="AF74" s="334" t="s">
        <v>11</v>
      </c>
      <c r="AG74" s="344">
        <v>6.5</v>
      </c>
      <c r="AH74" s="343" t="s">
        <v>117</v>
      </c>
      <c r="AI74" s="334" t="s">
        <v>118</v>
      </c>
      <c r="AJ74" s="334" t="s">
        <v>18</v>
      </c>
      <c r="AK74" s="344">
        <v>4.5</v>
      </c>
      <c r="AL74" s="343"/>
      <c r="AO74" s="344"/>
      <c r="AP74" s="343"/>
      <c r="AS74" s="344"/>
      <c r="AW74" s="344"/>
      <c r="BA74" s="345"/>
    </row>
    <row r="75" spans="1:53" s="73" customFormat="1" x14ac:dyDescent="0.15">
      <c r="A75" s="73">
        <v>1990</v>
      </c>
      <c r="B75" s="85">
        <v>33113</v>
      </c>
      <c r="C75" s="811" t="s">
        <v>369</v>
      </c>
      <c r="D75" s="811"/>
      <c r="E75" s="73">
        <f>365-E74</f>
        <v>126</v>
      </c>
      <c r="F75" s="73">
        <v>4</v>
      </c>
      <c r="G75" s="123">
        <v>9</v>
      </c>
      <c r="I75" s="73">
        <v>8</v>
      </c>
      <c r="J75" s="134">
        <v>17</v>
      </c>
      <c r="K75" s="92">
        <f>G75/J75*100</f>
        <v>52.941176470588239</v>
      </c>
      <c r="L75" s="92">
        <f>H75/J75*100</f>
        <v>0</v>
      </c>
      <c r="M75" s="92">
        <f>I75/J75*100</f>
        <v>47.058823529411761</v>
      </c>
      <c r="N75" s="125">
        <f t="shared" si="26"/>
        <v>100</v>
      </c>
      <c r="O75" s="91">
        <v>33</v>
      </c>
      <c r="P75" s="92"/>
      <c r="Q75" s="92">
        <v>28</v>
      </c>
      <c r="R75" s="93">
        <f t="shared" si="27"/>
        <v>61</v>
      </c>
      <c r="S75" s="97">
        <v>3</v>
      </c>
      <c r="T75" s="95"/>
      <c r="U75" s="85">
        <v>33113</v>
      </c>
      <c r="V75" s="82" t="s">
        <v>109</v>
      </c>
      <c r="W75" s="73" t="s">
        <v>74</v>
      </c>
      <c r="X75" s="73" t="s">
        <v>11</v>
      </c>
      <c r="Y75" s="83">
        <v>26.5</v>
      </c>
      <c r="Z75" s="82" t="s">
        <v>112</v>
      </c>
      <c r="AA75" s="73" t="s">
        <v>20</v>
      </c>
      <c r="AB75" s="73" t="s">
        <v>12</v>
      </c>
      <c r="AC75" s="83">
        <v>28</v>
      </c>
      <c r="AD75" s="82" t="s">
        <v>110</v>
      </c>
      <c r="AE75" s="73" t="s">
        <v>90</v>
      </c>
      <c r="AF75" s="73" t="s">
        <v>11</v>
      </c>
      <c r="AG75" s="83">
        <v>6.5</v>
      </c>
      <c r="AL75" s="82"/>
      <c r="AO75" s="83"/>
      <c r="AP75" s="82"/>
      <c r="AS75" s="83"/>
      <c r="AW75" s="83"/>
      <c r="BA75" s="84"/>
    </row>
    <row r="76" spans="1:53" s="73" customFormat="1" x14ac:dyDescent="0.15">
      <c r="A76" s="73">
        <v>1991</v>
      </c>
      <c r="C76" s="811" t="s">
        <v>369</v>
      </c>
      <c r="D76" s="811"/>
      <c r="E76" s="73">
        <v>115</v>
      </c>
      <c r="G76" s="123">
        <v>9</v>
      </c>
      <c r="I76" s="73">
        <v>8</v>
      </c>
      <c r="J76" s="134">
        <v>17</v>
      </c>
      <c r="K76" s="92">
        <f>G76/J76*100</f>
        <v>52.941176470588239</v>
      </c>
      <c r="L76" s="92">
        <f>H76/J76*100</f>
        <v>0</v>
      </c>
      <c r="M76" s="92">
        <f>I76/J76*100</f>
        <v>47.058823529411761</v>
      </c>
      <c r="N76" s="125">
        <f t="shared" si="26"/>
        <v>100</v>
      </c>
      <c r="O76" s="91">
        <v>33</v>
      </c>
      <c r="P76" s="92"/>
      <c r="Q76" s="92">
        <v>28</v>
      </c>
      <c r="R76" s="93">
        <f t="shared" si="27"/>
        <v>61</v>
      </c>
      <c r="S76" s="97">
        <v>3</v>
      </c>
      <c r="T76" s="95"/>
      <c r="U76" s="85"/>
      <c r="V76" s="82" t="s">
        <v>109</v>
      </c>
      <c r="W76" s="73" t="s">
        <v>74</v>
      </c>
      <c r="X76" s="73" t="s">
        <v>11</v>
      </c>
      <c r="Y76" s="83">
        <v>26.5</v>
      </c>
      <c r="Z76" s="82" t="s">
        <v>112</v>
      </c>
      <c r="AA76" s="73" t="s">
        <v>20</v>
      </c>
      <c r="AB76" s="73" t="s">
        <v>12</v>
      </c>
      <c r="AC76" s="83">
        <v>28</v>
      </c>
      <c r="AD76" s="82" t="s">
        <v>110</v>
      </c>
      <c r="AE76" s="73" t="s">
        <v>90</v>
      </c>
      <c r="AF76" s="73" t="s">
        <v>11</v>
      </c>
      <c r="AG76" s="83">
        <v>6.5</v>
      </c>
      <c r="AL76" s="82"/>
      <c r="AO76" s="83"/>
      <c r="AP76" s="82"/>
      <c r="AS76" s="83"/>
      <c r="AW76" s="83"/>
      <c r="BA76" s="84"/>
    </row>
    <row r="77" spans="1:53" s="334" customFormat="1" x14ac:dyDescent="0.15">
      <c r="A77" s="334">
        <v>1991</v>
      </c>
      <c r="B77" s="355">
        <v>33354</v>
      </c>
      <c r="C77" s="812" t="s">
        <v>370</v>
      </c>
      <c r="D77" s="812"/>
      <c r="E77" s="334">
        <f>365-E76</f>
        <v>250</v>
      </c>
      <c r="F77" s="334">
        <v>1</v>
      </c>
      <c r="G77" s="419">
        <v>8</v>
      </c>
      <c r="H77" s="334">
        <v>9</v>
      </c>
      <c r="J77" s="435">
        <v>17</v>
      </c>
      <c r="K77" s="384">
        <f>G77/J77*100</f>
        <v>47.058823529411761</v>
      </c>
      <c r="L77" s="384">
        <f>H77/J77*100</f>
        <v>52.941176470588239</v>
      </c>
      <c r="M77" s="384">
        <f>I77/J77*100</f>
        <v>0</v>
      </c>
      <c r="N77" s="421">
        <f t="shared" si="26"/>
        <v>100</v>
      </c>
      <c r="O77" s="383">
        <v>26</v>
      </c>
      <c r="P77" s="384">
        <v>31.5</v>
      </c>
      <c r="Q77" s="384"/>
      <c r="R77" s="385">
        <f t="shared" si="27"/>
        <v>57.5</v>
      </c>
      <c r="S77" s="388">
        <v>3</v>
      </c>
      <c r="T77" s="342">
        <v>33314</v>
      </c>
      <c r="U77" s="355">
        <v>33354</v>
      </c>
      <c r="V77" s="343" t="s">
        <v>108</v>
      </c>
      <c r="W77" s="334" t="s">
        <v>75</v>
      </c>
      <c r="X77" s="334" t="s">
        <v>18</v>
      </c>
      <c r="Y77" s="344">
        <v>27.5</v>
      </c>
      <c r="Z77" s="343" t="s">
        <v>109</v>
      </c>
      <c r="AA77" s="334" t="s">
        <v>74</v>
      </c>
      <c r="AB77" s="334" t="s">
        <v>11</v>
      </c>
      <c r="AC77" s="344">
        <v>20</v>
      </c>
      <c r="AD77" s="343" t="s">
        <v>110</v>
      </c>
      <c r="AE77" s="334" t="s">
        <v>90</v>
      </c>
      <c r="AF77" s="334" t="s">
        <v>11</v>
      </c>
      <c r="AG77" s="344">
        <v>6</v>
      </c>
      <c r="AH77" s="334" t="s">
        <v>371</v>
      </c>
      <c r="AI77" s="334" t="s">
        <v>17</v>
      </c>
      <c r="AJ77" s="334" t="s">
        <v>18</v>
      </c>
      <c r="AK77" s="334">
        <v>4</v>
      </c>
      <c r="AL77" s="343"/>
      <c r="AO77" s="344"/>
      <c r="AP77" s="343"/>
      <c r="AS77" s="344"/>
      <c r="AW77" s="344"/>
      <c r="BA77" s="345"/>
    </row>
    <row r="78" spans="1:53" s="334" customFormat="1" x14ac:dyDescent="0.15">
      <c r="A78" s="334">
        <v>1992</v>
      </c>
      <c r="C78" s="812" t="s">
        <v>370</v>
      </c>
      <c r="D78" s="812"/>
      <c r="E78" s="334">
        <v>0</v>
      </c>
      <c r="G78" s="419">
        <v>8</v>
      </c>
      <c r="H78" s="334">
        <v>9</v>
      </c>
      <c r="J78" s="435">
        <v>17</v>
      </c>
      <c r="K78" s="384">
        <f>G78/J78*100</f>
        <v>47.058823529411761</v>
      </c>
      <c r="L78" s="384">
        <f>H78/J78*100</f>
        <v>52.941176470588239</v>
      </c>
      <c r="M78" s="384">
        <f>I78/J78*100</f>
        <v>0</v>
      </c>
      <c r="N78" s="421">
        <f t="shared" si="26"/>
        <v>100</v>
      </c>
      <c r="O78" s="383">
        <v>26</v>
      </c>
      <c r="P78" s="384">
        <v>31.5</v>
      </c>
      <c r="Q78" s="384"/>
      <c r="R78" s="385">
        <f t="shared" si="27"/>
        <v>57.5</v>
      </c>
      <c r="S78" s="388">
        <v>3</v>
      </c>
      <c r="T78" s="342"/>
      <c r="U78" s="355"/>
      <c r="V78" s="343" t="s">
        <v>108</v>
      </c>
      <c r="W78" s="334" t="s">
        <v>75</v>
      </c>
      <c r="X78" s="334" t="s">
        <v>18</v>
      </c>
      <c r="Y78" s="344">
        <v>27.5</v>
      </c>
      <c r="Z78" s="343" t="s">
        <v>109</v>
      </c>
      <c r="AA78" s="334" t="s">
        <v>74</v>
      </c>
      <c r="AB78" s="334" t="s">
        <v>11</v>
      </c>
      <c r="AC78" s="344">
        <v>20</v>
      </c>
      <c r="AD78" s="343" t="s">
        <v>110</v>
      </c>
      <c r="AE78" s="334" t="s">
        <v>90</v>
      </c>
      <c r="AF78" s="334" t="s">
        <v>11</v>
      </c>
      <c r="AG78" s="344">
        <v>6</v>
      </c>
      <c r="AH78" s="334" t="s">
        <v>371</v>
      </c>
      <c r="AI78" s="334" t="s">
        <v>17</v>
      </c>
      <c r="AJ78" s="334" t="s">
        <v>18</v>
      </c>
      <c r="AK78" s="334">
        <v>4</v>
      </c>
      <c r="AL78" s="343"/>
      <c r="AO78" s="344"/>
      <c r="AP78" s="343"/>
      <c r="AS78" s="344"/>
      <c r="AW78" s="344"/>
      <c r="BA78" s="345"/>
    </row>
    <row r="79" spans="1:53" s="334" customFormat="1" x14ac:dyDescent="0.15">
      <c r="A79" s="334">
        <v>1992</v>
      </c>
      <c r="C79" s="812" t="s">
        <v>370</v>
      </c>
      <c r="D79" s="812"/>
      <c r="E79" s="334">
        <v>366</v>
      </c>
      <c r="G79" s="419">
        <v>8</v>
      </c>
      <c r="H79" s="334">
        <v>9</v>
      </c>
      <c r="J79" s="435">
        <v>17</v>
      </c>
      <c r="K79" s="384">
        <f>G79/J79*100</f>
        <v>47.058823529411761</v>
      </c>
      <c r="L79" s="384">
        <f>H79/J79*100</f>
        <v>52.941176470588239</v>
      </c>
      <c r="M79" s="384">
        <f>I79/J79*100</f>
        <v>0</v>
      </c>
      <c r="N79" s="421">
        <f t="shared" si="26"/>
        <v>100</v>
      </c>
      <c r="O79" s="383">
        <v>26</v>
      </c>
      <c r="P79" s="384">
        <v>31.5</v>
      </c>
      <c r="Q79" s="384"/>
      <c r="R79" s="385">
        <f t="shared" si="27"/>
        <v>57.5</v>
      </c>
      <c r="S79" s="388">
        <v>3</v>
      </c>
      <c r="T79" s="342"/>
      <c r="U79" s="355"/>
      <c r="V79" s="343" t="s">
        <v>108</v>
      </c>
      <c r="W79" s="334" t="s">
        <v>75</v>
      </c>
      <c r="X79" s="334" t="s">
        <v>18</v>
      </c>
      <c r="Y79" s="344">
        <v>27.5</v>
      </c>
      <c r="Z79" s="343" t="s">
        <v>109</v>
      </c>
      <c r="AA79" s="334" t="s">
        <v>74</v>
      </c>
      <c r="AB79" s="334" t="s">
        <v>11</v>
      </c>
      <c r="AC79" s="344">
        <v>20</v>
      </c>
      <c r="AD79" s="343" t="s">
        <v>110</v>
      </c>
      <c r="AE79" s="334" t="s">
        <v>90</v>
      </c>
      <c r="AF79" s="334" t="s">
        <v>11</v>
      </c>
      <c r="AG79" s="344">
        <v>6</v>
      </c>
      <c r="AH79" s="334" t="s">
        <v>371</v>
      </c>
      <c r="AI79" s="334" t="s">
        <v>17</v>
      </c>
      <c r="AJ79" s="334" t="s">
        <v>18</v>
      </c>
      <c r="AK79" s="334">
        <v>4</v>
      </c>
      <c r="AL79" s="343"/>
      <c r="AO79" s="344"/>
      <c r="AP79" s="343"/>
      <c r="AS79" s="344"/>
      <c r="AW79" s="344"/>
      <c r="BA79" s="345"/>
    </row>
    <row r="80" spans="1:53" s="334" customFormat="1" x14ac:dyDescent="0.15">
      <c r="A80" s="334">
        <v>1993</v>
      </c>
      <c r="C80" s="812" t="s">
        <v>370</v>
      </c>
      <c r="D80" s="812"/>
      <c r="E80" s="334">
        <v>0</v>
      </c>
      <c r="G80" s="419">
        <v>8</v>
      </c>
      <c r="H80" s="334">
        <v>9</v>
      </c>
      <c r="J80" s="435">
        <v>17</v>
      </c>
      <c r="K80" s="384">
        <f t="shared" ref="K80:K107" si="28">G80/J80*100</f>
        <v>47.058823529411761</v>
      </c>
      <c r="L80" s="384">
        <f t="shared" ref="L80:L107" si="29">H80/J80*100</f>
        <v>52.941176470588239</v>
      </c>
      <c r="M80" s="384">
        <f t="shared" ref="M80:M107" si="30">I80/J80*100</f>
        <v>0</v>
      </c>
      <c r="N80" s="421">
        <f t="shared" si="26"/>
        <v>100</v>
      </c>
      <c r="O80" s="383">
        <v>26</v>
      </c>
      <c r="P80" s="384">
        <v>31.5</v>
      </c>
      <c r="Q80" s="384"/>
      <c r="R80" s="385">
        <f t="shared" si="27"/>
        <v>57.5</v>
      </c>
      <c r="S80" s="388">
        <v>3</v>
      </c>
      <c r="T80" s="342"/>
      <c r="U80" s="355"/>
      <c r="V80" s="343" t="s">
        <v>108</v>
      </c>
      <c r="W80" s="334" t="s">
        <v>75</v>
      </c>
      <c r="X80" s="334" t="s">
        <v>18</v>
      </c>
      <c r="Y80" s="344">
        <v>27.5</v>
      </c>
      <c r="Z80" s="343" t="s">
        <v>109</v>
      </c>
      <c r="AA80" s="334" t="s">
        <v>74</v>
      </c>
      <c r="AB80" s="334" t="s">
        <v>11</v>
      </c>
      <c r="AC80" s="344">
        <v>20</v>
      </c>
      <c r="AD80" s="343" t="s">
        <v>110</v>
      </c>
      <c r="AE80" s="334" t="s">
        <v>90</v>
      </c>
      <c r="AF80" s="334" t="s">
        <v>11</v>
      </c>
      <c r="AG80" s="344">
        <v>6</v>
      </c>
      <c r="AH80" s="334" t="s">
        <v>371</v>
      </c>
      <c r="AI80" s="334" t="s">
        <v>17</v>
      </c>
      <c r="AJ80" s="334" t="s">
        <v>18</v>
      </c>
      <c r="AK80" s="334">
        <v>4</v>
      </c>
      <c r="AL80" s="343"/>
      <c r="AO80" s="344"/>
      <c r="AP80" s="343"/>
      <c r="AS80" s="344"/>
      <c r="AW80" s="344"/>
      <c r="BA80" s="345"/>
    </row>
    <row r="81" spans="1:53" s="334" customFormat="1" x14ac:dyDescent="0.15">
      <c r="A81" s="334">
        <v>1993</v>
      </c>
      <c r="C81" s="812" t="s">
        <v>370</v>
      </c>
      <c r="D81" s="812"/>
      <c r="E81" s="334">
        <f>365-E80</f>
        <v>365</v>
      </c>
      <c r="G81" s="419">
        <v>8</v>
      </c>
      <c r="H81" s="334">
        <v>9</v>
      </c>
      <c r="J81" s="435">
        <v>17</v>
      </c>
      <c r="K81" s="384">
        <f t="shared" si="28"/>
        <v>47.058823529411761</v>
      </c>
      <c r="L81" s="384">
        <f t="shared" si="29"/>
        <v>52.941176470588239</v>
      </c>
      <c r="M81" s="384">
        <f t="shared" si="30"/>
        <v>0</v>
      </c>
      <c r="N81" s="421">
        <f t="shared" si="26"/>
        <v>100</v>
      </c>
      <c r="O81" s="383">
        <v>26</v>
      </c>
      <c r="P81" s="384">
        <v>31.5</v>
      </c>
      <c r="Q81" s="384"/>
      <c r="R81" s="385">
        <f t="shared" si="27"/>
        <v>57.5</v>
      </c>
      <c r="S81" s="388">
        <v>3</v>
      </c>
      <c r="T81" s="342"/>
      <c r="U81" s="355"/>
      <c r="V81" s="343" t="s">
        <v>108</v>
      </c>
      <c r="W81" s="334" t="s">
        <v>75</v>
      </c>
      <c r="X81" s="334" t="s">
        <v>18</v>
      </c>
      <c r="Y81" s="344">
        <v>27.5</v>
      </c>
      <c r="Z81" s="343" t="s">
        <v>109</v>
      </c>
      <c r="AA81" s="334" t="s">
        <v>74</v>
      </c>
      <c r="AB81" s="334" t="s">
        <v>11</v>
      </c>
      <c r="AC81" s="344">
        <v>20</v>
      </c>
      <c r="AD81" s="343" t="s">
        <v>110</v>
      </c>
      <c r="AE81" s="334" t="s">
        <v>90</v>
      </c>
      <c r="AF81" s="334" t="s">
        <v>11</v>
      </c>
      <c r="AG81" s="344">
        <v>6</v>
      </c>
      <c r="AH81" s="334" t="s">
        <v>371</v>
      </c>
      <c r="AI81" s="334" t="s">
        <v>17</v>
      </c>
      <c r="AJ81" s="334" t="s">
        <v>18</v>
      </c>
      <c r="AK81" s="334">
        <v>4</v>
      </c>
      <c r="AL81" s="343"/>
      <c r="AO81" s="344"/>
      <c r="AP81" s="343"/>
      <c r="AS81" s="344"/>
      <c r="AW81" s="344"/>
      <c r="BA81" s="345"/>
    </row>
    <row r="82" spans="1:53" s="334" customFormat="1" x14ac:dyDescent="0.15">
      <c r="A82" s="334">
        <v>1994</v>
      </c>
      <c r="C82" s="812" t="s">
        <v>370</v>
      </c>
      <c r="D82" s="812"/>
      <c r="E82" s="334">
        <v>170</v>
      </c>
      <c r="G82" s="419">
        <v>8</v>
      </c>
      <c r="H82" s="334">
        <v>9</v>
      </c>
      <c r="J82" s="435">
        <v>17</v>
      </c>
      <c r="K82" s="384">
        <f t="shared" si="28"/>
        <v>47.058823529411761</v>
      </c>
      <c r="L82" s="384">
        <f t="shared" si="29"/>
        <v>52.941176470588239</v>
      </c>
      <c r="M82" s="384">
        <f t="shared" si="30"/>
        <v>0</v>
      </c>
      <c r="N82" s="421">
        <f t="shared" si="26"/>
        <v>100</v>
      </c>
      <c r="O82" s="383">
        <v>26</v>
      </c>
      <c r="P82" s="384">
        <v>31.5</v>
      </c>
      <c r="Q82" s="384"/>
      <c r="R82" s="385">
        <f t="shared" si="27"/>
        <v>57.5</v>
      </c>
      <c r="S82" s="388">
        <v>3</v>
      </c>
      <c r="T82" s="342"/>
      <c r="U82" s="355"/>
      <c r="V82" s="343" t="s">
        <v>108</v>
      </c>
      <c r="W82" s="334" t="s">
        <v>75</v>
      </c>
      <c r="X82" s="334" t="s">
        <v>18</v>
      </c>
      <c r="Y82" s="344">
        <v>27.5</v>
      </c>
      <c r="Z82" s="343" t="s">
        <v>109</v>
      </c>
      <c r="AA82" s="334" t="s">
        <v>74</v>
      </c>
      <c r="AB82" s="334" t="s">
        <v>11</v>
      </c>
      <c r="AC82" s="344">
        <v>20</v>
      </c>
      <c r="AD82" s="343" t="s">
        <v>110</v>
      </c>
      <c r="AE82" s="334" t="s">
        <v>90</v>
      </c>
      <c r="AF82" s="334" t="s">
        <v>11</v>
      </c>
      <c r="AG82" s="344">
        <v>6</v>
      </c>
      <c r="AH82" s="334" t="s">
        <v>371</v>
      </c>
      <c r="AI82" s="334" t="s">
        <v>17</v>
      </c>
      <c r="AJ82" s="334" t="s">
        <v>18</v>
      </c>
      <c r="AK82" s="334">
        <v>4</v>
      </c>
      <c r="AL82" s="343"/>
      <c r="AO82" s="344"/>
      <c r="AP82" s="343"/>
      <c r="AS82" s="344"/>
      <c r="AW82" s="344"/>
      <c r="BA82" s="345"/>
    </row>
    <row r="83" spans="1:53" s="73" customFormat="1" x14ac:dyDescent="0.15">
      <c r="A83" s="73">
        <v>1994</v>
      </c>
      <c r="B83" s="85">
        <v>34505</v>
      </c>
      <c r="C83" s="811" t="s">
        <v>372</v>
      </c>
      <c r="D83" s="811"/>
      <c r="E83" s="73">
        <f>365-E82</f>
        <v>195</v>
      </c>
      <c r="F83" s="73">
        <v>4</v>
      </c>
      <c r="G83" s="123">
        <v>8</v>
      </c>
      <c r="H83" s="73">
        <v>8</v>
      </c>
      <c r="J83" s="134">
        <v>16</v>
      </c>
      <c r="K83" s="92">
        <f t="shared" si="28"/>
        <v>50</v>
      </c>
      <c r="L83" s="92">
        <f t="shared" si="29"/>
        <v>50</v>
      </c>
      <c r="M83" s="92">
        <f t="shared" si="30"/>
        <v>0</v>
      </c>
      <c r="N83" s="125">
        <f t="shared" si="26"/>
        <v>100</v>
      </c>
      <c r="O83" s="91">
        <v>26</v>
      </c>
      <c r="P83" s="92">
        <v>27.5</v>
      </c>
      <c r="Q83" s="92"/>
      <c r="R83" s="93">
        <f t="shared" si="27"/>
        <v>53.5</v>
      </c>
      <c r="S83" s="97">
        <v>2</v>
      </c>
      <c r="T83" s="95"/>
      <c r="U83" s="85">
        <v>34505</v>
      </c>
      <c r="V83" s="82" t="s">
        <v>108</v>
      </c>
      <c r="W83" s="73" t="s">
        <v>75</v>
      </c>
      <c r="X83" s="73" t="s">
        <v>18</v>
      </c>
      <c r="Y83" s="83">
        <v>27.5</v>
      </c>
      <c r="Z83" s="82" t="s">
        <v>109</v>
      </c>
      <c r="AA83" s="73" t="s">
        <v>74</v>
      </c>
      <c r="AB83" s="73" t="s">
        <v>11</v>
      </c>
      <c r="AC83" s="83">
        <v>20</v>
      </c>
      <c r="AD83" s="82" t="s">
        <v>110</v>
      </c>
      <c r="AE83" s="73" t="s">
        <v>90</v>
      </c>
      <c r="AF83" s="73" t="s">
        <v>11</v>
      </c>
      <c r="AG83" s="83">
        <v>6</v>
      </c>
      <c r="AL83" s="82"/>
      <c r="AO83" s="83"/>
      <c r="AP83" s="82"/>
      <c r="AS83" s="83"/>
      <c r="AW83" s="83"/>
      <c r="BA83" s="84"/>
    </row>
    <row r="84" spans="1:53" s="73" customFormat="1" x14ac:dyDescent="0.15">
      <c r="A84" s="73">
        <v>1995</v>
      </c>
      <c r="C84" s="811" t="s">
        <v>372</v>
      </c>
      <c r="D84" s="811"/>
      <c r="E84" s="73">
        <v>102</v>
      </c>
      <c r="G84" s="123">
        <v>8</v>
      </c>
      <c r="H84" s="73">
        <v>8</v>
      </c>
      <c r="J84" s="134">
        <v>16</v>
      </c>
      <c r="K84" s="92">
        <f t="shared" si="28"/>
        <v>50</v>
      </c>
      <c r="L84" s="92">
        <f t="shared" si="29"/>
        <v>50</v>
      </c>
      <c r="M84" s="92">
        <f t="shared" si="30"/>
        <v>0</v>
      </c>
      <c r="N84" s="125">
        <f t="shared" si="26"/>
        <v>100</v>
      </c>
      <c r="O84" s="91">
        <v>26</v>
      </c>
      <c r="P84" s="92">
        <v>27.5</v>
      </c>
      <c r="Q84" s="92"/>
      <c r="R84" s="93">
        <f t="shared" si="27"/>
        <v>53.5</v>
      </c>
      <c r="S84" s="97">
        <v>2</v>
      </c>
      <c r="T84" s="95"/>
      <c r="U84" s="85"/>
      <c r="V84" s="82" t="s">
        <v>108</v>
      </c>
      <c r="W84" s="73" t="s">
        <v>75</v>
      </c>
      <c r="X84" s="73" t="s">
        <v>18</v>
      </c>
      <c r="Y84" s="83">
        <v>27.5</v>
      </c>
      <c r="Z84" s="82" t="s">
        <v>109</v>
      </c>
      <c r="AA84" s="73" t="s">
        <v>74</v>
      </c>
      <c r="AB84" s="73" t="s">
        <v>11</v>
      </c>
      <c r="AC84" s="83">
        <v>20</v>
      </c>
      <c r="AD84" s="82" t="s">
        <v>110</v>
      </c>
      <c r="AE84" s="73" t="s">
        <v>90</v>
      </c>
      <c r="AF84" s="73" t="s">
        <v>11</v>
      </c>
      <c r="AG84" s="83">
        <v>6</v>
      </c>
      <c r="AL84" s="82"/>
      <c r="AO84" s="83"/>
      <c r="AP84" s="82"/>
      <c r="AS84" s="83"/>
      <c r="AW84" s="83"/>
      <c r="BA84" s="84"/>
    </row>
    <row r="85" spans="1:53" s="334" customFormat="1" x14ac:dyDescent="0.15">
      <c r="A85" s="334">
        <v>1995</v>
      </c>
      <c r="B85" s="355">
        <v>34802</v>
      </c>
      <c r="C85" s="812" t="s">
        <v>373</v>
      </c>
      <c r="D85" s="812"/>
      <c r="E85" s="334">
        <f>365-E84</f>
        <v>263</v>
      </c>
      <c r="F85" s="334">
        <v>1</v>
      </c>
      <c r="G85" s="419">
        <v>7</v>
      </c>
      <c r="I85" s="334">
        <v>10</v>
      </c>
      <c r="J85" s="435">
        <v>18</v>
      </c>
      <c r="K85" s="384">
        <f t="shared" si="28"/>
        <v>38.888888888888893</v>
      </c>
      <c r="L85" s="384">
        <f t="shared" si="29"/>
        <v>0</v>
      </c>
      <c r="M85" s="384">
        <f t="shared" si="30"/>
        <v>55.555555555555557</v>
      </c>
      <c r="N85" s="421">
        <f t="shared" si="26"/>
        <v>94.444444444444457</v>
      </c>
      <c r="O85" s="383">
        <v>25.5</v>
      </c>
      <c r="P85" s="384"/>
      <c r="Q85" s="384">
        <v>47</v>
      </c>
      <c r="R85" s="385">
        <f t="shared" si="27"/>
        <v>72.5</v>
      </c>
      <c r="S85" s="388">
        <v>3</v>
      </c>
      <c r="T85" s="342">
        <v>34777</v>
      </c>
      <c r="U85" s="355">
        <v>34802</v>
      </c>
      <c r="V85" s="343" t="s">
        <v>112</v>
      </c>
      <c r="W85" s="334" t="s">
        <v>20</v>
      </c>
      <c r="X85" s="334" t="s">
        <v>12</v>
      </c>
      <c r="Y85" s="344">
        <v>31.5</v>
      </c>
      <c r="Z85" s="343" t="s">
        <v>109</v>
      </c>
      <c r="AA85" s="334" t="s">
        <v>74</v>
      </c>
      <c r="AB85" s="334" t="s">
        <v>11</v>
      </c>
      <c r="AC85" s="344">
        <v>19.5</v>
      </c>
      <c r="AD85" s="343" t="s">
        <v>110</v>
      </c>
      <c r="AE85" s="334" t="s">
        <v>90</v>
      </c>
      <c r="AF85" s="334" t="s">
        <v>11</v>
      </c>
      <c r="AG85" s="344">
        <v>6</v>
      </c>
      <c r="AH85" s="334" t="s">
        <v>374</v>
      </c>
      <c r="AI85" s="334" t="s">
        <v>196</v>
      </c>
      <c r="AJ85" s="334" t="s">
        <v>12</v>
      </c>
      <c r="AK85" s="334">
        <v>11</v>
      </c>
      <c r="AL85" s="343" t="s">
        <v>375</v>
      </c>
      <c r="AM85" s="334" t="s">
        <v>221</v>
      </c>
      <c r="AN85" s="334" t="s">
        <v>12</v>
      </c>
      <c r="AO85" s="344">
        <v>4.5</v>
      </c>
      <c r="AP85" s="343"/>
      <c r="AS85" s="344"/>
      <c r="AW85" s="344"/>
      <c r="BA85" s="345"/>
    </row>
    <row r="86" spans="1:53" s="334" customFormat="1" x14ac:dyDescent="0.15">
      <c r="A86" s="334">
        <v>1996</v>
      </c>
      <c r="C86" s="812" t="s">
        <v>373</v>
      </c>
      <c r="D86" s="812"/>
      <c r="E86" s="334">
        <v>0</v>
      </c>
      <c r="G86" s="419">
        <v>7</v>
      </c>
      <c r="I86" s="334">
        <v>10</v>
      </c>
      <c r="J86" s="435">
        <v>18</v>
      </c>
      <c r="K86" s="384">
        <f t="shared" si="28"/>
        <v>38.888888888888893</v>
      </c>
      <c r="L86" s="384">
        <f t="shared" si="29"/>
        <v>0</v>
      </c>
      <c r="M86" s="384">
        <f t="shared" si="30"/>
        <v>55.555555555555557</v>
      </c>
      <c r="N86" s="421">
        <f t="shared" si="26"/>
        <v>94.444444444444457</v>
      </c>
      <c r="O86" s="383">
        <v>25.5</v>
      </c>
      <c r="P86" s="384"/>
      <c r="Q86" s="384">
        <v>47</v>
      </c>
      <c r="R86" s="385">
        <f t="shared" si="27"/>
        <v>72.5</v>
      </c>
      <c r="S86" s="388">
        <v>3</v>
      </c>
      <c r="T86" s="342"/>
      <c r="U86" s="355"/>
      <c r="V86" s="343" t="s">
        <v>112</v>
      </c>
      <c r="W86" s="334" t="s">
        <v>20</v>
      </c>
      <c r="X86" s="334" t="s">
        <v>12</v>
      </c>
      <c r="Y86" s="344">
        <v>31.5</v>
      </c>
      <c r="Z86" s="343" t="s">
        <v>109</v>
      </c>
      <c r="AA86" s="334" t="s">
        <v>74</v>
      </c>
      <c r="AB86" s="334" t="s">
        <v>11</v>
      </c>
      <c r="AC86" s="344">
        <v>19.5</v>
      </c>
      <c r="AD86" s="343" t="s">
        <v>110</v>
      </c>
      <c r="AE86" s="334" t="s">
        <v>90</v>
      </c>
      <c r="AF86" s="334" t="s">
        <v>11</v>
      </c>
      <c r="AG86" s="344">
        <v>6</v>
      </c>
      <c r="AH86" s="334" t="s">
        <v>374</v>
      </c>
      <c r="AI86" s="334" t="s">
        <v>196</v>
      </c>
      <c r="AJ86" s="334" t="s">
        <v>12</v>
      </c>
      <c r="AK86" s="334">
        <v>11</v>
      </c>
      <c r="AL86" s="343" t="s">
        <v>375</v>
      </c>
      <c r="AM86" s="334" t="s">
        <v>221</v>
      </c>
      <c r="AN86" s="334" t="s">
        <v>12</v>
      </c>
      <c r="AO86" s="344">
        <v>4.5</v>
      </c>
      <c r="AP86" s="343"/>
      <c r="AS86" s="344"/>
      <c r="AW86" s="344"/>
      <c r="BA86" s="345"/>
    </row>
    <row r="87" spans="1:53" s="334" customFormat="1" x14ac:dyDescent="0.15">
      <c r="A87" s="334">
        <v>1996</v>
      </c>
      <c r="C87" s="812" t="s">
        <v>373</v>
      </c>
      <c r="D87" s="812"/>
      <c r="E87" s="334">
        <v>366</v>
      </c>
      <c r="G87" s="419">
        <v>7</v>
      </c>
      <c r="I87" s="334">
        <v>10</v>
      </c>
      <c r="J87" s="435">
        <v>18</v>
      </c>
      <c r="K87" s="384">
        <f t="shared" si="28"/>
        <v>38.888888888888893</v>
      </c>
      <c r="L87" s="384">
        <f t="shared" si="29"/>
        <v>0</v>
      </c>
      <c r="M87" s="384">
        <f t="shared" si="30"/>
        <v>55.555555555555557</v>
      </c>
      <c r="N87" s="421">
        <f t="shared" si="26"/>
        <v>94.444444444444457</v>
      </c>
      <c r="O87" s="383">
        <v>25.5</v>
      </c>
      <c r="P87" s="384"/>
      <c r="Q87" s="384">
        <v>47</v>
      </c>
      <c r="R87" s="385">
        <f t="shared" si="27"/>
        <v>72.5</v>
      </c>
      <c r="S87" s="388">
        <v>3</v>
      </c>
      <c r="T87" s="342"/>
      <c r="U87" s="355"/>
      <c r="V87" s="343" t="s">
        <v>112</v>
      </c>
      <c r="W87" s="334" t="s">
        <v>20</v>
      </c>
      <c r="X87" s="334" t="s">
        <v>12</v>
      </c>
      <c r="Y87" s="344">
        <v>31.5</v>
      </c>
      <c r="Z87" s="343" t="s">
        <v>109</v>
      </c>
      <c r="AA87" s="334" t="s">
        <v>74</v>
      </c>
      <c r="AB87" s="334" t="s">
        <v>11</v>
      </c>
      <c r="AC87" s="344">
        <v>19.5</v>
      </c>
      <c r="AD87" s="343" t="s">
        <v>110</v>
      </c>
      <c r="AE87" s="334" t="s">
        <v>90</v>
      </c>
      <c r="AF87" s="334" t="s">
        <v>11</v>
      </c>
      <c r="AG87" s="344">
        <v>6</v>
      </c>
      <c r="AH87" s="334" t="s">
        <v>374</v>
      </c>
      <c r="AI87" s="334" t="s">
        <v>196</v>
      </c>
      <c r="AJ87" s="334" t="s">
        <v>12</v>
      </c>
      <c r="AK87" s="334">
        <v>11</v>
      </c>
      <c r="AL87" s="343" t="s">
        <v>375</v>
      </c>
      <c r="AM87" s="334" t="s">
        <v>221</v>
      </c>
      <c r="AN87" s="334" t="s">
        <v>12</v>
      </c>
      <c r="AO87" s="344">
        <v>4.5</v>
      </c>
      <c r="AP87" s="343"/>
      <c r="AS87" s="344"/>
      <c r="AW87" s="344"/>
      <c r="BA87" s="345"/>
    </row>
    <row r="88" spans="1:53" s="334" customFormat="1" x14ac:dyDescent="0.15">
      <c r="A88" s="334">
        <v>1997</v>
      </c>
      <c r="C88" s="812" t="s">
        <v>373</v>
      </c>
      <c r="D88" s="812"/>
      <c r="E88" s="334">
        <v>0</v>
      </c>
      <c r="G88" s="419">
        <v>7</v>
      </c>
      <c r="I88" s="334">
        <v>10</v>
      </c>
      <c r="J88" s="435">
        <v>18</v>
      </c>
      <c r="K88" s="384">
        <f t="shared" si="28"/>
        <v>38.888888888888893</v>
      </c>
      <c r="L88" s="384">
        <f t="shared" si="29"/>
        <v>0</v>
      </c>
      <c r="M88" s="384">
        <f t="shared" si="30"/>
        <v>55.555555555555557</v>
      </c>
      <c r="N88" s="421">
        <f t="shared" si="26"/>
        <v>94.444444444444457</v>
      </c>
      <c r="O88" s="383">
        <v>25.5</v>
      </c>
      <c r="P88" s="384"/>
      <c r="Q88" s="384">
        <v>47</v>
      </c>
      <c r="R88" s="385">
        <f t="shared" si="27"/>
        <v>72.5</v>
      </c>
      <c r="S88" s="388">
        <v>3</v>
      </c>
      <c r="T88" s="342"/>
      <c r="U88" s="355"/>
      <c r="V88" s="343" t="s">
        <v>112</v>
      </c>
      <c r="W88" s="334" t="s">
        <v>20</v>
      </c>
      <c r="X88" s="334" t="s">
        <v>12</v>
      </c>
      <c r="Y88" s="344">
        <v>31.5</v>
      </c>
      <c r="Z88" s="343" t="s">
        <v>109</v>
      </c>
      <c r="AA88" s="334" t="s">
        <v>74</v>
      </c>
      <c r="AB88" s="334" t="s">
        <v>11</v>
      </c>
      <c r="AC88" s="344">
        <v>19.5</v>
      </c>
      <c r="AD88" s="343" t="s">
        <v>110</v>
      </c>
      <c r="AE88" s="334" t="s">
        <v>90</v>
      </c>
      <c r="AF88" s="334" t="s">
        <v>11</v>
      </c>
      <c r="AG88" s="344">
        <v>6</v>
      </c>
      <c r="AH88" s="334" t="s">
        <v>374</v>
      </c>
      <c r="AI88" s="334" t="s">
        <v>196</v>
      </c>
      <c r="AJ88" s="334" t="s">
        <v>12</v>
      </c>
      <c r="AK88" s="334">
        <v>11</v>
      </c>
      <c r="AL88" s="343" t="s">
        <v>375</v>
      </c>
      <c r="AM88" s="334" t="s">
        <v>221</v>
      </c>
      <c r="AN88" s="334" t="s">
        <v>12</v>
      </c>
      <c r="AO88" s="344">
        <v>4.5</v>
      </c>
      <c r="AP88" s="343"/>
      <c r="AS88" s="344"/>
      <c r="AW88" s="344"/>
      <c r="BA88" s="345"/>
    </row>
    <row r="89" spans="1:53" s="334" customFormat="1" x14ac:dyDescent="0.15">
      <c r="A89" s="334">
        <v>1997</v>
      </c>
      <c r="C89" s="812" t="s">
        <v>373</v>
      </c>
      <c r="D89" s="812"/>
      <c r="E89" s="334">
        <f>365-E88</f>
        <v>365</v>
      </c>
      <c r="G89" s="419">
        <v>7</v>
      </c>
      <c r="I89" s="334">
        <v>10</v>
      </c>
      <c r="J89" s="435">
        <v>18</v>
      </c>
      <c r="K89" s="384">
        <f t="shared" si="28"/>
        <v>38.888888888888893</v>
      </c>
      <c r="L89" s="384">
        <f t="shared" si="29"/>
        <v>0</v>
      </c>
      <c r="M89" s="384">
        <f t="shared" si="30"/>
        <v>55.555555555555557</v>
      </c>
      <c r="N89" s="421">
        <f t="shared" si="26"/>
        <v>94.444444444444457</v>
      </c>
      <c r="O89" s="383">
        <v>25.5</v>
      </c>
      <c r="P89" s="384"/>
      <c r="Q89" s="384">
        <v>47</v>
      </c>
      <c r="R89" s="385">
        <f t="shared" si="27"/>
        <v>72.5</v>
      </c>
      <c r="S89" s="388">
        <v>3</v>
      </c>
      <c r="T89" s="342"/>
      <c r="U89" s="355"/>
      <c r="V89" s="343" t="s">
        <v>112</v>
      </c>
      <c r="W89" s="334" t="s">
        <v>20</v>
      </c>
      <c r="X89" s="334" t="s">
        <v>12</v>
      </c>
      <c r="Y89" s="344">
        <v>31.5</v>
      </c>
      <c r="Z89" s="343" t="s">
        <v>109</v>
      </c>
      <c r="AA89" s="334" t="s">
        <v>74</v>
      </c>
      <c r="AB89" s="334" t="s">
        <v>11</v>
      </c>
      <c r="AC89" s="344">
        <v>19.5</v>
      </c>
      <c r="AD89" s="343" t="s">
        <v>110</v>
      </c>
      <c r="AE89" s="334" t="s">
        <v>90</v>
      </c>
      <c r="AF89" s="334" t="s">
        <v>11</v>
      </c>
      <c r="AG89" s="344">
        <v>6</v>
      </c>
      <c r="AH89" s="334" t="s">
        <v>374</v>
      </c>
      <c r="AI89" s="334" t="s">
        <v>196</v>
      </c>
      <c r="AJ89" s="334" t="s">
        <v>12</v>
      </c>
      <c r="AK89" s="334">
        <v>11</v>
      </c>
      <c r="AL89" s="343" t="s">
        <v>375</v>
      </c>
      <c r="AM89" s="334" t="s">
        <v>221</v>
      </c>
      <c r="AN89" s="334" t="s">
        <v>12</v>
      </c>
      <c r="AO89" s="344">
        <v>4.5</v>
      </c>
      <c r="AP89" s="343"/>
      <c r="AS89" s="344"/>
      <c r="AW89" s="344"/>
      <c r="BA89" s="345"/>
    </row>
    <row r="90" spans="1:53" s="334" customFormat="1" x14ac:dyDescent="0.15">
      <c r="A90" s="334">
        <v>1998</v>
      </c>
      <c r="C90" s="812" t="s">
        <v>373</v>
      </c>
      <c r="D90" s="812"/>
      <c r="E90" s="334">
        <v>0</v>
      </c>
      <c r="G90" s="419">
        <v>7</v>
      </c>
      <c r="I90" s="334">
        <v>10</v>
      </c>
      <c r="J90" s="435">
        <v>18</v>
      </c>
      <c r="K90" s="384">
        <f t="shared" si="28"/>
        <v>38.888888888888893</v>
      </c>
      <c r="L90" s="384">
        <f t="shared" si="29"/>
        <v>0</v>
      </c>
      <c r="M90" s="384">
        <f t="shared" si="30"/>
        <v>55.555555555555557</v>
      </c>
      <c r="N90" s="421">
        <f t="shared" si="26"/>
        <v>94.444444444444457</v>
      </c>
      <c r="O90" s="383">
        <v>25.5</v>
      </c>
      <c r="P90" s="384"/>
      <c r="Q90" s="384">
        <v>47</v>
      </c>
      <c r="R90" s="385">
        <f t="shared" si="27"/>
        <v>72.5</v>
      </c>
      <c r="S90" s="388">
        <v>3</v>
      </c>
      <c r="T90" s="342"/>
      <c r="U90" s="355"/>
      <c r="V90" s="343" t="s">
        <v>112</v>
      </c>
      <c r="W90" s="334" t="s">
        <v>20</v>
      </c>
      <c r="X90" s="334" t="s">
        <v>12</v>
      </c>
      <c r="Y90" s="344">
        <v>31.5</v>
      </c>
      <c r="Z90" s="343" t="s">
        <v>109</v>
      </c>
      <c r="AA90" s="334" t="s">
        <v>74</v>
      </c>
      <c r="AB90" s="334" t="s">
        <v>11</v>
      </c>
      <c r="AC90" s="344">
        <v>19.5</v>
      </c>
      <c r="AD90" s="343" t="s">
        <v>110</v>
      </c>
      <c r="AE90" s="334" t="s">
        <v>90</v>
      </c>
      <c r="AF90" s="334" t="s">
        <v>11</v>
      </c>
      <c r="AG90" s="344">
        <v>6</v>
      </c>
      <c r="AH90" s="334" t="s">
        <v>374</v>
      </c>
      <c r="AI90" s="334" t="s">
        <v>196</v>
      </c>
      <c r="AJ90" s="334" t="s">
        <v>12</v>
      </c>
      <c r="AK90" s="334">
        <v>11</v>
      </c>
      <c r="AL90" s="343" t="s">
        <v>375</v>
      </c>
      <c r="AM90" s="334" t="s">
        <v>221</v>
      </c>
      <c r="AN90" s="334" t="s">
        <v>12</v>
      </c>
      <c r="AO90" s="344">
        <v>4.5</v>
      </c>
      <c r="AP90" s="343"/>
      <c r="AS90" s="344"/>
      <c r="AW90" s="344"/>
      <c r="BA90" s="345"/>
    </row>
    <row r="91" spans="1:53" s="334" customFormat="1" x14ac:dyDescent="0.15">
      <c r="A91" s="334">
        <v>1998</v>
      </c>
      <c r="C91" s="812" t="s">
        <v>373</v>
      </c>
      <c r="D91" s="812"/>
      <c r="E91" s="334">
        <f>365-E90</f>
        <v>365</v>
      </c>
      <c r="G91" s="419">
        <v>7</v>
      </c>
      <c r="I91" s="334">
        <v>10</v>
      </c>
      <c r="J91" s="435">
        <v>18</v>
      </c>
      <c r="K91" s="384">
        <f t="shared" si="28"/>
        <v>38.888888888888893</v>
      </c>
      <c r="L91" s="384">
        <f t="shared" si="29"/>
        <v>0</v>
      </c>
      <c r="M91" s="384">
        <f t="shared" si="30"/>
        <v>55.555555555555557</v>
      </c>
      <c r="N91" s="421">
        <f t="shared" si="26"/>
        <v>94.444444444444457</v>
      </c>
      <c r="O91" s="383">
        <v>25.5</v>
      </c>
      <c r="P91" s="384"/>
      <c r="Q91" s="384">
        <v>47</v>
      </c>
      <c r="R91" s="385">
        <f t="shared" si="27"/>
        <v>72.5</v>
      </c>
      <c r="S91" s="388">
        <v>3</v>
      </c>
      <c r="T91" s="342"/>
      <c r="U91" s="355"/>
      <c r="V91" s="343" t="s">
        <v>112</v>
      </c>
      <c r="W91" s="334" t="s">
        <v>20</v>
      </c>
      <c r="X91" s="334" t="s">
        <v>12</v>
      </c>
      <c r="Y91" s="344">
        <v>31.5</v>
      </c>
      <c r="Z91" s="343" t="s">
        <v>109</v>
      </c>
      <c r="AA91" s="334" t="s">
        <v>74</v>
      </c>
      <c r="AB91" s="334" t="s">
        <v>11</v>
      </c>
      <c r="AC91" s="344">
        <v>19.5</v>
      </c>
      <c r="AD91" s="343" t="s">
        <v>110</v>
      </c>
      <c r="AE91" s="334" t="s">
        <v>90</v>
      </c>
      <c r="AF91" s="334" t="s">
        <v>11</v>
      </c>
      <c r="AG91" s="344">
        <v>6</v>
      </c>
      <c r="AH91" s="334" t="s">
        <v>374</v>
      </c>
      <c r="AI91" s="334" t="s">
        <v>196</v>
      </c>
      <c r="AJ91" s="334" t="s">
        <v>12</v>
      </c>
      <c r="AK91" s="334">
        <v>11</v>
      </c>
      <c r="AL91" s="343" t="s">
        <v>375</v>
      </c>
      <c r="AM91" s="334" t="s">
        <v>221</v>
      </c>
      <c r="AN91" s="334" t="s">
        <v>12</v>
      </c>
      <c r="AO91" s="344">
        <v>4.5</v>
      </c>
      <c r="AP91" s="343"/>
      <c r="AS91" s="344"/>
      <c r="AW91" s="344"/>
      <c r="BA91" s="345"/>
    </row>
    <row r="92" spans="1:53" s="334" customFormat="1" x14ac:dyDescent="0.15">
      <c r="A92" s="334">
        <v>1999</v>
      </c>
      <c r="C92" s="812" t="s">
        <v>373</v>
      </c>
      <c r="D92" s="812"/>
      <c r="E92" s="334">
        <v>104</v>
      </c>
      <c r="G92" s="419">
        <v>7</v>
      </c>
      <c r="I92" s="334">
        <v>10</v>
      </c>
      <c r="J92" s="435">
        <v>18</v>
      </c>
      <c r="K92" s="384">
        <f t="shared" si="28"/>
        <v>38.888888888888893</v>
      </c>
      <c r="L92" s="384">
        <f t="shared" si="29"/>
        <v>0</v>
      </c>
      <c r="M92" s="384">
        <f t="shared" si="30"/>
        <v>55.555555555555557</v>
      </c>
      <c r="N92" s="421">
        <f t="shared" si="26"/>
        <v>94.444444444444457</v>
      </c>
      <c r="O92" s="383">
        <v>25.5</v>
      </c>
      <c r="P92" s="384"/>
      <c r="Q92" s="384">
        <v>47</v>
      </c>
      <c r="R92" s="385">
        <f t="shared" si="27"/>
        <v>72.5</v>
      </c>
      <c r="S92" s="388">
        <v>3</v>
      </c>
      <c r="T92" s="342"/>
      <c r="U92" s="355"/>
      <c r="V92" s="343" t="s">
        <v>112</v>
      </c>
      <c r="W92" s="334" t="s">
        <v>20</v>
      </c>
      <c r="X92" s="334" t="s">
        <v>12</v>
      </c>
      <c r="Y92" s="344">
        <v>31.5</v>
      </c>
      <c r="Z92" s="343" t="s">
        <v>109</v>
      </c>
      <c r="AA92" s="334" t="s">
        <v>74</v>
      </c>
      <c r="AB92" s="334" t="s">
        <v>11</v>
      </c>
      <c r="AC92" s="344">
        <v>19.5</v>
      </c>
      <c r="AD92" s="343" t="s">
        <v>110</v>
      </c>
      <c r="AE92" s="334" t="s">
        <v>90</v>
      </c>
      <c r="AF92" s="334" t="s">
        <v>11</v>
      </c>
      <c r="AG92" s="344">
        <v>6</v>
      </c>
      <c r="AH92" s="334" t="s">
        <v>374</v>
      </c>
      <c r="AI92" s="334" t="s">
        <v>196</v>
      </c>
      <c r="AJ92" s="334" t="s">
        <v>12</v>
      </c>
      <c r="AK92" s="334">
        <v>11</v>
      </c>
      <c r="AL92" s="343" t="s">
        <v>375</v>
      </c>
      <c r="AM92" s="334" t="s">
        <v>221</v>
      </c>
      <c r="AN92" s="334" t="s">
        <v>12</v>
      </c>
      <c r="AO92" s="344">
        <v>4.5</v>
      </c>
      <c r="AP92" s="343"/>
      <c r="AS92" s="344"/>
      <c r="AW92" s="344"/>
      <c r="BA92" s="345"/>
    </row>
    <row r="93" spans="1:53" s="73" customFormat="1" x14ac:dyDescent="0.15">
      <c r="A93" s="73">
        <v>1999</v>
      </c>
      <c r="B93" s="85">
        <v>36265</v>
      </c>
      <c r="C93" s="811" t="s">
        <v>376</v>
      </c>
      <c r="D93" s="811"/>
      <c r="E93" s="73">
        <f>365-E92</f>
        <v>261</v>
      </c>
      <c r="F93" s="73">
        <v>1</v>
      </c>
      <c r="G93" s="123">
        <v>8</v>
      </c>
      <c r="I93" s="73">
        <v>9</v>
      </c>
      <c r="J93" s="134">
        <v>18</v>
      </c>
      <c r="K93" s="92">
        <f t="shared" si="28"/>
        <v>44.444444444444443</v>
      </c>
      <c r="L93" s="92">
        <f t="shared" si="29"/>
        <v>0</v>
      </c>
      <c r="M93" s="92">
        <f t="shared" si="30"/>
        <v>50</v>
      </c>
      <c r="N93" s="125">
        <f t="shared" si="26"/>
        <v>94.444444444444443</v>
      </c>
      <c r="O93" s="91">
        <v>29</v>
      </c>
      <c r="P93" s="92"/>
      <c r="Q93" s="92">
        <v>41</v>
      </c>
      <c r="R93" s="93">
        <f t="shared" si="27"/>
        <v>70</v>
      </c>
      <c r="S93" s="97">
        <v>3</v>
      </c>
      <c r="T93" s="95">
        <v>36240</v>
      </c>
      <c r="U93" s="85">
        <v>36265</v>
      </c>
      <c r="V93" s="82" t="s">
        <v>112</v>
      </c>
      <c r="W93" s="73" t="s">
        <v>20</v>
      </c>
      <c r="X93" s="73" t="s">
        <v>12</v>
      </c>
      <c r="Y93" s="83">
        <v>25.5</v>
      </c>
      <c r="Z93" s="82" t="s">
        <v>109</v>
      </c>
      <c r="AA93" s="73" t="s">
        <v>74</v>
      </c>
      <c r="AB93" s="73" t="s">
        <v>11</v>
      </c>
      <c r="AC93" s="83">
        <v>23</v>
      </c>
      <c r="AD93" s="82" t="s">
        <v>110</v>
      </c>
      <c r="AE93" s="73" t="s">
        <v>90</v>
      </c>
      <c r="AF93" s="73" t="s">
        <v>11</v>
      </c>
      <c r="AG93" s="83">
        <v>6</v>
      </c>
      <c r="AH93" s="73" t="s">
        <v>374</v>
      </c>
      <c r="AI93" s="73" t="s">
        <v>196</v>
      </c>
      <c r="AJ93" s="73" t="s">
        <v>12</v>
      </c>
      <c r="AK93" s="73">
        <v>10</v>
      </c>
      <c r="AL93" s="82" t="s">
        <v>375</v>
      </c>
      <c r="AM93" s="73" t="s">
        <v>221</v>
      </c>
      <c r="AN93" s="73" t="s">
        <v>12</v>
      </c>
      <c r="AO93" s="83">
        <v>5.5</v>
      </c>
      <c r="AP93" s="82"/>
      <c r="AS93" s="83"/>
      <c r="AW93" s="83"/>
      <c r="BA93" s="84"/>
    </row>
    <row r="94" spans="1:53" s="73" customFormat="1" x14ac:dyDescent="0.15">
      <c r="A94" s="73">
        <v>2000</v>
      </c>
      <c r="C94" s="811" t="s">
        <v>376</v>
      </c>
      <c r="D94" s="811"/>
      <c r="E94" s="73">
        <v>0</v>
      </c>
      <c r="G94" s="123">
        <v>8</v>
      </c>
      <c r="I94" s="73">
        <v>9</v>
      </c>
      <c r="J94" s="134">
        <v>18</v>
      </c>
      <c r="K94" s="92">
        <f t="shared" si="28"/>
        <v>44.444444444444443</v>
      </c>
      <c r="L94" s="92">
        <f t="shared" si="29"/>
        <v>0</v>
      </c>
      <c r="M94" s="92">
        <f t="shared" si="30"/>
        <v>50</v>
      </c>
      <c r="N94" s="125">
        <f t="shared" si="26"/>
        <v>94.444444444444443</v>
      </c>
      <c r="O94" s="91">
        <v>29</v>
      </c>
      <c r="P94" s="92"/>
      <c r="Q94" s="92">
        <v>41</v>
      </c>
      <c r="R94" s="93">
        <f t="shared" si="27"/>
        <v>70</v>
      </c>
      <c r="S94" s="97">
        <v>3</v>
      </c>
      <c r="T94" s="95"/>
      <c r="U94" s="85"/>
      <c r="V94" s="82" t="s">
        <v>112</v>
      </c>
      <c r="W94" s="73" t="s">
        <v>20</v>
      </c>
      <c r="X94" s="73" t="s">
        <v>12</v>
      </c>
      <c r="Y94" s="83">
        <v>25.5</v>
      </c>
      <c r="Z94" s="82" t="s">
        <v>109</v>
      </c>
      <c r="AA94" s="73" t="s">
        <v>74</v>
      </c>
      <c r="AB94" s="73" t="s">
        <v>11</v>
      </c>
      <c r="AC94" s="83">
        <v>23</v>
      </c>
      <c r="AD94" s="82" t="s">
        <v>110</v>
      </c>
      <c r="AE94" s="73" t="s">
        <v>90</v>
      </c>
      <c r="AF94" s="73" t="s">
        <v>11</v>
      </c>
      <c r="AG94" s="83">
        <v>6</v>
      </c>
      <c r="AH94" s="73" t="s">
        <v>374</v>
      </c>
      <c r="AI94" s="73" t="s">
        <v>196</v>
      </c>
      <c r="AJ94" s="73" t="s">
        <v>12</v>
      </c>
      <c r="AK94" s="73">
        <v>10</v>
      </c>
      <c r="AL94" s="82" t="s">
        <v>375</v>
      </c>
      <c r="AM94" s="73" t="s">
        <v>221</v>
      </c>
      <c r="AN94" s="73" t="s">
        <v>12</v>
      </c>
      <c r="AO94" s="83">
        <v>5.5</v>
      </c>
      <c r="AP94" s="82"/>
      <c r="AS94" s="83"/>
      <c r="AW94" s="83"/>
      <c r="BA94" s="84"/>
    </row>
    <row r="95" spans="1:53" s="73" customFormat="1" x14ac:dyDescent="0.15">
      <c r="A95" s="73">
        <v>2000</v>
      </c>
      <c r="C95" s="811" t="s">
        <v>376</v>
      </c>
      <c r="D95" s="811"/>
      <c r="E95" s="73">
        <v>366</v>
      </c>
      <c r="G95" s="123">
        <v>8</v>
      </c>
      <c r="I95" s="73">
        <v>9</v>
      </c>
      <c r="J95" s="134">
        <v>18</v>
      </c>
      <c r="K95" s="92">
        <f t="shared" si="28"/>
        <v>44.444444444444443</v>
      </c>
      <c r="L95" s="92">
        <f t="shared" si="29"/>
        <v>0</v>
      </c>
      <c r="M95" s="92">
        <f t="shared" si="30"/>
        <v>50</v>
      </c>
      <c r="N95" s="125">
        <f t="shared" si="26"/>
        <v>94.444444444444443</v>
      </c>
      <c r="O95" s="91">
        <v>29</v>
      </c>
      <c r="P95" s="92"/>
      <c r="Q95" s="92">
        <v>41</v>
      </c>
      <c r="R95" s="93">
        <f t="shared" si="27"/>
        <v>70</v>
      </c>
      <c r="S95" s="97">
        <v>3</v>
      </c>
      <c r="T95" s="95"/>
      <c r="U95" s="85"/>
      <c r="V95" s="82" t="s">
        <v>112</v>
      </c>
      <c r="W95" s="73" t="s">
        <v>20</v>
      </c>
      <c r="X95" s="73" t="s">
        <v>12</v>
      </c>
      <c r="Y95" s="83">
        <v>25.5</v>
      </c>
      <c r="Z95" s="82" t="s">
        <v>109</v>
      </c>
      <c r="AA95" s="73" t="s">
        <v>74</v>
      </c>
      <c r="AB95" s="73" t="s">
        <v>11</v>
      </c>
      <c r="AC95" s="83">
        <v>23</v>
      </c>
      <c r="AD95" s="82" t="s">
        <v>110</v>
      </c>
      <c r="AE95" s="73" t="s">
        <v>90</v>
      </c>
      <c r="AF95" s="73" t="s">
        <v>11</v>
      </c>
      <c r="AG95" s="83">
        <v>6</v>
      </c>
      <c r="AH95" s="73" t="s">
        <v>374</v>
      </c>
      <c r="AI95" s="73" t="s">
        <v>196</v>
      </c>
      <c r="AJ95" s="73" t="s">
        <v>12</v>
      </c>
      <c r="AK95" s="73">
        <v>10</v>
      </c>
      <c r="AL95" s="82" t="s">
        <v>375</v>
      </c>
      <c r="AM95" s="73" t="s">
        <v>221</v>
      </c>
      <c r="AN95" s="73" t="s">
        <v>12</v>
      </c>
      <c r="AO95" s="83">
        <v>5.5</v>
      </c>
      <c r="AP95" s="82"/>
      <c r="AS95" s="83"/>
      <c r="AW95" s="83"/>
      <c r="BA95" s="84"/>
    </row>
    <row r="96" spans="1:53" s="73" customFormat="1" x14ac:dyDescent="0.15">
      <c r="A96" s="73">
        <v>2001</v>
      </c>
      <c r="C96" s="811" t="s">
        <v>376</v>
      </c>
      <c r="D96" s="811"/>
      <c r="E96" s="73">
        <v>0</v>
      </c>
      <c r="G96" s="123">
        <v>8</v>
      </c>
      <c r="I96" s="73">
        <v>9</v>
      </c>
      <c r="J96" s="134">
        <v>18</v>
      </c>
      <c r="K96" s="92">
        <f t="shared" si="28"/>
        <v>44.444444444444443</v>
      </c>
      <c r="L96" s="92">
        <f t="shared" si="29"/>
        <v>0</v>
      </c>
      <c r="M96" s="92">
        <f t="shared" si="30"/>
        <v>50</v>
      </c>
      <c r="N96" s="125">
        <f t="shared" si="26"/>
        <v>94.444444444444443</v>
      </c>
      <c r="O96" s="91">
        <v>29</v>
      </c>
      <c r="P96" s="92"/>
      <c r="Q96" s="92">
        <v>41</v>
      </c>
      <c r="R96" s="93">
        <f t="shared" si="27"/>
        <v>70</v>
      </c>
      <c r="S96" s="97">
        <v>3</v>
      </c>
      <c r="T96" s="95"/>
      <c r="U96" s="85"/>
      <c r="V96" s="82" t="s">
        <v>112</v>
      </c>
      <c r="W96" s="73" t="s">
        <v>20</v>
      </c>
      <c r="X96" s="73" t="s">
        <v>12</v>
      </c>
      <c r="Y96" s="83">
        <v>25.5</v>
      </c>
      <c r="Z96" s="82" t="s">
        <v>109</v>
      </c>
      <c r="AA96" s="73" t="s">
        <v>74</v>
      </c>
      <c r="AB96" s="73" t="s">
        <v>11</v>
      </c>
      <c r="AC96" s="83">
        <v>23</v>
      </c>
      <c r="AD96" s="82" t="s">
        <v>110</v>
      </c>
      <c r="AE96" s="73" t="s">
        <v>90</v>
      </c>
      <c r="AF96" s="73" t="s">
        <v>11</v>
      </c>
      <c r="AG96" s="83">
        <v>6</v>
      </c>
      <c r="AH96" s="73" t="s">
        <v>374</v>
      </c>
      <c r="AI96" s="73" t="s">
        <v>196</v>
      </c>
      <c r="AJ96" s="73" t="s">
        <v>12</v>
      </c>
      <c r="AK96" s="73">
        <v>10</v>
      </c>
      <c r="AL96" s="82" t="s">
        <v>375</v>
      </c>
      <c r="AM96" s="73" t="s">
        <v>221</v>
      </c>
      <c r="AN96" s="73" t="s">
        <v>12</v>
      </c>
      <c r="AO96" s="83">
        <v>5.5</v>
      </c>
      <c r="AP96" s="82"/>
      <c r="AS96" s="83"/>
      <c r="AW96" s="83"/>
      <c r="BA96" s="84"/>
    </row>
    <row r="97" spans="1:53" s="73" customFormat="1" x14ac:dyDescent="0.15">
      <c r="A97" s="73">
        <v>2001</v>
      </c>
      <c r="C97" s="811" t="s">
        <v>376</v>
      </c>
      <c r="D97" s="811"/>
      <c r="E97" s="73">
        <f>365-E96</f>
        <v>365</v>
      </c>
      <c r="G97" s="123">
        <v>8</v>
      </c>
      <c r="I97" s="73">
        <v>9</v>
      </c>
      <c r="J97" s="134">
        <v>18</v>
      </c>
      <c r="K97" s="92">
        <f t="shared" si="28"/>
        <v>44.444444444444443</v>
      </c>
      <c r="L97" s="92">
        <f t="shared" si="29"/>
        <v>0</v>
      </c>
      <c r="M97" s="92">
        <f t="shared" si="30"/>
        <v>50</v>
      </c>
      <c r="N97" s="125">
        <f t="shared" si="26"/>
        <v>94.444444444444443</v>
      </c>
      <c r="O97" s="91">
        <v>29</v>
      </c>
      <c r="P97" s="92"/>
      <c r="Q97" s="92">
        <v>41</v>
      </c>
      <c r="R97" s="93">
        <f t="shared" si="27"/>
        <v>70</v>
      </c>
      <c r="S97" s="97">
        <v>3</v>
      </c>
      <c r="T97" s="95"/>
      <c r="U97" s="85"/>
      <c r="V97" s="82" t="s">
        <v>112</v>
      </c>
      <c r="W97" s="73" t="s">
        <v>20</v>
      </c>
      <c r="X97" s="73" t="s">
        <v>12</v>
      </c>
      <c r="Y97" s="83">
        <v>25.5</v>
      </c>
      <c r="Z97" s="82" t="s">
        <v>109</v>
      </c>
      <c r="AA97" s="73" t="s">
        <v>74</v>
      </c>
      <c r="AB97" s="73" t="s">
        <v>11</v>
      </c>
      <c r="AC97" s="83">
        <v>23</v>
      </c>
      <c r="AD97" s="82" t="s">
        <v>110</v>
      </c>
      <c r="AE97" s="73" t="s">
        <v>90</v>
      </c>
      <c r="AF97" s="73" t="s">
        <v>11</v>
      </c>
      <c r="AG97" s="83">
        <v>6</v>
      </c>
      <c r="AH97" s="73" t="s">
        <v>374</v>
      </c>
      <c r="AI97" s="73" t="s">
        <v>196</v>
      </c>
      <c r="AJ97" s="73" t="s">
        <v>12</v>
      </c>
      <c r="AK97" s="73">
        <v>10</v>
      </c>
      <c r="AL97" s="82" t="s">
        <v>375</v>
      </c>
      <c r="AM97" s="73" t="s">
        <v>221</v>
      </c>
      <c r="AN97" s="73" t="s">
        <v>12</v>
      </c>
      <c r="AO97" s="83">
        <v>5.5</v>
      </c>
      <c r="AP97" s="82"/>
      <c r="AS97" s="83"/>
      <c r="AW97" s="83"/>
      <c r="BA97" s="84"/>
    </row>
    <row r="98" spans="1:53" s="73" customFormat="1" x14ac:dyDescent="0.15">
      <c r="A98" s="73">
        <v>2002</v>
      </c>
      <c r="C98" s="811" t="s">
        <v>376</v>
      </c>
      <c r="D98" s="811"/>
      <c r="E98" s="73">
        <v>108</v>
      </c>
      <c r="G98" s="123">
        <v>8</v>
      </c>
      <c r="I98" s="73">
        <v>9</v>
      </c>
      <c r="J98" s="134">
        <v>18</v>
      </c>
      <c r="K98" s="92">
        <f t="shared" si="28"/>
        <v>44.444444444444443</v>
      </c>
      <c r="L98" s="92">
        <f t="shared" si="29"/>
        <v>0</v>
      </c>
      <c r="M98" s="92">
        <f t="shared" si="30"/>
        <v>50</v>
      </c>
      <c r="N98" s="125">
        <f t="shared" si="26"/>
        <v>94.444444444444443</v>
      </c>
      <c r="O98" s="91">
        <v>29</v>
      </c>
      <c r="P98" s="92"/>
      <c r="Q98" s="92">
        <v>41</v>
      </c>
      <c r="R98" s="93">
        <f t="shared" si="27"/>
        <v>70</v>
      </c>
      <c r="S98" s="97">
        <v>3</v>
      </c>
      <c r="T98" s="95"/>
      <c r="U98" s="85"/>
      <c r="V98" s="82" t="s">
        <v>112</v>
      </c>
      <c r="W98" s="73" t="s">
        <v>20</v>
      </c>
      <c r="X98" s="73" t="s">
        <v>12</v>
      </c>
      <c r="Y98" s="83">
        <v>25.5</v>
      </c>
      <c r="Z98" s="82" t="s">
        <v>109</v>
      </c>
      <c r="AA98" s="73" t="s">
        <v>74</v>
      </c>
      <c r="AB98" s="73" t="s">
        <v>11</v>
      </c>
      <c r="AC98" s="83">
        <v>23</v>
      </c>
      <c r="AD98" s="82" t="s">
        <v>110</v>
      </c>
      <c r="AE98" s="73" t="s">
        <v>90</v>
      </c>
      <c r="AF98" s="73" t="s">
        <v>11</v>
      </c>
      <c r="AG98" s="83">
        <v>6</v>
      </c>
      <c r="AH98" s="73" t="s">
        <v>374</v>
      </c>
      <c r="AI98" s="73" t="s">
        <v>196</v>
      </c>
      <c r="AJ98" s="73" t="s">
        <v>12</v>
      </c>
      <c r="AK98" s="73">
        <v>10</v>
      </c>
      <c r="AL98" s="82" t="s">
        <v>375</v>
      </c>
      <c r="AM98" s="73" t="s">
        <v>221</v>
      </c>
      <c r="AN98" s="73" t="s">
        <v>12</v>
      </c>
      <c r="AO98" s="83">
        <v>5.5</v>
      </c>
      <c r="AP98" s="82"/>
      <c r="AS98" s="83"/>
      <c r="AW98" s="83"/>
      <c r="BA98" s="84"/>
    </row>
    <row r="99" spans="1:53" s="334" customFormat="1" x14ac:dyDescent="0.15">
      <c r="A99" s="334">
        <v>2002</v>
      </c>
      <c r="B99" s="355">
        <v>37365</v>
      </c>
      <c r="C99" s="812" t="s">
        <v>377</v>
      </c>
      <c r="D99" s="812"/>
      <c r="E99" s="334">
        <v>42</v>
      </c>
      <c r="F99" s="334">
        <v>4</v>
      </c>
      <c r="G99" s="419">
        <v>9</v>
      </c>
      <c r="I99" s="334">
        <v>8</v>
      </c>
      <c r="J99" s="435">
        <v>18</v>
      </c>
      <c r="K99" s="384">
        <f>G99/J99*100</f>
        <v>50</v>
      </c>
      <c r="L99" s="384">
        <f>H99/J99*100</f>
        <v>0</v>
      </c>
      <c r="M99" s="384">
        <f>I99/J99*100</f>
        <v>44.444444444444443</v>
      </c>
      <c r="N99" s="421">
        <f>SUM(K99:M99)</f>
        <v>94.444444444444443</v>
      </c>
      <c r="O99" s="383">
        <v>29</v>
      </c>
      <c r="P99" s="384"/>
      <c r="Q99" s="384">
        <v>35.5</v>
      </c>
      <c r="R99" s="385">
        <f>SUM(O99:Q99)</f>
        <v>64.5</v>
      </c>
      <c r="S99" s="388">
        <v>3</v>
      </c>
      <c r="T99" s="342"/>
      <c r="U99" s="355">
        <v>37365</v>
      </c>
      <c r="V99" s="343" t="s">
        <v>112</v>
      </c>
      <c r="W99" s="334" t="s">
        <v>20</v>
      </c>
      <c r="X99" s="334" t="s">
        <v>12</v>
      </c>
      <c r="Y99" s="344">
        <v>25.5</v>
      </c>
      <c r="Z99" s="343" t="s">
        <v>109</v>
      </c>
      <c r="AA99" s="334" t="s">
        <v>74</v>
      </c>
      <c r="AB99" s="334" t="s">
        <v>11</v>
      </c>
      <c r="AC99" s="344">
        <v>23</v>
      </c>
      <c r="AD99" s="343" t="s">
        <v>110</v>
      </c>
      <c r="AE99" s="334" t="s">
        <v>90</v>
      </c>
      <c r="AF99" s="334" t="s">
        <v>11</v>
      </c>
      <c r="AG99" s="344">
        <v>6</v>
      </c>
      <c r="AH99" s="334" t="s">
        <v>374</v>
      </c>
      <c r="AI99" s="334" t="s">
        <v>196</v>
      </c>
      <c r="AJ99" s="334" t="s">
        <v>12</v>
      </c>
      <c r="AK99" s="334">
        <v>10</v>
      </c>
      <c r="AL99" s="343"/>
      <c r="AO99" s="344"/>
      <c r="AP99" s="343"/>
      <c r="AS99" s="344"/>
      <c r="AW99" s="344"/>
      <c r="BA99" s="345"/>
    </row>
    <row r="100" spans="1:53" s="334" customFormat="1" x14ac:dyDescent="0.15">
      <c r="A100" s="334">
        <v>2002</v>
      </c>
      <c r="B100" s="445">
        <v>37407</v>
      </c>
      <c r="C100" s="812" t="s">
        <v>377</v>
      </c>
      <c r="D100" s="812"/>
      <c r="E100" s="334">
        <v>215</v>
      </c>
      <c r="F100" s="441">
        <v>0</v>
      </c>
      <c r="G100" s="419">
        <v>10</v>
      </c>
      <c r="I100" s="334">
        <v>8</v>
      </c>
      <c r="J100" s="435">
        <v>18</v>
      </c>
      <c r="K100" s="384">
        <f t="shared" si="28"/>
        <v>55.555555555555557</v>
      </c>
      <c r="L100" s="384">
        <f t="shared" si="29"/>
        <v>0</v>
      </c>
      <c r="M100" s="384">
        <f t="shared" si="30"/>
        <v>44.444444444444443</v>
      </c>
      <c r="N100" s="421">
        <f t="shared" si="26"/>
        <v>100</v>
      </c>
      <c r="O100" s="383">
        <v>29</v>
      </c>
      <c r="P100" s="384"/>
      <c r="Q100" s="384">
        <v>35.5</v>
      </c>
      <c r="R100" s="385">
        <f t="shared" si="27"/>
        <v>64.5</v>
      </c>
      <c r="S100" s="388">
        <v>3</v>
      </c>
      <c r="T100" s="342"/>
      <c r="U100" s="355"/>
      <c r="V100" s="343" t="s">
        <v>112</v>
      </c>
      <c r="W100" s="334" t="s">
        <v>20</v>
      </c>
      <c r="X100" s="334" t="s">
        <v>12</v>
      </c>
      <c r="Y100" s="344">
        <v>25.5</v>
      </c>
      <c r="Z100" s="343" t="s">
        <v>109</v>
      </c>
      <c r="AA100" s="334" t="s">
        <v>74</v>
      </c>
      <c r="AB100" s="334" t="s">
        <v>11</v>
      </c>
      <c r="AC100" s="344">
        <v>23</v>
      </c>
      <c r="AD100" s="343" t="s">
        <v>110</v>
      </c>
      <c r="AE100" s="334" t="s">
        <v>90</v>
      </c>
      <c r="AF100" s="334" t="s">
        <v>11</v>
      </c>
      <c r="AG100" s="344">
        <v>6</v>
      </c>
      <c r="AH100" s="334" t="s">
        <v>374</v>
      </c>
      <c r="AI100" s="334" t="s">
        <v>196</v>
      </c>
      <c r="AJ100" s="334" t="s">
        <v>12</v>
      </c>
      <c r="AK100" s="334">
        <v>10</v>
      </c>
      <c r="AL100" s="343"/>
      <c r="AO100" s="344"/>
      <c r="AP100" s="343"/>
      <c r="AS100" s="344"/>
      <c r="AW100" s="344"/>
      <c r="BA100" s="345"/>
    </row>
    <row r="101" spans="1:53" s="334" customFormat="1" x14ac:dyDescent="0.15">
      <c r="A101" s="334">
        <v>2003</v>
      </c>
      <c r="C101" s="812" t="s">
        <v>377</v>
      </c>
      <c r="D101" s="812"/>
      <c r="E101" s="334">
        <v>106</v>
      </c>
      <c r="G101" s="419">
        <v>10</v>
      </c>
      <c r="I101" s="334">
        <v>8</v>
      </c>
      <c r="J101" s="435">
        <v>18</v>
      </c>
      <c r="K101" s="384">
        <f t="shared" si="28"/>
        <v>55.555555555555557</v>
      </c>
      <c r="L101" s="384">
        <f t="shared" si="29"/>
        <v>0</v>
      </c>
      <c r="M101" s="384">
        <f t="shared" si="30"/>
        <v>44.444444444444443</v>
      </c>
      <c r="N101" s="421">
        <f t="shared" si="26"/>
        <v>100</v>
      </c>
      <c r="O101" s="383">
        <v>29</v>
      </c>
      <c r="P101" s="384"/>
      <c r="Q101" s="384">
        <v>35.5</v>
      </c>
      <c r="R101" s="385">
        <f t="shared" si="27"/>
        <v>64.5</v>
      </c>
      <c r="S101" s="388">
        <v>3</v>
      </c>
      <c r="T101" s="342"/>
      <c r="U101" s="355"/>
      <c r="V101" s="343" t="s">
        <v>112</v>
      </c>
      <c r="W101" s="334" t="s">
        <v>20</v>
      </c>
      <c r="X101" s="334" t="s">
        <v>12</v>
      </c>
      <c r="Y101" s="344">
        <v>25.5</v>
      </c>
      <c r="Z101" s="343" t="s">
        <v>109</v>
      </c>
      <c r="AA101" s="334" t="s">
        <v>74</v>
      </c>
      <c r="AB101" s="334" t="s">
        <v>11</v>
      </c>
      <c r="AC101" s="344">
        <v>23</v>
      </c>
      <c r="AD101" s="343" t="s">
        <v>110</v>
      </c>
      <c r="AE101" s="334" t="s">
        <v>90</v>
      </c>
      <c r="AF101" s="334" t="s">
        <v>11</v>
      </c>
      <c r="AG101" s="344">
        <v>6</v>
      </c>
      <c r="AH101" s="334" t="s">
        <v>374</v>
      </c>
      <c r="AI101" s="334" t="s">
        <v>196</v>
      </c>
      <c r="AJ101" s="334" t="s">
        <v>12</v>
      </c>
      <c r="AK101" s="334">
        <v>10</v>
      </c>
      <c r="AL101" s="343"/>
      <c r="AO101" s="344"/>
      <c r="AP101" s="343"/>
      <c r="AS101" s="344"/>
      <c r="AW101" s="344"/>
      <c r="BA101" s="345"/>
    </row>
    <row r="102" spans="1:53" s="73" customFormat="1" x14ac:dyDescent="0.15">
      <c r="A102" s="73">
        <v>2003</v>
      </c>
      <c r="B102" s="85">
        <v>37728</v>
      </c>
      <c r="C102" s="811" t="s">
        <v>378</v>
      </c>
      <c r="D102" s="811"/>
      <c r="E102" s="73">
        <v>68</v>
      </c>
      <c r="F102" s="73">
        <v>1</v>
      </c>
      <c r="G102" s="123">
        <v>2</v>
      </c>
      <c r="H102" s="73">
        <v>8</v>
      </c>
      <c r="I102" s="73">
        <v>8</v>
      </c>
      <c r="J102" s="134">
        <v>18</v>
      </c>
      <c r="K102" s="92">
        <f>G102/J102*100</f>
        <v>11.111111111111111</v>
      </c>
      <c r="L102" s="92">
        <f>H102/J102*100</f>
        <v>44.444444444444443</v>
      </c>
      <c r="M102" s="92">
        <f>I102/J102*100</f>
        <v>44.444444444444443</v>
      </c>
      <c r="N102" s="125">
        <f>SUM(K102:M102)</f>
        <v>100</v>
      </c>
      <c r="O102" s="91">
        <v>4.5</v>
      </c>
      <c r="P102" s="92">
        <v>27.5</v>
      </c>
      <c r="Q102" s="92">
        <v>26.5</v>
      </c>
      <c r="R102" s="93">
        <f>SUM(O102:Q102)</f>
        <v>58.5</v>
      </c>
      <c r="S102" s="97">
        <v>3</v>
      </c>
      <c r="T102" s="95">
        <v>37696</v>
      </c>
      <c r="U102" s="85">
        <v>37728</v>
      </c>
      <c r="V102" s="82" t="s">
        <v>108</v>
      </c>
      <c r="W102" s="73" t="s">
        <v>75</v>
      </c>
      <c r="X102" s="73" t="s">
        <v>18</v>
      </c>
      <c r="Y102" s="83">
        <v>27.5</v>
      </c>
      <c r="Z102" s="73" t="s">
        <v>112</v>
      </c>
      <c r="AA102" s="73" t="s">
        <v>20</v>
      </c>
      <c r="AB102" s="73" t="s">
        <v>12</v>
      </c>
      <c r="AC102" s="73">
        <v>26.5</v>
      </c>
      <c r="AD102" s="82" t="s">
        <v>110</v>
      </c>
      <c r="AE102" s="73" t="s">
        <v>90</v>
      </c>
      <c r="AF102" s="73" t="s">
        <v>11</v>
      </c>
      <c r="AG102" s="83">
        <v>4.5</v>
      </c>
      <c r="AL102" s="82"/>
      <c r="AO102" s="83"/>
      <c r="AP102" s="82"/>
      <c r="AS102" s="83"/>
      <c r="AW102" s="83"/>
      <c r="BA102" s="84"/>
    </row>
    <row r="103" spans="1:53" s="334" customFormat="1" x14ac:dyDescent="0.15">
      <c r="A103" s="334">
        <v>2003</v>
      </c>
      <c r="B103" s="355">
        <v>37796</v>
      </c>
      <c r="C103" s="812" t="s">
        <v>379</v>
      </c>
      <c r="D103" s="812"/>
      <c r="E103" s="334">
        <v>191</v>
      </c>
      <c r="F103" s="334">
        <v>2</v>
      </c>
      <c r="G103" s="419">
        <v>2</v>
      </c>
      <c r="H103" s="334">
        <v>8</v>
      </c>
      <c r="I103" s="334">
        <v>8</v>
      </c>
      <c r="J103" s="435">
        <v>18</v>
      </c>
      <c r="K103" s="384">
        <f t="shared" si="28"/>
        <v>11.111111111111111</v>
      </c>
      <c r="L103" s="384">
        <f t="shared" si="29"/>
        <v>44.444444444444443</v>
      </c>
      <c r="M103" s="384">
        <f t="shared" si="30"/>
        <v>44.444444444444443</v>
      </c>
      <c r="N103" s="421">
        <f t="shared" si="26"/>
        <v>100</v>
      </c>
      <c r="O103" s="383">
        <v>4.5</v>
      </c>
      <c r="P103" s="384">
        <v>27.5</v>
      </c>
      <c r="Q103" s="384">
        <v>26.5</v>
      </c>
      <c r="R103" s="385">
        <f t="shared" si="27"/>
        <v>58.5</v>
      </c>
      <c r="S103" s="388">
        <v>3</v>
      </c>
      <c r="T103" s="342"/>
      <c r="U103" s="355">
        <v>37796</v>
      </c>
      <c r="V103" s="343" t="s">
        <v>108</v>
      </c>
      <c r="W103" s="334" t="s">
        <v>75</v>
      </c>
      <c r="X103" s="334" t="s">
        <v>18</v>
      </c>
      <c r="Y103" s="344">
        <v>27.5</v>
      </c>
      <c r="Z103" s="334" t="s">
        <v>112</v>
      </c>
      <c r="AA103" s="334" t="s">
        <v>20</v>
      </c>
      <c r="AB103" s="334" t="s">
        <v>12</v>
      </c>
      <c r="AC103" s="334">
        <v>26.5</v>
      </c>
      <c r="AD103" s="343" t="s">
        <v>110</v>
      </c>
      <c r="AE103" s="334" t="s">
        <v>90</v>
      </c>
      <c r="AF103" s="334" t="s">
        <v>11</v>
      </c>
      <c r="AG103" s="344">
        <v>4.5</v>
      </c>
      <c r="AL103" s="343"/>
      <c r="AO103" s="344"/>
      <c r="AP103" s="343"/>
      <c r="AS103" s="344"/>
      <c r="AW103" s="344"/>
      <c r="BA103" s="345"/>
    </row>
    <row r="104" spans="1:53" s="334" customFormat="1" x14ac:dyDescent="0.15">
      <c r="A104" s="334">
        <v>2004</v>
      </c>
      <c r="C104" s="812" t="s">
        <v>379</v>
      </c>
      <c r="D104" s="812"/>
      <c r="E104" s="334">
        <v>0</v>
      </c>
      <c r="G104" s="419">
        <v>2</v>
      </c>
      <c r="H104" s="334">
        <v>8</v>
      </c>
      <c r="I104" s="334">
        <v>8</v>
      </c>
      <c r="J104" s="435">
        <v>18</v>
      </c>
      <c r="K104" s="384">
        <f t="shared" si="28"/>
        <v>11.111111111111111</v>
      </c>
      <c r="L104" s="384">
        <f t="shared" si="29"/>
        <v>44.444444444444443</v>
      </c>
      <c r="M104" s="384">
        <f t="shared" si="30"/>
        <v>44.444444444444443</v>
      </c>
      <c r="N104" s="421">
        <f t="shared" si="26"/>
        <v>100</v>
      </c>
      <c r="O104" s="383">
        <v>4.5</v>
      </c>
      <c r="P104" s="384">
        <v>27.5</v>
      </c>
      <c r="Q104" s="384">
        <v>26.5</v>
      </c>
      <c r="R104" s="385">
        <f t="shared" si="27"/>
        <v>58.5</v>
      </c>
      <c r="S104" s="388">
        <v>3</v>
      </c>
      <c r="T104" s="342"/>
      <c r="U104" s="355"/>
      <c r="V104" s="343" t="s">
        <v>108</v>
      </c>
      <c r="W104" s="334" t="s">
        <v>75</v>
      </c>
      <c r="X104" s="334" t="s">
        <v>18</v>
      </c>
      <c r="Y104" s="344">
        <v>27.5</v>
      </c>
      <c r="Z104" s="334" t="s">
        <v>112</v>
      </c>
      <c r="AA104" s="334" t="s">
        <v>20</v>
      </c>
      <c r="AB104" s="334" t="s">
        <v>12</v>
      </c>
      <c r="AC104" s="334">
        <v>26.5</v>
      </c>
      <c r="AD104" s="343" t="s">
        <v>110</v>
      </c>
      <c r="AE104" s="334" t="s">
        <v>90</v>
      </c>
      <c r="AF104" s="334" t="s">
        <v>11</v>
      </c>
      <c r="AG104" s="344">
        <v>4.5</v>
      </c>
      <c r="AL104" s="343"/>
      <c r="AO104" s="344"/>
      <c r="AP104" s="343"/>
      <c r="AS104" s="344"/>
      <c r="AW104" s="344"/>
      <c r="BA104" s="345"/>
    </row>
    <row r="105" spans="1:53" s="334" customFormat="1" x14ac:dyDescent="0.15">
      <c r="A105" s="334">
        <v>2004</v>
      </c>
      <c r="C105" s="812" t="s">
        <v>379</v>
      </c>
      <c r="D105" s="812"/>
      <c r="E105" s="334">
        <v>366</v>
      </c>
      <c r="G105" s="419">
        <v>2</v>
      </c>
      <c r="H105" s="334">
        <v>8</v>
      </c>
      <c r="I105" s="334">
        <v>8</v>
      </c>
      <c r="J105" s="435">
        <v>18</v>
      </c>
      <c r="K105" s="384">
        <f t="shared" si="28"/>
        <v>11.111111111111111</v>
      </c>
      <c r="L105" s="384">
        <f t="shared" si="29"/>
        <v>44.444444444444443</v>
      </c>
      <c r="M105" s="384">
        <f t="shared" si="30"/>
        <v>44.444444444444443</v>
      </c>
      <c r="N105" s="421">
        <f t="shared" si="26"/>
        <v>100</v>
      </c>
      <c r="O105" s="383">
        <v>4.5</v>
      </c>
      <c r="P105" s="384">
        <v>27.5</v>
      </c>
      <c r="Q105" s="384">
        <v>26.5</v>
      </c>
      <c r="R105" s="385">
        <f t="shared" si="27"/>
        <v>58.5</v>
      </c>
      <c r="S105" s="388">
        <v>3</v>
      </c>
      <c r="T105" s="342"/>
      <c r="U105" s="355"/>
      <c r="V105" s="343" t="s">
        <v>108</v>
      </c>
      <c r="W105" s="334" t="s">
        <v>75</v>
      </c>
      <c r="X105" s="334" t="s">
        <v>18</v>
      </c>
      <c r="Y105" s="344">
        <v>27.5</v>
      </c>
      <c r="Z105" s="334" t="s">
        <v>112</v>
      </c>
      <c r="AA105" s="334" t="s">
        <v>20</v>
      </c>
      <c r="AB105" s="334" t="s">
        <v>12</v>
      </c>
      <c r="AC105" s="334">
        <v>26.5</v>
      </c>
      <c r="AD105" s="343" t="s">
        <v>110</v>
      </c>
      <c r="AE105" s="334" t="s">
        <v>90</v>
      </c>
      <c r="AF105" s="334" t="s">
        <v>11</v>
      </c>
      <c r="AG105" s="344">
        <v>4.5</v>
      </c>
      <c r="AL105" s="343"/>
      <c r="AO105" s="344"/>
      <c r="AP105" s="343"/>
      <c r="AS105" s="344"/>
      <c r="AW105" s="344"/>
      <c r="BA105" s="345"/>
    </row>
    <row r="106" spans="1:53" s="334" customFormat="1" x14ac:dyDescent="0.15">
      <c r="A106" s="334">
        <v>2005</v>
      </c>
      <c r="C106" s="812" t="s">
        <v>379</v>
      </c>
      <c r="D106" s="812"/>
      <c r="E106" s="334">
        <v>0</v>
      </c>
      <c r="G106" s="419">
        <v>2</v>
      </c>
      <c r="H106" s="334">
        <v>8</v>
      </c>
      <c r="I106" s="334">
        <v>8</v>
      </c>
      <c r="J106" s="435">
        <v>18</v>
      </c>
      <c r="K106" s="384">
        <f t="shared" si="28"/>
        <v>11.111111111111111</v>
      </c>
      <c r="L106" s="384">
        <f t="shared" si="29"/>
        <v>44.444444444444443</v>
      </c>
      <c r="M106" s="384">
        <f t="shared" si="30"/>
        <v>44.444444444444443</v>
      </c>
      <c r="N106" s="421">
        <f t="shared" si="26"/>
        <v>100</v>
      </c>
      <c r="O106" s="383">
        <v>4.5</v>
      </c>
      <c r="P106" s="384">
        <v>27.5</v>
      </c>
      <c r="Q106" s="384">
        <v>26.5</v>
      </c>
      <c r="R106" s="385">
        <f t="shared" si="27"/>
        <v>58.5</v>
      </c>
      <c r="S106" s="388">
        <v>3</v>
      </c>
      <c r="T106" s="342"/>
      <c r="U106" s="355"/>
      <c r="V106" s="343" t="s">
        <v>108</v>
      </c>
      <c r="W106" s="334" t="s">
        <v>75</v>
      </c>
      <c r="X106" s="334" t="s">
        <v>18</v>
      </c>
      <c r="Y106" s="344">
        <v>27.5</v>
      </c>
      <c r="Z106" s="334" t="s">
        <v>112</v>
      </c>
      <c r="AA106" s="334" t="s">
        <v>20</v>
      </c>
      <c r="AB106" s="334" t="s">
        <v>12</v>
      </c>
      <c r="AC106" s="334">
        <v>26.5</v>
      </c>
      <c r="AD106" s="343" t="s">
        <v>110</v>
      </c>
      <c r="AE106" s="334" t="s">
        <v>90</v>
      </c>
      <c r="AF106" s="334" t="s">
        <v>11</v>
      </c>
      <c r="AG106" s="344">
        <v>4.5</v>
      </c>
      <c r="AL106" s="343"/>
      <c r="AO106" s="344"/>
      <c r="AP106" s="343"/>
      <c r="AS106" s="344"/>
      <c r="AW106" s="344"/>
      <c r="BA106" s="345"/>
    </row>
    <row r="107" spans="1:53" s="334" customFormat="1" x14ac:dyDescent="0.15">
      <c r="A107" s="334">
        <v>2005</v>
      </c>
      <c r="C107" s="812" t="s">
        <v>379</v>
      </c>
      <c r="D107" s="812"/>
      <c r="E107" s="334">
        <f>365-E106</f>
        <v>365</v>
      </c>
      <c r="G107" s="419">
        <v>2</v>
      </c>
      <c r="H107" s="334">
        <v>8</v>
      </c>
      <c r="I107" s="334">
        <v>8</v>
      </c>
      <c r="J107" s="435">
        <v>18</v>
      </c>
      <c r="K107" s="384">
        <f t="shared" si="28"/>
        <v>11.111111111111111</v>
      </c>
      <c r="L107" s="384">
        <f t="shared" si="29"/>
        <v>44.444444444444443</v>
      </c>
      <c r="M107" s="384">
        <f t="shared" si="30"/>
        <v>44.444444444444443</v>
      </c>
      <c r="N107" s="421">
        <f t="shared" si="26"/>
        <v>100</v>
      </c>
      <c r="O107" s="383">
        <v>4.5</v>
      </c>
      <c r="P107" s="384">
        <v>27.5</v>
      </c>
      <c r="Q107" s="384">
        <v>26.5</v>
      </c>
      <c r="R107" s="385">
        <f t="shared" si="27"/>
        <v>58.5</v>
      </c>
      <c r="S107" s="388">
        <v>3</v>
      </c>
      <c r="T107" s="342"/>
      <c r="U107" s="355"/>
      <c r="V107" s="343" t="s">
        <v>108</v>
      </c>
      <c r="W107" s="334" t="s">
        <v>75</v>
      </c>
      <c r="X107" s="334" t="s">
        <v>18</v>
      </c>
      <c r="Y107" s="344">
        <v>27.5</v>
      </c>
      <c r="Z107" s="334" t="s">
        <v>112</v>
      </c>
      <c r="AA107" s="334" t="s">
        <v>20</v>
      </c>
      <c r="AB107" s="334" t="s">
        <v>12</v>
      </c>
      <c r="AC107" s="334">
        <v>26.5</v>
      </c>
      <c r="AD107" s="343" t="s">
        <v>110</v>
      </c>
      <c r="AE107" s="334" t="s">
        <v>90</v>
      </c>
      <c r="AF107" s="334" t="s">
        <v>11</v>
      </c>
      <c r="AG107" s="344">
        <v>4.5</v>
      </c>
      <c r="AL107" s="343"/>
      <c r="AO107" s="344"/>
      <c r="AP107" s="343"/>
      <c r="AS107" s="344"/>
      <c r="AW107" s="344"/>
      <c r="BA107" s="345"/>
    </row>
    <row r="108" spans="1:53" s="334" customFormat="1" x14ac:dyDescent="0.15">
      <c r="A108" s="334">
        <v>2006</v>
      </c>
      <c r="C108" s="812" t="s">
        <v>379</v>
      </c>
      <c r="D108" s="812"/>
      <c r="E108" s="334">
        <v>0</v>
      </c>
      <c r="G108" s="419">
        <v>2</v>
      </c>
      <c r="H108" s="334">
        <v>8</v>
      </c>
      <c r="I108" s="334">
        <v>8</v>
      </c>
      <c r="J108" s="435">
        <v>18</v>
      </c>
      <c r="K108" s="384">
        <f t="shared" ref="K108:K117" si="31">G108/J108*100</f>
        <v>11.111111111111111</v>
      </c>
      <c r="L108" s="384">
        <f t="shared" ref="L108:L117" si="32">H108/J108*100</f>
        <v>44.444444444444443</v>
      </c>
      <c r="M108" s="384">
        <f t="shared" ref="M108:M117" si="33">I108/J108*100</f>
        <v>44.444444444444443</v>
      </c>
      <c r="N108" s="421">
        <f t="shared" si="26"/>
        <v>100</v>
      </c>
      <c r="O108" s="383">
        <v>4.5</v>
      </c>
      <c r="P108" s="384">
        <v>27.5</v>
      </c>
      <c r="Q108" s="384">
        <v>26.5</v>
      </c>
      <c r="R108" s="385">
        <f t="shared" si="27"/>
        <v>58.5</v>
      </c>
      <c r="S108" s="388">
        <v>3</v>
      </c>
      <c r="T108" s="342"/>
      <c r="U108" s="355"/>
      <c r="V108" s="343" t="s">
        <v>108</v>
      </c>
      <c r="W108" s="334" t="s">
        <v>75</v>
      </c>
      <c r="X108" s="334" t="s">
        <v>18</v>
      </c>
      <c r="Y108" s="344">
        <v>27.5</v>
      </c>
      <c r="Z108" s="334" t="s">
        <v>112</v>
      </c>
      <c r="AA108" s="334" t="s">
        <v>20</v>
      </c>
      <c r="AB108" s="334" t="s">
        <v>12</v>
      </c>
      <c r="AC108" s="334">
        <v>26.5</v>
      </c>
      <c r="AD108" s="343" t="s">
        <v>110</v>
      </c>
      <c r="AE108" s="334" t="s">
        <v>90</v>
      </c>
      <c r="AF108" s="334" t="s">
        <v>11</v>
      </c>
      <c r="AG108" s="344">
        <v>4.5</v>
      </c>
      <c r="AL108" s="343"/>
      <c r="AO108" s="344"/>
      <c r="AP108" s="343"/>
      <c r="AS108" s="344"/>
      <c r="AW108" s="344"/>
      <c r="BA108" s="345"/>
    </row>
    <row r="109" spans="1:53" s="334" customFormat="1" x14ac:dyDescent="0.15">
      <c r="A109" s="334">
        <v>2006</v>
      </c>
      <c r="C109" s="812" t="s">
        <v>379</v>
      </c>
      <c r="D109" s="812"/>
      <c r="E109" s="334">
        <v>365</v>
      </c>
      <c r="G109" s="419">
        <v>2</v>
      </c>
      <c r="H109" s="334">
        <v>8</v>
      </c>
      <c r="I109" s="334">
        <v>8</v>
      </c>
      <c r="J109" s="435">
        <v>18</v>
      </c>
      <c r="K109" s="384">
        <f t="shared" si="31"/>
        <v>11.111111111111111</v>
      </c>
      <c r="L109" s="384">
        <f t="shared" si="32"/>
        <v>44.444444444444443</v>
      </c>
      <c r="M109" s="384">
        <f t="shared" si="33"/>
        <v>44.444444444444443</v>
      </c>
      <c r="N109" s="421">
        <f t="shared" si="26"/>
        <v>100</v>
      </c>
      <c r="O109" s="383">
        <v>4.5</v>
      </c>
      <c r="P109" s="384">
        <v>27.5</v>
      </c>
      <c r="Q109" s="384">
        <v>26.5</v>
      </c>
      <c r="R109" s="385">
        <f t="shared" si="27"/>
        <v>58.5</v>
      </c>
      <c r="S109" s="388">
        <v>3</v>
      </c>
      <c r="T109" s="342"/>
      <c r="U109" s="355"/>
      <c r="V109" s="343" t="s">
        <v>108</v>
      </c>
      <c r="W109" s="334" t="s">
        <v>75</v>
      </c>
      <c r="X109" s="334" t="s">
        <v>18</v>
      </c>
      <c r="Y109" s="344">
        <v>27.5</v>
      </c>
      <c r="Z109" s="334" t="s">
        <v>112</v>
      </c>
      <c r="AA109" s="334" t="s">
        <v>20</v>
      </c>
      <c r="AB109" s="334" t="s">
        <v>12</v>
      </c>
      <c r="AC109" s="334">
        <v>26.5</v>
      </c>
      <c r="AD109" s="343" t="s">
        <v>110</v>
      </c>
      <c r="AE109" s="334" t="s">
        <v>90</v>
      </c>
      <c r="AF109" s="334" t="s">
        <v>11</v>
      </c>
      <c r="AG109" s="344">
        <v>4.5</v>
      </c>
      <c r="AL109" s="343"/>
      <c r="AO109" s="344"/>
      <c r="AP109" s="343"/>
      <c r="AS109" s="344"/>
      <c r="AW109" s="344"/>
      <c r="BA109" s="345"/>
    </row>
    <row r="110" spans="1:53" s="334" customFormat="1" x14ac:dyDescent="0.15">
      <c r="A110" s="334">
        <v>2007</v>
      </c>
      <c r="C110" s="812" t="s">
        <v>379</v>
      </c>
      <c r="D110" s="812"/>
      <c r="E110" s="334">
        <v>108</v>
      </c>
      <c r="G110" s="419">
        <v>2</v>
      </c>
      <c r="H110" s="334">
        <v>8</v>
      </c>
      <c r="I110" s="334">
        <v>8</v>
      </c>
      <c r="J110" s="435">
        <v>18</v>
      </c>
      <c r="K110" s="384">
        <f t="shared" si="31"/>
        <v>11.111111111111111</v>
      </c>
      <c r="L110" s="384">
        <f t="shared" si="32"/>
        <v>44.444444444444443</v>
      </c>
      <c r="M110" s="384">
        <f t="shared" si="33"/>
        <v>44.444444444444443</v>
      </c>
      <c r="N110" s="421">
        <f t="shared" si="26"/>
        <v>100</v>
      </c>
      <c r="O110" s="383">
        <v>4.5</v>
      </c>
      <c r="P110" s="384">
        <v>27.5</v>
      </c>
      <c r="Q110" s="384">
        <v>26.5</v>
      </c>
      <c r="R110" s="385">
        <f t="shared" si="27"/>
        <v>58.5</v>
      </c>
      <c r="S110" s="388">
        <v>3</v>
      </c>
      <c r="T110" s="342"/>
      <c r="U110" s="355"/>
      <c r="V110" s="343" t="s">
        <v>108</v>
      </c>
      <c r="W110" s="334" t="s">
        <v>75</v>
      </c>
      <c r="X110" s="334" t="s">
        <v>18</v>
      </c>
      <c r="Y110" s="344">
        <v>27.5</v>
      </c>
      <c r="Z110" s="334" t="s">
        <v>112</v>
      </c>
      <c r="AA110" s="334" t="s">
        <v>20</v>
      </c>
      <c r="AB110" s="334" t="s">
        <v>12</v>
      </c>
      <c r="AC110" s="334">
        <v>26.5</v>
      </c>
      <c r="AD110" s="343" t="s">
        <v>110</v>
      </c>
      <c r="AE110" s="334" t="s">
        <v>90</v>
      </c>
      <c r="AF110" s="334" t="s">
        <v>11</v>
      </c>
      <c r="AG110" s="344">
        <v>4.5</v>
      </c>
      <c r="AL110" s="343"/>
      <c r="AO110" s="344"/>
      <c r="AP110" s="343"/>
      <c r="AS110" s="344"/>
      <c r="AW110" s="344"/>
      <c r="BA110" s="345"/>
    </row>
    <row r="111" spans="1:53" s="73" customFormat="1" x14ac:dyDescent="0.15">
      <c r="A111" s="73">
        <v>2007</v>
      </c>
      <c r="B111" s="85">
        <v>39191</v>
      </c>
      <c r="C111" s="811" t="s">
        <v>380</v>
      </c>
      <c r="D111" s="811"/>
      <c r="E111" s="73">
        <f>365-E110</f>
        <v>257</v>
      </c>
      <c r="F111" s="73">
        <v>1</v>
      </c>
      <c r="G111" s="123">
        <v>10</v>
      </c>
      <c r="H111" s="73">
        <v>8</v>
      </c>
      <c r="I111" s="73">
        <v>2</v>
      </c>
      <c r="J111" s="134">
        <v>20</v>
      </c>
      <c r="K111" s="92">
        <f t="shared" si="31"/>
        <v>50</v>
      </c>
      <c r="L111" s="92">
        <f t="shared" si="32"/>
        <v>40</v>
      </c>
      <c r="M111" s="92">
        <f t="shared" si="33"/>
        <v>10</v>
      </c>
      <c r="N111" s="125">
        <f t="shared" si="26"/>
        <v>100</v>
      </c>
      <c r="O111" s="91">
        <v>30</v>
      </c>
      <c r="P111" s="92">
        <v>25.5</v>
      </c>
      <c r="Q111" s="92">
        <v>7.5</v>
      </c>
      <c r="R111" s="93">
        <f t="shared" si="27"/>
        <v>63</v>
      </c>
      <c r="S111" s="97">
        <v>3</v>
      </c>
      <c r="T111" s="95">
        <v>39159</v>
      </c>
      <c r="U111" s="85">
        <v>39191</v>
      </c>
      <c r="V111" s="82" t="s">
        <v>108</v>
      </c>
      <c r="W111" s="73" t="s">
        <v>75</v>
      </c>
      <c r="X111" s="73" t="s">
        <v>18</v>
      </c>
      <c r="Y111" s="83">
        <v>25.5</v>
      </c>
      <c r="Z111" s="82" t="s">
        <v>109</v>
      </c>
      <c r="AA111" s="73" t="s">
        <v>74</v>
      </c>
      <c r="AB111" s="73" t="s">
        <v>11</v>
      </c>
      <c r="AC111" s="73">
        <v>25</v>
      </c>
      <c r="AD111" s="82" t="s">
        <v>110</v>
      </c>
      <c r="AE111" s="73" t="s">
        <v>90</v>
      </c>
      <c r="AF111" s="73" t="s">
        <v>11</v>
      </c>
      <c r="AG111" s="83">
        <v>5</v>
      </c>
      <c r="AH111" s="82" t="s">
        <v>375</v>
      </c>
      <c r="AI111" s="73" t="s">
        <v>221</v>
      </c>
      <c r="AJ111" s="73" t="s">
        <v>12</v>
      </c>
      <c r="AK111" s="73">
        <v>7.5</v>
      </c>
      <c r="AL111" s="82"/>
      <c r="AO111" s="83"/>
      <c r="AP111" s="82"/>
      <c r="AS111" s="83"/>
      <c r="AW111" s="83"/>
      <c r="BA111" s="84"/>
    </row>
    <row r="112" spans="1:53" s="73" customFormat="1" x14ac:dyDescent="0.15">
      <c r="A112" s="73">
        <v>2008</v>
      </c>
      <c r="C112" s="811" t="s">
        <v>380</v>
      </c>
      <c r="D112" s="811"/>
      <c r="E112" s="73">
        <v>0</v>
      </c>
      <c r="G112" s="123">
        <v>10</v>
      </c>
      <c r="H112" s="73">
        <v>8</v>
      </c>
      <c r="I112" s="73">
        <v>2</v>
      </c>
      <c r="J112" s="134">
        <v>20</v>
      </c>
      <c r="K112" s="92">
        <f t="shared" si="31"/>
        <v>50</v>
      </c>
      <c r="L112" s="92">
        <f t="shared" si="32"/>
        <v>40</v>
      </c>
      <c r="M112" s="92">
        <f t="shared" si="33"/>
        <v>10</v>
      </c>
      <c r="N112" s="125">
        <f t="shared" si="26"/>
        <v>100</v>
      </c>
      <c r="O112" s="91">
        <v>30</v>
      </c>
      <c r="P112" s="92">
        <v>25.5</v>
      </c>
      <c r="Q112" s="92">
        <v>7.5</v>
      </c>
      <c r="R112" s="93">
        <f t="shared" si="27"/>
        <v>63</v>
      </c>
      <c r="S112" s="97">
        <v>3</v>
      </c>
      <c r="T112" s="95"/>
      <c r="U112" s="85"/>
      <c r="V112" s="82" t="s">
        <v>108</v>
      </c>
      <c r="W112" s="73" t="s">
        <v>75</v>
      </c>
      <c r="X112" s="73" t="s">
        <v>18</v>
      </c>
      <c r="Y112" s="83">
        <v>25.5</v>
      </c>
      <c r="Z112" s="82" t="s">
        <v>109</v>
      </c>
      <c r="AA112" s="73" t="s">
        <v>74</v>
      </c>
      <c r="AB112" s="73" t="s">
        <v>11</v>
      </c>
      <c r="AC112" s="73">
        <v>25</v>
      </c>
      <c r="AD112" s="82" t="s">
        <v>110</v>
      </c>
      <c r="AE112" s="73" t="s">
        <v>90</v>
      </c>
      <c r="AF112" s="73" t="s">
        <v>11</v>
      </c>
      <c r="AG112" s="83">
        <v>5</v>
      </c>
      <c r="AH112" s="82" t="s">
        <v>375</v>
      </c>
      <c r="AI112" s="73" t="s">
        <v>221</v>
      </c>
      <c r="AJ112" s="73" t="s">
        <v>12</v>
      </c>
      <c r="AK112" s="73">
        <v>7.5</v>
      </c>
      <c r="AL112" s="82"/>
      <c r="AO112" s="83"/>
      <c r="AP112" s="82"/>
      <c r="AS112" s="83"/>
      <c r="AW112" s="83"/>
      <c r="BA112" s="84"/>
    </row>
    <row r="113" spans="1:53" s="73" customFormat="1" x14ac:dyDescent="0.15">
      <c r="A113" s="73">
        <v>2008</v>
      </c>
      <c r="C113" s="811" t="s">
        <v>380</v>
      </c>
      <c r="D113" s="811"/>
      <c r="E113" s="73">
        <v>366</v>
      </c>
      <c r="G113" s="123">
        <v>10</v>
      </c>
      <c r="H113" s="73">
        <v>8</v>
      </c>
      <c r="I113" s="73">
        <v>2</v>
      </c>
      <c r="J113" s="134">
        <v>20</v>
      </c>
      <c r="K113" s="92">
        <f t="shared" si="31"/>
        <v>50</v>
      </c>
      <c r="L113" s="92">
        <f t="shared" si="32"/>
        <v>40</v>
      </c>
      <c r="M113" s="92">
        <f t="shared" si="33"/>
        <v>10</v>
      </c>
      <c r="N113" s="125">
        <f t="shared" si="26"/>
        <v>100</v>
      </c>
      <c r="O113" s="91">
        <v>30</v>
      </c>
      <c r="P113" s="92">
        <v>25.5</v>
      </c>
      <c r="Q113" s="92">
        <v>7.5</v>
      </c>
      <c r="R113" s="93">
        <f t="shared" si="27"/>
        <v>63</v>
      </c>
      <c r="S113" s="97">
        <v>3</v>
      </c>
      <c r="T113" s="95"/>
      <c r="U113" s="85"/>
      <c r="V113" s="82" t="s">
        <v>108</v>
      </c>
      <c r="W113" s="73" t="s">
        <v>75</v>
      </c>
      <c r="X113" s="73" t="s">
        <v>18</v>
      </c>
      <c r="Y113" s="83">
        <v>25.5</v>
      </c>
      <c r="Z113" s="82" t="s">
        <v>109</v>
      </c>
      <c r="AA113" s="73" t="s">
        <v>74</v>
      </c>
      <c r="AB113" s="73" t="s">
        <v>11</v>
      </c>
      <c r="AC113" s="73">
        <v>25</v>
      </c>
      <c r="AD113" s="82" t="s">
        <v>110</v>
      </c>
      <c r="AE113" s="73" t="s">
        <v>90</v>
      </c>
      <c r="AF113" s="73" t="s">
        <v>11</v>
      </c>
      <c r="AG113" s="83">
        <v>5</v>
      </c>
      <c r="AH113" s="82" t="s">
        <v>375</v>
      </c>
      <c r="AI113" s="73" t="s">
        <v>221</v>
      </c>
      <c r="AJ113" s="73" t="s">
        <v>12</v>
      </c>
      <c r="AK113" s="73">
        <v>7.5</v>
      </c>
      <c r="AL113" s="82"/>
      <c r="AO113" s="83"/>
      <c r="AP113" s="82"/>
      <c r="AS113" s="83"/>
      <c r="AW113" s="83"/>
      <c r="BA113" s="84"/>
    </row>
    <row r="114" spans="1:53" s="73" customFormat="1" x14ac:dyDescent="0.15">
      <c r="A114" s="73">
        <v>2009</v>
      </c>
      <c r="C114" s="811" t="s">
        <v>380</v>
      </c>
      <c r="D114" s="811"/>
      <c r="E114" s="73">
        <v>0</v>
      </c>
      <c r="G114" s="123">
        <v>10</v>
      </c>
      <c r="H114" s="73">
        <v>8</v>
      </c>
      <c r="I114" s="73">
        <v>2</v>
      </c>
      <c r="J114" s="134">
        <v>20</v>
      </c>
      <c r="K114" s="92">
        <f t="shared" si="31"/>
        <v>50</v>
      </c>
      <c r="L114" s="92">
        <f t="shared" si="32"/>
        <v>40</v>
      </c>
      <c r="M114" s="92">
        <f t="shared" si="33"/>
        <v>10</v>
      </c>
      <c r="N114" s="125">
        <f t="shared" si="26"/>
        <v>100</v>
      </c>
      <c r="O114" s="91">
        <v>30</v>
      </c>
      <c r="P114" s="92">
        <v>25.5</v>
      </c>
      <c r="Q114" s="92">
        <v>7.5</v>
      </c>
      <c r="R114" s="93">
        <f t="shared" si="27"/>
        <v>63</v>
      </c>
      <c r="S114" s="97">
        <v>3</v>
      </c>
      <c r="T114" s="95"/>
      <c r="U114" s="85"/>
      <c r="V114" s="82" t="s">
        <v>108</v>
      </c>
      <c r="W114" s="73" t="s">
        <v>75</v>
      </c>
      <c r="X114" s="73" t="s">
        <v>18</v>
      </c>
      <c r="Y114" s="83">
        <v>25.5</v>
      </c>
      <c r="Z114" s="82" t="s">
        <v>109</v>
      </c>
      <c r="AA114" s="73" t="s">
        <v>74</v>
      </c>
      <c r="AB114" s="73" t="s">
        <v>11</v>
      </c>
      <c r="AC114" s="73">
        <v>25</v>
      </c>
      <c r="AD114" s="82" t="s">
        <v>110</v>
      </c>
      <c r="AE114" s="73" t="s">
        <v>90</v>
      </c>
      <c r="AF114" s="73" t="s">
        <v>11</v>
      </c>
      <c r="AG114" s="83">
        <v>5</v>
      </c>
      <c r="AH114" s="82" t="s">
        <v>375</v>
      </c>
      <c r="AI114" s="73" t="s">
        <v>221</v>
      </c>
      <c r="AJ114" s="73" t="s">
        <v>12</v>
      </c>
      <c r="AK114" s="73">
        <v>7.5</v>
      </c>
      <c r="AL114" s="82"/>
      <c r="AO114" s="83"/>
      <c r="AP114" s="82"/>
      <c r="AS114" s="83"/>
      <c r="AW114" s="83"/>
      <c r="BA114" s="84"/>
    </row>
    <row r="115" spans="1:53" s="73" customFormat="1" x14ac:dyDescent="0.15">
      <c r="A115" s="73">
        <v>2009</v>
      </c>
      <c r="C115" s="811" t="s">
        <v>380</v>
      </c>
      <c r="D115" s="811"/>
      <c r="E115" s="73">
        <v>365</v>
      </c>
      <c r="G115" s="123">
        <v>10</v>
      </c>
      <c r="H115" s="73">
        <v>8</v>
      </c>
      <c r="I115" s="73">
        <v>2</v>
      </c>
      <c r="J115" s="134">
        <v>20</v>
      </c>
      <c r="K115" s="92">
        <f t="shared" si="31"/>
        <v>50</v>
      </c>
      <c r="L115" s="92">
        <f t="shared" si="32"/>
        <v>40</v>
      </c>
      <c r="M115" s="92">
        <f t="shared" si="33"/>
        <v>10</v>
      </c>
      <c r="N115" s="125">
        <f t="shared" si="26"/>
        <v>100</v>
      </c>
      <c r="O115" s="91">
        <v>30</v>
      </c>
      <c r="P115" s="92">
        <v>25.5</v>
      </c>
      <c r="Q115" s="92">
        <v>7.5</v>
      </c>
      <c r="R115" s="93">
        <f t="shared" si="27"/>
        <v>63</v>
      </c>
      <c r="S115" s="97">
        <v>3</v>
      </c>
      <c r="T115" s="95"/>
      <c r="U115" s="85"/>
      <c r="V115" s="82" t="s">
        <v>108</v>
      </c>
      <c r="W115" s="73" t="s">
        <v>75</v>
      </c>
      <c r="X115" s="73" t="s">
        <v>18</v>
      </c>
      <c r="Y115" s="83">
        <v>25.5</v>
      </c>
      <c r="Z115" s="82" t="s">
        <v>109</v>
      </c>
      <c r="AA115" s="73" t="s">
        <v>74</v>
      </c>
      <c r="AB115" s="73" t="s">
        <v>11</v>
      </c>
      <c r="AC115" s="73">
        <v>25</v>
      </c>
      <c r="AD115" s="82" t="s">
        <v>110</v>
      </c>
      <c r="AE115" s="73" t="s">
        <v>90</v>
      </c>
      <c r="AF115" s="73" t="s">
        <v>11</v>
      </c>
      <c r="AG115" s="83">
        <v>5</v>
      </c>
      <c r="AH115" s="82" t="s">
        <v>375</v>
      </c>
      <c r="AI115" s="73" t="s">
        <v>221</v>
      </c>
      <c r="AJ115" s="73" t="s">
        <v>12</v>
      </c>
      <c r="AK115" s="73">
        <v>7.5</v>
      </c>
      <c r="AL115" s="82"/>
      <c r="AO115" s="83"/>
      <c r="AP115" s="82"/>
      <c r="AS115" s="83"/>
      <c r="AW115" s="83"/>
      <c r="BA115" s="84"/>
    </row>
    <row r="116" spans="1:53" s="73" customFormat="1" x14ac:dyDescent="0.15">
      <c r="A116" s="73">
        <v>2010</v>
      </c>
      <c r="C116" s="811" t="s">
        <v>380</v>
      </c>
      <c r="D116" s="811"/>
      <c r="E116" s="73">
        <v>172</v>
      </c>
      <c r="G116" s="123">
        <v>10</v>
      </c>
      <c r="H116" s="73">
        <v>8</v>
      </c>
      <c r="I116" s="73">
        <v>2</v>
      </c>
      <c r="J116" s="134">
        <v>20</v>
      </c>
      <c r="K116" s="92">
        <f t="shared" si="31"/>
        <v>50</v>
      </c>
      <c r="L116" s="92">
        <f t="shared" si="32"/>
        <v>40</v>
      </c>
      <c r="M116" s="92">
        <f t="shared" si="33"/>
        <v>10</v>
      </c>
      <c r="N116" s="125">
        <f t="shared" si="26"/>
        <v>100</v>
      </c>
      <c r="O116" s="91">
        <v>30</v>
      </c>
      <c r="P116" s="92">
        <v>25.5</v>
      </c>
      <c r="Q116" s="92">
        <v>7.5</v>
      </c>
      <c r="R116" s="93">
        <f t="shared" si="27"/>
        <v>63</v>
      </c>
      <c r="S116" s="97">
        <v>3</v>
      </c>
      <c r="T116" s="95"/>
      <c r="U116" s="85"/>
      <c r="V116" s="82" t="s">
        <v>108</v>
      </c>
      <c r="W116" s="73" t="s">
        <v>75</v>
      </c>
      <c r="X116" s="73" t="s">
        <v>18</v>
      </c>
      <c r="Y116" s="83">
        <v>25.5</v>
      </c>
      <c r="Z116" s="82" t="s">
        <v>109</v>
      </c>
      <c r="AA116" s="73" t="s">
        <v>74</v>
      </c>
      <c r="AB116" s="73" t="s">
        <v>11</v>
      </c>
      <c r="AC116" s="73">
        <v>25</v>
      </c>
      <c r="AD116" s="82" t="s">
        <v>110</v>
      </c>
      <c r="AE116" s="73" t="s">
        <v>90</v>
      </c>
      <c r="AF116" s="73" t="s">
        <v>11</v>
      </c>
      <c r="AG116" s="83">
        <v>5</v>
      </c>
      <c r="AH116" s="82" t="s">
        <v>375</v>
      </c>
      <c r="AI116" s="73" t="s">
        <v>221</v>
      </c>
      <c r="AJ116" s="73" t="s">
        <v>12</v>
      </c>
      <c r="AK116" s="73">
        <v>7.5</v>
      </c>
      <c r="AL116" s="82"/>
      <c r="AO116" s="83"/>
      <c r="AP116" s="82"/>
      <c r="AS116" s="83"/>
      <c r="AW116" s="83"/>
      <c r="BA116" s="84"/>
    </row>
    <row r="117" spans="1:53" s="334" customFormat="1" x14ac:dyDescent="0.15">
      <c r="A117" s="334">
        <v>2010</v>
      </c>
      <c r="B117" s="355">
        <v>40351</v>
      </c>
      <c r="C117" s="812" t="s">
        <v>381</v>
      </c>
      <c r="D117" s="812"/>
      <c r="E117" s="334">
        <f>365-E116</f>
        <v>193</v>
      </c>
      <c r="F117" s="334">
        <v>2</v>
      </c>
      <c r="G117" s="419">
        <v>10</v>
      </c>
      <c r="H117" s="334">
        <v>8</v>
      </c>
      <c r="I117" s="334">
        <v>2</v>
      </c>
      <c r="J117" s="435">
        <v>20</v>
      </c>
      <c r="K117" s="384">
        <f t="shared" si="31"/>
        <v>50</v>
      </c>
      <c r="L117" s="384">
        <f t="shared" si="32"/>
        <v>40</v>
      </c>
      <c r="M117" s="384">
        <f t="shared" si="33"/>
        <v>10</v>
      </c>
      <c r="N117" s="421">
        <f t="shared" si="26"/>
        <v>100</v>
      </c>
      <c r="O117" s="383">
        <v>30</v>
      </c>
      <c r="P117" s="384">
        <v>25.5</v>
      </c>
      <c r="Q117" s="384">
        <v>7.5</v>
      </c>
      <c r="R117" s="385">
        <f t="shared" si="27"/>
        <v>63</v>
      </c>
      <c r="S117" s="388">
        <v>3</v>
      </c>
      <c r="T117" s="342"/>
      <c r="U117" s="355">
        <v>40351</v>
      </c>
      <c r="V117" s="343" t="s">
        <v>108</v>
      </c>
      <c r="W117" s="334" t="s">
        <v>75</v>
      </c>
      <c r="X117" s="334" t="s">
        <v>18</v>
      </c>
      <c r="Y117" s="344">
        <v>25.5</v>
      </c>
      <c r="Z117" s="343" t="s">
        <v>109</v>
      </c>
      <c r="AA117" s="334" t="s">
        <v>74</v>
      </c>
      <c r="AB117" s="334" t="s">
        <v>11</v>
      </c>
      <c r="AC117" s="334">
        <v>25</v>
      </c>
      <c r="AD117" s="343" t="s">
        <v>110</v>
      </c>
      <c r="AE117" s="334" t="s">
        <v>90</v>
      </c>
      <c r="AF117" s="334" t="s">
        <v>11</v>
      </c>
      <c r="AG117" s="344">
        <v>5</v>
      </c>
      <c r="AH117" s="343" t="s">
        <v>375</v>
      </c>
      <c r="AI117" s="334" t="s">
        <v>221</v>
      </c>
      <c r="AJ117" s="334" t="s">
        <v>12</v>
      </c>
      <c r="AK117" s="334">
        <v>7.5</v>
      </c>
      <c r="AL117" s="343"/>
      <c r="AO117" s="344"/>
      <c r="AP117" s="343"/>
      <c r="AS117" s="344"/>
      <c r="AW117" s="344"/>
      <c r="BA117" s="345"/>
    </row>
    <row r="118" spans="1:53" s="334" customFormat="1" x14ac:dyDescent="0.15">
      <c r="A118" s="334">
        <v>2011</v>
      </c>
      <c r="C118" s="812" t="s">
        <v>381</v>
      </c>
      <c r="D118" s="812"/>
      <c r="E118" s="334">
        <v>172</v>
      </c>
      <c r="G118" s="419">
        <v>10</v>
      </c>
      <c r="H118" s="334">
        <v>8</v>
      </c>
      <c r="I118" s="334">
        <v>2</v>
      </c>
      <c r="J118" s="435">
        <v>20</v>
      </c>
      <c r="K118" s="384">
        <f t="shared" ref="K118:K123" si="34">G118/J118*100</f>
        <v>50</v>
      </c>
      <c r="L118" s="384">
        <f t="shared" ref="L118:L123" si="35">H118/J118*100</f>
        <v>40</v>
      </c>
      <c r="M118" s="384">
        <f t="shared" ref="M118:M123" si="36">I118/J118*100</f>
        <v>10</v>
      </c>
      <c r="N118" s="421">
        <f t="shared" si="26"/>
        <v>100</v>
      </c>
      <c r="O118" s="383">
        <v>30</v>
      </c>
      <c r="P118" s="384">
        <v>25.5</v>
      </c>
      <c r="Q118" s="384">
        <v>7.5</v>
      </c>
      <c r="R118" s="385">
        <f t="shared" si="27"/>
        <v>63</v>
      </c>
      <c r="S118" s="388">
        <v>3</v>
      </c>
      <c r="T118" s="342"/>
      <c r="U118" s="355"/>
      <c r="V118" s="343" t="s">
        <v>108</v>
      </c>
      <c r="W118" s="334" t="s">
        <v>75</v>
      </c>
      <c r="X118" s="334" t="s">
        <v>18</v>
      </c>
      <c r="Y118" s="344">
        <v>25.5</v>
      </c>
      <c r="Z118" s="343" t="s">
        <v>109</v>
      </c>
      <c r="AA118" s="334" t="s">
        <v>74</v>
      </c>
      <c r="AB118" s="334" t="s">
        <v>11</v>
      </c>
      <c r="AC118" s="334">
        <v>25</v>
      </c>
      <c r="AD118" s="343" t="s">
        <v>110</v>
      </c>
      <c r="AE118" s="334" t="s">
        <v>90</v>
      </c>
      <c r="AF118" s="334" t="s">
        <v>11</v>
      </c>
      <c r="AG118" s="344">
        <v>5</v>
      </c>
      <c r="AH118" s="343" t="s">
        <v>375</v>
      </c>
      <c r="AI118" s="334" t="s">
        <v>221</v>
      </c>
      <c r="AJ118" s="334" t="s">
        <v>12</v>
      </c>
      <c r="AK118" s="334">
        <v>7.5</v>
      </c>
      <c r="AL118" s="343"/>
      <c r="AO118" s="344"/>
      <c r="AP118" s="343"/>
      <c r="AS118" s="344"/>
      <c r="AW118" s="344"/>
      <c r="BA118" s="345"/>
    </row>
    <row r="119" spans="1:53" s="73" customFormat="1" x14ac:dyDescent="0.15">
      <c r="A119" s="73">
        <v>2011</v>
      </c>
      <c r="B119" s="85">
        <v>40716</v>
      </c>
      <c r="C119" s="811" t="s">
        <v>382</v>
      </c>
      <c r="D119" s="811"/>
      <c r="E119" s="73">
        <v>193</v>
      </c>
      <c r="F119" s="73">
        <v>1</v>
      </c>
      <c r="G119" s="123">
        <v>8</v>
      </c>
      <c r="H119" s="73">
        <v>1</v>
      </c>
      <c r="I119" s="73">
        <v>10</v>
      </c>
      <c r="J119" s="134">
        <v>19</v>
      </c>
      <c r="K119" s="92">
        <f t="shared" si="34"/>
        <v>42.105263157894733</v>
      </c>
      <c r="L119" s="92">
        <f t="shared" si="35"/>
        <v>5.2631578947368416</v>
      </c>
      <c r="M119" s="92">
        <f t="shared" si="36"/>
        <v>52.631578947368418</v>
      </c>
      <c r="N119" s="125">
        <f t="shared" si="26"/>
        <v>100</v>
      </c>
      <c r="O119" s="91">
        <v>27</v>
      </c>
      <c r="P119" s="92">
        <v>3</v>
      </c>
      <c r="Q119" s="92">
        <v>33</v>
      </c>
      <c r="R119" s="93">
        <f t="shared" si="27"/>
        <v>63</v>
      </c>
      <c r="S119" s="97">
        <v>3</v>
      </c>
      <c r="T119" s="95">
        <v>40650</v>
      </c>
      <c r="U119" s="85">
        <v>40716</v>
      </c>
      <c r="V119" s="82" t="s">
        <v>109</v>
      </c>
      <c r="W119" s="73" t="s">
        <v>74</v>
      </c>
      <c r="X119" s="73" t="s">
        <v>11</v>
      </c>
      <c r="Y119" s="83">
        <v>22</v>
      </c>
      <c r="Z119" s="73" t="s">
        <v>112</v>
      </c>
      <c r="AA119" s="73" t="s">
        <v>20</v>
      </c>
      <c r="AB119" s="73" t="s">
        <v>12</v>
      </c>
      <c r="AC119" s="73">
        <v>21</v>
      </c>
      <c r="AD119" s="82" t="s">
        <v>110</v>
      </c>
      <c r="AE119" s="73" t="s">
        <v>90</v>
      </c>
      <c r="AF119" s="73" t="s">
        <v>11</v>
      </c>
      <c r="AG119" s="83">
        <v>5</v>
      </c>
      <c r="AH119" s="82" t="s">
        <v>375</v>
      </c>
      <c r="AI119" s="73" t="s">
        <v>221</v>
      </c>
      <c r="AJ119" s="73" t="s">
        <v>12</v>
      </c>
      <c r="AK119" s="73">
        <v>5</v>
      </c>
      <c r="AL119" s="82" t="s">
        <v>374</v>
      </c>
      <c r="AM119" s="73" t="s">
        <v>196</v>
      </c>
      <c r="AN119" s="73" t="s">
        <v>12</v>
      </c>
      <c r="AO119" s="83">
        <v>7</v>
      </c>
      <c r="AP119" s="82" t="s">
        <v>383</v>
      </c>
      <c r="AQ119" s="73" t="s">
        <v>17</v>
      </c>
      <c r="AR119" s="73" t="s">
        <v>18</v>
      </c>
      <c r="AS119" s="83">
        <v>3</v>
      </c>
      <c r="AW119" s="83"/>
      <c r="BA119" s="84"/>
    </row>
    <row r="120" spans="1:53" s="73" customFormat="1" x14ac:dyDescent="0.15">
      <c r="A120" s="73">
        <v>2012</v>
      </c>
      <c r="C120" s="811" t="s">
        <v>382</v>
      </c>
      <c r="D120" s="811"/>
      <c r="E120" s="73">
        <v>0</v>
      </c>
      <c r="G120" s="123">
        <v>8</v>
      </c>
      <c r="H120" s="73">
        <v>1</v>
      </c>
      <c r="I120" s="73">
        <v>10</v>
      </c>
      <c r="J120" s="134">
        <v>19</v>
      </c>
      <c r="K120" s="92">
        <f t="shared" si="34"/>
        <v>42.105263157894733</v>
      </c>
      <c r="L120" s="92">
        <f t="shared" si="35"/>
        <v>5.2631578947368416</v>
      </c>
      <c r="M120" s="92">
        <f t="shared" si="36"/>
        <v>52.631578947368418</v>
      </c>
      <c r="N120" s="125">
        <f t="shared" si="26"/>
        <v>100</v>
      </c>
      <c r="O120" s="91">
        <v>27</v>
      </c>
      <c r="P120" s="92">
        <v>3</v>
      </c>
      <c r="Q120" s="92">
        <v>33</v>
      </c>
      <c r="R120" s="93">
        <f t="shared" si="27"/>
        <v>63</v>
      </c>
      <c r="S120" s="97">
        <v>3</v>
      </c>
      <c r="T120" s="95"/>
      <c r="U120" s="85"/>
      <c r="V120" s="82" t="s">
        <v>109</v>
      </c>
      <c r="W120" s="73" t="s">
        <v>74</v>
      </c>
      <c r="X120" s="73" t="s">
        <v>11</v>
      </c>
      <c r="Y120" s="83">
        <v>22</v>
      </c>
      <c r="Z120" s="73" t="s">
        <v>112</v>
      </c>
      <c r="AA120" s="73" t="s">
        <v>20</v>
      </c>
      <c r="AB120" s="73" t="s">
        <v>12</v>
      </c>
      <c r="AC120" s="73">
        <v>21</v>
      </c>
      <c r="AD120" s="82" t="s">
        <v>110</v>
      </c>
      <c r="AE120" s="73" t="s">
        <v>90</v>
      </c>
      <c r="AF120" s="73" t="s">
        <v>11</v>
      </c>
      <c r="AG120" s="83">
        <v>5</v>
      </c>
      <c r="AH120" s="82" t="s">
        <v>375</v>
      </c>
      <c r="AI120" s="73" t="s">
        <v>221</v>
      </c>
      <c r="AJ120" s="73" t="s">
        <v>12</v>
      </c>
      <c r="AK120" s="73">
        <v>5</v>
      </c>
      <c r="AL120" s="82" t="s">
        <v>374</v>
      </c>
      <c r="AM120" s="73" t="s">
        <v>196</v>
      </c>
      <c r="AN120" s="73" t="s">
        <v>12</v>
      </c>
      <c r="AO120" s="83">
        <v>7</v>
      </c>
      <c r="AP120" s="82" t="s">
        <v>383</v>
      </c>
      <c r="AQ120" s="73" t="s">
        <v>17</v>
      </c>
      <c r="AR120" s="73" t="s">
        <v>18</v>
      </c>
      <c r="AS120" s="83">
        <v>3</v>
      </c>
      <c r="AW120" s="83"/>
      <c r="BA120" s="84"/>
    </row>
    <row r="121" spans="1:53" s="73" customFormat="1" x14ac:dyDescent="0.15">
      <c r="A121" s="73">
        <v>2012</v>
      </c>
      <c r="C121" s="811" t="s">
        <v>382</v>
      </c>
      <c r="D121" s="811"/>
      <c r="E121" s="73">
        <v>366</v>
      </c>
      <c r="G121" s="123">
        <v>8</v>
      </c>
      <c r="H121" s="73">
        <v>1</v>
      </c>
      <c r="I121" s="73">
        <v>10</v>
      </c>
      <c r="J121" s="134">
        <v>19</v>
      </c>
      <c r="K121" s="92">
        <f t="shared" si="34"/>
        <v>42.105263157894733</v>
      </c>
      <c r="L121" s="92">
        <f t="shared" si="35"/>
        <v>5.2631578947368416</v>
      </c>
      <c r="M121" s="92">
        <f t="shared" si="36"/>
        <v>52.631578947368418</v>
      </c>
      <c r="N121" s="125">
        <f t="shared" si="26"/>
        <v>100</v>
      </c>
      <c r="O121" s="91">
        <v>27</v>
      </c>
      <c r="P121" s="92">
        <v>3</v>
      </c>
      <c r="Q121" s="92">
        <v>33</v>
      </c>
      <c r="R121" s="93">
        <f t="shared" si="27"/>
        <v>63</v>
      </c>
      <c r="S121" s="97">
        <v>3</v>
      </c>
      <c r="T121" s="95"/>
      <c r="U121" s="85"/>
      <c r="V121" s="82" t="s">
        <v>109</v>
      </c>
      <c r="W121" s="73" t="s">
        <v>74</v>
      </c>
      <c r="X121" s="73" t="s">
        <v>11</v>
      </c>
      <c r="Y121" s="83">
        <v>22</v>
      </c>
      <c r="Z121" s="73" t="s">
        <v>112</v>
      </c>
      <c r="AA121" s="73" t="s">
        <v>20</v>
      </c>
      <c r="AB121" s="73" t="s">
        <v>12</v>
      </c>
      <c r="AC121" s="73">
        <v>21</v>
      </c>
      <c r="AD121" s="82" t="s">
        <v>110</v>
      </c>
      <c r="AE121" s="73" t="s">
        <v>90</v>
      </c>
      <c r="AF121" s="73" t="s">
        <v>11</v>
      </c>
      <c r="AG121" s="83">
        <v>5</v>
      </c>
      <c r="AH121" s="82" t="s">
        <v>375</v>
      </c>
      <c r="AI121" s="73" t="s">
        <v>221</v>
      </c>
      <c r="AJ121" s="73" t="s">
        <v>12</v>
      </c>
      <c r="AK121" s="73">
        <v>5</v>
      </c>
      <c r="AL121" s="82" t="s">
        <v>374</v>
      </c>
      <c r="AM121" s="73" t="s">
        <v>196</v>
      </c>
      <c r="AN121" s="73" t="s">
        <v>12</v>
      </c>
      <c r="AO121" s="83">
        <v>7</v>
      </c>
      <c r="AP121" s="82" t="s">
        <v>383</v>
      </c>
      <c r="AQ121" s="73" t="s">
        <v>17</v>
      </c>
      <c r="AR121" s="73" t="s">
        <v>18</v>
      </c>
      <c r="AS121" s="83">
        <v>3</v>
      </c>
      <c r="AW121" s="83"/>
      <c r="BA121" s="84"/>
    </row>
    <row r="122" spans="1:53" s="297" customFormat="1" x14ac:dyDescent="0.15">
      <c r="A122" s="297">
        <v>2013</v>
      </c>
      <c r="C122" s="811" t="s">
        <v>382</v>
      </c>
      <c r="D122" s="811"/>
      <c r="E122" s="297">
        <v>0</v>
      </c>
      <c r="G122" s="123">
        <v>8</v>
      </c>
      <c r="H122" s="297">
        <v>1</v>
      </c>
      <c r="I122" s="297">
        <v>10</v>
      </c>
      <c r="J122" s="134">
        <v>19</v>
      </c>
      <c r="K122" s="92">
        <f t="shared" si="34"/>
        <v>42.105263157894733</v>
      </c>
      <c r="L122" s="92">
        <f t="shared" si="35"/>
        <v>5.2631578947368416</v>
      </c>
      <c r="M122" s="92">
        <f t="shared" si="36"/>
        <v>52.631578947368418</v>
      </c>
      <c r="N122" s="125">
        <f t="shared" si="26"/>
        <v>100</v>
      </c>
      <c r="O122" s="91">
        <v>27</v>
      </c>
      <c r="P122" s="92">
        <v>3</v>
      </c>
      <c r="Q122" s="92">
        <v>33</v>
      </c>
      <c r="R122" s="93">
        <f t="shared" ref="R122:R127" si="37">SUM(O122:Q122)</f>
        <v>63</v>
      </c>
      <c r="S122" s="97">
        <v>3</v>
      </c>
      <c r="T122" s="95"/>
      <c r="U122" s="295"/>
      <c r="V122" s="82" t="s">
        <v>109</v>
      </c>
      <c r="W122" s="297" t="s">
        <v>74</v>
      </c>
      <c r="X122" s="297" t="s">
        <v>11</v>
      </c>
      <c r="Y122" s="83">
        <v>22</v>
      </c>
      <c r="Z122" s="297" t="s">
        <v>112</v>
      </c>
      <c r="AA122" s="297" t="s">
        <v>20</v>
      </c>
      <c r="AB122" s="297" t="s">
        <v>12</v>
      </c>
      <c r="AC122" s="297">
        <v>21</v>
      </c>
      <c r="AD122" s="82" t="s">
        <v>110</v>
      </c>
      <c r="AE122" s="297" t="s">
        <v>90</v>
      </c>
      <c r="AF122" s="297" t="s">
        <v>11</v>
      </c>
      <c r="AG122" s="83">
        <v>5</v>
      </c>
      <c r="AH122" s="82" t="s">
        <v>375</v>
      </c>
      <c r="AI122" s="297" t="s">
        <v>221</v>
      </c>
      <c r="AJ122" s="297" t="s">
        <v>12</v>
      </c>
      <c r="AK122" s="297">
        <v>5</v>
      </c>
      <c r="AL122" s="82" t="s">
        <v>374</v>
      </c>
      <c r="AM122" s="297" t="s">
        <v>196</v>
      </c>
      <c r="AN122" s="297" t="s">
        <v>12</v>
      </c>
      <c r="AO122" s="83">
        <v>7</v>
      </c>
      <c r="AP122" s="82" t="s">
        <v>383</v>
      </c>
      <c r="AQ122" s="297" t="s">
        <v>17</v>
      </c>
      <c r="AR122" s="297" t="s">
        <v>18</v>
      </c>
      <c r="AS122" s="83">
        <v>3</v>
      </c>
      <c r="AW122" s="83"/>
      <c r="BA122" s="84"/>
    </row>
    <row r="123" spans="1:53" s="531" customFormat="1" x14ac:dyDescent="0.15">
      <c r="A123" s="531">
        <v>2013</v>
      </c>
      <c r="B123" s="528"/>
      <c r="C123" s="811" t="s">
        <v>382</v>
      </c>
      <c r="D123" s="811"/>
      <c r="E123" s="531">
        <v>365</v>
      </c>
      <c r="G123" s="480">
        <v>8</v>
      </c>
      <c r="H123" s="531">
        <v>1</v>
      </c>
      <c r="I123" s="531">
        <v>10</v>
      </c>
      <c r="J123" s="482">
        <v>19</v>
      </c>
      <c r="K123" s="477">
        <f t="shared" si="34"/>
        <v>42.105263157894733</v>
      </c>
      <c r="L123" s="477">
        <f t="shared" si="35"/>
        <v>5.2631578947368416</v>
      </c>
      <c r="M123" s="477">
        <f t="shared" si="36"/>
        <v>52.631578947368418</v>
      </c>
      <c r="N123" s="481">
        <f t="shared" si="26"/>
        <v>100</v>
      </c>
      <c r="O123" s="476">
        <v>27</v>
      </c>
      <c r="P123" s="477">
        <v>3</v>
      </c>
      <c r="Q123" s="477">
        <v>33</v>
      </c>
      <c r="R123" s="478">
        <f t="shared" si="37"/>
        <v>63</v>
      </c>
      <c r="S123" s="97">
        <v>3</v>
      </c>
      <c r="T123" s="479"/>
      <c r="U123" s="528"/>
      <c r="V123" s="472" t="s">
        <v>109</v>
      </c>
      <c r="W123" s="531" t="s">
        <v>74</v>
      </c>
      <c r="X123" s="531" t="s">
        <v>11</v>
      </c>
      <c r="Y123" s="473">
        <v>22</v>
      </c>
      <c r="Z123" s="531" t="s">
        <v>112</v>
      </c>
      <c r="AA123" s="531" t="s">
        <v>20</v>
      </c>
      <c r="AB123" s="531" t="s">
        <v>12</v>
      </c>
      <c r="AC123" s="531">
        <v>21</v>
      </c>
      <c r="AD123" s="472" t="s">
        <v>110</v>
      </c>
      <c r="AE123" s="531" t="s">
        <v>90</v>
      </c>
      <c r="AF123" s="531" t="s">
        <v>11</v>
      </c>
      <c r="AG123" s="473">
        <v>5</v>
      </c>
      <c r="AH123" s="531" t="s">
        <v>375</v>
      </c>
      <c r="AI123" s="531" t="s">
        <v>221</v>
      </c>
      <c r="AJ123" s="531" t="s">
        <v>12</v>
      </c>
      <c r="AK123" s="531">
        <v>5</v>
      </c>
      <c r="AL123" s="472" t="s">
        <v>374</v>
      </c>
      <c r="AM123" s="531" t="s">
        <v>196</v>
      </c>
      <c r="AN123" s="531" t="s">
        <v>12</v>
      </c>
      <c r="AO123" s="473">
        <v>7</v>
      </c>
      <c r="AP123" s="472" t="s">
        <v>383</v>
      </c>
      <c r="AQ123" s="531" t="s">
        <v>17</v>
      </c>
      <c r="AR123" s="531" t="s">
        <v>18</v>
      </c>
      <c r="AS123" s="473">
        <v>3</v>
      </c>
      <c r="AW123" s="473"/>
      <c r="BA123" s="474"/>
    </row>
    <row r="124" spans="1:53" s="531" customFormat="1" x14ac:dyDescent="0.15">
      <c r="A124" s="531">
        <v>2014</v>
      </c>
      <c r="B124" s="528"/>
      <c r="C124" s="811" t="s">
        <v>382</v>
      </c>
      <c r="D124" s="811"/>
      <c r="E124" s="531">
        <v>93</v>
      </c>
      <c r="G124" s="480">
        <v>8</v>
      </c>
      <c r="H124" s="531">
        <v>1</v>
      </c>
      <c r="I124" s="531">
        <v>10</v>
      </c>
      <c r="J124" s="482">
        <v>19</v>
      </c>
      <c r="K124" s="477">
        <f t="shared" ref="K124:K129" si="38">G124/J124*100</f>
        <v>42.105263157894733</v>
      </c>
      <c r="L124" s="477">
        <f t="shared" ref="L124:L129" si="39">H124/J124*100</f>
        <v>5.2631578947368416</v>
      </c>
      <c r="M124" s="477">
        <f t="shared" ref="M124:M129" si="40">I124/J124*100</f>
        <v>52.631578947368418</v>
      </c>
      <c r="N124" s="481">
        <f t="shared" ref="N124:N129" si="41">SUM(K124:M124)</f>
        <v>100</v>
      </c>
      <c r="O124" s="476">
        <v>27</v>
      </c>
      <c r="P124" s="477">
        <v>3</v>
      </c>
      <c r="Q124" s="477">
        <v>33</v>
      </c>
      <c r="R124" s="478">
        <f t="shared" si="37"/>
        <v>63</v>
      </c>
      <c r="S124" s="97">
        <v>3</v>
      </c>
      <c r="T124" s="479"/>
      <c r="U124" s="528"/>
      <c r="V124" s="472" t="s">
        <v>109</v>
      </c>
      <c r="W124" s="531" t="s">
        <v>74</v>
      </c>
      <c r="X124" s="531" t="s">
        <v>11</v>
      </c>
      <c r="Y124" s="473">
        <v>22</v>
      </c>
      <c r="Z124" s="531" t="s">
        <v>112</v>
      </c>
      <c r="AA124" s="531" t="s">
        <v>20</v>
      </c>
      <c r="AB124" s="531" t="s">
        <v>12</v>
      </c>
      <c r="AC124" s="531">
        <v>21</v>
      </c>
      <c r="AD124" s="472" t="s">
        <v>110</v>
      </c>
      <c r="AE124" s="531" t="s">
        <v>90</v>
      </c>
      <c r="AF124" s="531" t="s">
        <v>11</v>
      </c>
      <c r="AG124" s="473">
        <v>5</v>
      </c>
      <c r="AH124" s="531" t="s">
        <v>375</v>
      </c>
      <c r="AI124" s="531" t="s">
        <v>221</v>
      </c>
      <c r="AJ124" s="531" t="s">
        <v>12</v>
      </c>
      <c r="AK124" s="531">
        <v>5</v>
      </c>
      <c r="AL124" s="472" t="s">
        <v>374</v>
      </c>
      <c r="AM124" s="531" t="s">
        <v>196</v>
      </c>
      <c r="AN124" s="531" t="s">
        <v>12</v>
      </c>
      <c r="AO124" s="473">
        <v>7</v>
      </c>
      <c r="AP124" s="472" t="s">
        <v>383</v>
      </c>
      <c r="AQ124" s="531" t="s">
        <v>17</v>
      </c>
      <c r="AR124" s="531" t="s">
        <v>18</v>
      </c>
      <c r="AS124" s="473">
        <v>3</v>
      </c>
      <c r="AW124" s="473"/>
      <c r="BA124" s="474"/>
    </row>
    <row r="125" spans="1:53" s="531" customFormat="1" x14ac:dyDescent="0.15">
      <c r="A125" s="531">
        <v>2014</v>
      </c>
      <c r="B125" s="483">
        <v>41733</v>
      </c>
      <c r="C125" s="811" t="s">
        <v>382</v>
      </c>
      <c r="D125" s="811"/>
      <c r="E125" s="531">
        <v>81</v>
      </c>
      <c r="F125" s="484">
        <v>0</v>
      </c>
      <c r="G125" s="480">
        <v>9</v>
      </c>
      <c r="H125" s="531">
        <v>1</v>
      </c>
      <c r="I125" s="531">
        <v>9</v>
      </c>
      <c r="J125" s="482">
        <v>19</v>
      </c>
      <c r="K125" s="477">
        <f t="shared" si="38"/>
        <v>47.368421052631575</v>
      </c>
      <c r="L125" s="477">
        <f t="shared" si="39"/>
        <v>5.2631578947368416</v>
      </c>
      <c r="M125" s="477">
        <f t="shared" si="40"/>
        <v>47.368421052631575</v>
      </c>
      <c r="N125" s="481">
        <f t="shared" si="41"/>
        <v>100</v>
      </c>
      <c r="O125" s="476">
        <v>27</v>
      </c>
      <c r="P125" s="477">
        <v>3</v>
      </c>
      <c r="Q125" s="477">
        <v>26</v>
      </c>
      <c r="R125" s="478">
        <f t="shared" si="37"/>
        <v>56</v>
      </c>
      <c r="S125" s="97">
        <v>3</v>
      </c>
      <c r="T125" s="479"/>
      <c r="U125" s="528"/>
      <c r="V125" s="472" t="s">
        <v>109</v>
      </c>
      <c r="W125" s="531" t="s">
        <v>74</v>
      </c>
      <c r="X125" s="531" t="s">
        <v>11</v>
      </c>
      <c r="Y125" s="473">
        <v>22</v>
      </c>
      <c r="Z125" s="531" t="s">
        <v>112</v>
      </c>
      <c r="AA125" s="531" t="s">
        <v>20</v>
      </c>
      <c r="AB125" s="531" t="s">
        <v>12</v>
      </c>
      <c r="AC125" s="531">
        <v>21</v>
      </c>
      <c r="AD125" s="472" t="s">
        <v>110</v>
      </c>
      <c r="AE125" s="531" t="s">
        <v>90</v>
      </c>
      <c r="AF125" s="531" t="s">
        <v>11</v>
      </c>
      <c r="AG125" s="473">
        <v>5</v>
      </c>
      <c r="AH125" s="531" t="s">
        <v>375</v>
      </c>
      <c r="AI125" s="531" t="s">
        <v>221</v>
      </c>
      <c r="AJ125" s="531" t="s">
        <v>12</v>
      </c>
      <c r="AK125" s="531">
        <v>5</v>
      </c>
      <c r="AL125" s="472" t="s">
        <v>383</v>
      </c>
      <c r="AM125" s="531" t="s">
        <v>17</v>
      </c>
      <c r="AN125" s="531" t="s">
        <v>18</v>
      </c>
      <c r="AO125" s="473">
        <v>3</v>
      </c>
      <c r="AP125" s="472"/>
      <c r="AS125" s="473"/>
      <c r="AW125" s="473"/>
      <c r="BA125" s="474"/>
    </row>
    <row r="126" spans="1:53" s="532" customFormat="1" x14ac:dyDescent="0.15">
      <c r="A126" s="532">
        <v>2014</v>
      </c>
      <c r="B126" s="529">
        <v>41814</v>
      </c>
      <c r="C126" s="812" t="s">
        <v>1326</v>
      </c>
      <c r="D126" s="812"/>
      <c r="E126" s="532">
        <v>97</v>
      </c>
      <c r="F126" s="532">
        <v>2</v>
      </c>
      <c r="G126" s="497">
        <v>8</v>
      </c>
      <c r="H126" s="532">
        <v>1</v>
      </c>
      <c r="I126" s="532">
        <v>8</v>
      </c>
      <c r="J126" s="499">
        <v>17</v>
      </c>
      <c r="K126" s="495">
        <f t="shared" si="38"/>
        <v>47.058823529411761</v>
      </c>
      <c r="L126" s="495">
        <f t="shared" si="39"/>
        <v>5.8823529411764701</v>
      </c>
      <c r="M126" s="495">
        <f t="shared" si="40"/>
        <v>47.058823529411761</v>
      </c>
      <c r="N126" s="498">
        <f t="shared" si="41"/>
        <v>100</v>
      </c>
      <c r="O126" s="494">
        <v>27</v>
      </c>
      <c r="P126" s="495">
        <v>3</v>
      </c>
      <c r="Q126" s="495">
        <v>26</v>
      </c>
      <c r="R126" s="496">
        <f t="shared" si="37"/>
        <v>56</v>
      </c>
      <c r="S126" s="388">
        <v>3</v>
      </c>
      <c r="T126" s="487"/>
      <c r="U126" s="529">
        <v>41814</v>
      </c>
      <c r="V126" s="488" t="s">
        <v>109</v>
      </c>
      <c r="W126" s="532" t="s">
        <v>74</v>
      </c>
      <c r="X126" s="532" t="s">
        <v>11</v>
      </c>
      <c r="Y126" s="489">
        <v>22</v>
      </c>
      <c r="Z126" s="488" t="s">
        <v>112</v>
      </c>
      <c r="AA126" s="532" t="s">
        <v>20</v>
      </c>
      <c r="AB126" s="532" t="s">
        <v>12</v>
      </c>
      <c r="AC126" s="532">
        <v>21</v>
      </c>
      <c r="AD126" s="488" t="s">
        <v>110</v>
      </c>
      <c r="AE126" s="532" t="s">
        <v>90</v>
      </c>
      <c r="AF126" s="532" t="s">
        <v>11</v>
      </c>
      <c r="AG126" s="489">
        <v>5</v>
      </c>
      <c r="AH126" s="488" t="s">
        <v>375</v>
      </c>
      <c r="AI126" s="532" t="s">
        <v>221</v>
      </c>
      <c r="AJ126" s="532" t="s">
        <v>12</v>
      </c>
      <c r="AK126" s="532">
        <v>5</v>
      </c>
      <c r="AL126" s="488" t="s">
        <v>383</v>
      </c>
      <c r="AM126" s="532" t="s">
        <v>17</v>
      </c>
      <c r="AN126" s="532" t="s">
        <v>18</v>
      </c>
      <c r="AO126" s="489">
        <v>3</v>
      </c>
      <c r="AP126" s="488"/>
      <c r="AS126" s="489"/>
      <c r="AW126" s="489"/>
      <c r="BA126" s="490"/>
    </row>
    <row r="127" spans="1:53" s="532" customFormat="1" x14ac:dyDescent="0.15">
      <c r="A127" s="532">
        <v>2014</v>
      </c>
      <c r="B127" s="502">
        <v>41911</v>
      </c>
      <c r="C127" s="812" t="s">
        <v>1326</v>
      </c>
      <c r="D127" s="812"/>
      <c r="E127" s="532">
        <v>94</v>
      </c>
      <c r="F127" s="501">
        <v>0</v>
      </c>
      <c r="G127" s="497">
        <v>9</v>
      </c>
      <c r="H127" s="532">
        <v>1</v>
      </c>
      <c r="I127" s="532">
        <v>7</v>
      </c>
      <c r="J127" s="499">
        <v>17</v>
      </c>
      <c r="K127" s="495">
        <f t="shared" si="38"/>
        <v>52.941176470588239</v>
      </c>
      <c r="L127" s="495">
        <f t="shared" si="39"/>
        <v>5.8823529411764701</v>
      </c>
      <c r="M127" s="495">
        <f t="shared" si="40"/>
        <v>41.17647058823529</v>
      </c>
      <c r="N127" s="498">
        <f t="shared" si="41"/>
        <v>100</v>
      </c>
      <c r="O127" s="494">
        <v>27</v>
      </c>
      <c r="P127" s="495">
        <v>3</v>
      </c>
      <c r="Q127" s="495">
        <v>21</v>
      </c>
      <c r="R127" s="496">
        <f t="shared" si="37"/>
        <v>51</v>
      </c>
      <c r="S127" s="388">
        <v>2</v>
      </c>
      <c r="T127" s="487"/>
      <c r="U127" s="529"/>
      <c r="V127" s="488" t="s">
        <v>109</v>
      </c>
      <c r="W127" s="532" t="s">
        <v>74</v>
      </c>
      <c r="X127" s="532" t="s">
        <v>11</v>
      </c>
      <c r="Y127" s="489">
        <v>22</v>
      </c>
      <c r="Z127" s="488" t="s">
        <v>112</v>
      </c>
      <c r="AA127" s="532" t="s">
        <v>20</v>
      </c>
      <c r="AB127" s="532" t="s">
        <v>12</v>
      </c>
      <c r="AC127" s="532">
        <v>21</v>
      </c>
      <c r="AD127" s="488" t="s">
        <v>110</v>
      </c>
      <c r="AE127" s="532" t="s">
        <v>90</v>
      </c>
      <c r="AF127" s="532" t="s">
        <v>11</v>
      </c>
      <c r="AG127" s="489">
        <v>5</v>
      </c>
      <c r="AH127" s="488" t="s">
        <v>383</v>
      </c>
      <c r="AI127" s="532" t="s">
        <v>17</v>
      </c>
      <c r="AJ127" s="532" t="s">
        <v>18</v>
      </c>
      <c r="AK127" s="489">
        <v>3</v>
      </c>
      <c r="AL127" s="488"/>
      <c r="AO127" s="489"/>
      <c r="AP127" s="488"/>
      <c r="AS127" s="489"/>
      <c r="AW127" s="489"/>
      <c r="BA127" s="490"/>
    </row>
    <row r="128" spans="1:53" s="720" customFormat="1" x14ac:dyDescent="0.15">
      <c r="A128" s="720">
        <v>2015</v>
      </c>
      <c r="B128" s="502"/>
      <c r="C128" s="812" t="s">
        <v>1326</v>
      </c>
      <c r="D128" s="812"/>
      <c r="E128" s="720">
        <v>148</v>
      </c>
      <c r="F128" s="501"/>
      <c r="G128" s="649">
        <v>9</v>
      </c>
      <c r="H128" s="720">
        <v>1</v>
      </c>
      <c r="I128" s="720">
        <v>7</v>
      </c>
      <c r="J128" s="651">
        <v>17</v>
      </c>
      <c r="K128" s="647">
        <f t="shared" si="38"/>
        <v>52.941176470588239</v>
      </c>
      <c r="L128" s="647">
        <f t="shared" si="39"/>
        <v>5.8823529411764701</v>
      </c>
      <c r="M128" s="647">
        <f t="shared" si="40"/>
        <v>41.17647058823529</v>
      </c>
      <c r="N128" s="650">
        <f t="shared" si="41"/>
        <v>100</v>
      </c>
      <c r="O128" s="646">
        <v>27</v>
      </c>
      <c r="P128" s="647">
        <v>3</v>
      </c>
      <c r="Q128" s="647">
        <v>21</v>
      </c>
      <c r="R128" s="648">
        <f t="shared" ref="R128:R129" si="42">SUM(O128:Q128)</f>
        <v>51</v>
      </c>
      <c r="S128" s="388">
        <v>2</v>
      </c>
      <c r="T128" s="487"/>
      <c r="U128" s="715"/>
      <c r="V128" s="641" t="s">
        <v>109</v>
      </c>
      <c r="W128" s="720" t="s">
        <v>74</v>
      </c>
      <c r="X128" s="720" t="s">
        <v>11</v>
      </c>
      <c r="Y128" s="642">
        <v>22</v>
      </c>
      <c r="Z128" s="641" t="s">
        <v>112</v>
      </c>
      <c r="AA128" s="720" t="s">
        <v>20</v>
      </c>
      <c r="AB128" s="720" t="s">
        <v>12</v>
      </c>
      <c r="AC128" s="720">
        <v>21</v>
      </c>
      <c r="AD128" s="641" t="s">
        <v>110</v>
      </c>
      <c r="AE128" s="720" t="s">
        <v>90</v>
      </c>
      <c r="AF128" s="720" t="s">
        <v>11</v>
      </c>
      <c r="AG128" s="642">
        <v>5</v>
      </c>
      <c r="AH128" s="641" t="s">
        <v>383</v>
      </c>
      <c r="AI128" s="720" t="s">
        <v>17</v>
      </c>
      <c r="AJ128" s="720" t="s">
        <v>18</v>
      </c>
      <c r="AK128" s="642">
        <v>3</v>
      </c>
      <c r="AL128" s="641"/>
      <c r="AO128" s="642"/>
      <c r="AP128" s="641"/>
      <c r="AS128" s="642"/>
      <c r="AW128" s="642"/>
      <c r="BA128" s="643"/>
    </row>
    <row r="129" spans="1:53" s="719" customFormat="1" x14ac:dyDescent="0.15">
      <c r="A129" s="719">
        <v>2015</v>
      </c>
      <c r="B129" s="716">
        <v>42153</v>
      </c>
      <c r="C129" s="811" t="s">
        <v>1339</v>
      </c>
      <c r="D129" s="811"/>
      <c r="E129" s="719">
        <v>217</v>
      </c>
      <c r="F129" s="719">
        <v>1</v>
      </c>
      <c r="G129" s="600">
        <v>8</v>
      </c>
      <c r="H129" s="719">
        <v>6</v>
      </c>
      <c r="J129" s="602">
        <v>14</v>
      </c>
      <c r="K129" s="597">
        <f t="shared" si="38"/>
        <v>57.142857142857139</v>
      </c>
      <c r="L129" s="597">
        <f t="shared" si="39"/>
        <v>42.857142857142854</v>
      </c>
      <c r="M129" s="597">
        <f t="shared" si="40"/>
        <v>0</v>
      </c>
      <c r="N129" s="601">
        <f t="shared" si="41"/>
        <v>100</v>
      </c>
      <c r="O129" s="596">
        <v>37.5</v>
      </c>
      <c r="P129" s="597">
        <v>24.5</v>
      </c>
      <c r="Q129" s="597"/>
      <c r="R129" s="598">
        <f t="shared" si="42"/>
        <v>62</v>
      </c>
      <c r="S129" s="97">
        <v>2</v>
      </c>
      <c r="T129" s="599">
        <v>42113</v>
      </c>
      <c r="U129" s="716">
        <v>42153</v>
      </c>
      <c r="V129" s="592" t="s">
        <v>108</v>
      </c>
      <c r="W129" s="719" t="s">
        <v>75</v>
      </c>
      <c r="X129" s="719" t="s">
        <v>18</v>
      </c>
      <c r="Y129" s="593">
        <v>24.5</v>
      </c>
      <c r="Z129" s="719" t="s">
        <v>96</v>
      </c>
      <c r="AA129" s="719" t="s">
        <v>27</v>
      </c>
      <c r="AB129" s="774" t="s">
        <v>11</v>
      </c>
      <c r="AC129" s="719">
        <v>19</v>
      </c>
      <c r="AD129" s="592" t="s">
        <v>109</v>
      </c>
      <c r="AE129" s="719" t="s">
        <v>74</v>
      </c>
      <c r="AF129" s="719" t="s">
        <v>11</v>
      </c>
      <c r="AG129" s="593">
        <v>18.5</v>
      </c>
      <c r="AH129" s="592"/>
      <c r="AL129" s="592"/>
      <c r="AO129" s="593"/>
      <c r="AP129" s="592"/>
      <c r="AS129" s="593"/>
      <c r="AW129" s="593"/>
      <c r="BA129" s="594"/>
    </row>
    <row r="132" spans="1:53" s="2" customFormat="1" ht="18" customHeight="1" x14ac:dyDescent="0.2">
      <c r="B132" s="22" t="s">
        <v>1284</v>
      </c>
    </row>
    <row r="133" spans="1:53" s="2" customFormat="1" ht="9" customHeight="1" x14ac:dyDescent="0.15"/>
    <row r="134" spans="1:53" s="364" customFormat="1" ht="9" customHeight="1" x14ac:dyDescent="0.15">
      <c r="A134" s="362"/>
      <c r="B134" s="363" t="s">
        <v>1235</v>
      </c>
      <c r="C134" s="363"/>
      <c r="D134" s="363"/>
      <c r="E134" s="363"/>
      <c r="F134" s="363"/>
      <c r="G134" s="363" t="s">
        <v>1236</v>
      </c>
      <c r="H134" s="363"/>
      <c r="I134" s="363"/>
      <c r="J134" s="363"/>
      <c r="K134" s="363"/>
      <c r="L134" s="363"/>
      <c r="M134" s="363"/>
      <c r="N134" s="363"/>
      <c r="R134" s="802" t="s">
        <v>1237</v>
      </c>
      <c r="S134" s="802"/>
      <c r="T134" s="802"/>
      <c r="U134" s="802"/>
      <c r="V134" s="802"/>
      <c r="W134" s="802"/>
      <c r="X134" s="365"/>
      <c r="Y134" s="365"/>
      <c r="AA134" s="365"/>
      <c r="AB134" s="365"/>
      <c r="AC134" s="365"/>
      <c r="AD134" s="365"/>
    </row>
    <row r="135" spans="1:53" s="369" customFormat="1" ht="9" customHeight="1" x14ac:dyDescent="0.15">
      <c r="A135" s="366"/>
      <c r="B135" s="367" t="s">
        <v>1239</v>
      </c>
      <c r="C135" s="368"/>
      <c r="D135" s="368"/>
      <c r="E135" s="368"/>
      <c r="F135" s="368"/>
      <c r="G135" s="367" t="s">
        <v>1238</v>
      </c>
      <c r="H135" s="368"/>
      <c r="I135" s="368"/>
      <c r="J135" s="368"/>
      <c r="K135" s="368"/>
      <c r="L135" s="368"/>
      <c r="M135" s="368"/>
      <c r="N135" s="368"/>
      <c r="R135" s="370" t="s">
        <v>1240</v>
      </c>
      <c r="S135" s="371"/>
      <c r="T135" s="372"/>
      <c r="U135" s="372"/>
      <c r="V135" s="372"/>
      <c r="W135" s="370" t="s">
        <v>1241</v>
      </c>
      <c r="X135" s="372"/>
      <c r="Y135" s="372"/>
      <c r="AA135" s="372"/>
      <c r="AB135" s="372"/>
      <c r="AC135" s="372"/>
      <c r="AD135" s="372"/>
    </row>
    <row r="136" spans="1:53" s="351" customFormat="1" ht="12" customHeight="1" x14ac:dyDescent="0.15">
      <c r="A136" s="373" t="s">
        <v>3</v>
      </c>
      <c r="B136" s="374" t="s">
        <v>8</v>
      </c>
      <c r="C136" s="374" t="s">
        <v>9</v>
      </c>
      <c r="D136" s="374" t="s">
        <v>10</v>
      </c>
      <c r="E136" s="375" t="s">
        <v>1215</v>
      </c>
      <c r="F136" s="374"/>
      <c r="G136" s="351" t="s">
        <v>3</v>
      </c>
      <c r="H136" s="803" t="s">
        <v>0</v>
      </c>
      <c r="I136" s="803"/>
      <c r="J136" s="803" t="s">
        <v>1</v>
      </c>
      <c r="K136" s="803"/>
      <c r="L136" s="803" t="s">
        <v>2</v>
      </c>
      <c r="M136" s="803"/>
      <c r="N136" s="804" t="s">
        <v>1215</v>
      </c>
      <c r="O136" s="804"/>
      <c r="P136" s="376"/>
      <c r="Q136" s="376"/>
      <c r="R136" s="377" t="s">
        <v>3</v>
      </c>
      <c r="S136" s="378" t="s">
        <v>136</v>
      </c>
      <c r="T136" s="376" t="s">
        <v>134</v>
      </c>
      <c r="U136" s="374" t="s">
        <v>135</v>
      </c>
      <c r="V136" s="376"/>
      <c r="W136" s="379" t="s">
        <v>26</v>
      </c>
    </row>
    <row r="137" spans="1:53" s="273" customFormat="1" x14ac:dyDescent="0.15">
      <c r="A137" s="273">
        <v>1959</v>
      </c>
      <c r="B137" s="274">
        <f>(K6*($E6/365))+(K7*($E7/365))</f>
        <v>0.8966376089663759</v>
      </c>
      <c r="C137" s="274">
        <f>(L6*($E6/365))+(L7*($E7/365))</f>
        <v>97.907845579078469</v>
      </c>
      <c r="D137" s="274">
        <f>(M6*($E6/365))+(M7*($E7/365))</f>
        <v>0.8966376089663759</v>
      </c>
      <c r="E137" s="276">
        <f>B137+C137+D137</f>
        <v>99.701120797011214</v>
      </c>
      <c r="G137" s="273">
        <v>1959</v>
      </c>
      <c r="H137" s="783">
        <f>(O6/$R6*100*($E6/365))+(O7/$R7*100*($E7/365))</f>
        <v>1.0005955926146517</v>
      </c>
      <c r="I137" s="783"/>
      <c r="J137" s="783">
        <f>(P6/$R6*100*($E6/365))+(P7/$R7*100*($E7/365))</f>
        <v>97.855866587254326</v>
      </c>
      <c r="K137" s="783"/>
      <c r="L137" s="783">
        <f>(Q6/$R6*100*($E6/365))+(Q7/$R7*100*($E7/365))</f>
        <v>1.1435378201310302</v>
      </c>
      <c r="M137" s="783"/>
      <c r="N137" s="831">
        <f>H137+J137+K137</f>
        <v>98.856462179868984</v>
      </c>
      <c r="O137" s="831"/>
      <c r="P137" s="275"/>
      <c r="Q137" s="275"/>
      <c r="R137" s="275">
        <v>1959</v>
      </c>
      <c r="S137" s="274">
        <f>(O6*($E6/365))+(O7*($E7/365))</f>
        <v>0.69041095890410953</v>
      </c>
      <c r="T137" s="274">
        <f>(P6*($E6/365))+(P7*($E7/365))</f>
        <v>24</v>
      </c>
      <c r="U137" s="274">
        <f>(Q6*($E6/365))+(Q7*($E7/365))</f>
        <v>0.78904109589041083</v>
      </c>
      <c r="V137" s="275"/>
      <c r="W137" s="274">
        <f>S137+T137+U137</f>
        <v>25.479452054794521</v>
      </c>
      <c r="X137" s="262"/>
      <c r="Y137" s="262"/>
    </row>
    <row r="138" spans="1:53" x14ac:dyDescent="0.15">
      <c r="A138" s="1">
        <v>1960</v>
      </c>
      <c r="B138" s="7">
        <f>(K8*($E8/366))+(K9*($E9/366))</f>
        <v>0</v>
      </c>
      <c r="C138" s="7">
        <f>(L8*($E8/366))+(L9*($E9/366))</f>
        <v>100</v>
      </c>
      <c r="D138" s="7">
        <f>(M8*($E8/366))+(M9*($E9/366))</f>
        <v>0</v>
      </c>
      <c r="E138" s="35">
        <f>SUM(B138:D138)</f>
        <v>100</v>
      </c>
      <c r="G138" s="1">
        <v>1960</v>
      </c>
      <c r="H138" s="779">
        <f>(O8/$R8*100*($E8/366))+(O9/$R9*100*($E9/366))</f>
        <v>0</v>
      </c>
      <c r="I138" s="779"/>
      <c r="J138" s="779">
        <f>(P8/$R8*100*($E8/366))+(P9/$R9*100*($E9/366))</f>
        <v>100</v>
      </c>
      <c r="K138" s="779"/>
      <c r="L138" s="779">
        <f>(Q8/$R8*100*($E8/366))+(Q9/$R9*100*($E9/366))</f>
        <v>0</v>
      </c>
      <c r="M138" s="779"/>
      <c r="N138" s="810">
        <f t="shared" ref="N138:N168" si="43">SUM(H138:M138)</f>
        <v>100</v>
      </c>
      <c r="O138" s="810"/>
      <c r="P138" s="12"/>
      <c r="Q138" s="12"/>
      <c r="R138" s="12">
        <v>1960</v>
      </c>
      <c r="S138" s="7">
        <f>(O8*($E8/366))+(O9*($E9/366))</f>
        <v>0</v>
      </c>
      <c r="T138" s="7">
        <f>(P8*($E8/366))+(P9*($E9/366))</f>
        <v>24</v>
      </c>
      <c r="U138" s="7">
        <f>(Q8*($E8/366))+(Q9*($E9/366))</f>
        <v>0</v>
      </c>
      <c r="V138" s="12"/>
      <c r="W138" s="7">
        <f>SUM(S138:U138)</f>
        <v>24</v>
      </c>
      <c r="X138" s="5"/>
      <c r="Y138" s="5"/>
    </row>
    <row r="139" spans="1:53" x14ac:dyDescent="0.15">
      <c r="A139" s="1">
        <v>1961</v>
      </c>
      <c r="B139" s="8">
        <f>(K10*($E10/365))+(K11*($E11/365))</f>
        <v>0</v>
      </c>
      <c r="C139" s="8">
        <f>(L10*($E10/365))+(L11*($E11/365))</f>
        <v>96.396206533192839</v>
      </c>
      <c r="D139" s="8">
        <f>(M10*($E10/365))+(M11*($E11/365))</f>
        <v>0</v>
      </c>
      <c r="E139" s="35">
        <f t="shared" ref="E139:E191" si="44">SUM(B139:D139)</f>
        <v>96.396206533192839</v>
      </c>
      <c r="G139" s="1">
        <v>1961</v>
      </c>
      <c r="H139" s="779">
        <f>(O10/$R10*100*($E10/365))+(O11/$R11*100*($E11/365))</f>
        <v>0</v>
      </c>
      <c r="I139" s="779"/>
      <c r="J139" s="779">
        <f>(P10/$R10*100*($E10/365))+(P11/$R11*100*($E11/365))</f>
        <v>100</v>
      </c>
      <c r="K139" s="779"/>
      <c r="L139" s="779">
        <f>(Q10/$R10*100*($E10/365))+(Q11/$R11*100*($E11/365))</f>
        <v>0</v>
      </c>
      <c r="M139" s="779"/>
      <c r="N139" s="810">
        <f t="shared" si="43"/>
        <v>100</v>
      </c>
      <c r="O139" s="810"/>
      <c r="P139" s="12"/>
      <c r="Q139" s="12"/>
      <c r="R139" s="12">
        <v>1961</v>
      </c>
      <c r="S139" s="8">
        <f>(O10*($E10/365))+(O11*($E11/365))</f>
        <v>0</v>
      </c>
      <c r="T139" s="8">
        <f>(P10*($E10/365))+(P11*($E11/365))</f>
        <v>24</v>
      </c>
      <c r="U139" s="8">
        <f>(Q10*($E10/365))+(Q11*($E11/365))</f>
        <v>0</v>
      </c>
      <c r="V139" s="12"/>
      <c r="W139" s="7">
        <f t="shared" ref="W139:W191" si="45">SUM(S139:U139)</f>
        <v>24</v>
      </c>
      <c r="X139" s="5"/>
      <c r="Y139" s="5"/>
    </row>
    <row r="140" spans="1:53" x14ac:dyDescent="0.15">
      <c r="A140" s="1">
        <v>1962</v>
      </c>
      <c r="B140" s="8">
        <f>(K12*($E12/365))+(K13*($E13/365))</f>
        <v>19.651307596513075</v>
      </c>
      <c r="C140" s="8">
        <f>(L12*($E12/365))+(L13*($E13/365))</f>
        <v>71.648625347255489</v>
      </c>
      <c r="D140" s="8">
        <f>(M12*($E12/365))+(M13*($E13/365))</f>
        <v>0</v>
      </c>
      <c r="E140" s="35">
        <f t="shared" si="44"/>
        <v>91.299932943768567</v>
      </c>
      <c r="G140" s="1">
        <v>1962</v>
      </c>
      <c r="H140" s="779">
        <f>(O12/$R12*100*($E12/365))+(O13/$R13*100*($E13/365))</f>
        <v>29.593933463796478</v>
      </c>
      <c r="I140" s="779"/>
      <c r="J140" s="779">
        <f>(P12/$R12*100*($E12/365))+(P13/$R13*100*($E13/365))</f>
        <v>70.406066536203525</v>
      </c>
      <c r="K140" s="779"/>
      <c r="L140" s="779">
        <f>(Q12/$R12*100*($E12/365))+(Q13/$R13*100*($E13/365))</f>
        <v>0</v>
      </c>
      <c r="M140" s="779"/>
      <c r="N140" s="810">
        <f t="shared" si="43"/>
        <v>100</v>
      </c>
      <c r="O140" s="810"/>
      <c r="P140" s="12"/>
      <c r="Q140" s="12"/>
      <c r="R140" s="12">
        <v>1962</v>
      </c>
      <c r="S140" s="8">
        <f>(O12*($E12/365))+(O13*($E13/365))</f>
        <v>16.57260273972603</v>
      </c>
      <c r="T140" s="8">
        <f>(P12*($E12/365))+(P13*($E13/365))</f>
        <v>30.484931506849314</v>
      </c>
      <c r="U140" s="8">
        <f>(Q12*($E12/365))+(Q13*($E13/365))</f>
        <v>0</v>
      </c>
      <c r="V140" s="12"/>
      <c r="W140" s="7">
        <f t="shared" si="45"/>
        <v>47.057534246575344</v>
      </c>
      <c r="X140" s="5"/>
      <c r="Y140" s="5"/>
    </row>
    <row r="141" spans="1:53" x14ac:dyDescent="0.15">
      <c r="A141" s="1">
        <v>1963</v>
      </c>
      <c r="B141" s="8">
        <f>(K14*($E14/365))+(K15*($E15/365))+(K16*($E16/365))</f>
        <v>26.65255292652553</v>
      </c>
      <c r="C141" s="8">
        <f>(L14*($E14/365))+(L15*($E15/365))+(L16*($E16/365))</f>
        <v>62.189290161892899</v>
      </c>
      <c r="D141" s="8">
        <f>(M14*($E14/365))+(M15*($E15/365))+(M16*($E16/365))</f>
        <v>0</v>
      </c>
      <c r="E141" s="35">
        <f t="shared" si="44"/>
        <v>88.841843088418429</v>
      </c>
      <c r="G141" s="1">
        <v>1963</v>
      </c>
      <c r="H141" s="829">
        <f>(O14/$R14*100*($E14/365))+(O15/$R15*100*($E15/365))</f>
        <v>39.496086105675147</v>
      </c>
      <c r="I141" s="829"/>
      <c r="J141" s="829">
        <f>(P14/$R14*100*($E14/365))+(P15/$R15*100*($E15/365))</f>
        <v>56.668297455968691</v>
      </c>
      <c r="K141" s="829"/>
      <c r="L141" s="829">
        <f>(Q14/$R14*100*($E14/365))+(Q15/$R15*100*($E15/365))</f>
        <v>0</v>
      </c>
      <c r="M141" s="829"/>
      <c r="N141" s="825">
        <f t="shared" si="43"/>
        <v>96.164383561643831</v>
      </c>
      <c r="O141" s="825"/>
      <c r="P141" s="12"/>
      <c r="Q141" s="12"/>
      <c r="R141" s="12">
        <v>1963</v>
      </c>
      <c r="S141" s="8">
        <f>(O14*($E14/365))+(O15*($E15/365))+(O16*($E16/365))</f>
        <v>22.117808219178084</v>
      </c>
      <c r="T141" s="8">
        <f>(P14*($E14/365))+(P15*($E15/365))+(P16*($E16/365))</f>
        <v>31.734246575342468</v>
      </c>
      <c r="U141" s="8">
        <f>(Q14*($E14/365))+(Q15*($E15/365))+(Q16*($E16/365))</f>
        <v>0</v>
      </c>
      <c r="V141" s="12"/>
      <c r="W141" s="7">
        <f t="shared" si="45"/>
        <v>53.852054794520555</v>
      </c>
      <c r="X141" s="5"/>
      <c r="Y141" s="5"/>
    </row>
    <row r="142" spans="1:53" x14ac:dyDescent="0.15">
      <c r="A142" s="1">
        <v>1964</v>
      </c>
      <c r="B142" s="8">
        <f>(K17*($E17/366))+(K18*($E18/366))</f>
        <v>11.028315946348734</v>
      </c>
      <c r="C142" s="8">
        <f>(L17*($E17/366))+(L18*($E18/366))</f>
        <v>19.299552906110282</v>
      </c>
      <c r="D142" s="8">
        <f>(M17*($E17/366))+(M18*($E18/366))</f>
        <v>0</v>
      </c>
      <c r="E142" s="35">
        <f t="shared" si="44"/>
        <v>30.327868852459016</v>
      </c>
      <c r="G142" s="1">
        <v>1964</v>
      </c>
      <c r="H142" s="829">
        <f>(O18/$R18*100*($E18/366))</f>
        <v>12.456088992974239</v>
      </c>
      <c r="I142" s="829"/>
      <c r="J142" s="829">
        <f>(P18/$R18*100*($E18/366))</f>
        <v>17.871779859484779</v>
      </c>
      <c r="K142" s="829"/>
      <c r="L142" s="829">
        <f>(Q18/$R18*100*($E18/366))</f>
        <v>0</v>
      </c>
      <c r="M142" s="829"/>
      <c r="N142" s="825">
        <f t="shared" si="43"/>
        <v>30.327868852459019</v>
      </c>
      <c r="O142" s="825"/>
      <c r="P142" s="12"/>
      <c r="Q142" s="12"/>
      <c r="R142" s="12">
        <v>1964</v>
      </c>
      <c r="S142" s="8">
        <f>(O17*($E17/366))+(O18*($E18/366))</f>
        <v>6.9754098360655741</v>
      </c>
      <c r="T142" s="8">
        <f>(P17*($E17/366))+(P18*($E18/366))</f>
        <v>10.008196721311476</v>
      </c>
      <c r="U142" s="8">
        <f>(Q17*($E17/366))+(Q18*($E18/366))</f>
        <v>0</v>
      </c>
      <c r="V142" s="12"/>
      <c r="W142" s="7">
        <f t="shared" si="45"/>
        <v>16.983606557377051</v>
      </c>
      <c r="X142" s="5"/>
      <c r="Y142" s="5"/>
    </row>
    <row r="143" spans="1:53" x14ac:dyDescent="0.15">
      <c r="A143" s="1">
        <v>1965</v>
      </c>
      <c r="B143" s="8">
        <f>(K19*($E19/365))+(K20*($E20/365))</f>
        <v>36.363636363636367</v>
      </c>
      <c r="C143" s="8">
        <f>(L19*($E19/365))+(L20*($E20/365))</f>
        <v>63.636363636363633</v>
      </c>
      <c r="D143" s="8">
        <f>(M19*($E19/365))+(M20*($E20/365))</f>
        <v>0</v>
      </c>
      <c r="E143" s="35">
        <f t="shared" si="44"/>
        <v>100</v>
      </c>
      <c r="G143" s="1">
        <v>1965</v>
      </c>
      <c r="H143" s="779">
        <f>(O19/$R19*100*($E19/365))+(O20/$R20*100*($E20/365))</f>
        <v>41.071428571428569</v>
      </c>
      <c r="I143" s="779"/>
      <c r="J143" s="779">
        <f>(P19/$R19*100*($E19/365))+(P20/$R20*100*($E20/365))</f>
        <v>58.928571428571431</v>
      </c>
      <c r="K143" s="779"/>
      <c r="L143" s="779">
        <f>(Q19/$R19*100*($E19/365))+(Q20/$R20*100*($E20/365))</f>
        <v>0</v>
      </c>
      <c r="M143" s="779"/>
      <c r="N143" s="810">
        <f t="shared" si="43"/>
        <v>100</v>
      </c>
      <c r="O143" s="810"/>
      <c r="P143" s="12"/>
      <c r="Q143" s="12"/>
      <c r="R143" s="12">
        <v>1965</v>
      </c>
      <c r="S143" s="8">
        <f>(O19*($E19/365))+(O20*($E20/365))</f>
        <v>23</v>
      </c>
      <c r="T143" s="8">
        <f>(P19*($E19/365))+(P20*($E20/365))</f>
        <v>33</v>
      </c>
      <c r="U143" s="8">
        <f>(Q19*($E19/365))+(Q20*($E20/365))</f>
        <v>0</v>
      </c>
      <c r="V143" s="12"/>
      <c r="W143" s="7">
        <f t="shared" si="45"/>
        <v>56</v>
      </c>
      <c r="X143" s="5"/>
      <c r="Y143" s="5"/>
    </row>
    <row r="144" spans="1:53" x14ac:dyDescent="0.15">
      <c r="A144" s="1">
        <v>1966</v>
      </c>
      <c r="B144" s="8">
        <f>(K21*($E21/365))+(K22*($E22/365))</f>
        <v>14.545454545454547</v>
      </c>
      <c r="C144" s="8">
        <f>(L21*($E21/365))+(L22*($E22/365))</f>
        <v>45.454545454545453</v>
      </c>
      <c r="D144" s="8">
        <f>(M21*($E21/365))+(M22*($E22/365))</f>
        <v>39.999999999999993</v>
      </c>
      <c r="E144" s="35">
        <f t="shared" si="44"/>
        <v>100</v>
      </c>
      <c r="G144" s="1">
        <v>1966</v>
      </c>
      <c r="H144" s="779">
        <f>(O21/$R21*100*($E21/365))+(O22/$R22*100*($E22/365))</f>
        <v>16.428571428571427</v>
      </c>
      <c r="I144" s="779"/>
      <c r="J144" s="779">
        <f>(P21/$R21*100*($E21/365))+(P22/$R22*100*($E22/365))</f>
        <v>42.913533834586467</v>
      </c>
      <c r="K144" s="779"/>
      <c r="L144" s="779">
        <f>(Q21/$R21*100*($E21/365))+(Q22/$R22*100*($E22/365))</f>
        <v>40.65789473684211</v>
      </c>
      <c r="M144" s="779"/>
      <c r="N144" s="810">
        <f t="shared" si="43"/>
        <v>100</v>
      </c>
      <c r="O144" s="810"/>
      <c r="P144" s="12"/>
      <c r="Q144" s="12"/>
      <c r="R144" s="12">
        <v>1966</v>
      </c>
      <c r="S144" s="8">
        <f>(O21*($E21/365))+(O22*($E22/365))</f>
        <v>9.2000000000000011</v>
      </c>
      <c r="T144" s="8">
        <f>(P21*($E21/365))+(P22*($E22/365))</f>
        <v>27.9</v>
      </c>
      <c r="U144" s="8">
        <f>(Q21*($E21/365))+(Q22*($E22/365))</f>
        <v>30.9</v>
      </c>
      <c r="V144" s="12"/>
      <c r="W144" s="7">
        <f t="shared" si="45"/>
        <v>68</v>
      </c>
      <c r="X144" s="5"/>
      <c r="Y144" s="5"/>
    </row>
    <row r="145" spans="1:25" x14ac:dyDescent="0.15">
      <c r="A145" s="1">
        <v>1967</v>
      </c>
      <c r="B145" s="8">
        <f>(K23*($E23/365))+(K24*($E24/365))</f>
        <v>0</v>
      </c>
      <c r="C145" s="8">
        <f>(L23*($E23/365))+(L24*($E24/365))</f>
        <v>33.333333333333329</v>
      </c>
      <c r="D145" s="8">
        <f>(M23*($E23/365))+(M24*($E24/365))</f>
        <v>66.666666666666657</v>
      </c>
      <c r="E145" s="35">
        <f t="shared" si="44"/>
        <v>99.999999999999986</v>
      </c>
      <c r="G145" s="1">
        <v>1967</v>
      </c>
      <c r="H145" s="779">
        <f>(O23/$R23*100*($E23/365))+(O24/$R24*100*($E24/365))</f>
        <v>0</v>
      </c>
      <c r="I145" s="779"/>
      <c r="J145" s="779">
        <f>(P23/$R23*100*($E23/365))+(P24/$R24*100*($E24/365))</f>
        <v>32.236842105263158</v>
      </c>
      <c r="K145" s="779"/>
      <c r="L145" s="779">
        <f>(Q23/$R23*100*($E23/365))+(Q24/$R24*100*($E24/365))</f>
        <v>67.76315789473685</v>
      </c>
      <c r="M145" s="779"/>
      <c r="N145" s="810">
        <f t="shared" si="43"/>
        <v>100</v>
      </c>
      <c r="O145" s="810"/>
      <c r="P145" s="12"/>
      <c r="Q145" s="12"/>
      <c r="R145" s="12">
        <v>1967</v>
      </c>
      <c r="S145" s="8">
        <f>(O23*($E23/365))+(O24*($E24/365))</f>
        <v>0</v>
      </c>
      <c r="T145" s="8">
        <f>(P23*($E23/365))+(P24*($E24/365))</f>
        <v>24.5</v>
      </c>
      <c r="U145" s="8">
        <f>(Q23*($E23/365))+(Q24*($E24/365))</f>
        <v>51.5</v>
      </c>
      <c r="V145" s="12"/>
      <c r="W145" s="7">
        <f t="shared" si="45"/>
        <v>76</v>
      </c>
      <c r="X145" s="5"/>
      <c r="Y145" s="5"/>
    </row>
    <row r="146" spans="1:25" x14ac:dyDescent="0.15">
      <c r="A146" s="1">
        <v>1968</v>
      </c>
      <c r="B146" s="8">
        <f>(K25*($E25/366))+(K26*($E26/366))</f>
        <v>6.4890710382513648</v>
      </c>
      <c r="C146" s="8">
        <f>(L25*($E25/366))+(L26*($E26/366))</f>
        <v>33.333333333333329</v>
      </c>
      <c r="D146" s="8">
        <f>(M25*($E25/366))+(M26*($E26/366))</f>
        <v>60.177595628415304</v>
      </c>
      <c r="E146" s="35">
        <f t="shared" si="44"/>
        <v>100</v>
      </c>
      <c r="G146" s="1">
        <v>1968</v>
      </c>
      <c r="H146" s="779">
        <f>(O25/$R25*100*($E25/366))+(O26/$R26*100*($E26/366))</f>
        <v>7.3170731707317067</v>
      </c>
      <c r="I146" s="779"/>
      <c r="J146" s="779">
        <f>(P25/$R25*100*($E25/366))+(P26/$R26*100*($E26/366))</f>
        <v>29.878048780487802</v>
      </c>
      <c r="K146" s="779"/>
      <c r="L146" s="779">
        <f>(Q25/$R25*100*($E25/366))+(Q26/$R26*100*($E26/366))</f>
        <v>62.804878048780481</v>
      </c>
      <c r="M146" s="779"/>
      <c r="N146" s="810">
        <f t="shared" si="43"/>
        <v>99.999999999999986</v>
      </c>
      <c r="O146" s="810"/>
      <c r="P146" s="12"/>
      <c r="Q146" s="12"/>
      <c r="R146" s="12">
        <v>1968</v>
      </c>
      <c r="S146" s="8">
        <f>(O25*($E25/366))+(O26*($E26/366))</f>
        <v>6</v>
      </c>
      <c r="T146" s="8">
        <f>(P25*($E25/366))+(P26*($E26/366))</f>
        <v>24.5</v>
      </c>
      <c r="U146" s="8">
        <f>(Q25*($E25/366))+(Q26*($E26/366))</f>
        <v>51.5</v>
      </c>
      <c r="V146" s="12"/>
      <c r="W146" s="7">
        <f t="shared" si="45"/>
        <v>82</v>
      </c>
      <c r="X146" s="5"/>
      <c r="Y146" s="5"/>
    </row>
    <row r="147" spans="1:25" x14ac:dyDescent="0.15">
      <c r="A147" s="1">
        <v>1969</v>
      </c>
      <c r="B147" s="8">
        <f>(K27*($E27/365))+(K28*($E28/365))</f>
        <v>8.3333333333333321</v>
      </c>
      <c r="C147" s="8">
        <f>(L27*($E27/365))+(L28*($E28/365))</f>
        <v>33.333333333333329</v>
      </c>
      <c r="D147" s="8">
        <f>(M27*($E27/365))+(M28*($E28/365))</f>
        <v>58.333333333333336</v>
      </c>
      <c r="E147" s="35">
        <f t="shared" si="44"/>
        <v>100</v>
      </c>
      <c r="G147" s="1">
        <v>1969</v>
      </c>
      <c r="H147" s="779">
        <f>(O27/$R27*100*($E27/365))+(O28/$R28*100*($E28/365))</f>
        <v>7.3170731707317067</v>
      </c>
      <c r="I147" s="779"/>
      <c r="J147" s="779">
        <f>(P27/$R27*100*($E27/365))+(P28/$R28*100*($E28/365))</f>
        <v>29.878048780487802</v>
      </c>
      <c r="K147" s="779"/>
      <c r="L147" s="779">
        <f>(Q27/$R27*100*($E27/365))+(Q28/$R28*100*($E28/365))</f>
        <v>62.804878048780488</v>
      </c>
      <c r="M147" s="779"/>
      <c r="N147" s="810">
        <f t="shared" si="43"/>
        <v>100</v>
      </c>
      <c r="O147" s="810"/>
      <c r="P147" s="12"/>
      <c r="Q147" s="12"/>
      <c r="R147" s="12">
        <v>1969</v>
      </c>
      <c r="S147" s="8">
        <f>(O27*($E27/365))+(O28*($E28/365))</f>
        <v>6</v>
      </c>
      <c r="T147" s="8">
        <f>(P27*($E27/365))+(P28*($E28/365))</f>
        <v>24.5</v>
      </c>
      <c r="U147" s="8">
        <f>(Q27*($E27/365))+(Q28*($E28/365))</f>
        <v>51.5</v>
      </c>
      <c r="V147" s="12"/>
      <c r="W147" s="7">
        <f t="shared" si="45"/>
        <v>82</v>
      </c>
      <c r="X147" s="5"/>
      <c r="Y147" s="5"/>
    </row>
    <row r="148" spans="1:25" x14ac:dyDescent="0.15">
      <c r="A148" s="1">
        <v>1970</v>
      </c>
      <c r="B148" s="8">
        <f>(K29*($E29/365))+(K30*($E30/365))+(K31*($E31/365))</f>
        <v>11.617492096944151</v>
      </c>
      <c r="C148" s="8">
        <f>(L29*($E29/365))+(L30*($E30/365))+(L31*($E31/365))</f>
        <v>39.304531085352998</v>
      </c>
      <c r="D148" s="8">
        <f>(M29*($E29/365))+(M30*($E30/365))+(M31*($E31/365))</f>
        <v>49.077976817702847</v>
      </c>
      <c r="E148" s="35">
        <f t="shared" si="44"/>
        <v>100</v>
      </c>
      <c r="G148" s="1">
        <v>1970</v>
      </c>
      <c r="H148" s="779">
        <f>(O29/$R29*100*($E29/365))+(O30/$R30*100*($E30/365))+(O31/$R31*100*($E31/365))</f>
        <v>12.287698115526265</v>
      </c>
      <c r="I148" s="779"/>
      <c r="J148" s="779">
        <f>(P29/$R29*100*($E29/365))+(P30/$R30*100*($E30/365))+(P31/$R31*100*($E31/365))</f>
        <v>30.713475120107837</v>
      </c>
      <c r="K148" s="779"/>
      <c r="L148" s="779">
        <f>(Q29/$R29*100*($E29/365))+(Q30/$R30*100*($E30/365))+(Q31/$R31*100*($E31/365))</f>
        <v>56.998826764365894</v>
      </c>
      <c r="M148" s="779"/>
      <c r="N148" s="810">
        <f t="shared" si="43"/>
        <v>100</v>
      </c>
      <c r="O148" s="810"/>
      <c r="P148" s="12"/>
      <c r="Q148" s="12"/>
      <c r="R148" s="12">
        <v>1970</v>
      </c>
      <c r="S148" s="8">
        <f>(O29*($E29/365))+(O30*($E30/365))+(O31*($E31/365))</f>
        <v>9.1424657534246556</v>
      </c>
      <c r="T148" s="8">
        <f>(P29*($E29/365))+(P30*($E30/365))+(P31*($E31/365))</f>
        <v>23.228767123287668</v>
      </c>
      <c r="U148" s="8">
        <f>(Q29*($E29/365))+(Q30*($E30/365))+(Q31*($E31/365))</f>
        <v>43.357534246575341</v>
      </c>
      <c r="V148" s="12"/>
      <c r="W148" s="7">
        <f t="shared" si="45"/>
        <v>75.728767123287668</v>
      </c>
      <c r="X148" s="5"/>
      <c r="Y148" s="5"/>
    </row>
    <row r="149" spans="1:25" x14ac:dyDescent="0.15">
      <c r="A149" s="1">
        <v>1971</v>
      </c>
      <c r="B149" s="8">
        <f>(K32*($E32/365))+(K33*($E33/365))+(K34*($E34/365))</f>
        <v>13.382507903055847</v>
      </c>
      <c r="C149" s="8">
        <f>(L32*($E32/365))+(L33*($E33/365))+(L34*($E34/365))</f>
        <v>41.496311907270808</v>
      </c>
      <c r="D149" s="8">
        <f>(M32*($E32/365))+(M33*($E33/365))+(M34*($E34/365))</f>
        <v>38.37723919915701</v>
      </c>
      <c r="E149" s="35">
        <f t="shared" si="44"/>
        <v>93.256059009483664</v>
      </c>
      <c r="G149" s="1">
        <v>1971</v>
      </c>
      <c r="H149" s="779">
        <f>(O32/$R32*100*($E32/365))+(O33/$R33*100*($E33/365))+(O34/$R34*100*($E34/365))</f>
        <v>13.401540380631944</v>
      </c>
      <c r="I149" s="779"/>
      <c r="J149" s="779">
        <f>(P32/$R32*100*($E32/365))+(P33/$R33*100*($E33/365))+(P34/$R34*100*($E34/365))</f>
        <v>37.896110138359603</v>
      </c>
      <c r="K149" s="779"/>
      <c r="L149" s="779">
        <f>(Q32/$R32*100*($E32/365))+(Q33/$R33*100*($E33/365))+(Q34/$R34*100*($E34/365))</f>
        <v>48.702349481008454</v>
      </c>
      <c r="M149" s="779"/>
      <c r="N149" s="810">
        <f t="shared" si="43"/>
        <v>100</v>
      </c>
      <c r="O149" s="810"/>
      <c r="P149" s="12"/>
      <c r="Q149" s="12"/>
      <c r="R149" s="12">
        <v>1971</v>
      </c>
      <c r="S149" s="8">
        <f>(O32*($E32/365))+(O33*($E33/365))+(O34*($E34/365))</f>
        <v>8.1917808219178099</v>
      </c>
      <c r="T149" s="8">
        <f>(P32*($E32/365))+(P33*($E33/365))+(P34*($E34/365))</f>
        <v>22.5</v>
      </c>
      <c r="U149" s="8">
        <f>(Q32*($E32/365))+(Q33*($E33/365))+(Q34*($E34/365))</f>
        <v>29.642465753424659</v>
      </c>
      <c r="V149" s="12"/>
      <c r="W149" s="7">
        <f t="shared" si="45"/>
        <v>60.334246575342469</v>
      </c>
      <c r="X149" s="5"/>
      <c r="Y149" s="5"/>
    </row>
    <row r="150" spans="1:25" x14ac:dyDescent="0.15">
      <c r="A150" s="1">
        <v>1972</v>
      </c>
      <c r="B150" s="8">
        <f>(K35*($E35/366))+(K36*($E36/366))+(K37*($E37/366))</f>
        <v>5.1781210592685998</v>
      </c>
      <c r="C150" s="8">
        <f>(L35*($E35/366))+(L36*($E36/366))+(L37*($E37/366))</f>
        <v>16.648276586801178</v>
      </c>
      <c r="D150" s="8">
        <f>(M35*($E35/366))+(M36*($E36/366))+(M37*($E37/366))</f>
        <v>70.571931483816726</v>
      </c>
      <c r="E150" s="35">
        <f t="shared" si="44"/>
        <v>92.398329129886505</v>
      </c>
      <c r="G150" s="1">
        <v>1972</v>
      </c>
      <c r="H150" s="779">
        <f>(O35/$R35*100*($E35/366))+(O36/$R36*100*($E36/366))+(O37/$R37*100*($E37/366))</f>
        <v>7.0671738331580443</v>
      </c>
      <c r="I150" s="779"/>
      <c r="J150" s="779">
        <f>(P35/$R35*100*($E35/366))+(P36/$R36*100*($E36/366))+(P37/$R37*100*($E37/366))</f>
        <v>17.661915628661049</v>
      </c>
      <c r="K150" s="779"/>
      <c r="L150" s="779">
        <f>(Q35/$R35*100*($E35/366))+(Q36/$R36*100*($E36/366))+(Q37/$R37*100*($E37/366))</f>
        <v>75.270910538180914</v>
      </c>
      <c r="M150" s="779"/>
      <c r="N150" s="810">
        <f t="shared" si="43"/>
        <v>100</v>
      </c>
      <c r="O150" s="810"/>
      <c r="P150" s="12"/>
      <c r="Q150" s="12"/>
      <c r="R150" s="12">
        <v>1972</v>
      </c>
      <c r="S150" s="8">
        <f>(O35*($E35/366))+(O36*($E36/366))+(O37*($E37/366))</f>
        <v>4.304644808743169</v>
      </c>
      <c r="T150" s="8">
        <f>(P35*($E35/366))+(P36*($E36/366))+(P37*($E37/366))</f>
        <v>10.08606557377049</v>
      </c>
      <c r="U150" s="8">
        <f>(Q35*($E35/366))+(Q36*($E36/366))+(Q37*($E37/366))</f>
        <v>27.210382513661202</v>
      </c>
      <c r="V150" s="12"/>
      <c r="W150" s="7">
        <f t="shared" si="45"/>
        <v>41.601092896174862</v>
      </c>
      <c r="X150" s="5"/>
      <c r="Y150" s="5"/>
    </row>
    <row r="151" spans="1:25" x14ac:dyDescent="0.15">
      <c r="A151" s="1">
        <v>1973</v>
      </c>
      <c r="B151" s="8">
        <f>(K38*($E38/365))+(K39*($E39/365))</f>
        <v>12.5</v>
      </c>
      <c r="C151" s="8">
        <f>(L38*($E38/365))+(L39*($E39/365))</f>
        <v>37.5</v>
      </c>
      <c r="D151" s="8">
        <f>(M38*($E38/365))+(M39*($E39/365))</f>
        <v>43.75</v>
      </c>
      <c r="E151" s="35">
        <f t="shared" si="44"/>
        <v>93.75</v>
      </c>
      <c r="G151" s="1">
        <v>1973</v>
      </c>
      <c r="H151" s="779">
        <f>(O38/$R38*100*($E38/365))+(O39/$R39*100*($E39/365))</f>
        <v>9.3457943925233646</v>
      </c>
      <c r="I151" s="779"/>
      <c r="J151" s="779">
        <f>(P38/$R38*100*($E38/365))+(P39/$R39*100*($E39/365))</f>
        <v>39.252336448598129</v>
      </c>
      <c r="K151" s="779"/>
      <c r="L151" s="779">
        <f>(Q38/$R38*100*($E38/365))+(Q39/$R39*100*($E39/365))</f>
        <v>51.401869158878498</v>
      </c>
      <c r="M151" s="779"/>
      <c r="N151" s="810">
        <f t="shared" si="43"/>
        <v>100</v>
      </c>
      <c r="O151" s="810"/>
      <c r="P151" s="12"/>
      <c r="Q151" s="12"/>
      <c r="R151" s="12">
        <v>1973</v>
      </c>
      <c r="S151" s="8">
        <f>(O38*($E38/365))+(O39*($E39/365))</f>
        <v>5</v>
      </c>
      <c r="T151" s="8">
        <f>(P38*($E38/365))+(P39*($E39/365))</f>
        <v>21</v>
      </c>
      <c r="U151" s="8">
        <f>(Q38*($E38/365))+(Q39*($E39/365))</f>
        <v>27.5</v>
      </c>
      <c r="V151" s="12"/>
      <c r="W151" s="7">
        <f t="shared" si="45"/>
        <v>53.5</v>
      </c>
      <c r="X151" s="5"/>
      <c r="Y151" s="5"/>
    </row>
    <row r="152" spans="1:25" x14ac:dyDescent="0.15">
      <c r="A152" s="1">
        <v>1974</v>
      </c>
      <c r="B152" s="8">
        <f>(K40*($E40/365))+(K41*($E41/365))</f>
        <v>12.5</v>
      </c>
      <c r="C152" s="8">
        <f>(L40*($E40/365))+(L41*($E41/365))</f>
        <v>37.5</v>
      </c>
      <c r="D152" s="8">
        <f>(M40*($E40/365))+(M41*($E41/365))</f>
        <v>43.75</v>
      </c>
      <c r="E152" s="35">
        <f t="shared" si="44"/>
        <v>93.75</v>
      </c>
      <c r="G152" s="1">
        <v>1974</v>
      </c>
      <c r="H152" s="779">
        <f>(O40/$R40*100*($E40/365))+(O41/$R41*100*($E41/365))</f>
        <v>9.3457943925233646</v>
      </c>
      <c r="I152" s="779"/>
      <c r="J152" s="779">
        <f>(P40/$R40*100*($E40/365))+(P41/$R41*100*($E41/365))</f>
        <v>39.252336448598129</v>
      </c>
      <c r="K152" s="779"/>
      <c r="L152" s="779">
        <f>(Q40/$R40*100*($E40/365))+(Q41/$R41*100*($E41/365))</f>
        <v>51.401869158878498</v>
      </c>
      <c r="M152" s="779"/>
      <c r="N152" s="810">
        <f t="shared" si="43"/>
        <v>100</v>
      </c>
      <c r="O152" s="810"/>
      <c r="P152" s="12"/>
      <c r="Q152" s="12"/>
      <c r="R152" s="12">
        <v>1974</v>
      </c>
      <c r="S152" s="8">
        <f>(O40*($E40/365))+(O41*($E41/365))</f>
        <v>5</v>
      </c>
      <c r="T152" s="8">
        <f>(P40*($E40/365))+(P41*($E41/365))</f>
        <v>21</v>
      </c>
      <c r="U152" s="8">
        <f>(Q40*($E40/365))+(Q41*($E41/365))</f>
        <v>27.5</v>
      </c>
      <c r="V152" s="12"/>
      <c r="W152" s="7">
        <f t="shared" si="45"/>
        <v>53.5</v>
      </c>
      <c r="X152" s="5"/>
      <c r="Y152" s="5"/>
    </row>
    <row r="153" spans="1:25" x14ac:dyDescent="0.15">
      <c r="A153" s="1">
        <v>1975</v>
      </c>
      <c r="B153" s="8">
        <f>(K42*($E42/365))+(K43*($E43/365))+(K44*($E44/365))</f>
        <v>12.035768645357686</v>
      </c>
      <c r="C153" s="8">
        <f>(L42*($E42/365))+(L43*($E43/365))+(L44*($E44/365))</f>
        <v>30.140791476407916</v>
      </c>
      <c r="D153" s="8">
        <f>(M42*($E42/365))+(M43*($E43/365))+(M44*($E44/365))</f>
        <v>37.619863013698634</v>
      </c>
      <c r="E153" s="35">
        <f t="shared" si="44"/>
        <v>79.796423135464238</v>
      </c>
      <c r="G153" s="1">
        <v>1975</v>
      </c>
      <c r="H153" s="829">
        <f>(O42/$R42*100*($E42/365))+(O43/$R43*100*($E43/365))+(O44/$R44*100*($E44/365))</f>
        <v>19.388350533227189</v>
      </c>
      <c r="I153" s="829"/>
      <c r="J153" s="829">
        <f>(P42/$R42*100*($E42/365))+(P43/$R43*100*($E43/365))+(P44/$R44*100*($E44/365))</f>
        <v>34.270293580577999</v>
      </c>
      <c r="K153" s="829"/>
      <c r="L153" s="829">
        <f>(Q42/$R42*100*($E42/365))+(Q43/$R43*100*($E43/365))+(Q44/$R44*100*($E44/365))</f>
        <v>46.341355886194812</v>
      </c>
      <c r="M153" s="829"/>
      <c r="N153" s="825">
        <f t="shared" si="43"/>
        <v>100</v>
      </c>
      <c r="O153" s="825"/>
      <c r="P153" s="12"/>
      <c r="Q153" s="12"/>
      <c r="R153" s="12">
        <v>1975</v>
      </c>
      <c r="S153" s="8">
        <f>(O42*($E42/365))+(O43*($E43/365))+(O44*($E44/365))</f>
        <v>12.917808219178083</v>
      </c>
      <c r="T153" s="8">
        <f>(P42*($E42/365))+(P43*($E43/365))+(P44*($E44/365))</f>
        <v>21.263013698630132</v>
      </c>
      <c r="U153" s="8">
        <f>(Q42*($E42/365))+(Q43*($E43/365))+(Q44*($E44/365))</f>
        <v>28.976712328767121</v>
      </c>
      <c r="V153" s="12"/>
      <c r="W153" s="7">
        <f t="shared" si="45"/>
        <v>63.157534246575338</v>
      </c>
      <c r="X153" s="5"/>
      <c r="Y153" s="5"/>
    </row>
    <row r="154" spans="1:25" x14ac:dyDescent="0.15">
      <c r="A154" s="1">
        <v>1976</v>
      </c>
      <c r="B154" s="8">
        <f>(K45*($E45/366))+(K46*($E46/366))</f>
        <v>13.073011536126291</v>
      </c>
      <c r="C154" s="8">
        <f>(L45*($E45/366))+(L46*($E46/366))</f>
        <v>39.905889496053433</v>
      </c>
      <c r="D154" s="8">
        <f>(M45*($E45/366))+(M46*($E46/366))</f>
        <v>37.158469945355193</v>
      </c>
      <c r="E154" s="35">
        <f t="shared" si="44"/>
        <v>90.137370977534914</v>
      </c>
      <c r="G154" s="1">
        <v>1976</v>
      </c>
      <c r="H154" s="779">
        <f>(O45/$R45*100*($E45/366))+(O46/$R46*100*($E46/366))</f>
        <v>9.3173861731774323</v>
      </c>
      <c r="I154" s="779"/>
      <c r="J154" s="779">
        <f>(P45/$R45*100*($E45/366))+(P46/$R46*100*($E46/366))</f>
        <v>44.723453631251672</v>
      </c>
      <c r="K154" s="779"/>
      <c r="L154" s="779">
        <f>(Q45/$R45*100*($E45/366))+(Q46/$R46*100*($E46/366))</f>
        <v>45.959160195570902</v>
      </c>
      <c r="M154" s="779"/>
      <c r="N154" s="810">
        <f t="shared" si="43"/>
        <v>100</v>
      </c>
      <c r="O154" s="810"/>
      <c r="P154" s="12"/>
      <c r="Q154" s="12"/>
      <c r="R154" s="12">
        <v>1976</v>
      </c>
      <c r="S154" s="8">
        <f>(O45*($E45/366))+(O46*($E46/366))</f>
        <v>5</v>
      </c>
      <c r="T154" s="8">
        <f>(P45*($E45/366))+(P46*($E46/366))</f>
        <v>24</v>
      </c>
      <c r="U154" s="8">
        <f>(Q45*($E45/366))+(Q46*($E46/366))</f>
        <v>34.928961748633881</v>
      </c>
      <c r="V154" s="12"/>
      <c r="W154" s="7">
        <f t="shared" si="45"/>
        <v>63.928961748633881</v>
      </c>
      <c r="X154" s="5"/>
      <c r="Y154" s="5"/>
    </row>
    <row r="155" spans="1:25" x14ac:dyDescent="0.15">
      <c r="A155" s="1">
        <v>1977</v>
      </c>
      <c r="B155" s="8">
        <f>(K47*($E47/365))+(K48*($E48/365))</f>
        <v>11.102739726027398</v>
      </c>
      <c r="C155" s="8">
        <f>(L47*($E47/365))+(L48*($E48/365))</f>
        <v>52.849315068493148</v>
      </c>
      <c r="D155" s="8">
        <f>(M47*($E47/365))+(M48*($E48/365))</f>
        <v>29.534246575342461</v>
      </c>
      <c r="E155" s="35">
        <f t="shared" si="44"/>
        <v>93.486301369863014</v>
      </c>
      <c r="G155" s="1">
        <v>1977</v>
      </c>
      <c r="H155" s="779">
        <f>(O47/$R47*100*($E47/365))+(O48/$R48*100*($E48/365))</f>
        <v>10.493374437510877</v>
      </c>
      <c r="I155" s="779"/>
      <c r="J155" s="779">
        <f>(P47/$R47*100*($E47/365))+(P48/$R48*100*($E48/365))</f>
        <v>50.368197300052202</v>
      </c>
      <c r="K155" s="779"/>
      <c r="L155" s="779">
        <f>(Q47/$R47*100*($E47/365))+(Q48/$R48*100*($E48/365))</f>
        <v>39.138428262436911</v>
      </c>
      <c r="M155" s="779"/>
      <c r="N155" s="810">
        <f t="shared" si="43"/>
        <v>100</v>
      </c>
      <c r="O155" s="810"/>
      <c r="P155" s="12"/>
      <c r="Q155" s="12"/>
      <c r="R155" s="12">
        <v>1977</v>
      </c>
      <c r="S155" s="8">
        <f>(O47*($E47/365))+(O48*($E48/365))</f>
        <v>5</v>
      </c>
      <c r="T155" s="8">
        <f>(P47*($E47/365))+(P48*($E48/365))</f>
        <v>24</v>
      </c>
      <c r="U155" s="8">
        <f>(Q47*($E47/365))+(Q48*($E48/365))</f>
        <v>29.745205479452054</v>
      </c>
      <c r="V155" s="12"/>
      <c r="W155" s="7">
        <f t="shared" si="45"/>
        <v>58.745205479452054</v>
      </c>
      <c r="X155" s="5"/>
      <c r="Y155" s="5"/>
    </row>
    <row r="156" spans="1:25" x14ac:dyDescent="0.15">
      <c r="A156" s="1">
        <v>1978</v>
      </c>
      <c r="B156" s="8">
        <f>(K49*($E49/365))+(K50*($E50/365))</f>
        <v>1.095890410958904</v>
      </c>
      <c r="C156" s="8">
        <f>(L49*($E49/365))+(L50*($E50/365))</f>
        <v>45.570776255707756</v>
      </c>
      <c r="D156" s="8">
        <f>(M49*($E49/365))+(M50*($E50/365))</f>
        <v>46.666666666666664</v>
      </c>
      <c r="E156" s="35">
        <f t="shared" si="44"/>
        <v>93.333333333333314</v>
      </c>
      <c r="G156" s="1">
        <v>1978</v>
      </c>
      <c r="H156" s="779">
        <f>(O49/$R49*100*($E49/365))+(O50/$R50*100*($E50/365))</f>
        <v>1.0814708002883922</v>
      </c>
      <c r="I156" s="779"/>
      <c r="J156" s="779">
        <f>(P49/$R49*100*($E49/365))+(P50/$R50*100*($E50/365))</f>
        <v>33.437249306944764</v>
      </c>
      <c r="K156" s="779"/>
      <c r="L156" s="779">
        <f>(Q49/$R49*100*($E49/365))+(Q50/$R50*100*($E50/365))</f>
        <v>65.481279892766835</v>
      </c>
      <c r="M156" s="779"/>
      <c r="N156" s="810">
        <f t="shared" si="43"/>
        <v>100</v>
      </c>
      <c r="O156" s="810"/>
      <c r="P156" s="12"/>
      <c r="Q156" s="12"/>
      <c r="R156" s="12">
        <v>1978</v>
      </c>
      <c r="S156" s="8">
        <f>(O49*($E49/365))+(O50*($E50/365))</f>
        <v>0.82191780821917804</v>
      </c>
      <c r="T156" s="8">
        <f>(P49*($E49/365))+(P50*($E50/365))</f>
        <v>24</v>
      </c>
      <c r="U156" s="8">
        <f>(Q49*($E49/365))+(Q50*($E50/365))</f>
        <v>47</v>
      </c>
      <c r="V156" s="12"/>
      <c r="W156" s="7">
        <f t="shared" si="45"/>
        <v>71.821917808219183</v>
      </c>
      <c r="X156" s="5"/>
      <c r="Y156" s="5"/>
    </row>
    <row r="157" spans="1:25" x14ac:dyDescent="0.15">
      <c r="A157" s="1">
        <v>1979</v>
      </c>
      <c r="B157" s="8">
        <f>(K51*($E51/365))+(K52*($E52/365))</f>
        <v>7.1232876712328759</v>
      </c>
      <c r="C157" s="8">
        <f>(L51*($E51/365))+(L52*($E52/365))</f>
        <v>39.780821917808218</v>
      </c>
      <c r="D157" s="8">
        <f>(M51*($E51/365))+(M52*($E52/365))</f>
        <v>46.904109589041092</v>
      </c>
      <c r="E157" s="35">
        <f t="shared" si="44"/>
        <v>93.808219178082183</v>
      </c>
      <c r="G157" s="1">
        <v>1979</v>
      </c>
      <c r="H157" s="779">
        <f>(O51/$R51*100*($E51/365))+(O52/$R52*100*($E52/365))</f>
        <v>4.5524770831187551</v>
      </c>
      <c r="I157" s="779"/>
      <c r="J157" s="779">
        <f>(P51/$R51*100*($E51/365))+(P52/$R52*100*($E52/365))</f>
        <v>29.724823345262635</v>
      </c>
      <c r="K157" s="779"/>
      <c r="L157" s="779">
        <f>(Q51/$R51*100*($E51/365))+(Q52/$R52*100*($E52/365))</f>
        <v>65.722699571618605</v>
      </c>
      <c r="M157" s="779"/>
      <c r="N157" s="810">
        <f t="shared" si="43"/>
        <v>100</v>
      </c>
      <c r="O157" s="810"/>
      <c r="P157" s="12"/>
      <c r="Q157" s="12"/>
      <c r="R157" s="12">
        <v>1979</v>
      </c>
      <c r="S157" s="8">
        <f>(O51*($E51/365))+(O52*($E52/365))</f>
        <v>3.0273972602739723</v>
      </c>
      <c r="T157" s="8">
        <f>(P51*($E51/365))+(P52*($E52/365))</f>
        <v>20.367123287671234</v>
      </c>
      <c r="U157" s="8">
        <f>(Q51*($E51/365))+(Q52*($E52/365))</f>
        <v>44.88082191780822</v>
      </c>
      <c r="V157" s="12"/>
      <c r="W157" s="7">
        <f t="shared" si="45"/>
        <v>68.275342465753425</v>
      </c>
      <c r="X157" s="5"/>
      <c r="Y157" s="5"/>
    </row>
    <row r="158" spans="1:25" x14ac:dyDescent="0.15">
      <c r="A158" s="1">
        <v>1980</v>
      </c>
      <c r="B158" s="8">
        <f>(K53*($E53/366))+(K54*($E54/366))</f>
        <v>11.76470588235294</v>
      </c>
      <c r="C158" s="8">
        <f>(L53*($E53/366))+(L54*($E54/366))</f>
        <v>35.294117647058826</v>
      </c>
      <c r="D158" s="8">
        <f>(M53*($E53/366))+(M54*($E54/366))</f>
        <v>47.058823529411761</v>
      </c>
      <c r="E158" s="35">
        <f t="shared" si="44"/>
        <v>94.117647058823536</v>
      </c>
      <c r="G158" s="1">
        <v>1980</v>
      </c>
      <c r="H158" s="779">
        <f>(O53/$R53*100*($E53/366))+(O54/$R54*100*($E54/366))</f>
        <v>7.518796992481203</v>
      </c>
      <c r="I158" s="779"/>
      <c r="J158" s="779">
        <f>(P53/$R53*100*($E53/366))+(P54/$R54*100*($E54/366))</f>
        <v>27.06766917293233</v>
      </c>
      <c r="K158" s="779"/>
      <c r="L158" s="779">
        <f>(Q53/$R53*100*($E53/366))+(Q54/$R54*100*($E54/366))</f>
        <v>65.413533834586474</v>
      </c>
      <c r="M158" s="779"/>
      <c r="N158" s="810">
        <f t="shared" si="43"/>
        <v>100</v>
      </c>
      <c r="O158" s="810"/>
      <c r="P158" s="12"/>
      <c r="Q158" s="12"/>
      <c r="R158" s="12">
        <v>1980</v>
      </c>
      <c r="S158" s="8">
        <f>(O53*($E53/366))+(O54*($E54/366))</f>
        <v>5</v>
      </c>
      <c r="T158" s="8">
        <f>(P53*($E53/366))+(P54*($E54/366))</f>
        <v>18</v>
      </c>
      <c r="U158" s="8">
        <f>(Q53*($E53/366))+(Q54*($E54/366))</f>
        <v>43.5</v>
      </c>
      <c r="V158" s="12"/>
      <c r="W158" s="7">
        <f t="shared" si="45"/>
        <v>66.5</v>
      </c>
      <c r="X158" s="5"/>
      <c r="Y158" s="5"/>
    </row>
    <row r="159" spans="1:25" x14ac:dyDescent="0.15">
      <c r="A159" s="1">
        <v>1981</v>
      </c>
      <c r="B159" s="8">
        <f>(K55*($E55/365))+(K56*($E56/365))</f>
        <v>11.76470588235294</v>
      </c>
      <c r="C159" s="8">
        <f>(L55*($E55/365))+(L56*($E56/365))</f>
        <v>35.294117647058826</v>
      </c>
      <c r="D159" s="8">
        <f>(M55*($E55/365))+(M56*($E56/365))</f>
        <v>47.058823529411761</v>
      </c>
      <c r="E159" s="35">
        <f t="shared" si="44"/>
        <v>94.117647058823536</v>
      </c>
      <c r="G159" s="1">
        <v>1981</v>
      </c>
      <c r="H159" s="779">
        <f>(O55/$R55*100*($E55/365))+(O56/$R56*100*($E56/365))</f>
        <v>7.518796992481203</v>
      </c>
      <c r="I159" s="779"/>
      <c r="J159" s="779">
        <f>(P55/$R55*100*($E55/365))+(P56/$R56*100*($E56/365))</f>
        <v>27.06766917293233</v>
      </c>
      <c r="K159" s="779"/>
      <c r="L159" s="779">
        <f>(Q55/$R55*100*($E55/365))+(Q56/$R56*100*($E56/365))</f>
        <v>65.413533834586474</v>
      </c>
      <c r="M159" s="779"/>
      <c r="N159" s="810">
        <f t="shared" si="43"/>
        <v>100</v>
      </c>
      <c r="O159" s="810"/>
      <c r="P159" s="12"/>
      <c r="Q159" s="12"/>
      <c r="R159" s="12">
        <v>1981</v>
      </c>
      <c r="S159" s="8">
        <f>(O55*($E55/365))+(O56*($E56/365))</f>
        <v>5</v>
      </c>
      <c r="T159" s="8">
        <f>(P55*($E55/365))+(P56*($E56/365))</f>
        <v>18</v>
      </c>
      <c r="U159" s="8">
        <f>(Q55*($E55/365))+(Q56*($E56/365))</f>
        <v>43.5</v>
      </c>
      <c r="V159" s="12"/>
      <c r="W159" s="7">
        <f t="shared" si="45"/>
        <v>66.5</v>
      </c>
      <c r="X159" s="5"/>
      <c r="Y159" s="5"/>
    </row>
    <row r="160" spans="1:25" x14ac:dyDescent="0.15">
      <c r="A160" s="1">
        <v>1982</v>
      </c>
      <c r="B160" s="8">
        <f>(K57*($E57/365))+(K58*($E58/365))+(K59*($E59/365))</f>
        <v>11.76470588235294</v>
      </c>
      <c r="C160" s="8">
        <f>(L57*($E57/365))+(L58*($E58/365))+(L59*($E59/365))</f>
        <v>35.326349717969379</v>
      </c>
      <c r="D160" s="8">
        <f>(M57*($E57/365))+(M58*($E58/365))+(M59*($E59/365))</f>
        <v>47.058823529411761</v>
      </c>
      <c r="E160" s="35">
        <f t="shared" si="44"/>
        <v>94.149879129734074</v>
      </c>
      <c r="G160" s="1">
        <v>1982</v>
      </c>
      <c r="H160" s="779">
        <f>(O57/$R57*100*($E57/365))+(O58/$R58*100*($E58/365))+(O59/$R59*100*($E59/365))</f>
        <v>7.5335108809204998</v>
      </c>
      <c r="I160" s="779"/>
      <c r="J160" s="779">
        <f>(P57/$R57*100*($E57/365))+(P58/$R58*100*($E58/365))+(P59/$R59*100*($E59/365))</f>
        <v>27.120639171313801</v>
      </c>
      <c r="K160" s="779"/>
      <c r="L160" s="779">
        <f>(Q57/$R57*100*($E57/365))+(Q58/$R58*100*($E58/365))+(Q59/$R59*100*($E59/365))</f>
        <v>65.3458499477657</v>
      </c>
      <c r="M160" s="779"/>
      <c r="N160" s="810">
        <f t="shared" si="43"/>
        <v>100</v>
      </c>
      <c r="O160" s="810"/>
      <c r="P160" s="12"/>
      <c r="Q160" s="12"/>
      <c r="R160" s="12">
        <v>1982</v>
      </c>
      <c r="S160" s="8">
        <f>(O57*($E57/365))+(O58*($E58/365))+(O59*($E59/365))</f>
        <v>5</v>
      </c>
      <c r="T160" s="8">
        <f>(P57*($E57/365))+(P58*($E58/365))+(P59*($E59/365))</f>
        <v>18</v>
      </c>
      <c r="U160" s="8">
        <f>(Q57*($E57/365))+(Q58*($E58/365))+(Q59*($E59/365))</f>
        <v>43.404109589041092</v>
      </c>
      <c r="V160" s="12"/>
      <c r="W160" s="7">
        <f t="shared" si="45"/>
        <v>66.404109589041099</v>
      </c>
      <c r="X160" s="5"/>
      <c r="Y160" s="5"/>
    </row>
    <row r="161" spans="1:25" x14ac:dyDescent="0.15">
      <c r="A161" s="1">
        <v>1983</v>
      </c>
      <c r="B161" s="8">
        <f>(K60*($E60/365))+(K61*($E61/365))</f>
        <v>11.76470588235294</v>
      </c>
      <c r="C161" s="8">
        <f>(L60*($E60/365))+(L61*($E61/365))</f>
        <v>41.17647058823529</v>
      </c>
      <c r="D161" s="8">
        <f>(M60*($E60/365))+(M61*($E61/365))</f>
        <v>47.058823529411761</v>
      </c>
      <c r="E161" s="35">
        <f t="shared" si="44"/>
        <v>100</v>
      </c>
      <c r="G161" s="1">
        <v>1983</v>
      </c>
      <c r="H161" s="779">
        <f>(O60/$R60*100*($E60/365))+(O61/$R61*100*($E61/365))</f>
        <v>9.3783908484877418</v>
      </c>
      <c r="I161" s="779"/>
      <c r="J161" s="779">
        <f>(P60/$R60*100*($E60/365))+(P61/$R61*100*($E61/365))</f>
        <v>41.960447393123637</v>
      </c>
      <c r="K161" s="779"/>
      <c r="L161" s="779">
        <f>(Q60/$R60*100*($E60/365))+(Q61/$R61*100*($E61/365))</f>
        <v>48.661161758388623</v>
      </c>
      <c r="M161" s="779"/>
      <c r="N161" s="810">
        <f t="shared" si="43"/>
        <v>100</v>
      </c>
      <c r="O161" s="810"/>
      <c r="P161" s="12"/>
      <c r="Q161" s="12"/>
      <c r="R161" s="12">
        <v>1983</v>
      </c>
      <c r="S161" s="8">
        <f>(O60*($E60/365))+(O61*($E61/365))</f>
        <v>5.3273972602739725</v>
      </c>
      <c r="T161" s="8">
        <f>(P60*($E60/365))+(P61*($E61/365))</f>
        <v>24.220547945205482</v>
      </c>
      <c r="U161" s="8">
        <f>(Q60*($E60/365))+(Q61*($E61/365))</f>
        <v>27.636986301369863</v>
      </c>
      <c r="V161" s="12"/>
      <c r="W161" s="7">
        <f t="shared" si="45"/>
        <v>57.184931506849317</v>
      </c>
      <c r="X161" s="5"/>
      <c r="Y161" s="5"/>
    </row>
    <row r="162" spans="1:25" x14ac:dyDescent="0.15">
      <c r="A162" s="1">
        <v>1984</v>
      </c>
      <c r="B162" s="8">
        <f>(K62*($E62/366))+(K63*($E63/366))</f>
        <v>11.76470588235294</v>
      </c>
      <c r="C162" s="8">
        <f>(L62*($E62/366))+(L63*($E63/366))</f>
        <v>41.17647058823529</v>
      </c>
      <c r="D162" s="8">
        <f>(M62*($E62/366))+(M63*($E63/366))</f>
        <v>47.058823529411761</v>
      </c>
      <c r="E162" s="35">
        <f t="shared" si="44"/>
        <v>100</v>
      </c>
      <c r="G162" s="1">
        <v>1984</v>
      </c>
      <c r="H162" s="779">
        <f>(O62/$R62*100*($E62/366))+(O63/$R63*100*($E63/366))</f>
        <v>8.9430894308943092</v>
      </c>
      <c r="I162" s="779"/>
      <c r="J162" s="779">
        <f>(P62/$R62*100*($E62/366))+(P63/$R63*100*($E63/366))</f>
        <v>44.715447154471541</v>
      </c>
      <c r="K162" s="779"/>
      <c r="L162" s="779">
        <f>(Q62/$R62*100*($E62/366))+(Q63/$R63*100*($E63/366))</f>
        <v>46.341463414634148</v>
      </c>
      <c r="M162" s="779"/>
      <c r="N162" s="810">
        <f t="shared" si="43"/>
        <v>100</v>
      </c>
      <c r="O162" s="810"/>
      <c r="P162" s="12"/>
      <c r="Q162" s="12"/>
      <c r="R162" s="12">
        <v>1984</v>
      </c>
      <c r="S162" s="8">
        <f>(O62*($E62/366))+(O63*($E63/366))</f>
        <v>5.5</v>
      </c>
      <c r="T162" s="8">
        <f>(P62*($E62/366))+(P63*($E63/366))</f>
        <v>27.5</v>
      </c>
      <c r="U162" s="8">
        <f>(Q62*($E62/366))+(Q63*($E63/366))</f>
        <v>28.5</v>
      </c>
      <c r="V162" s="12"/>
      <c r="W162" s="7">
        <f t="shared" si="45"/>
        <v>61.5</v>
      </c>
      <c r="X162" s="5"/>
      <c r="Y162" s="5"/>
    </row>
    <row r="163" spans="1:25" x14ac:dyDescent="0.15">
      <c r="A163" s="1">
        <v>1985</v>
      </c>
      <c r="B163" s="8">
        <f>(K64*($E64/365))+(K65*($E65/365))</f>
        <v>11.76470588235294</v>
      </c>
      <c r="C163" s="8">
        <f>(L64*($E64/365))+(L65*($E65/365))</f>
        <v>41.17647058823529</v>
      </c>
      <c r="D163" s="8">
        <f>(M64*($E64/365))+(M65*($E65/365))</f>
        <v>47.058823529411761</v>
      </c>
      <c r="E163" s="35">
        <f t="shared" si="44"/>
        <v>100</v>
      </c>
      <c r="G163" s="1">
        <v>1985</v>
      </c>
      <c r="H163" s="779">
        <f>(O64/$R64*100*($E64/365))+(O65/$R65*100*($E65/365))</f>
        <v>8.9430894308943092</v>
      </c>
      <c r="I163" s="779"/>
      <c r="J163" s="779">
        <f>(P64/$R64*100*($E64/365))+(P65/$R65*100*($E65/365))</f>
        <v>44.715447154471541</v>
      </c>
      <c r="K163" s="779"/>
      <c r="L163" s="779">
        <f>(Q64/$R64*100*($E64/365))+(Q65/$R65*100*($E65/365))</f>
        <v>46.341463414634148</v>
      </c>
      <c r="M163" s="779"/>
      <c r="N163" s="810">
        <f t="shared" si="43"/>
        <v>100</v>
      </c>
      <c r="O163" s="810"/>
      <c r="P163" s="12"/>
      <c r="Q163" s="12"/>
      <c r="R163" s="12">
        <v>1985</v>
      </c>
      <c r="S163" s="8">
        <f>(O64*($E64/365))+(O65*($E65/365))</f>
        <v>5.5</v>
      </c>
      <c r="T163" s="8">
        <f>(P64*($E64/365))+(P65*($E65/365))</f>
        <v>27.5</v>
      </c>
      <c r="U163" s="8">
        <f>(Q64*($E64/365))+(Q65*($E65/365))</f>
        <v>28.5</v>
      </c>
      <c r="V163" s="12"/>
      <c r="W163" s="7">
        <f t="shared" si="45"/>
        <v>61.5</v>
      </c>
      <c r="X163" s="5"/>
      <c r="Y163" s="5"/>
    </row>
    <row r="164" spans="1:25" ht="9" customHeight="1" x14ac:dyDescent="0.15">
      <c r="A164" s="1">
        <v>1986</v>
      </c>
      <c r="B164" s="8">
        <f>(K66*($E66/365))+(K67*($E67/365))</f>
        <v>11.76470588235294</v>
      </c>
      <c r="C164" s="8">
        <f>(L66*($E66/365))+(L67*($E67/365))</f>
        <v>41.17647058823529</v>
      </c>
      <c r="D164" s="8">
        <f>(M66*($E66/365))+(M67*($E67/365))</f>
        <v>47.058823529411761</v>
      </c>
      <c r="E164" s="35">
        <f t="shared" si="44"/>
        <v>100</v>
      </c>
      <c r="G164" s="1">
        <v>1986</v>
      </c>
      <c r="H164" s="779">
        <f>(O66/$R66*100*($E66/365))+(O67/$R67*100*($E67/365))</f>
        <v>8.9430894308943092</v>
      </c>
      <c r="I164" s="779"/>
      <c r="J164" s="779">
        <f>(P66/$R66*100*($E66/365))+(P67/$R67*100*($E67/365))</f>
        <v>44.715447154471541</v>
      </c>
      <c r="K164" s="779"/>
      <c r="L164" s="779">
        <f>(Q66/$R66*100*($E66/365))+(Q67/$R67*100*($E67/365))</f>
        <v>46.341463414634148</v>
      </c>
      <c r="M164" s="779"/>
      <c r="N164" s="810">
        <f t="shared" si="43"/>
        <v>100</v>
      </c>
      <c r="O164" s="810"/>
      <c r="P164" s="12"/>
      <c r="Q164" s="12"/>
      <c r="R164" s="12">
        <v>1986</v>
      </c>
      <c r="S164" s="8">
        <f>(O66*($E66/365))+(O67*($E67/365))</f>
        <v>5.5</v>
      </c>
      <c r="T164" s="8">
        <f>(P66*($E66/365))+(P67*($E67/365))</f>
        <v>27.5</v>
      </c>
      <c r="U164" s="8">
        <f>(Q66*($E66/365))+(Q67*($E67/365))</f>
        <v>28.5</v>
      </c>
      <c r="V164" s="12"/>
      <c r="W164" s="7">
        <f t="shared" si="45"/>
        <v>61.5</v>
      </c>
      <c r="X164" s="5"/>
      <c r="Y164" s="5"/>
    </row>
    <row r="165" spans="1:25" ht="9" customHeight="1" x14ac:dyDescent="0.15">
      <c r="A165" s="1">
        <v>1987</v>
      </c>
      <c r="B165" s="8">
        <f>(K68*($E68/365))+(K69*($E69/365))</f>
        <v>37.534246575342465</v>
      </c>
      <c r="C165" s="8">
        <f>(L68*($E68/365))+(L69*($E69/365))</f>
        <v>17.168949771689498</v>
      </c>
      <c r="D165" s="8">
        <f>(M68*($E68/365))+(M69*($E69/365))</f>
        <v>45.296803652968038</v>
      </c>
      <c r="E165" s="35">
        <f t="shared" si="44"/>
        <v>100</v>
      </c>
      <c r="G165" s="1">
        <v>1987</v>
      </c>
      <c r="H165" s="779">
        <f>(O68/$R68*100*($E68/365))+(O69/$R69*100*($E69/365))</f>
        <v>36.871563759034011</v>
      </c>
      <c r="I165" s="779"/>
      <c r="J165" s="779">
        <f>(P68/$R68*100*($E68/365))+(P69/$R69*100*($E69/365))</f>
        <v>19.208806978794456</v>
      </c>
      <c r="K165" s="779"/>
      <c r="L165" s="779">
        <f>(Q68/$R68*100*($E68/365))+(Q69/$R69*100*($E69/365))</f>
        <v>43.919629262171526</v>
      </c>
      <c r="M165" s="779"/>
      <c r="N165" s="810">
        <f t="shared" si="43"/>
        <v>100</v>
      </c>
      <c r="O165" s="810"/>
      <c r="P165" s="12"/>
      <c r="Q165" s="12"/>
      <c r="R165" s="12">
        <v>1987</v>
      </c>
      <c r="S165" s="8">
        <f>(O68*($E68/365))+(O69*($E69/365))</f>
        <v>24.034246575342468</v>
      </c>
      <c r="T165" s="8">
        <f>(P68*($E68/365))+(P69*($E69/365))</f>
        <v>11.9986301369863</v>
      </c>
      <c r="U165" s="8">
        <f>(Q68*($E68/365))+(Q69*($E69/365))</f>
        <v>28.163013698630138</v>
      </c>
      <c r="V165" s="12"/>
      <c r="W165" s="7">
        <f t="shared" si="45"/>
        <v>64.19589041095891</v>
      </c>
      <c r="X165" s="5"/>
      <c r="Y165" s="5"/>
    </row>
    <row r="166" spans="1:25" ht="9" customHeight="1" x14ac:dyDescent="0.15">
      <c r="A166" s="1">
        <v>1988</v>
      </c>
      <c r="B166" s="8">
        <f>(K70*($E70/366))+(K71*($E71/366))</f>
        <v>50</v>
      </c>
      <c r="C166" s="8">
        <f>(L70*($E70/366))+(L71*($E71/366))</f>
        <v>5.5555555555555554</v>
      </c>
      <c r="D166" s="8">
        <f>(M70*($E70/366))+(M71*($E71/366))</f>
        <v>44.444444444444443</v>
      </c>
      <c r="E166" s="35">
        <f t="shared" si="44"/>
        <v>100</v>
      </c>
      <c r="G166" s="1">
        <v>1988</v>
      </c>
      <c r="H166" s="779">
        <f>(O70/$R70*100*($E70/366))+(O71/$R71*100*($E71/366))</f>
        <v>50.381679389312971</v>
      </c>
      <c r="I166" s="779"/>
      <c r="J166" s="779">
        <f>(P70/$R70*100*($E70/366))+(P71/$R71*100*($E71/366))</f>
        <v>6.8702290076335881</v>
      </c>
      <c r="K166" s="779"/>
      <c r="L166" s="779">
        <f>(Q70/$R70*100*($E70/366))+(Q71/$R71*100*($E71/366))</f>
        <v>42.748091603053432</v>
      </c>
      <c r="M166" s="779"/>
      <c r="N166" s="810">
        <f t="shared" si="43"/>
        <v>100</v>
      </c>
      <c r="O166" s="810"/>
      <c r="P166" s="12"/>
      <c r="Q166" s="12"/>
      <c r="R166" s="12">
        <v>1988</v>
      </c>
      <c r="S166" s="8">
        <f>(O70*($E70/366))+(O71*($E71/366))</f>
        <v>33</v>
      </c>
      <c r="T166" s="8">
        <f>(P70*($E70/366))+(P71*($E71/366))</f>
        <v>4.5</v>
      </c>
      <c r="U166" s="8">
        <f>(Q70*($E70/366))+(Q71*($E71/366))</f>
        <v>28</v>
      </c>
      <c r="V166" s="12"/>
      <c r="W166" s="7">
        <f t="shared" si="45"/>
        <v>65.5</v>
      </c>
      <c r="X166" s="5"/>
      <c r="Y166" s="5"/>
    </row>
    <row r="167" spans="1:25" s="4" customFormat="1" ht="9" customHeight="1" x14ac:dyDescent="0.15">
      <c r="A167" s="4">
        <v>1989</v>
      </c>
      <c r="B167" s="11">
        <f>(K72*($E72/365))+(K73*($E73/365))</f>
        <v>50</v>
      </c>
      <c r="C167" s="11">
        <f>(L72*($E72/365))+(L73*($E73/365))</f>
        <v>5.5555555555555554</v>
      </c>
      <c r="D167" s="11">
        <f>(M72*($E72/365))+(M73*($E73/365))</f>
        <v>44.444444444444443</v>
      </c>
      <c r="E167" s="34">
        <f t="shared" si="44"/>
        <v>100</v>
      </c>
      <c r="G167" s="4">
        <v>1989</v>
      </c>
      <c r="H167" s="806">
        <f>(O72/$R72*100*($E72/365))+(O73/$R73*100*($E73/365))</f>
        <v>50.381679389312971</v>
      </c>
      <c r="I167" s="806"/>
      <c r="J167" s="806">
        <f>(P72/$R72*100*($E72/365))+(P73/$R73*100*($E73/365))</f>
        <v>6.8702290076335881</v>
      </c>
      <c r="K167" s="806"/>
      <c r="L167" s="806">
        <f>(Q72/$R72*100*($E72/365))+(Q73/$R73*100*($E73/365))</f>
        <v>42.748091603053432</v>
      </c>
      <c r="M167" s="806"/>
      <c r="N167" s="808">
        <f t="shared" si="43"/>
        <v>100</v>
      </c>
      <c r="O167" s="808"/>
      <c r="P167" s="27"/>
      <c r="Q167" s="27"/>
      <c r="R167" s="27">
        <v>1989</v>
      </c>
      <c r="S167" s="11">
        <f>(O72*($E72/365))+(O73*($E73/365))</f>
        <v>33</v>
      </c>
      <c r="T167" s="11">
        <f>(P72*($E72/365))+(P73*($E73/365))</f>
        <v>4.5</v>
      </c>
      <c r="U167" s="11">
        <f>(Q72*($E72/365))+(Q73*($E73/365))</f>
        <v>28</v>
      </c>
      <c r="V167" s="27"/>
      <c r="W167" s="11">
        <f t="shared" si="45"/>
        <v>65.5</v>
      </c>
      <c r="X167" s="19"/>
      <c r="Y167" s="19"/>
    </row>
    <row r="168" spans="1:25" ht="9" customHeight="1" x14ac:dyDescent="0.15">
      <c r="A168" s="1">
        <v>1990</v>
      </c>
      <c r="B168" s="8">
        <f>(K74*($E74/365))+(K75*($E75/365))</f>
        <v>47.348460918614023</v>
      </c>
      <c r="C168" s="8">
        <f>(L74*($E74/365))+(L75*($E75/365))</f>
        <v>7.268219178082191</v>
      </c>
      <c r="D168" s="8">
        <f>(M74*($E74/365))+(M75*($E75/365))</f>
        <v>45.317840451248991</v>
      </c>
      <c r="E168" s="35">
        <f t="shared" si="44"/>
        <v>99.934520547945198</v>
      </c>
      <c r="G168" s="1">
        <v>1990</v>
      </c>
      <c r="H168" s="779">
        <f>(O74/$R74*100*($E74/365))+(O75/$R75*100*($E75/365))</f>
        <v>51.664698127859594</v>
      </c>
      <c r="I168" s="779"/>
      <c r="J168" s="779">
        <f>(P74/$R74*100*($E74/365))+(P75/$R75*100*($E75/365))</f>
        <v>4.4985883091080208</v>
      </c>
      <c r="K168" s="779"/>
      <c r="L168" s="779">
        <f>(Q74/$R74*100*($E74/365))+(Q75/$R75*100*($E75/365))</f>
        <v>43.836713563032376</v>
      </c>
      <c r="M168" s="779"/>
      <c r="N168" s="810">
        <f t="shared" si="43"/>
        <v>100</v>
      </c>
      <c r="O168" s="810"/>
      <c r="P168" s="12"/>
      <c r="Q168" s="12"/>
      <c r="R168" s="12">
        <v>1990</v>
      </c>
      <c r="S168" s="8">
        <f>(O74*($E74/365))+(O75*($E75/365))</f>
        <v>33</v>
      </c>
      <c r="T168" s="8">
        <f>(P74*($E74/365))+(P75*($E75/365))</f>
        <v>2.9465753424657533</v>
      </c>
      <c r="U168" s="8">
        <f>(Q74*($E74/365))+(Q75*($E75/365))</f>
        <v>28</v>
      </c>
      <c r="V168" s="12"/>
      <c r="W168" s="7">
        <f t="shared" si="45"/>
        <v>63.946575342465756</v>
      </c>
      <c r="X168" s="5"/>
      <c r="Y168" s="5"/>
    </row>
    <row r="169" spans="1:25" ht="9" customHeight="1" x14ac:dyDescent="0.15">
      <c r="A169" s="1">
        <v>1991</v>
      </c>
      <c r="B169" s="8">
        <f>(K76*($E76/365))+(K77*($E77/365))</f>
        <v>48.912167606768733</v>
      </c>
      <c r="C169" s="8">
        <f>(L76*($E76/365))+(L77*($E77/365))</f>
        <v>36.261079774375503</v>
      </c>
      <c r="D169" s="8">
        <f>(M76*($E76/365))+(M77*($E77/365))</f>
        <v>14.82675261885576</v>
      </c>
      <c r="E169" s="35">
        <f t="shared" si="44"/>
        <v>100</v>
      </c>
      <c r="G169" s="1">
        <v>1991</v>
      </c>
      <c r="H169" s="779">
        <f>(O76/$R76*100*($E76/365))+(O77/$R77*100*($E77/365))</f>
        <v>48.015504935607652</v>
      </c>
      <c r="I169" s="779"/>
      <c r="J169" s="779">
        <f>(P76/$R76*100*($E76/365))+(P77/$R77*100*($E77/365))</f>
        <v>37.522334723049433</v>
      </c>
      <c r="K169" s="779"/>
      <c r="L169" s="779">
        <f>(Q76/$R76*100*($E76/365))+(Q77/$R77*100*($E77/365))</f>
        <v>14.462160341342914</v>
      </c>
      <c r="M169" s="779"/>
      <c r="N169" s="810">
        <f t="shared" ref="N169:N190" si="46">SUM(H169:M169)</f>
        <v>99.999999999999986</v>
      </c>
      <c r="O169" s="810"/>
      <c r="P169" s="12"/>
      <c r="Q169" s="12"/>
      <c r="R169" s="12">
        <v>1991</v>
      </c>
      <c r="S169" s="8">
        <f>(O76*($E76/365))+(O77*($E77/365))</f>
        <v>28.205479452054792</v>
      </c>
      <c r="T169" s="8">
        <f>(P76*($E76/365))+(P77*($E77/365))</f>
        <v>21.575342465753423</v>
      </c>
      <c r="U169" s="8">
        <f>(Q76*($E76/365))+(Q77*($E77/365))</f>
        <v>8.8219178082191778</v>
      </c>
      <c r="V169" s="12"/>
      <c r="W169" s="7">
        <f t="shared" si="45"/>
        <v>58.602739726027387</v>
      </c>
      <c r="X169" s="5"/>
      <c r="Y169" s="5"/>
    </row>
    <row r="170" spans="1:25" ht="9" customHeight="1" x14ac:dyDescent="0.15">
      <c r="A170" s="1">
        <v>1992</v>
      </c>
      <c r="B170" s="8">
        <f>(K78*($E78/366))+(K79*($E79/366))</f>
        <v>47.058823529411761</v>
      </c>
      <c r="C170" s="8">
        <f>(L78*($E78/366))+(L79*($E79/366))</f>
        <v>52.941176470588239</v>
      </c>
      <c r="D170" s="8">
        <f>(M78*($E78/366))+(M79*($E79/366))</f>
        <v>0</v>
      </c>
      <c r="E170" s="35">
        <f t="shared" si="44"/>
        <v>100</v>
      </c>
      <c r="G170" s="1">
        <v>1992</v>
      </c>
      <c r="H170" s="779">
        <f>(O78/$R78*100*($E78/366))+(O79/$R79*100*($E79/366))</f>
        <v>45.217391304347828</v>
      </c>
      <c r="I170" s="779"/>
      <c r="J170" s="779">
        <f>(P78/$R78*100*($E78/366))+(P79/$R79*100*($E79/366))</f>
        <v>54.782608695652172</v>
      </c>
      <c r="K170" s="779"/>
      <c r="L170" s="779">
        <f>(Q78/$R78*100*($E78/366))+(Q79/$R79*100*($E79/366))</f>
        <v>0</v>
      </c>
      <c r="M170" s="779"/>
      <c r="N170" s="810">
        <f t="shared" si="46"/>
        <v>100</v>
      </c>
      <c r="O170" s="810"/>
      <c r="P170" s="12"/>
      <c r="Q170" s="12"/>
      <c r="R170" s="12">
        <v>1992</v>
      </c>
      <c r="S170" s="8">
        <f>(O78*($E78/366))+(O79*($E79/366))</f>
        <v>26</v>
      </c>
      <c r="T170" s="8">
        <f>(P78*($E78/366))+(P79*($E79/366))</f>
        <v>31.5</v>
      </c>
      <c r="U170" s="8">
        <f>(Q78*($E78/366))+(Q79*($E79/366))</f>
        <v>0</v>
      </c>
      <c r="V170" s="12"/>
      <c r="W170" s="7">
        <f t="shared" si="45"/>
        <v>57.5</v>
      </c>
      <c r="X170" s="5"/>
      <c r="Y170" s="5"/>
    </row>
    <row r="171" spans="1:25" ht="9" customHeight="1" x14ac:dyDescent="0.15">
      <c r="A171" s="1">
        <v>1993</v>
      </c>
      <c r="B171" s="8">
        <f>(K80*($E80/365))+(K81*($E81/365))</f>
        <v>47.058823529411761</v>
      </c>
      <c r="C171" s="8">
        <f>(L80*($E80/365))+(L81*($E81/365))</f>
        <v>52.941176470588239</v>
      </c>
      <c r="D171" s="8">
        <f>(M80*($E80/365))+(M81*($E81/365))</f>
        <v>0</v>
      </c>
      <c r="E171" s="35">
        <f t="shared" si="44"/>
        <v>100</v>
      </c>
      <c r="G171" s="1">
        <v>1993</v>
      </c>
      <c r="H171" s="779">
        <f>(O80/$R80*100*($E80/365))+(O81/$R81*100*($E81/365))</f>
        <v>45.217391304347828</v>
      </c>
      <c r="I171" s="779"/>
      <c r="J171" s="779">
        <f>(P80/$R80*100*($E80/365))+(P81/$R81*100*($E81/365))</f>
        <v>54.782608695652172</v>
      </c>
      <c r="K171" s="779"/>
      <c r="L171" s="779">
        <f>(Q80/$R80*100*($E80/365))+(Q81/$R81*100*($E81/365))</f>
        <v>0</v>
      </c>
      <c r="M171" s="779"/>
      <c r="N171" s="810">
        <f t="shared" si="46"/>
        <v>100</v>
      </c>
      <c r="O171" s="810"/>
      <c r="P171" s="12"/>
      <c r="Q171" s="12"/>
      <c r="R171" s="12">
        <v>1993</v>
      </c>
      <c r="S171" s="8">
        <f>(O80*($E80/365))+(O81*($E81/365))</f>
        <v>26</v>
      </c>
      <c r="T171" s="8">
        <f>(P80*($E80/365))+(P81*($E81/365))</f>
        <v>31.5</v>
      </c>
      <c r="U171" s="8">
        <f>(Q80*($E80/365))+(Q81*($E81/365))</f>
        <v>0</v>
      </c>
      <c r="V171" s="12"/>
      <c r="W171" s="7">
        <f t="shared" si="45"/>
        <v>57.5</v>
      </c>
      <c r="X171" s="5"/>
      <c r="Y171" s="5"/>
    </row>
    <row r="172" spans="1:25" ht="9" customHeight="1" x14ac:dyDescent="0.15">
      <c r="A172" s="1">
        <v>1994</v>
      </c>
      <c r="B172" s="8">
        <f>(K82*($E82/365))+(K83*($E83/365))</f>
        <v>48.630136986301366</v>
      </c>
      <c r="C172" s="8">
        <f>(L82*($E82/365))+(L83*($E83/365))</f>
        <v>51.369863013698634</v>
      </c>
      <c r="D172" s="8">
        <f>(M82*($E82/365))+(M83*($E83/365))</f>
        <v>0</v>
      </c>
      <c r="E172" s="35">
        <f t="shared" si="44"/>
        <v>100</v>
      </c>
      <c r="G172" s="1">
        <v>1994</v>
      </c>
      <c r="H172" s="779">
        <f>(O82/$R82*100*($E82/365))+(O83/$R83*100*($E83/365))</f>
        <v>47.023539823994028</v>
      </c>
      <c r="I172" s="779"/>
      <c r="J172" s="779">
        <f>(P82/$R82*100*($E82/365))+(P83/$R83*100*($E83/365))</f>
        <v>52.976460176005965</v>
      </c>
      <c r="K172" s="779"/>
      <c r="L172" s="779">
        <f>(Q82/$R82*100*($E82/365))+(Q83/$R83*100*($E83/365))</f>
        <v>0</v>
      </c>
      <c r="M172" s="779"/>
      <c r="N172" s="810">
        <f t="shared" si="46"/>
        <v>100</v>
      </c>
      <c r="O172" s="810"/>
      <c r="P172" s="12"/>
      <c r="Q172" s="12"/>
      <c r="R172" s="12">
        <v>1994</v>
      </c>
      <c r="S172" s="8">
        <f>(O82*($E82/365))+(O83*($E83/365))</f>
        <v>26</v>
      </c>
      <c r="T172" s="8">
        <f>(P82*($E82/365))+(P83*($E83/365))</f>
        <v>29.363013698630134</v>
      </c>
      <c r="U172" s="8">
        <f>(Q82*($E82/365))+(Q83*($E83/365))</f>
        <v>0</v>
      </c>
      <c r="V172" s="12"/>
      <c r="W172" s="7">
        <f t="shared" si="45"/>
        <v>55.363013698630134</v>
      </c>
      <c r="X172" s="5"/>
      <c r="Y172" s="5"/>
    </row>
    <row r="173" spans="1:25" ht="9" customHeight="1" x14ac:dyDescent="0.15">
      <c r="A173" s="1">
        <v>1995</v>
      </c>
      <c r="B173" s="8">
        <f>(K84*($E84/365))+(K85*($E85/365))</f>
        <v>41.993911719939121</v>
      </c>
      <c r="C173" s="8">
        <f>(L84*($E84/365))+(L85*($E85/365))</f>
        <v>13.972602739726028</v>
      </c>
      <c r="D173" s="8">
        <f>(M84*($E84/365))+(M85*($E85/365))</f>
        <v>40.030441400304419</v>
      </c>
      <c r="E173" s="35">
        <f t="shared" si="44"/>
        <v>95.996955859969574</v>
      </c>
      <c r="G173" s="1">
        <v>1995</v>
      </c>
      <c r="H173" s="779">
        <f>(O84/$R84*100*($E84/365))+(O85/$R85*100*($E85/365))</f>
        <v>38.924258009261912</v>
      </c>
      <c r="I173" s="779"/>
      <c r="J173" s="779">
        <f>(P84/$R84*100*($E84/365))+(P85/$R85*100*($E85/365))</f>
        <v>14.364357956727691</v>
      </c>
      <c r="K173" s="779"/>
      <c r="L173" s="779">
        <f>(Q84/$R84*100*($E84/365))+(Q85/$R85*100*($E85/365))</f>
        <v>46.711384034010386</v>
      </c>
      <c r="M173" s="779"/>
      <c r="N173" s="810">
        <f t="shared" si="46"/>
        <v>100</v>
      </c>
      <c r="O173" s="810"/>
      <c r="P173" s="12"/>
      <c r="Q173" s="12"/>
      <c r="R173" s="12">
        <v>1995</v>
      </c>
      <c r="S173" s="8">
        <f>(O84*($E84/365))+(O85*($E85/365))</f>
        <v>25.639726027397263</v>
      </c>
      <c r="T173" s="8">
        <f>(P84*($E84/365))+(P85*($E85/365))</f>
        <v>7.6849315068493151</v>
      </c>
      <c r="U173" s="8">
        <f>(Q84*($E84/365))+(Q85*($E85/365))</f>
        <v>33.865753424657534</v>
      </c>
      <c r="V173" s="12"/>
      <c r="W173" s="7">
        <f t="shared" si="45"/>
        <v>67.19041095890411</v>
      </c>
      <c r="X173" s="5"/>
      <c r="Y173" s="5"/>
    </row>
    <row r="174" spans="1:25" ht="9" customHeight="1" x14ac:dyDescent="0.15">
      <c r="A174" s="1">
        <v>1996</v>
      </c>
      <c r="B174" s="8">
        <f>(K86*($E86/366))+(K87*($E87/366))</f>
        <v>38.888888888888893</v>
      </c>
      <c r="C174" s="8">
        <f>(L86*($E86/366))+(L87*($E87/366))</f>
        <v>0</v>
      </c>
      <c r="D174" s="8">
        <f>(M86*($E86/366))+(M87*($E87/366))</f>
        <v>55.555555555555557</v>
      </c>
      <c r="E174" s="35">
        <f t="shared" si="44"/>
        <v>94.444444444444457</v>
      </c>
      <c r="G174" s="1">
        <v>1996</v>
      </c>
      <c r="H174" s="779">
        <f>(O86/$R86*100*($E86/366))+(O87/$R87*100*($E87/366))</f>
        <v>35.172413793103445</v>
      </c>
      <c r="I174" s="779"/>
      <c r="J174" s="779">
        <f>(P86/$R86*100*($E86/366))+(P87/$R87*100*($E87/366))</f>
        <v>0</v>
      </c>
      <c r="K174" s="779"/>
      <c r="L174" s="779">
        <f>(Q86/$R86*100*($E86/366))+(Q87/$R87*100*($E87/366))</f>
        <v>64.827586206896541</v>
      </c>
      <c r="M174" s="779"/>
      <c r="N174" s="810">
        <f t="shared" si="46"/>
        <v>99.999999999999986</v>
      </c>
      <c r="O174" s="810"/>
      <c r="P174" s="12"/>
      <c r="Q174" s="12"/>
      <c r="R174" s="12">
        <v>1996</v>
      </c>
      <c r="S174" s="8">
        <f>(O86*($E86/366))+(O87*($E87/366))</f>
        <v>25.5</v>
      </c>
      <c r="T174" s="8">
        <f>(P86*($E86/366))+(P87*($E87/366))</f>
        <v>0</v>
      </c>
      <c r="U174" s="8">
        <f>(Q86*($E86/366))+(Q87*($E87/366))</f>
        <v>47</v>
      </c>
      <c r="V174" s="12"/>
      <c r="W174" s="7">
        <f t="shared" si="45"/>
        <v>72.5</v>
      </c>
      <c r="X174" s="5"/>
      <c r="Y174" s="5"/>
    </row>
    <row r="175" spans="1:25" ht="9" customHeight="1" x14ac:dyDescent="0.15">
      <c r="A175" s="1">
        <v>1997</v>
      </c>
      <c r="B175" s="8">
        <f>(K88*($E88/365))+(K89*($E89/365))</f>
        <v>38.888888888888893</v>
      </c>
      <c r="C175" s="8">
        <f>(L88*($E88/365))+(L89*($E89/365))</f>
        <v>0</v>
      </c>
      <c r="D175" s="8">
        <f>(M88*($E88/365))+(M89*($E89/365))</f>
        <v>55.555555555555557</v>
      </c>
      <c r="E175" s="35">
        <f t="shared" si="44"/>
        <v>94.444444444444457</v>
      </c>
      <c r="G175" s="1">
        <v>1997</v>
      </c>
      <c r="H175" s="779">
        <f>(O88/$R88*100*($E88/365))+(O89/$R89*100*($E89/365))</f>
        <v>35.172413793103445</v>
      </c>
      <c r="I175" s="779"/>
      <c r="J175" s="779">
        <f>(P88/$R88*100*($E88/365))+(P89/$R89*100*($E89/365))</f>
        <v>0</v>
      </c>
      <c r="K175" s="779"/>
      <c r="L175" s="779">
        <f>(Q88/$R88*100*($E88/365))+(Q89/$R89*100*($E89/365))</f>
        <v>64.827586206896541</v>
      </c>
      <c r="M175" s="779"/>
      <c r="N175" s="810">
        <f t="shared" si="46"/>
        <v>99.999999999999986</v>
      </c>
      <c r="O175" s="810"/>
      <c r="P175" s="12"/>
      <c r="Q175" s="12"/>
      <c r="R175" s="12">
        <v>1997</v>
      </c>
      <c r="S175" s="8">
        <f>(O88*($E88/365))+(O89*($E89/365))</f>
        <v>25.5</v>
      </c>
      <c r="T175" s="8">
        <f>(P88*($E88/365))+(P89*($E89/365))</f>
        <v>0</v>
      </c>
      <c r="U175" s="8">
        <f>(Q88*($E88/365))+(Q89*($E89/365))</f>
        <v>47</v>
      </c>
      <c r="V175" s="12"/>
      <c r="W175" s="7">
        <f t="shared" si="45"/>
        <v>72.5</v>
      </c>
      <c r="X175" s="5"/>
      <c r="Y175" s="5"/>
    </row>
    <row r="176" spans="1:25" ht="9" customHeight="1" x14ac:dyDescent="0.15">
      <c r="A176" s="1">
        <v>1998</v>
      </c>
      <c r="B176" s="8">
        <f>(K90*($E90/365))+(K91*($E91/365))</f>
        <v>38.888888888888893</v>
      </c>
      <c r="C176" s="8">
        <f>(L90*($E90/365))+(L91*($E91/365))</f>
        <v>0</v>
      </c>
      <c r="D176" s="8">
        <f>(M90*($E90/365))+(M91*($E91/365))</f>
        <v>55.555555555555557</v>
      </c>
      <c r="E176" s="35">
        <f t="shared" si="44"/>
        <v>94.444444444444457</v>
      </c>
      <c r="G176" s="1">
        <v>1998</v>
      </c>
      <c r="H176" s="779">
        <f>(O90/$R90*100*($E90/365))+(O91/$R91*100*($E91/365))</f>
        <v>35.172413793103445</v>
      </c>
      <c r="I176" s="779"/>
      <c r="J176" s="779">
        <f>(P90/$R90*100*($E90/365))+(P91/$R91*100*($E91/365))</f>
        <v>0</v>
      </c>
      <c r="K176" s="779"/>
      <c r="L176" s="779">
        <f>(Q90/$R90*100*($E90/365))+(Q91/$R91*100*($E91/365))</f>
        <v>64.827586206896541</v>
      </c>
      <c r="M176" s="779"/>
      <c r="N176" s="810">
        <f t="shared" si="46"/>
        <v>99.999999999999986</v>
      </c>
      <c r="O176" s="810"/>
      <c r="P176" s="12"/>
      <c r="Q176" s="12"/>
      <c r="R176" s="12">
        <v>1998</v>
      </c>
      <c r="S176" s="8">
        <f>(O90*($E90/365))+(O91*($E91/365))</f>
        <v>25.5</v>
      </c>
      <c r="T176" s="8">
        <f>(P90*($E90/365))+(P91*($E91/365))</f>
        <v>0</v>
      </c>
      <c r="U176" s="8">
        <f>(Q90*($E90/365))+(Q91*($E91/365))</f>
        <v>47</v>
      </c>
      <c r="V176" s="12"/>
      <c r="W176" s="7">
        <f t="shared" si="45"/>
        <v>72.5</v>
      </c>
      <c r="X176" s="5"/>
      <c r="Y176" s="5"/>
    </row>
    <row r="177" spans="1:25" ht="9" customHeight="1" x14ac:dyDescent="0.15">
      <c r="A177" s="1">
        <v>1999</v>
      </c>
      <c r="B177" s="8">
        <f>(K92*($E92/365))+(K93*($E93/365))</f>
        <v>42.861491628614914</v>
      </c>
      <c r="C177" s="8">
        <f>(L92*($E92/365))+(L93*($E93/365))</f>
        <v>0</v>
      </c>
      <c r="D177" s="8">
        <f>(M92*($E92/365))+(M93*($E93/365))</f>
        <v>51.582952815829529</v>
      </c>
      <c r="E177" s="35">
        <f t="shared" si="44"/>
        <v>94.444444444444443</v>
      </c>
      <c r="G177" s="1">
        <v>1999</v>
      </c>
      <c r="H177" s="779">
        <f>(O92/$R92*100*($E92/365))+(O93/$R93*100*($E93/365))</f>
        <v>39.645995006410686</v>
      </c>
      <c r="I177" s="779"/>
      <c r="J177" s="779">
        <f>(P92/$R92*100*($E92/365))+(P93/$R93*100*($E93/365))</f>
        <v>0</v>
      </c>
      <c r="K177" s="779"/>
      <c r="L177" s="779">
        <f>(Q92/$R92*100*($E92/365))+(Q93/$R93*100*($E93/365))</f>
        <v>60.354004993589314</v>
      </c>
      <c r="M177" s="779"/>
      <c r="N177" s="810">
        <f t="shared" si="46"/>
        <v>100</v>
      </c>
      <c r="O177" s="810"/>
      <c r="P177" s="12"/>
      <c r="Q177" s="12"/>
      <c r="R177" s="12">
        <v>1999</v>
      </c>
      <c r="S177" s="8">
        <f>(O92*($E92/365))+(O93*($E93/365))</f>
        <v>28.002739726027393</v>
      </c>
      <c r="T177" s="8">
        <f>(P92*($E92/365))+(P93*($E93/365))</f>
        <v>0</v>
      </c>
      <c r="U177" s="8">
        <f>(Q92*($E92/365))+(Q93*($E93/365))</f>
        <v>42.709589041095889</v>
      </c>
      <c r="V177" s="12"/>
      <c r="W177" s="7">
        <f t="shared" si="45"/>
        <v>70.712328767123282</v>
      </c>
      <c r="X177" s="5"/>
      <c r="Y177" s="5"/>
    </row>
    <row r="178" spans="1:25" ht="9" customHeight="1" x14ac:dyDescent="0.15">
      <c r="A178" s="1">
        <v>2000</v>
      </c>
      <c r="B178" s="8">
        <f>(K94*($E94/366))+(K95*($E95/366))</f>
        <v>44.444444444444443</v>
      </c>
      <c r="C178" s="8">
        <f>(L94*($E94/366))+(L95*($E95/366))</f>
        <v>0</v>
      </c>
      <c r="D178" s="8">
        <f>(M94*($E94/366))+(M95*($E95/366))</f>
        <v>50</v>
      </c>
      <c r="E178" s="35">
        <f t="shared" si="44"/>
        <v>94.444444444444443</v>
      </c>
      <c r="G178" s="1">
        <v>2000</v>
      </c>
      <c r="H178" s="779">
        <f>(O94/$R94*100*($E94/366))+(O95/$R95*100*($E95/366))</f>
        <v>41.428571428571431</v>
      </c>
      <c r="I178" s="779"/>
      <c r="J178" s="779">
        <f>(P94/$R94*100*($E94/366))+(P95/$R95*100*($E95/366))</f>
        <v>0</v>
      </c>
      <c r="K178" s="779"/>
      <c r="L178" s="779">
        <f>(Q94/$R94*100*($E94/366))+(Q95/$R95*100*($E95/366))</f>
        <v>58.571428571428577</v>
      </c>
      <c r="M178" s="779"/>
      <c r="N178" s="810">
        <f t="shared" si="46"/>
        <v>100</v>
      </c>
      <c r="O178" s="810"/>
      <c r="P178" s="12"/>
      <c r="Q178" s="12"/>
      <c r="R178" s="12">
        <v>2000</v>
      </c>
      <c r="S178" s="8">
        <f>(O94*($E94/366))+(O95*($E95/366))</f>
        <v>29</v>
      </c>
      <c r="T178" s="8">
        <f>(P94*($E94/366))+(P95*($E95/366))</f>
        <v>0</v>
      </c>
      <c r="U178" s="8">
        <f>(Q94*($E94/366))+(Q95*($E95/366))</f>
        <v>41</v>
      </c>
      <c r="V178" s="12"/>
      <c r="W178" s="7">
        <f t="shared" si="45"/>
        <v>70</v>
      </c>
      <c r="X178" s="5"/>
      <c r="Y178" s="5"/>
    </row>
    <row r="179" spans="1:25" ht="9" customHeight="1" x14ac:dyDescent="0.15">
      <c r="A179" s="1">
        <v>2001</v>
      </c>
      <c r="B179" s="8">
        <f>(K96*($E96/365))+(K97*($E97/365))</f>
        <v>44.444444444444443</v>
      </c>
      <c r="C179" s="8">
        <f>(L96*($E96/365))+(L97*($E97/365))</f>
        <v>0</v>
      </c>
      <c r="D179" s="8">
        <f>(M96*($E96/365))+(M97*($E97/365))</f>
        <v>50</v>
      </c>
      <c r="E179" s="35">
        <f t="shared" si="44"/>
        <v>94.444444444444443</v>
      </c>
      <c r="G179" s="1">
        <v>2001</v>
      </c>
      <c r="H179" s="779">
        <f>(O96/$R96*100*($E96/365))+(O97/$R97*100*($E97/365))</f>
        <v>41.428571428571431</v>
      </c>
      <c r="I179" s="779"/>
      <c r="J179" s="779">
        <f>(P96/$R96*100*($E96/365))+(P97/$R97*100*($E97/365))</f>
        <v>0</v>
      </c>
      <c r="K179" s="779"/>
      <c r="L179" s="779">
        <f>(Q96/$R96*100*($E96/365))+(Q97/$R97*100*($E97/365))</f>
        <v>58.571428571428577</v>
      </c>
      <c r="M179" s="779"/>
      <c r="N179" s="810">
        <f t="shared" si="46"/>
        <v>100</v>
      </c>
      <c r="O179" s="810"/>
      <c r="P179" s="12"/>
      <c r="Q179" s="12"/>
      <c r="R179" s="12">
        <v>2001</v>
      </c>
      <c r="S179" s="8">
        <f>(O96*($E96/365))+(O97*($E97/365))</f>
        <v>29</v>
      </c>
      <c r="T179" s="8">
        <f>(P96*($E96/365))+(P97*($E97/365))</f>
        <v>0</v>
      </c>
      <c r="U179" s="8">
        <f>(Q96*($E96/365))+(Q97*($E97/365))</f>
        <v>41</v>
      </c>
      <c r="V179" s="12"/>
      <c r="W179" s="7">
        <f t="shared" si="45"/>
        <v>70</v>
      </c>
      <c r="X179" s="5"/>
      <c r="Y179" s="5"/>
    </row>
    <row r="180" spans="1:25" ht="9" customHeight="1" x14ac:dyDescent="0.15">
      <c r="A180" s="1">
        <v>2002</v>
      </c>
      <c r="B180" s="8">
        <f>(K98*($E98/365))+(K99*($E99/365))+(K100*($E100/365))</f>
        <v>51.628614916286153</v>
      </c>
      <c r="C180" s="8">
        <f>(L98*($E98/365))+(L99*($E99/365))+(L100*($E100/365))</f>
        <v>0</v>
      </c>
      <c r="D180" s="8">
        <f>(M98*($E98/365))+(M99*($E99/365))+(M100*($E100/365))</f>
        <v>46.088280060882802</v>
      </c>
      <c r="E180" s="35">
        <f t="shared" si="44"/>
        <v>97.716894977168948</v>
      </c>
      <c r="G180" s="1">
        <v>2002</v>
      </c>
      <c r="H180" s="779">
        <f>(O98/$R98*100*($E98/365))+(O99/$R99*100*($E99/365))+(O100/$R100*100*($E100/365))</f>
        <v>43.915957462946949</v>
      </c>
      <c r="I180" s="779"/>
      <c r="J180" s="779">
        <f>(P98/$R98*100*($E98/365))+(P99/$R99*100*($E99/365))+(P100/$R100*100*($E100/365))</f>
        <v>0</v>
      </c>
      <c r="K180" s="779"/>
      <c r="L180" s="779">
        <f>(Q98/$R98*100*($E98/365))+(Q99/$R99*100*($E99/365))+(Q100/$R100*100*($E100/365))</f>
        <v>56.084042537053051</v>
      </c>
      <c r="M180" s="779"/>
      <c r="N180" s="810">
        <f t="shared" si="46"/>
        <v>100</v>
      </c>
      <c r="O180" s="810"/>
      <c r="P180" s="12"/>
      <c r="Q180" s="12"/>
      <c r="R180" s="12">
        <v>2002</v>
      </c>
      <c r="S180" s="8">
        <f>(O98*($E98/365))+(O99*($E99/365))+(O100*($E100/365))</f>
        <v>29</v>
      </c>
      <c r="T180" s="8">
        <f>(P98*($E98/365))+(P99*($E99/365))+(P100*($E100/365))</f>
        <v>0</v>
      </c>
      <c r="U180" s="8">
        <f>(Q98*($E98/365))+(Q99*($E99/365))+(Q100*($E100/365))</f>
        <v>37.127397260273973</v>
      </c>
      <c r="V180" s="12"/>
      <c r="W180" s="7">
        <f t="shared" si="45"/>
        <v>66.127397260273966</v>
      </c>
      <c r="X180" s="5"/>
      <c r="Y180" s="5"/>
    </row>
    <row r="181" spans="1:25" ht="9" customHeight="1" x14ac:dyDescent="0.15">
      <c r="A181" s="1">
        <v>2003</v>
      </c>
      <c r="B181" s="8">
        <f>(K101*($E101/365))+(K102*($E102/365))+(K103*($E103/365))</f>
        <v>24.018264840182646</v>
      </c>
      <c r="C181" s="8">
        <f>(L101*($E101/365))+(L102*($E102/365))+(L103*($E103/365))</f>
        <v>31.537290715372905</v>
      </c>
      <c r="D181" s="8">
        <f>(M101*($E101/365))+(M102*($E102/365))+(M103*($E103/365))</f>
        <v>44.444444444444443</v>
      </c>
      <c r="E181" s="35">
        <f t="shared" si="44"/>
        <v>100</v>
      </c>
      <c r="G181" s="1">
        <v>2003</v>
      </c>
      <c r="H181" s="779">
        <f>(O101/$R101*100*($E101/365))+(O102/$R102*100*($E102/365))+(O103/$R103*100*($E103/365))</f>
        <v>18.515614151166872</v>
      </c>
      <c r="I181" s="779"/>
      <c r="J181" s="779">
        <f>(P101/$R101*100*($E101/365))+(P102/$R102*100*($E102/365))+(P103/$R103*100*($E103/365))</f>
        <v>33.356749795105955</v>
      </c>
      <c r="K181" s="779"/>
      <c r="L181" s="779">
        <f>(Q101/$R101*100*($E101/365))+(Q102/$R102*100*($E102/365))+(Q103/$R103*100*($E103/365))</f>
        <v>48.127636053727159</v>
      </c>
      <c r="M181" s="779"/>
      <c r="N181" s="810">
        <f t="shared" si="46"/>
        <v>99.999999999999986</v>
      </c>
      <c r="O181" s="810"/>
      <c r="P181" s="12"/>
      <c r="Q181" s="12"/>
      <c r="R181" s="12">
        <v>2003</v>
      </c>
      <c r="S181" s="8">
        <f>(O101*($E101/365))+(O102*($E102/365))+(O103*($E103/365))</f>
        <v>11.615068493150684</v>
      </c>
      <c r="T181" s="8">
        <f>(P101*($E101/365))+(P102*($E102/365))+(P103*($E103/365))</f>
        <v>19.513698630136986</v>
      </c>
      <c r="U181" s="8">
        <f>(Q101*($E101/365))+(Q102*($E102/365))+(Q103*($E103/365))</f>
        <v>29.113698630136987</v>
      </c>
      <c r="V181" s="12"/>
      <c r="W181" s="7">
        <f t="shared" si="45"/>
        <v>60.242465753424653</v>
      </c>
      <c r="X181" s="5"/>
      <c r="Y181" s="5"/>
    </row>
    <row r="182" spans="1:25" ht="9" customHeight="1" x14ac:dyDescent="0.15">
      <c r="A182" s="1">
        <v>2004</v>
      </c>
      <c r="B182" s="8">
        <f>(K104*($E104/366))+(K105*($E105/366))</f>
        <v>11.111111111111111</v>
      </c>
      <c r="C182" s="8">
        <f>(L104*($E104/366))+(L105*($E105/366))</f>
        <v>44.444444444444443</v>
      </c>
      <c r="D182" s="8">
        <f>(M104*($E104/366))+(M105*($E105/366))</f>
        <v>44.444444444444443</v>
      </c>
      <c r="E182" s="35">
        <f t="shared" si="44"/>
        <v>100</v>
      </c>
      <c r="G182" s="1">
        <v>2004</v>
      </c>
      <c r="H182" s="779">
        <f>(O104/$R104*100*($E104/366))+(O105/$R105*100*($E105/366))</f>
        <v>7.6923076923076925</v>
      </c>
      <c r="I182" s="779"/>
      <c r="J182" s="779">
        <f>(P104/$R104*100*($E104/366))+(P105/$R105*100*($E105/366))</f>
        <v>47.008547008547005</v>
      </c>
      <c r="K182" s="779"/>
      <c r="L182" s="779">
        <f>(Q104/$R104*100*($E104/366))+(Q105/$R105*100*($E105/366))</f>
        <v>45.299145299145302</v>
      </c>
      <c r="M182" s="779"/>
      <c r="N182" s="810">
        <f t="shared" si="46"/>
        <v>100</v>
      </c>
      <c r="O182" s="810"/>
      <c r="P182" s="12"/>
      <c r="Q182" s="12"/>
      <c r="R182" s="12">
        <v>2004</v>
      </c>
      <c r="S182" s="8">
        <f>(O104*($E104/366))+(O105*($E105/366))</f>
        <v>4.5</v>
      </c>
      <c r="T182" s="8">
        <f>(P104*($E104/366))+(P105*($E105/366))</f>
        <v>27.5</v>
      </c>
      <c r="U182" s="8">
        <f>(Q104*($E104/366))+(Q105*($E105/366))</f>
        <v>26.5</v>
      </c>
      <c r="V182" s="12"/>
      <c r="W182" s="7">
        <f t="shared" si="45"/>
        <v>58.5</v>
      </c>
      <c r="X182" s="5"/>
      <c r="Y182" s="5"/>
    </row>
    <row r="183" spans="1:25" ht="9" customHeight="1" x14ac:dyDescent="0.15">
      <c r="A183" s="1">
        <v>2005</v>
      </c>
      <c r="B183" s="8">
        <f>(K106*($E106/365))+(K107*($E107/365))</f>
        <v>11.111111111111111</v>
      </c>
      <c r="C183" s="8">
        <f>(L106*($E106/365))+(L107*($E107/365))</f>
        <v>44.444444444444443</v>
      </c>
      <c r="D183" s="8">
        <f>(M106*($E106/365))+(M107*($E107/365))</f>
        <v>44.444444444444443</v>
      </c>
      <c r="E183" s="35">
        <f t="shared" si="44"/>
        <v>100</v>
      </c>
      <c r="G183" s="1">
        <v>2005</v>
      </c>
      <c r="H183" s="779">
        <f>(O106/$R106*100*($E106/365))+(O107/$R107*100*($E107/365))</f>
        <v>7.6923076923076925</v>
      </c>
      <c r="I183" s="779"/>
      <c r="J183" s="779">
        <f>(P106/$R106*100*($E106/365))+(P107/$R107*100*($E107/365))</f>
        <v>47.008547008547005</v>
      </c>
      <c r="K183" s="779"/>
      <c r="L183" s="779">
        <f>(Q106/$R106*100*($E106/365))+(Q107/$R107*100*($E107/365))</f>
        <v>45.299145299145302</v>
      </c>
      <c r="M183" s="779"/>
      <c r="N183" s="810">
        <f t="shared" si="46"/>
        <v>100</v>
      </c>
      <c r="O183" s="810"/>
      <c r="P183" s="12"/>
      <c r="Q183" s="12"/>
      <c r="R183" s="12">
        <v>2005</v>
      </c>
      <c r="S183" s="8">
        <f>(O106*($E106/365))+(O107*($E107/365))</f>
        <v>4.5</v>
      </c>
      <c r="T183" s="8">
        <f>(P106*($E106/365))+(P107*($E107/365))</f>
        <v>27.5</v>
      </c>
      <c r="U183" s="8">
        <f>(Q106*($E106/365))+(Q107*($E107/365))</f>
        <v>26.5</v>
      </c>
      <c r="V183" s="12"/>
      <c r="W183" s="7">
        <f t="shared" si="45"/>
        <v>58.5</v>
      </c>
      <c r="X183" s="5"/>
      <c r="Y183" s="5"/>
    </row>
    <row r="184" spans="1:25" ht="9" customHeight="1" x14ac:dyDescent="0.15">
      <c r="A184" s="1">
        <v>2006</v>
      </c>
      <c r="B184" s="8">
        <f>(K108*($E108/365))+(K109*($E109/365))</f>
        <v>11.111111111111111</v>
      </c>
      <c r="C184" s="8">
        <f>(L108*($E108/365))+(L109*($E109/365))</f>
        <v>44.444444444444443</v>
      </c>
      <c r="D184" s="8">
        <f>(M108*($E108/365))+(M109*($E109/365))</f>
        <v>44.444444444444443</v>
      </c>
      <c r="E184" s="35">
        <f t="shared" si="44"/>
        <v>100</v>
      </c>
      <c r="G184" s="1">
        <v>2006</v>
      </c>
      <c r="H184" s="779">
        <f>(O108/$R108*100*($E108/365))+(O109/$R109*100*($E109/365))</f>
        <v>7.6923076923076925</v>
      </c>
      <c r="I184" s="779"/>
      <c r="J184" s="779">
        <f>(P108/$R108*100*($E108/365))+(P109/$R109*100*($E109/365))</f>
        <v>47.008547008547005</v>
      </c>
      <c r="K184" s="779"/>
      <c r="L184" s="779">
        <f>(Q108/$R108*100*($E108/365))+(Q109/$R109*100*($E109/365))</f>
        <v>45.299145299145302</v>
      </c>
      <c r="M184" s="779"/>
      <c r="N184" s="810">
        <f t="shared" si="46"/>
        <v>100</v>
      </c>
      <c r="O184" s="810"/>
      <c r="P184" s="12"/>
      <c r="Q184" s="12"/>
      <c r="R184" s="12">
        <v>2006</v>
      </c>
      <c r="S184" s="8">
        <f>(O108*($E108/365))+(O109*($E109/365))</f>
        <v>4.5</v>
      </c>
      <c r="T184" s="8">
        <f>(P108*($E108/365))+(P109*($E109/365))</f>
        <v>27.5</v>
      </c>
      <c r="U184" s="8">
        <f>(Q108*($E108/365))+(Q109*($E109/365))</f>
        <v>26.5</v>
      </c>
      <c r="V184" s="12"/>
      <c r="W184" s="7">
        <f t="shared" si="45"/>
        <v>58.5</v>
      </c>
      <c r="X184" s="5"/>
      <c r="Y184" s="5"/>
    </row>
    <row r="185" spans="1:25" ht="9" customHeight="1" x14ac:dyDescent="0.15">
      <c r="A185" s="1">
        <v>2007</v>
      </c>
      <c r="B185" s="8">
        <f>(K110*($E110/365))+(K111*($E111/365))</f>
        <v>38.493150684931507</v>
      </c>
      <c r="C185" s="8">
        <f>(L110*($E110/365))+(L111*($E111/365))</f>
        <v>41.315068493150683</v>
      </c>
      <c r="D185" s="8">
        <f>(M110*($E110/365))+(M111*($E111/365))</f>
        <v>20.191780821917806</v>
      </c>
      <c r="E185" s="35">
        <f t="shared" si="44"/>
        <v>100</v>
      </c>
      <c r="G185" s="1">
        <v>2007</v>
      </c>
      <c r="H185" s="779">
        <f>(O110/$R110*100*($E110/365))+(O111/$R111*100*($E111/365))</f>
        <v>35.805108133875251</v>
      </c>
      <c r="I185" s="779"/>
      <c r="J185" s="779">
        <f>(P110/$R110*100*($E110/365))+(P111/$R111*100*($E111/365))</f>
        <v>42.409052135079527</v>
      </c>
      <c r="K185" s="779"/>
      <c r="L185" s="779">
        <f>(Q110/$R110*100*($E110/365))+(Q111/$R111*100*($E111/365))</f>
        <v>21.785839731045211</v>
      </c>
      <c r="M185" s="779"/>
      <c r="N185" s="810">
        <f t="shared" si="46"/>
        <v>99.999999999999986</v>
      </c>
      <c r="O185" s="810"/>
      <c r="P185" s="12"/>
      <c r="Q185" s="12"/>
      <c r="R185" s="12">
        <v>2007</v>
      </c>
      <c r="S185" s="8">
        <f>(O110*($E110/365))+(O111*($E111/365))</f>
        <v>22.454794520547946</v>
      </c>
      <c r="T185" s="8">
        <f>(P110*($E110/365))+(P111*($E111/365))</f>
        <v>26.091780821917808</v>
      </c>
      <c r="U185" s="8">
        <f>(Q110*($E110/365))+(Q111*($E111/365))</f>
        <v>13.121917808219179</v>
      </c>
      <c r="V185" s="12"/>
      <c r="W185" s="7">
        <f t="shared" si="45"/>
        <v>61.668493150684938</v>
      </c>
      <c r="X185" s="5"/>
      <c r="Y185" s="5"/>
    </row>
    <row r="186" spans="1:25" ht="9" customHeight="1" x14ac:dyDescent="0.15">
      <c r="A186" s="1">
        <v>2008</v>
      </c>
      <c r="B186" s="8">
        <f>(K112*($E112/366))+(K113*($E113/366))</f>
        <v>50</v>
      </c>
      <c r="C186" s="8">
        <f>(L112*($E112/366))+(L113*($E113/366))</f>
        <v>40</v>
      </c>
      <c r="D186" s="8">
        <f>(M112*($E112/366))+(M113*($E113/366))</f>
        <v>10</v>
      </c>
      <c r="E186" s="35">
        <f t="shared" si="44"/>
        <v>100</v>
      </c>
      <c r="G186" s="1">
        <v>2008</v>
      </c>
      <c r="H186" s="779">
        <f>(O112/$R112*100*($E112/366))+(O113/$R113*100*($E113/366))</f>
        <v>47.619047619047613</v>
      </c>
      <c r="I186" s="779"/>
      <c r="J186" s="779">
        <f>(P112/$R112*100*($E112/366))+(P113/$R113*100*($E113/366))</f>
        <v>40.476190476190474</v>
      </c>
      <c r="K186" s="779"/>
      <c r="L186" s="779">
        <f>(Q112/$R112*100*($E112/366))+(Q113/$R113*100*($E113/366))</f>
        <v>11.904761904761903</v>
      </c>
      <c r="M186" s="779"/>
      <c r="N186" s="810">
        <f t="shared" si="46"/>
        <v>99.999999999999986</v>
      </c>
      <c r="O186" s="810"/>
      <c r="P186" s="12"/>
      <c r="Q186" s="12"/>
      <c r="R186" s="12">
        <v>2008</v>
      </c>
      <c r="S186" s="8">
        <f>(O112*($E112/366))+(O113*($E113/366))</f>
        <v>30</v>
      </c>
      <c r="T186" s="8">
        <f>(P112*($E112/366))+(P113*($E113/366))</f>
        <v>25.5</v>
      </c>
      <c r="U186" s="8">
        <f>(Q112*($E112/366))+(Q113*($E113/366))</f>
        <v>7.5</v>
      </c>
      <c r="V186" s="12"/>
      <c r="W186" s="7">
        <f t="shared" si="45"/>
        <v>63</v>
      </c>
      <c r="X186" s="5"/>
      <c r="Y186" s="5"/>
    </row>
    <row r="187" spans="1:25" ht="9" customHeight="1" x14ac:dyDescent="0.15">
      <c r="A187" s="1">
        <v>2009</v>
      </c>
      <c r="B187" s="8">
        <f>(K114*($E114/365))+(K115*($E115/365))</f>
        <v>50</v>
      </c>
      <c r="C187" s="8">
        <f>(L114*($E114/365))+(L115*($E115/365))</f>
        <v>40</v>
      </c>
      <c r="D187" s="8">
        <f>(M114*($E114/365))+(M115*($E115/365))</f>
        <v>10</v>
      </c>
      <c r="E187" s="35">
        <f t="shared" si="44"/>
        <v>100</v>
      </c>
      <c r="G187" s="1">
        <v>2009</v>
      </c>
      <c r="H187" s="779">
        <f>(O114/$R114*100*($E114/365))+(O115/$R115*100*($E115/365))</f>
        <v>47.619047619047613</v>
      </c>
      <c r="I187" s="779"/>
      <c r="J187" s="779">
        <f>(P114/$R114*100*($E114/365))+(P115/$R115*100*($E115/365))</f>
        <v>40.476190476190474</v>
      </c>
      <c r="K187" s="779"/>
      <c r="L187" s="779">
        <f>(Q114/$R114*100*($E114/365))+(Q115/$R115*100*($E115/365))</f>
        <v>11.904761904761903</v>
      </c>
      <c r="M187" s="779"/>
      <c r="N187" s="810">
        <f t="shared" si="46"/>
        <v>99.999999999999986</v>
      </c>
      <c r="O187" s="810"/>
      <c r="P187" s="12"/>
      <c r="Q187" s="12"/>
      <c r="R187" s="12">
        <v>2009</v>
      </c>
      <c r="S187" s="8">
        <f>(O114*($E114/365))+(O115*($E115/365))</f>
        <v>30</v>
      </c>
      <c r="T187" s="8">
        <f>(P114*($E114/365))+(P115*($E115/365))</f>
        <v>25.5</v>
      </c>
      <c r="U187" s="8">
        <f>(Q114*($E114/365))+(Q115*($E115/365))</f>
        <v>7.5</v>
      </c>
      <c r="V187" s="12"/>
      <c r="W187" s="7">
        <f t="shared" si="45"/>
        <v>63</v>
      </c>
      <c r="X187" s="5"/>
      <c r="Y187" s="5"/>
    </row>
    <row r="188" spans="1:25" ht="9" customHeight="1" x14ac:dyDescent="0.15">
      <c r="A188" s="1">
        <v>2010</v>
      </c>
      <c r="B188" s="8">
        <f>(K116*($E116/365))+(K117*($E117/365))</f>
        <v>50</v>
      </c>
      <c r="C188" s="8">
        <f>(L116*($E116/365))+(L117*($E117/365))</f>
        <v>40</v>
      </c>
      <c r="D188" s="8">
        <f>(M116*($E116/365))+(M117*($E117/365))</f>
        <v>10</v>
      </c>
      <c r="E188" s="35">
        <f t="shared" si="44"/>
        <v>100</v>
      </c>
      <c r="G188" s="1">
        <v>2010</v>
      </c>
      <c r="H188" s="779">
        <f>(O116/$R116*100*($E116/365))+(O117/$R117*100*($E117/365))</f>
        <v>47.61904761904762</v>
      </c>
      <c r="I188" s="779"/>
      <c r="J188" s="779">
        <f>(P116/$R116*100*($E116/365))+(P117/$R117*100*($E117/365))</f>
        <v>40.476190476190482</v>
      </c>
      <c r="K188" s="779"/>
      <c r="L188" s="779">
        <f>(Q116/$R116*100*($E116/365))+(Q117/$R117*100*($E117/365))</f>
        <v>11.904761904761905</v>
      </c>
      <c r="M188" s="779"/>
      <c r="N188" s="810">
        <f t="shared" si="46"/>
        <v>100</v>
      </c>
      <c r="O188" s="810"/>
      <c r="P188" s="12"/>
      <c r="Q188" s="12"/>
      <c r="R188" s="12">
        <v>2010</v>
      </c>
      <c r="S188" s="8">
        <f>(O116*($E116/365))+(O117*($E117/365))</f>
        <v>30</v>
      </c>
      <c r="T188" s="8">
        <f>(P116*($E116/365))+(P117*($E117/365))</f>
        <v>25.5</v>
      </c>
      <c r="U188" s="8">
        <f>(Q116*($E116/365))+(Q117*($E117/365))</f>
        <v>7.5</v>
      </c>
      <c r="V188" s="12"/>
      <c r="W188" s="7">
        <f t="shared" si="45"/>
        <v>63</v>
      </c>
      <c r="X188" s="5"/>
      <c r="Y188" s="5"/>
    </row>
    <row r="189" spans="1:25" ht="9" customHeight="1" x14ac:dyDescent="0.15">
      <c r="A189" s="1">
        <v>2011</v>
      </c>
      <c r="B189" s="8">
        <f>(K118*($E118/365))+(K119*($E119/365))</f>
        <v>45.825522710886808</v>
      </c>
      <c r="C189" s="8">
        <f>(L118*($E118/365))+(L119*($E119/365))</f>
        <v>21.632299927901947</v>
      </c>
      <c r="D189" s="8">
        <f>(M118*($E118/365))+(M119*($E119/365))</f>
        <v>32.542177361211245</v>
      </c>
      <c r="E189" s="35">
        <f t="shared" si="44"/>
        <v>100</v>
      </c>
      <c r="G189" s="1">
        <v>2011</v>
      </c>
      <c r="H189" s="779">
        <f>(O118/$R118*100*($E118/365))+(O119/$R119*100*($E119/365))</f>
        <v>45.101108936725367</v>
      </c>
      <c r="I189" s="779"/>
      <c r="J189" s="779">
        <f>(P118/$R118*100*($E118/365))+(P119/$R119*100*($E119/365))</f>
        <v>21.591650358773649</v>
      </c>
      <c r="K189" s="779"/>
      <c r="L189" s="779">
        <f>(Q118/$R118*100*($E118/365))+(Q119/$R119*100*($E119/365))</f>
        <v>33.307240704500984</v>
      </c>
      <c r="M189" s="779"/>
      <c r="N189" s="810">
        <f t="shared" si="46"/>
        <v>100</v>
      </c>
      <c r="O189" s="810"/>
      <c r="P189" s="12"/>
      <c r="Q189" s="12"/>
      <c r="R189" s="12">
        <v>2011</v>
      </c>
      <c r="S189" s="8">
        <f>(O118*($E118/365))+(O119*($E119/365))</f>
        <v>28.413698630136988</v>
      </c>
      <c r="T189" s="8">
        <f>(P118*($E118/365))+(P119*($E119/365))</f>
        <v>13.602739726027398</v>
      </c>
      <c r="U189" s="8">
        <f>(Q118*($E118/365))+(Q119*($E119/365))</f>
        <v>20.983561643835618</v>
      </c>
      <c r="V189" s="12"/>
      <c r="W189" s="7">
        <f t="shared" si="45"/>
        <v>63</v>
      </c>
      <c r="X189" s="5"/>
      <c r="Y189" s="5"/>
    </row>
    <row r="190" spans="1:25" ht="9" customHeight="1" x14ac:dyDescent="0.15">
      <c r="A190" s="1">
        <v>2012</v>
      </c>
      <c r="B190" s="8">
        <f>(K120*($E120/366))+(K121*($E121/366))</f>
        <v>42.105263157894733</v>
      </c>
      <c r="C190" s="8">
        <f>(L120*($E120/366))+(L121*($E121/366))</f>
        <v>5.2631578947368416</v>
      </c>
      <c r="D190" s="8">
        <f>(M120*($E120/366))+(M121*($E121/366))</f>
        <v>52.631578947368418</v>
      </c>
      <c r="E190" s="35">
        <f t="shared" si="44"/>
        <v>100</v>
      </c>
      <c r="G190" s="1">
        <v>2012</v>
      </c>
      <c r="H190" s="779">
        <f>(O120/$R120*100*($E120/366))+(O121/$R121*100*($E121/366))</f>
        <v>42.857142857142854</v>
      </c>
      <c r="I190" s="779"/>
      <c r="J190" s="779">
        <f>(P120/$R120*100*($E120/366))+(P121/$R121*100*($E121/366))</f>
        <v>4.7619047619047619</v>
      </c>
      <c r="K190" s="779"/>
      <c r="L190" s="779">
        <f>(Q120/$R120*100*($E120/366))+(Q121/$R121*100*($E121/366))</f>
        <v>52.380952380952387</v>
      </c>
      <c r="M190" s="779"/>
      <c r="N190" s="810">
        <f t="shared" si="46"/>
        <v>100</v>
      </c>
      <c r="O190" s="810"/>
      <c r="P190" s="12"/>
      <c r="Q190" s="12"/>
      <c r="R190" s="12">
        <v>2012</v>
      </c>
      <c r="S190" s="8">
        <f>(O120*($E120/366))+(O121*($E121/366))</f>
        <v>27</v>
      </c>
      <c r="T190" s="8">
        <f>(P120*($E120/366))+(P121*($E121/366))</f>
        <v>3</v>
      </c>
      <c r="U190" s="8">
        <f>(Q120*($E120/366))+(Q121*($E121/366))</f>
        <v>33</v>
      </c>
      <c r="V190" s="12"/>
      <c r="W190" s="7">
        <f t="shared" si="45"/>
        <v>63</v>
      </c>
      <c r="X190" s="5"/>
      <c r="Y190" s="5"/>
    </row>
    <row r="191" spans="1:25" ht="9" customHeight="1" x14ac:dyDescent="0.15">
      <c r="A191" s="1">
        <v>2013</v>
      </c>
      <c r="B191" s="8">
        <f>(K122*($E122/365))+(K123*($E123/365))</f>
        <v>42.105263157894733</v>
      </c>
      <c r="C191" s="8">
        <f>(L122*($E122/365))+(L123*($E123/365))</f>
        <v>5.2631578947368416</v>
      </c>
      <c r="D191" s="8">
        <f>(M122*($E122/365))+(M123*($E123/365))</f>
        <v>52.631578947368418</v>
      </c>
      <c r="E191" s="527">
        <f t="shared" si="44"/>
        <v>100</v>
      </c>
      <c r="G191" s="1">
        <v>2013</v>
      </c>
      <c r="H191" s="779">
        <f>(O122/$R122*100*($E122/365))+(O123/$R123*100*($E123/365))</f>
        <v>42.857142857142854</v>
      </c>
      <c r="I191" s="779"/>
      <c r="J191" s="779">
        <f>(P122/$R122*100*($E122/365))+(P123/$R123*100*($E123/365))</f>
        <v>4.7619047619047619</v>
      </c>
      <c r="K191" s="779"/>
      <c r="L191" s="779">
        <f>(Q122/$R122*100*($E122/365))+(Q123/$R123*100*($E123/365))</f>
        <v>52.380952380952387</v>
      </c>
      <c r="M191" s="779"/>
      <c r="N191" s="810">
        <f>SUM(H191:M191)</f>
        <v>100</v>
      </c>
      <c r="O191" s="810"/>
      <c r="P191" s="12"/>
      <c r="Q191" s="12"/>
      <c r="R191" s="12">
        <v>2013</v>
      </c>
      <c r="S191" s="8">
        <f>(O122*($E122/365))+(O123*($E123/365))</f>
        <v>27</v>
      </c>
      <c r="T191" s="8">
        <f>(P122*($E122/365))+(P123*($E123/365))</f>
        <v>3</v>
      </c>
      <c r="U191" s="8">
        <f>(Q122*($E122/365))+(Q123*($E123/365))</f>
        <v>33</v>
      </c>
      <c r="V191" s="12"/>
      <c r="W191" s="7">
        <f t="shared" si="45"/>
        <v>63</v>
      </c>
      <c r="X191" s="5"/>
      <c r="Y191" s="5"/>
    </row>
    <row r="192" spans="1:25" ht="9" customHeight="1" x14ac:dyDescent="0.15">
      <c r="A192" s="1">
        <v>2014</v>
      </c>
      <c r="B192" s="8">
        <f>(K124*($E124/365))+(K125*($E125/365))+(K126*($E126/365))+(K127*($E127/365))</f>
        <v>47.380296026124938</v>
      </c>
      <c r="C192" s="8">
        <f>(L124*($E124/365))+(L125*($E125/365))+(L126*($E126/365))+(L127*($E127/365))</f>
        <v>5.5871750286271675</v>
      </c>
      <c r="D192" s="8">
        <f>(M124*($E124/365))+(M125*($E125/365))+(M126*($E126/365))+(M127*($E127/365))</f>
        <v>47.032528945247883</v>
      </c>
      <c r="E192" s="527">
        <f>SUM(B192:D192)</f>
        <v>99.999999999999986</v>
      </c>
      <c r="G192" s="1">
        <v>2014</v>
      </c>
      <c r="H192" s="779">
        <f>(O124/$R124*100*($E124/365))+(O125/$R125*100*($E125/365))+(O126/$R126*100*($E126/365))+(O127/$R127*100*($E127/365))</f>
        <v>48.066651318061474</v>
      </c>
      <c r="I192" s="779"/>
      <c r="J192" s="779">
        <f>(P124/$R124*100*($E124/365))+(P125/$R125*100*($E125/365))+(P126/$R126*100*($E126/365))+(P127/$R127*100*($E127/365))</f>
        <v>5.3407390353401638</v>
      </c>
      <c r="K192" s="779"/>
      <c r="L192" s="779">
        <f>(Q124/$R124*100*($E124/365))+(Q125/$R125*100*($E125/365))+(Q126/$R126*100*($E126/365))+(Q127/$R127*100*($E127/365))</f>
        <v>46.592609646598362</v>
      </c>
      <c r="M192" s="779"/>
      <c r="N192" s="810">
        <f>SUM(H192:M192)</f>
        <v>100</v>
      </c>
      <c r="O192" s="810"/>
      <c r="P192" s="12"/>
      <c r="Q192" s="12"/>
      <c r="R192" s="12">
        <v>2014</v>
      </c>
      <c r="S192" s="8">
        <f>(O124*($E124/365))+(O125*($E125/365))+(O126*($E126/365))+(O127*($E127/365))</f>
        <v>27</v>
      </c>
      <c r="T192" s="8">
        <f>(P124*($E124/365))+(P125*($E125/365))+(P126*($E126/365))+(P127*($E127/365))</f>
        <v>3</v>
      </c>
      <c r="U192" s="8">
        <f>(Q124*($E124/365))+(Q125*($E125/365))+(Q126*($E126/365))+(Q127*($E127/365))</f>
        <v>26.495890410958904</v>
      </c>
      <c r="V192" s="12"/>
      <c r="W192" s="7">
        <f>SUM(S192:U192)</f>
        <v>56.495890410958907</v>
      </c>
      <c r="X192" s="5"/>
      <c r="Y192" s="5"/>
    </row>
    <row r="193" spans="1:25" s="723" customFormat="1" ht="9" customHeight="1" x14ac:dyDescent="0.15">
      <c r="A193" s="723">
        <v>2015</v>
      </c>
      <c r="B193" s="717">
        <f>(K128*($E128/365))+(K129*($E129/365))</f>
        <v>55.439161966156327</v>
      </c>
      <c r="C193" s="717">
        <f>(L128*($E128/365))+(L129*($E129/365))</f>
        <v>27.864625302175661</v>
      </c>
      <c r="D193" s="717">
        <f>(M128*($E128/365))+(M129*($E129/365))</f>
        <v>16.696212731668009</v>
      </c>
      <c r="E193" s="714">
        <f>SUM(B193:D193)</f>
        <v>100</v>
      </c>
      <c r="G193" s="723">
        <v>2015</v>
      </c>
      <c r="H193" s="779">
        <f>(O128/$R128*100*($E128/365))+(O129/$R129*100*($E129/365))</f>
        <v>57.425463336019341</v>
      </c>
      <c r="I193" s="779"/>
      <c r="J193" s="779">
        <f>(P128/$R128*100*($E128/365))+(P129/$R129*100*($E129/365))</f>
        <v>25.87832393231265</v>
      </c>
      <c r="K193" s="779"/>
      <c r="L193" s="779">
        <f>(Q128/$R128*100*($E128/365))+(Q129/$R129*100*($E129/365))</f>
        <v>16.696212731668009</v>
      </c>
      <c r="M193" s="779"/>
      <c r="N193" s="810">
        <f>SUM(H193:M193)</f>
        <v>100</v>
      </c>
      <c r="O193" s="810"/>
      <c r="P193" s="12"/>
      <c r="Q193" s="12"/>
      <c r="R193" s="12">
        <v>2015</v>
      </c>
      <c r="S193" s="717">
        <f>(O128*($E128/365))+(O129*($E129/365))</f>
        <v>33.242465753424653</v>
      </c>
      <c r="T193" s="717">
        <f>(P128*($E128/365))+(P129*($E129/365))</f>
        <v>15.782191780821918</v>
      </c>
      <c r="U193" s="717">
        <f>(Q128*($E128/365))+(Q129*($E129/365))</f>
        <v>8.5150684931506841</v>
      </c>
      <c r="V193" s="12"/>
      <c r="W193" s="721">
        <f>SUM(S193:U193)</f>
        <v>57.539726027397258</v>
      </c>
      <c r="X193" s="5"/>
      <c r="Y193" s="5"/>
    </row>
    <row r="194" spans="1:25" s="723" customFormat="1" ht="9" customHeight="1" x14ac:dyDescent="0.15">
      <c r="P194" s="12"/>
      <c r="Q194" s="12"/>
      <c r="R194" s="12"/>
      <c r="X194" s="5"/>
      <c r="Y194" s="5"/>
    </row>
  </sheetData>
  <mergeCells count="378">
    <mergeCell ref="N189:O189"/>
    <mergeCell ref="N190:O190"/>
    <mergeCell ref="N181:O181"/>
    <mergeCell ref="N182:O182"/>
    <mergeCell ref="N183:O183"/>
    <mergeCell ref="N184:O184"/>
    <mergeCell ref="N185:O185"/>
    <mergeCell ref="N186:O186"/>
    <mergeCell ref="AT4:AW4"/>
    <mergeCell ref="N158:O158"/>
    <mergeCell ref="N159:O159"/>
    <mergeCell ref="N160:O160"/>
    <mergeCell ref="N161:O161"/>
    <mergeCell ref="N162:O162"/>
    <mergeCell ref="N148:O148"/>
    <mergeCell ref="N149:O149"/>
    <mergeCell ref="N150:O150"/>
    <mergeCell ref="N151:O151"/>
    <mergeCell ref="N152:O152"/>
    <mergeCell ref="N153:O153"/>
    <mergeCell ref="N168:O168"/>
    <mergeCell ref="R134:W134"/>
    <mergeCell ref="AP4:AS4"/>
    <mergeCell ref="S4:S5"/>
    <mergeCell ref="AX4:BA4"/>
    <mergeCell ref="N188:O188"/>
    <mergeCell ref="N187:O187"/>
    <mergeCell ref="N170:O170"/>
    <mergeCell ref="N171:O171"/>
    <mergeCell ref="N172:O172"/>
    <mergeCell ref="N173:O173"/>
    <mergeCell ref="N174:O174"/>
    <mergeCell ref="N163:O163"/>
    <mergeCell ref="N176:O176"/>
    <mergeCell ref="N177:O177"/>
    <mergeCell ref="N178:O178"/>
    <mergeCell ref="N179:O179"/>
    <mergeCell ref="N180:O180"/>
    <mergeCell ref="N164:O164"/>
    <mergeCell ref="N165:O165"/>
    <mergeCell ref="N166:O166"/>
    <mergeCell ref="N167:O167"/>
    <mergeCell ref="N154:O154"/>
    <mergeCell ref="N155:O155"/>
    <mergeCell ref="N156:O156"/>
    <mergeCell ref="N157:O157"/>
    <mergeCell ref="N175:O175"/>
    <mergeCell ref="N169:O169"/>
    <mergeCell ref="L190:M190"/>
    <mergeCell ref="N139:O139"/>
    <mergeCell ref="N140:O140"/>
    <mergeCell ref="N141:O141"/>
    <mergeCell ref="N142:O142"/>
    <mergeCell ref="N143:O143"/>
    <mergeCell ref="N144:O144"/>
    <mergeCell ref="N145:O145"/>
    <mergeCell ref="N146:O146"/>
    <mergeCell ref="N147:O147"/>
    <mergeCell ref="L184:M184"/>
    <mergeCell ref="L185:M185"/>
    <mergeCell ref="L186:M186"/>
    <mergeCell ref="L187:M187"/>
    <mergeCell ref="L188:M188"/>
    <mergeCell ref="L189:M189"/>
    <mergeCell ref="L178:M178"/>
    <mergeCell ref="L179:M179"/>
    <mergeCell ref="L180:M180"/>
    <mergeCell ref="L181:M181"/>
    <mergeCell ref="L182:M182"/>
    <mergeCell ref="L183:M183"/>
    <mergeCell ref="L172:M172"/>
    <mergeCell ref="L173:M173"/>
    <mergeCell ref="J179:K179"/>
    <mergeCell ref="L160:M160"/>
    <mergeCell ref="L161:M161"/>
    <mergeCell ref="L162:M162"/>
    <mergeCell ref="L163:M163"/>
    <mergeCell ref="L164:M164"/>
    <mergeCell ref="L165:M165"/>
    <mergeCell ref="L154:M154"/>
    <mergeCell ref="L155:M155"/>
    <mergeCell ref="L156:M156"/>
    <mergeCell ref="L157:M157"/>
    <mergeCell ref="L158:M158"/>
    <mergeCell ref="L159:M159"/>
    <mergeCell ref="L174:M174"/>
    <mergeCell ref="L175:M175"/>
    <mergeCell ref="L176:M176"/>
    <mergeCell ref="L177:M177"/>
    <mergeCell ref="L166:M166"/>
    <mergeCell ref="L167:M167"/>
    <mergeCell ref="L168:M168"/>
    <mergeCell ref="L169:M169"/>
    <mergeCell ref="L170:M170"/>
    <mergeCell ref="L171:M171"/>
    <mergeCell ref="J177:K177"/>
    <mergeCell ref="L148:M148"/>
    <mergeCell ref="L149:M149"/>
    <mergeCell ref="L150:M150"/>
    <mergeCell ref="L151:M151"/>
    <mergeCell ref="L152:M152"/>
    <mergeCell ref="L153:M153"/>
    <mergeCell ref="J190:K190"/>
    <mergeCell ref="L139:M139"/>
    <mergeCell ref="L140:M140"/>
    <mergeCell ref="L141:M141"/>
    <mergeCell ref="L142:M142"/>
    <mergeCell ref="L143:M143"/>
    <mergeCell ref="L144:M144"/>
    <mergeCell ref="L145:M145"/>
    <mergeCell ref="L146:M146"/>
    <mergeCell ref="L147:M147"/>
    <mergeCell ref="J184:K184"/>
    <mergeCell ref="J185:K185"/>
    <mergeCell ref="J186:K186"/>
    <mergeCell ref="J187:K187"/>
    <mergeCell ref="J188:K188"/>
    <mergeCell ref="J189:K189"/>
    <mergeCell ref="J178:K178"/>
    <mergeCell ref="J148:K148"/>
    <mergeCell ref="J172:K172"/>
    <mergeCell ref="J173:K173"/>
    <mergeCell ref="J174:K174"/>
    <mergeCell ref="J175:K175"/>
    <mergeCell ref="J176:K176"/>
    <mergeCell ref="J149:K149"/>
    <mergeCell ref="J150:K150"/>
    <mergeCell ref="J151:K151"/>
    <mergeCell ref="J152:K152"/>
    <mergeCell ref="J153:K153"/>
    <mergeCell ref="J166:K166"/>
    <mergeCell ref="J167:K167"/>
    <mergeCell ref="J168:K168"/>
    <mergeCell ref="J160:K160"/>
    <mergeCell ref="J161:K161"/>
    <mergeCell ref="J162:K162"/>
    <mergeCell ref="J163:K163"/>
    <mergeCell ref="J164:K164"/>
    <mergeCell ref="J165:K165"/>
    <mergeCell ref="H186:I186"/>
    <mergeCell ref="H187:I187"/>
    <mergeCell ref="H188:I188"/>
    <mergeCell ref="H189:I189"/>
    <mergeCell ref="H178:I178"/>
    <mergeCell ref="H179:I179"/>
    <mergeCell ref="H180:I180"/>
    <mergeCell ref="H181:I181"/>
    <mergeCell ref="H182:I182"/>
    <mergeCell ref="H183:I183"/>
    <mergeCell ref="J141:K141"/>
    <mergeCell ref="J142:K142"/>
    <mergeCell ref="J143:K143"/>
    <mergeCell ref="J144:K144"/>
    <mergeCell ref="J145:K145"/>
    <mergeCell ref="J146:K146"/>
    <mergeCell ref="J147:K147"/>
    <mergeCell ref="H184:I184"/>
    <mergeCell ref="H185:I185"/>
    <mergeCell ref="H172:I172"/>
    <mergeCell ref="H173:I173"/>
    <mergeCell ref="J154:K154"/>
    <mergeCell ref="J155:K155"/>
    <mergeCell ref="J156:K156"/>
    <mergeCell ref="J157:K157"/>
    <mergeCell ref="J158:K158"/>
    <mergeCell ref="J159:K159"/>
    <mergeCell ref="J169:K169"/>
    <mergeCell ref="J170:K170"/>
    <mergeCell ref="J171:K171"/>
    <mergeCell ref="J180:K180"/>
    <mergeCell ref="J181:K181"/>
    <mergeCell ref="J182:K182"/>
    <mergeCell ref="J183:K183"/>
    <mergeCell ref="G3:M3"/>
    <mergeCell ref="O3:Q3"/>
    <mergeCell ref="C9:D9"/>
    <mergeCell ref="C10:D10"/>
    <mergeCell ref="A4:A5"/>
    <mergeCell ref="B4:B5"/>
    <mergeCell ref="C4:D5"/>
    <mergeCell ref="E4:E5"/>
    <mergeCell ref="F4:F5"/>
    <mergeCell ref="G4:J4"/>
    <mergeCell ref="C8:D8"/>
    <mergeCell ref="K4:N4"/>
    <mergeCell ref="O4:R4"/>
    <mergeCell ref="AL4:AO4"/>
    <mergeCell ref="U4:U5"/>
    <mergeCell ref="V4:Y4"/>
    <mergeCell ref="C7:D7"/>
    <mergeCell ref="C6:D6"/>
    <mergeCell ref="C16:D16"/>
    <mergeCell ref="C17:D17"/>
    <mergeCell ref="C18:D18"/>
    <mergeCell ref="C19:D19"/>
    <mergeCell ref="T4:T5"/>
    <mergeCell ref="C13:D13"/>
    <mergeCell ref="C14:D14"/>
    <mergeCell ref="C15:D15"/>
    <mergeCell ref="C11:D11"/>
    <mergeCell ref="C12:D12"/>
    <mergeCell ref="Z4:AC4"/>
    <mergeCell ref="AD4:AG4"/>
    <mergeCell ref="AH4:AK4"/>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100:D100"/>
    <mergeCell ref="C101:D101"/>
    <mergeCell ref="C103:D103"/>
    <mergeCell ref="C104:D104"/>
    <mergeCell ref="C99:D99"/>
    <mergeCell ref="C102:D102"/>
    <mergeCell ref="C117:D117"/>
    <mergeCell ref="C105:D105"/>
    <mergeCell ref="C106:D106"/>
    <mergeCell ref="C107:D107"/>
    <mergeCell ref="C108:D108"/>
    <mergeCell ref="C109:D109"/>
    <mergeCell ref="C110:D110"/>
    <mergeCell ref="C118:D118"/>
    <mergeCell ref="C111:D111"/>
    <mergeCell ref="C112:D112"/>
    <mergeCell ref="C119:D119"/>
    <mergeCell ref="C120:D120"/>
    <mergeCell ref="C121:D121"/>
    <mergeCell ref="C113:D113"/>
    <mergeCell ref="C114:D114"/>
    <mergeCell ref="C115:D115"/>
    <mergeCell ref="C116:D116"/>
    <mergeCell ref="C122:D122"/>
    <mergeCell ref="C123:D123"/>
    <mergeCell ref="H191:I191"/>
    <mergeCell ref="J191:K191"/>
    <mergeCell ref="L191:M191"/>
    <mergeCell ref="J137:K137"/>
    <mergeCell ref="L137:M137"/>
    <mergeCell ref="H139:I139"/>
    <mergeCell ref="H140:I140"/>
    <mergeCell ref="H141:I141"/>
    <mergeCell ref="H148:I148"/>
    <mergeCell ref="H149:I149"/>
    <mergeCell ref="H150:I150"/>
    <mergeCell ref="H151:I151"/>
    <mergeCell ref="H152:I152"/>
    <mergeCell ref="H153:I153"/>
    <mergeCell ref="H142:I142"/>
    <mergeCell ref="H143:I143"/>
    <mergeCell ref="H144:I144"/>
    <mergeCell ref="H145:I145"/>
    <mergeCell ref="H146:I146"/>
    <mergeCell ref="H147:I147"/>
    <mergeCell ref="H160:I160"/>
    <mergeCell ref="H161:I161"/>
    <mergeCell ref="C124:D124"/>
    <mergeCell ref="C125:D125"/>
    <mergeCell ref="C126:D126"/>
    <mergeCell ref="C127:D127"/>
    <mergeCell ref="N191:O191"/>
    <mergeCell ref="N137:O137"/>
    <mergeCell ref="H162:I162"/>
    <mergeCell ref="H163:I163"/>
    <mergeCell ref="H164:I164"/>
    <mergeCell ref="H165:I165"/>
    <mergeCell ref="H154:I154"/>
    <mergeCell ref="H155:I155"/>
    <mergeCell ref="H156:I156"/>
    <mergeCell ref="H157:I157"/>
    <mergeCell ref="H158:I158"/>
    <mergeCell ref="H159:I159"/>
    <mergeCell ref="H174:I174"/>
    <mergeCell ref="H175:I175"/>
    <mergeCell ref="H176:I176"/>
    <mergeCell ref="H177:I177"/>
    <mergeCell ref="H136:I136"/>
    <mergeCell ref="J136:K136"/>
    <mergeCell ref="L136:M136"/>
    <mergeCell ref="N136:O136"/>
    <mergeCell ref="C128:D128"/>
    <mergeCell ref="C129:D129"/>
    <mergeCell ref="H193:I193"/>
    <mergeCell ref="J193:K193"/>
    <mergeCell ref="L193:M193"/>
    <mergeCell ref="N193:O193"/>
    <mergeCell ref="H192:I192"/>
    <mergeCell ref="J192:K192"/>
    <mergeCell ref="L192:M192"/>
    <mergeCell ref="N192:O192"/>
    <mergeCell ref="N138:O138"/>
    <mergeCell ref="H138:I138"/>
    <mergeCell ref="J138:K138"/>
    <mergeCell ref="L138:M138"/>
    <mergeCell ref="H137:I137"/>
    <mergeCell ref="H166:I166"/>
    <mergeCell ref="H167:I167"/>
    <mergeCell ref="H168:I168"/>
    <mergeCell ref="H169:I169"/>
    <mergeCell ref="H170:I170"/>
    <mergeCell ref="H171:I171"/>
    <mergeCell ref="H190:I190"/>
    <mergeCell ref="J139:K139"/>
    <mergeCell ref="J140:K140"/>
  </mergeCells>
  <phoneticPr fontId="0" type="noConversion"/>
  <pageMargins left="0.78740157499999996" right="0.78740157499999996" top="0.984251969" bottom="0.984251969" header="0.4921259845" footer="0.4921259845"/>
  <pageSetup paperSize="9" orientation="portrait" r:id="rId1"/>
  <headerFooter alignWithMargins="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96"/>
  <sheetViews>
    <sheetView zoomScale="120" zoomScaleNormal="120" workbookViewId="0">
      <pane xSplit="1" ySplit="5" topLeftCell="B119" activePane="bottomRight" state="frozen"/>
      <selection pane="topRight" activeCell="B1" sqref="B1"/>
      <selection pane="bottomLeft" activeCell="A6" sqref="A6"/>
      <selection pane="bottomRight" activeCell="W195" sqref="W195"/>
    </sheetView>
  </sheetViews>
  <sheetFormatPr baseColWidth="10" defaultColWidth="10.7109375" defaultRowHeight="9" x14ac:dyDescent="0.15"/>
  <cols>
    <col min="1" max="1" width="5.85546875" style="1" customWidth="1"/>
    <col min="2" max="6" width="7.85546875" style="1" customWidth="1"/>
    <col min="7" max="18" width="4.5703125" style="1" customWidth="1"/>
    <col min="19" max="21" width="7.85546875" style="1" customWidth="1"/>
    <col min="22" max="53" width="5.7109375" style="1" customWidth="1"/>
    <col min="54" max="16384" width="10.7109375" style="1"/>
  </cols>
  <sheetData>
    <row r="1" spans="1:53" s="2" customFormat="1" ht="15" customHeight="1" x14ac:dyDescent="0.2">
      <c r="B1" s="22" t="s">
        <v>14</v>
      </c>
    </row>
    <row r="2" spans="1:53" s="2" customFormat="1" ht="15" customHeight="1" x14ac:dyDescent="0.2">
      <c r="B2" s="22" t="s">
        <v>54</v>
      </c>
    </row>
    <row r="3" spans="1:53" s="2" customFormat="1" x14ac:dyDescent="0.15">
      <c r="G3" s="814"/>
      <c r="H3" s="814"/>
      <c r="I3" s="814"/>
      <c r="J3" s="814"/>
      <c r="K3" s="814"/>
      <c r="L3" s="814"/>
      <c r="M3" s="814"/>
      <c r="O3" s="814"/>
      <c r="P3" s="814"/>
      <c r="Q3" s="814"/>
      <c r="R3" s="6"/>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1" t="s">
        <v>23</v>
      </c>
      <c r="AU5" s="351" t="s">
        <v>24</v>
      </c>
      <c r="AV5" s="351" t="s">
        <v>25</v>
      </c>
      <c r="AW5" s="353" t="s">
        <v>1217</v>
      </c>
      <c r="AX5" s="351" t="s">
        <v>23</v>
      </c>
      <c r="AY5" s="351" t="s">
        <v>24</v>
      </c>
      <c r="AZ5" s="351" t="s">
        <v>25</v>
      </c>
      <c r="BA5" s="354" t="s">
        <v>1217</v>
      </c>
    </row>
    <row r="6" spans="1:53" s="257" customFormat="1" x14ac:dyDescent="0.15">
      <c r="A6" s="263">
        <v>1959</v>
      </c>
      <c r="B6" s="252"/>
      <c r="C6" s="798" t="s">
        <v>1248</v>
      </c>
      <c r="D6" s="798"/>
      <c r="E6" s="257">
        <v>7</v>
      </c>
      <c r="G6" s="265">
        <v>5</v>
      </c>
      <c r="H6" s="257">
        <v>3</v>
      </c>
      <c r="I6" s="257">
        <v>5</v>
      </c>
      <c r="J6" s="272">
        <v>24</v>
      </c>
      <c r="K6" s="248">
        <f>G6/J6*100</f>
        <v>20.833333333333336</v>
      </c>
      <c r="L6" s="248">
        <f>H6/J6*100</f>
        <v>12.5</v>
      </c>
      <c r="M6" s="248">
        <f>I6/J6*100</f>
        <v>20.833333333333336</v>
      </c>
      <c r="N6" s="267">
        <f>SUM(K6:M6)</f>
        <v>54.166666666666671</v>
      </c>
      <c r="O6" s="247">
        <v>42.6</v>
      </c>
      <c r="P6" s="248">
        <v>12.3</v>
      </c>
      <c r="Q6" s="248">
        <v>14.3</v>
      </c>
      <c r="R6" s="249">
        <f>SUM(O6:Q6)</f>
        <v>69.2</v>
      </c>
      <c r="S6" s="254">
        <v>5</v>
      </c>
      <c r="T6" s="251"/>
      <c r="U6" s="252"/>
      <c r="V6" s="256" t="s">
        <v>384</v>
      </c>
      <c r="W6" s="257" t="s">
        <v>76</v>
      </c>
      <c r="X6" s="257" t="s">
        <v>11</v>
      </c>
      <c r="Y6" s="258">
        <v>42.6</v>
      </c>
      <c r="Z6" s="256" t="s">
        <v>121</v>
      </c>
      <c r="AA6" s="257" t="s">
        <v>17</v>
      </c>
      <c r="AB6" s="257" t="s">
        <v>18</v>
      </c>
      <c r="AC6" s="257">
        <v>12.3</v>
      </c>
      <c r="AD6" s="256" t="s">
        <v>96</v>
      </c>
      <c r="AE6" s="257" t="s">
        <v>20</v>
      </c>
      <c r="AF6" s="257" t="s">
        <v>12</v>
      </c>
      <c r="AG6" s="258">
        <v>9.4</v>
      </c>
      <c r="AH6" s="257" t="s">
        <v>122</v>
      </c>
      <c r="AI6" s="257" t="s">
        <v>22</v>
      </c>
      <c r="AJ6" s="257" t="s">
        <v>12</v>
      </c>
      <c r="AK6" s="257">
        <v>4.9000000000000004</v>
      </c>
      <c r="AL6" s="256"/>
      <c r="AO6" s="258"/>
      <c r="AP6" s="256"/>
      <c r="AS6" s="258"/>
      <c r="AW6" s="258"/>
      <c r="BA6" s="259"/>
    </row>
    <row r="7" spans="1:53" s="257" customFormat="1" x14ac:dyDescent="0.15">
      <c r="A7" s="263">
        <v>1959</v>
      </c>
      <c r="B7" s="252">
        <v>21558</v>
      </c>
      <c r="C7" s="798" t="s">
        <v>386</v>
      </c>
      <c r="D7" s="798"/>
      <c r="E7" s="257">
        <f>365-E6</f>
        <v>358</v>
      </c>
      <c r="F7" s="257">
        <v>4</v>
      </c>
      <c r="G7" s="265">
        <v>9</v>
      </c>
      <c r="H7" s="257">
        <v>4</v>
      </c>
      <c r="I7" s="257">
        <v>1</v>
      </c>
      <c r="J7" s="272">
        <v>21</v>
      </c>
      <c r="K7" s="248">
        <f>G7/J7*100</f>
        <v>42.857142857142854</v>
      </c>
      <c r="L7" s="248">
        <f>H7/J7*100</f>
        <v>19.047619047619047</v>
      </c>
      <c r="M7" s="248">
        <f>I7/J7*100</f>
        <v>4.7619047619047619</v>
      </c>
      <c r="N7" s="267">
        <f>SUM(K7:M7)</f>
        <v>66.666666666666657</v>
      </c>
      <c r="O7" s="247">
        <v>71.2</v>
      </c>
      <c r="P7" s="248">
        <v>12.3</v>
      </c>
      <c r="Q7" s="248">
        <v>4.9000000000000004</v>
      </c>
      <c r="R7" s="249">
        <f>SUM(O7:Q7)</f>
        <v>88.4</v>
      </c>
      <c r="S7" s="254">
        <v>3</v>
      </c>
      <c r="T7" s="251"/>
      <c r="U7" s="252">
        <v>21558</v>
      </c>
      <c r="V7" s="256" t="s">
        <v>384</v>
      </c>
      <c r="W7" s="257" t="s">
        <v>76</v>
      </c>
      <c r="X7" s="257" t="s">
        <v>11</v>
      </c>
      <c r="Y7" s="258">
        <v>42.6</v>
      </c>
      <c r="Z7" s="256" t="s">
        <v>120</v>
      </c>
      <c r="AA7" s="257" t="s">
        <v>74</v>
      </c>
      <c r="AB7" s="257" t="s">
        <v>11</v>
      </c>
      <c r="AC7" s="257">
        <v>28.6</v>
      </c>
      <c r="AD7" s="256" t="s">
        <v>121</v>
      </c>
      <c r="AE7" s="257" t="s">
        <v>17</v>
      </c>
      <c r="AF7" s="257" t="s">
        <v>18</v>
      </c>
      <c r="AG7" s="258">
        <v>12.3</v>
      </c>
      <c r="AH7" s="257" t="s">
        <v>122</v>
      </c>
      <c r="AI7" s="257" t="s">
        <v>22</v>
      </c>
      <c r="AJ7" s="257" t="s">
        <v>12</v>
      </c>
      <c r="AK7" s="257">
        <v>4.9000000000000004</v>
      </c>
      <c r="AL7" s="256"/>
      <c r="AO7" s="258"/>
      <c r="AP7" s="256"/>
      <c r="AS7" s="258"/>
      <c r="AW7" s="258"/>
      <c r="BA7" s="259"/>
    </row>
    <row r="8" spans="1:53" s="73" customFormat="1" x14ac:dyDescent="0.15">
      <c r="A8" s="102">
        <v>1960</v>
      </c>
      <c r="B8" s="85"/>
      <c r="C8" s="786" t="s">
        <v>386</v>
      </c>
      <c r="D8" s="786"/>
      <c r="E8" s="73">
        <v>0</v>
      </c>
      <c r="G8" s="123">
        <v>9</v>
      </c>
      <c r="H8" s="73">
        <v>4</v>
      </c>
      <c r="I8" s="73">
        <v>1</v>
      </c>
      <c r="J8" s="134">
        <v>21</v>
      </c>
      <c r="K8" s="92">
        <f t="shared" ref="K8:K64" si="0">G8/J8*100</f>
        <v>42.857142857142854</v>
      </c>
      <c r="L8" s="92">
        <f t="shared" ref="L8:L64" si="1">H8/J8*100</f>
        <v>19.047619047619047</v>
      </c>
      <c r="M8" s="92">
        <f t="shared" ref="M8:M64" si="2">I8/J8*100</f>
        <v>4.7619047619047619</v>
      </c>
      <c r="N8" s="125">
        <f>SUM(K8:M8)</f>
        <v>66.666666666666657</v>
      </c>
      <c r="O8" s="91">
        <v>71.2</v>
      </c>
      <c r="P8" s="92">
        <v>12.3</v>
      </c>
      <c r="Q8" s="92">
        <v>4.9000000000000004</v>
      </c>
      <c r="R8" s="93">
        <f>SUM(O8:Q8)</f>
        <v>88.4</v>
      </c>
      <c r="S8" s="97">
        <v>3</v>
      </c>
      <c r="T8" s="95"/>
      <c r="U8" s="85"/>
      <c r="V8" s="82" t="s">
        <v>384</v>
      </c>
      <c r="W8" s="73" t="s">
        <v>76</v>
      </c>
      <c r="X8" s="73" t="s">
        <v>11</v>
      </c>
      <c r="Y8" s="83">
        <v>42.6</v>
      </c>
      <c r="Z8" s="82" t="s">
        <v>120</v>
      </c>
      <c r="AA8" s="73" t="s">
        <v>74</v>
      </c>
      <c r="AB8" s="73" t="s">
        <v>11</v>
      </c>
      <c r="AC8" s="73">
        <v>28.6</v>
      </c>
      <c r="AD8" s="82" t="s">
        <v>121</v>
      </c>
      <c r="AE8" s="73" t="s">
        <v>17</v>
      </c>
      <c r="AF8" s="73" t="s">
        <v>18</v>
      </c>
      <c r="AG8" s="83">
        <v>12.3</v>
      </c>
      <c r="AH8" s="73" t="s">
        <v>122</v>
      </c>
      <c r="AI8" s="73" t="s">
        <v>22</v>
      </c>
      <c r="AJ8" s="73" t="s">
        <v>12</v>
      </c>
      <c r="AK8" s="73">
        <v>4.9000000000000004</v>
      </c>
      <c r="AL8" s="82"/>
      <c r="AO8" s="83"/>
      <c r="AP8" s="82"/>
      <c r="AS8" s="83"/>
      <c r="AW8" s="83"/>
      <c r="BA8" s="84"/>
    </row>
    <row r="9" spans="1:53" s="73" customFormat="1" x14ac:dyDescent="0.15">
      <c r="A9" s="102">
        <v>1960</v>
      </c>
      <c r="B9" s="85"/>
      <c r="C9" s="786" t="s">
        <v>386</v>
      </c>
      <c r="D9" s="786"/>
      <c r="E9" s="73">
        <v>366</v>
      </c>
      <c r="G9" s="123">
        <v>9</v>
      </c>
      <c r="H9" s="73">
        <v>4</v>
      </c>
      <c r="I9" s="73">
        <v>1</v>
      </c>
      <c r="J9" s="134">
        <v>21</v>
      </c>
      <c r="K9" s="92">
        <f t="shared" si="0"/>
        <v>42.857142857142854</v>
      </c>
      <c r="L9" s="92">
        <f t="shared" si="1"/>
        <v>19.047619047619047</v>
      </c>
      <c r="M9" s="92">
        <f t="shared" si="2"/>
        <v>4.7619047619047619</v>
      </c>
      <c r="N9" s="125">
        <f t="shared" ref="N9:N72" si="3">SUM(K9:M9)</f>
        <v>66.666666666666657</v>
      </c>
      <c r="O9" s="91">
        <v>71.2</v>
      </c>
      <c r="P9" s="92">
        <v>12.3</v>
      </c>
      <c r="Q9" s="92">
        <v>4.9000000000000004</v>
      </c>
      <c r="R9" s="93">
        <f t="shared" ref="R9:R72" si="4">SUM(O9:Q9)</f>
        <v>88.4</v>
      </c>
      <c r="S9" s="97">
        <v>3</v>
      </c>
      <c r="T9" s="95"/>
      <c r="U9" s="85"/>
      <c r="V9" s="82" t="s">
        <v>384</v>
      </c>
      <c r="W9" s="73" t="s">
        <v>76</v>
      </c>
      <c r="X9" s="73" t="s">
        <v>11</v>
      </c>
      <c r="Y9" s="83">
        <v>42.6</v>
      </c>
      <c r="Z9" s="82" t="s">
        <v>120</v>
      </c>
      <c r="AA9" s="73" t="s">
        <v>74</v>
      </c>
      <c r="AB9" s="73" t="s">
        <v>11</v>
      </c>
      <c r="AC9" s="73">
        <v>28.6</v>
      </c>
      <c r="AD9" s="82" t="s">
        <v>121</v>
      </c>
      <c r="AE9" s="73" t="s">
        <v>17</v>
      </c>
      <c r="AF9" s="73" t="s">
        <v>18</v>
      </c>
      <c r="AG9" s="83">
        <v>12.3</v>
      </c>
      <c r="AH9" s="73" t="s">
        <v>122</v>
      </c>
      <c r="AI9" s="73" t="s">
        <v>22</v>
      </c>
      <c r="AJ9" s="73" t="s">
        <v>12</v>
      </c>
      <c r="AK9" s="73">
        <v>4.9000000000000004</v>
      </c>
      <c r="AL9" s="82"/>
      <c r="AO9" s="83"/>
      <c r="AP9" s="82"/>
      <c r="AS9" s="83"/>
      <c r="AW9" s="83"/>
      <c r="BA9" s="84"/>
    </row>
    <row r="10" spans="1:53" s="73" customFormat="1" x14ac:dyDescent="0.15">
      <c r="A10" s="102">
        <v>1961</v>
      </c>
      <c r="B10" s="85"/>
      <c r="C10" s="786" t="s">
        <v>386</v>
      </c>
      <c r="D10" s="786"/>
      <c r="E10" s="73">
        <v>0</v>
      </c>
      <c r="G10" s="123">
        <v>9</v>
      </c>
      <c r="H10" s="73">
        <v>4</v>
      </c>
      <c r="I10" s="73">
        <v>1</v>
      </c>
      <c r="J10" s="134">
        <v>21</v>
      </c>
      <c r="K10" s="92">
        <f t="shared" si="0"/>
        <v>42.857142857142854</v>
      </c>
      <c r="L10" s="92">
        <f t="shared" si="1"/>
        <v>19.047619047619047</v>
      </c>
      <c r="M10" s="92">
        <f t="shared" si="2"/>
        <v>4.7619047619047619</v>
      </c>
      <c r="N10" s="125">
        <f t="shared" si="3"/>
        <v>66.666666666666657</v>
      </c>
      <c r="O10" s="91">
        <v>71.2</v>
      </c>
      <c r="P10" s="92">
        <v>12.3</v>
      </c>
      <c r="Q10" s="92">
        <v>4.9000000000000004</v>
      </c>
      <c r="R10" s="93">
        <f t="shared" si="4"/>
        <v>88.4</v>
      </c>
      <c r="S10" s="97">
        <v>3</v>
      </c>
      <c r="T10" s="95"/>
      <c r="U10" s="85"/>
      <c r="V10" s="82" t="s">
        <v>384</v>
      </c>
      <c r="W10" s="73" t="s">
        <v>76</v>
      </c>
      <c r="X10" s="73" t="s">
        <v>11</v>
      </c>
      <c r="Y10" s="83">
        <v>42.6</v>
      </c>
      <c r="Z10" s="82" t="s">
        <v>120</v>
      </c>
      <c r="AA10" s="73" t="s">
        <v>74</v>
      </c>
      <c r="AB10" s="73" t="s">
        <v>11</v>
      </c>
      <c r="AC10" s="73">
        <v>28.6</v>
      </c>
      <c r="AD10" s="82" t="s">
        <v>121</v>
      </c>
      <c r="AE10" s="73" t="s">
        <v>17</v>
      </c>
      <c r="AF10" s="73" t="s">
        <v>18</v>
      </c>
      <c r="AG10" s="83">
        <v>12.3</v>
      </c>
      <c r="AH10" s="73" t="s">
        <v>122</v>
      </c>
      <c r="AI10" s="73" t="s">
        <v>22</v>
      </c>
      <c r="AJ10" s="73" t="s">
        <v>12</v>
      </c>
      <c r="AK10" s="73">
        <v>4.9000000000000004</v>
      </c>
      <c r="AL10" s="82"/>
      <c r="AO10" s="83"/>
      <c r="AP10" s="82"/>
      <c r="AS10" s="83"/>
      <c r="AW10" s="83"/>
      <c r="BA10" s="84"/>
    </row>
    <row r="11" spans="1:53" s="73" customFormat="1" x14ac:dyDescent="0.15">
      <c r="A11" s="102">
        <v>1961</v>
      </c>
      <c r="B11" s="85"/>
      <c r="C11" s="786" t="s">
        <v>386</v>
      </c>
      <c r="D11" s="786"/>
      <c r="E11" s="73">
        <v>365</v>
      </c>
      <c r="G11" s="123">
        <v>9</v>
      </c>
      <c r="H11" s="73">
        <v>4</v>
      </c>
      <c r="I11" s="73">
        <v>1</v>
      </c>
      <c r="J11" s="134">
        <v>21</v>
      </c>
      <c r="K11" s="92">
        <f t="shared" si="0"/>
        <v>42.857142857142854</v>
      </c>
      <c r="L11" s="92">
        <f t="shared" si="1"/>
        <v>19.047619047619047</v>
      </c>
      <c r="M11" s="92">
        <f t="shared" si="2"/>
        <v>4.7619047619047619</v>
      </c>
      <c r="N11" s="125">
        <f t="shared" si="3"/>
        <v>66.666666666666657</v>
      </c>
      <c r="O11" s="91">
        <v>71.2</v>
      </c>
      <c r="P11" s="92">
        <v>12.3</v>
      </c>
      <c r="Q11" s="92">
        <v>4.9000000000000004</v>
      </c>
      <c r="R11" s="93">
        <f t="shared" si="4"/>
        <v>88.4</v>
      </c>
      <c r="S11" s="97">
        <v>3</v>
      </c>
      <c r="T11" s="95"/>
      <c r="U11" s="85"/>
      <c r="V11" s="82" t="s">
        <v>384</v>
      </c>
      <c r="W11" s="73" t="s">
        <v>76</v>
      </c>
      <c r="X11" s="73" t="s">
        <v>11</v>
      </c>
      <c r="Y11" s="83">
        <v>42.6</v>
      </c>
      <c r="Z11" s="82" t="s">
        <v>120</v>
      </c>
      <c r="AA11" s="73" t="s">
        <v>74</v>
      </c>
      <c r="AB11" s="73" t="s">
        <v>11</v>
      </c>
      <c r="AC11" s="73">
        <v>28.6</v>
      </c>
      <c r="AD11" s="82" t="s">
        <v>121</v>
      </c>
      <c r="AE11" s="73" t="s">
        <v>17</v>
      </c>
      <c r="AF11" s="73" t="s">
        <v>18</v>
      </c>
      <c r="AG11" s="83">
        <v>12.3</v>
      </c>
      <c r="AH11" s="73" t="s">
        <v>122</v>
      </c>
      <c r="AI11" s="73" t="s">
        <v>22</v>
      </c>
      <c r="AJ11" s="73" t="s">
        <v>12</v>
      </c>
      <c r="AK11" s="73">
        <v>4.9000000000000004</v>
      </c>
      <c r="AL11" s="82"/>
      <c r="AO11" s="83"/>
      <c r="AP11" s="82"/>
      <c r="AS11" s="83"/>
      <c r="AW11" s="83"/>
      <c r="BA11" s="84"/>
    </row>
    <row r="12" spans="1:53" s="73" customFormat="1" x14ac:dyDescent="0.15">
      <c r="A12" s="102">
        <v>1962</v>
      </c>
      <c r="B12" s="85"/>
      <c r="C12" s="786" t="s">
        <v>386</v>
      </c>
      <c r="D12" s="786"/>
      <c r="E12" s="73">
        <v>104</v>
      </c>
      <c r="G12" s="123">
        <v>9</v>
      </c>
      <c r="H12" s="73">
        <v>4</v>
      </c>
      <c r="I12" s="73">
        <v>1</v>
      </c>
      <c r="J12" s="134">
        <v>21</v>
      </c>
      <c r="K12" s="92">
        <f t="shared" si="0"/>
        <v>42.857142857142854</v>
      </c>
      <c r="L12" s="92">
        <f t="shared" si="1"/>
        <v>19.047619047619047</v>
      </c>
      <c r="M12" s="92">
        <f t="shared" si="2"/>
        <v>4.7619047619047619</v>
      </c>
      <c r="N12" s="125">
        <f t="shared" si="3"/>
        <v>66.666666666666657</v>
      </c>
      <c r="O12" s="91">
        <v>71.2</v>
      </c>
      <c r="P12" s="92">
        <v>12.3</v>
      </c>
      <c r="Q12" s="92">
        <v>4.9000000000000004</v>
      </c>
      <c r="R12" s="93">
        <f t="shared" si="4"/>
        <v>88.4</v>
      </c>
      <c r="S12" s="97">
        <v>3</v>
      </c>
      <c r="T12" s="95"/>
      <c r="U12" s="85"/>
      <c r="V12" s="82" t="s">
        <v>384</v>
      </c>
      <c r="W12" s="73" t="s">
        <v>76</v>
      </c>
      <c r="X12" s="73" t="s">
        <v>11</v>
      </c>
      <c r="Y12" s="83">
        <v>42.6</v>
      </c>
      <c r="Z12" s="82" t="s">
        <v>120</v>
      </c>
      <c r="AA12" s="73" t="s">
        <v>74</v>
      </c>
      <c r="AB12" s="73" t="s">
        <v>11</v>
      </c>
      <c r="AC12" s="73">
        <v>28.6</v>
      </c>
      <c r="AD12" s="82" t="s">
        <v>121</v>
      </c>
      <c r="AE12" s="73" t="s">
        <v>17</v>
      </c>
      <c r="AF12" s="73" t="s">
        <v>18</v>
      </c>
      <c r="AG12" s="83">
        <v>12.3</v>
      </c>
      <c r="AH12" s="73" t="s">
        <v>122</v>
      </c>
      <c r="AI12" s="73" t="s">
        <v>22</v>
      </c>
      <c r="AJ12" s="73" t="s">
        <v>12</v>
      </c>
      <c r="AK12" s="73">
        <v>4.9000000000000004</v>
      </c>
      <c r="AL12" s="82"/>
      <c r="AO12" s="83"/>
      <c r="AP12" s="82"/>
      <c r="AS12" s="83"/>
      <c r="AW12" s="83"/>
      <c r="BA12" s="84"/>
    </row>
    <row r="13" spans="1:53" s="334" customFormat="1" x14ac:dyDescent="0.15">
      <c r="A13" s="386">
        <v>1962</v>
      </c>
      <c r="B13" s="355">
        <v>22751</v>
      </c>
      <c r="C13" s="785" t="s">
        <v>387</v>
      </c>
      <c r="D13" s="785"/>
      <c r="E13" s="334">
        <v>31</v>
      </c>
      <c r="F13" s="334">
        <v>1</v>
      </c>
      <c r="G13" s="419">
        <v>11</v>
      </c>
      <c r="H13" s="334">
        <v>4</v>
      </c>
      <c r="J13" s="435">
        <v>22</v>
      </c>
      <c r="K13" s="384">
        <f t="shared" si="0"/>
        <v>50</v>
      </c>
      <c r="L13" s="384">
        <f t="shared" si="1"/>
        <v>18.181818181818183</v>
      </c>
      <c r="M13" s="384">
        <f t="shared" si="2"/>
        <v>0</v>
      </c>
      <c r="N13" s="421">
        <f t="shared" si="3"/>
        <v>68.181818181818187</v>
      </c>
      <c r="O13" s="383">
        <v>71.2</v>
      </c>
      <c r="P13" s="384">
        <v>12.3</v>
      </c>
      <c r="Q13" s="384"/>
      <c r="R13" s="385">
        <f t="shared" si="4"/>
        <v>83.5</v>
      </c>
      <c r="S13" s="388">
        <v>3</v>
      </c>
      <c r="T13" s="342"/>
      <c r="U13" s="355">
        <v>22751</v>
      </c>
      <c r="V13" s="343" t="s">
        <v>384</v>
      </c>
      <c r="W13" s="334" t="s">
        <v>76</v>
      </c>
      <c r="X13" s="334" t="s">
        <v>11</v>
      </c>
      <c r="Y13" s="344">
        <v>42.6</v>
      </c>
      <c r="Z13" s="343" t="s">
        <v>120</v>
      </c>
      <c r="AA13" s="334" t="s">
        <v>74</v>
      </c>
      <c r="AB13" s="334" t="s">
        <v>11</v>
      </c>
      <c r="AC13" s="334">
        <v>28.6</v>
      </c>
      <c r="AD13" s="343" t="s">
        <v>121</v>
      </c>
      <c r="AE13" s="334" t="s">
        <v>17</v>
      </c>
      <c r="AF13" s="334" t="s">
        <v>18</v>
      </c>
      <c r="AG13" s="344">
        <v>12.3</v>
      </c>
      <c r="AL13" s="343"/>
      <c r="AO13" s="344"/>
      <c r="AP13" s="343"/>
      <c r="AS13" s="344"/>
      <c r="AW13" s="344"/>
      <c r="BA13" s="345"/>
    </row>
    <row r="14" spans="1:53" s="73" customFormat="1" x14ac:dyDescent="0.15">
      <c r="A14" s="102">
        <v>1962</v>
      </c>
      <c r="B14" s="85">
        <v>22782</v>
      </c>
      <c r="C14" s="786" t="s">
        <v>388</v>
      </c>
      <c r="D14" s="786"/>
      <c r="E14" s="73">
        <v>204</v>
      </c>
      <c r="F14" s="73">
        <v>5</v>
      </c>
      <c r="G14" s="123">
        <v>15</v>
      </c>
      <c r="J14" s="134">
        <v>20</v>
      </c>
      <c r="K14" s="92">
        <f t="shared" si="0"/>
        <v>75</v>
      </c>
      <c r="L14" s="92">
        <f t="shared" si="1"/>
        <v>0</v>
      </c>
      <c r="M14" s="92">
        <f t="shared" si="2"/>
        <v>0</v>
      </c>
      <c r="N14" s="125">
        <f t="shared" si="3"/>
        <v>75</v>
      </c>
      <c r="O14" s="91">
        <v>71.2</v>
      </c>
      <c r="P14" s="92"/>
      <c r="Q14" s="92"/>
      <c r="R14" s="93">
        <f t="shared" si="4"/>
        <v>71.2</v>
      </c>
      <c r="S14" s="97">
        <v>2</v>
      </c>
      <c r="T14" s="95"/>
      <c r="U14" s="85">
        <v>22782</v>
      </c>
      <c r="V14" s="82" t="s">
        <v>384</v>
      </c>
      <c r="W14" s="73" t="s">
        <v>76</v>
      </c>
      <c r="X14" s="73" t="s">
        <v>11</v>
      </c>
      <c r="Y14" s="83">
        <v>42.6</v>
      </c>
      <c r="Z14" s="82" t="s">
        <v>120</v>
      </c>
      <c r="AA14" s="73" t="s">
        <v>74</v>
      </c>
      <c r="AB14" s="73" t="s">
        <v>11</v>
      </c>
      <c r="AC14" s="73">
        <v>28.6</v>
      </c>
      <c r="AD14" s="82"/>
      <c r="AG14" s="83"/>
      <c r="AL14" s="82"/>
      <c r="AO14" s="83"/>
      <c r="AP14" s="82"/>
      <c r="AS14" s="83"/>
      <c r="AW14" s="83"/>
      <c r="BA14" s="84"/>
    </row>
    <row r="15" spans="1:53" s="334" customFormat="1" x14ac:dyDescent="0.15">
      <c r="A15" s="386">
        <v>1962</v>
      </c>
      <c r="B15" s="355">
        <v>22986</v>
      </c>
      <c r="C15" s="785" t="s">
        <v>389</v>
      </c>
      <c r="D15" s="785"/>
      <c r="E15" s="334">
        <v>26</v>
      </c>
      <c r="F15" s="334">
        <v>7</v>
      </c>
      <c r="G15" s="419">
        <v>16</v>
      </c>
      <c r="J15" s="435">
        <v>22</v>
      </c>
      <c r="K15" s="384">
        <f t="shared" si="0"/>
        <v>72.727272727272734</v>
      </c>
      <c r="L15" s="384">
        <f t="shared" si="1"/>
        <v>0</v>
      </c>
      <c r="M15" s="384">
        <f t="shared" si="2"/>
        <v>0</v>
      </c>
      <c r="N15" s="421">
        <f t="shared" si="3"/>
        <v>72.727272727272734</v>
      </c>
      <c r="O15" s="383">
        <v>49.5</v>
      </c>
      <c r="P15" s="384">
        <v>3.8</v>
      </c>
      <c r="Q15" s="384"/>
      <c r="R15" s="385">
        <f t="shared" si="4"/>
        <v>53.3</v>
      </c>
      <c r="S15" s="388">
        <v>2</v>
      </c>
      <c r="T15" s="342">
        <v>22968</v>
      </c>
      <c r="U15" s="355">
        <v>22986</v>
      </c>
      <c r="V15" s="343" t="s">
        <v>384</v>
      </c>
      <c r="W15" s="334" t="s">
        <v>76</v>
      </c>
      <c r="X15" s="334" t="s">
        <v>11</v>
      </c>
      <c r="Y15" s="344">
        <v>49.5</v>
      </c>
      <c r="Z15" s="343" t="s">
        <v>123</v>
      </c>
      <c r="AA15" s="334" t="s">
        <v>77</v>
      </c>
      <c r="AB15" s="334" t="s">
        <v>18</v>
      </c>
      <c r="AC15" s="334">
        <v>3.8</v>
      </c>
      <c r="AD15" s="343"/>
      <c r="AG15" s="344"/>
      <c r="AL15" s="343"/>
      <c r="AO15" s="344"/>
      <c r="AP15" s="343"/>
      <c r="AS15" s="344"/>
      <c r="AW15" s="344"/>
      <c r="BA15" s="345"/>
    </row>
    <row r="16" spans="1:53" s="334" customFormat="1" x14ac:dyDescent="0.15">
      <c r="A16" s="386">
        <v>1962.6</v>
      </c>
      <c r="B16" s="355"/>
      <c r="C16" s="785" t="s">
        <v>389</v>
      </c>
      <c r="D16" s="785"/>
      <c r="E16" s="334">
        <v>0</v>
      </c>
      <c r="G16" s="419">
        <v>16</v>
      </c>
      <c r="J16" s="435">
        <v>22</v>
      </c>
      <c r="K16" s="384">
        <f t="shared" si="0"/>
        <v>72.727272727272734</v>
      </c>
      <c r="L16" s="384">
        <f t="shared" si="1"/>
        <v>0</v>
      </c>
      <c r="M16" s="384">
        <f t="shared" si="2"/>
        <v>0</v>
      </c>
      <c r="N16" s="421">
        <f t="shared" si="3"/>
        <v>72.727272727272734</v>
      </c>
      <c r="O16" s="383">
        <v>49.5</v>
      </c>
      <c r="P16" s="384">
        <v>3.8</v>
      </c>
      <c r="Q16" s="384"/>
      <c r="R16" s="385">
        <f t="shared" si="4"/>
        <v>53.3</v>
      </c>
      <c r="S16" s="388">
        <v>2</v>
      </c>
      <c r="T16" s="342"/>
      <c r="U16" s="355"/>
      <c r="V16" s="343" t="s">
        <v>384</v>
      </c>
      <c r="W16" s="334" t="s">
        <v>76</v>
      </c>
      <c r="X16" s="334" t="s">
        <v>11</v>
      </c>
      <c r="Y16" s="344">
        <v>49.5</v>
      </c>
      <c r="Z16" s="343" t="s">
        <v>123</v>
      </c>
      <c r="AA16" s="334" t="s">
        <v>77</v>
      </c>
      <c r="AB16" s="334" t="s">
        <v>18</v>
      </c>
      <c r="AC16" s="334">
        <v>3.8</v>
      </c>
      <c r="AD16" s="343"/>
      <c r="AG16" s="344"/>
      <c r="AL16" s="343"/>
      <c r="AO16" s="344"/>
      <c r="AP16" s="343"/>
      <c r="AS16" s="344"/>
      <c r="AW16" s="344"/>
      <c r="BA16" s="345"/>
    </row>
    <row r="17" spans="1:53" s="334" customFormat="1" x14ac:dyDescent="0.15">
      <c r="A17" s="386">
        <v>1963.05714285714</v>
      </c>
      <c r="B17" s="355"/>
      <c r="C17" s="785" t="s">
        <v>389</v>
      </c>
      <c r="D17" s="785"/>
      <c r="E17" s="334">
        <v>365</v>
      </c>
      <c r="G17" s="419">
        <v>16</v>
      </c>
      <c r="J17" s="435">
        <v>22</v>
      </c>
      <c r="K17" s="384">
        <f t="shared" si="0"/>
        <v>72.727272727272734</v>
      </c>
      <c r="L17" s="384">
        <f t="shared" si="1"/>
        <v>0</v>
      </c>
      <c r="M17" s="384">
        <f t="shared" si="2"/>
        <v>0</v>
      </c>
      <c r="N17" s="421">
        <f t="shared" si="3"/>
        <v>72.727272727272734</v>
      </c>
      <c r="O17" s="383">
        <v>49.5</v>
      </c>
      <c r="P17" s="384">
        <v>3.8</v>
      </c>
      <c r="Q17" s="384"/>
      <c r="R17" s="385">
        <f t="shared" si="4"/>
        <v>53.3</v>
      </c>
      <c r="S17" s="388">
        <v>2</v>
      </c>
      <c r="T17" s="342"/>
      <c r="U17" s="355"/>
      <c r="V17" s="343" t="s">
        <v>384</v>
      </c>
      <c r="W17" s="334" t="s">
        <v>76</v>
      </c>
      <c r="X17" s="334" t="s">
        <v>11</v>
      </c>
      <c r="Y17" s="344">
        <v>49.5</v>
      </c>
      <c r="Z17" s="343" t="s">
        <v>123</v>
      </c>
      <c r="AA17" s="334" t="s">
        <v>77</v>
      </c>
      <c r="AB17" s="334" t="s">
        <v>18</v>
      </c>
      <c r="AC17" s="334">
        <v>3.8</v>
      </c>
      <c r="AD17" s="343"/>
      <c r="AG17" s="344"/>
      <c r="AL17" s="343"/>
      <c r="AO17" s="344"/>
      <c r="AP17" s="343"/>
      <c r="AS17" s="344"/>
      <c r="AW17" s="344"/>
      <c r="BA17" s="345"/>
    </row>
    <row r="18" spans="1:53" s="334" customFormat="1" x14ac:dyDescent="0.15">
      <c r="A18" s="386">
        <v>1963.5142857142901</v>
      </c>
      <c r="B18" s="355"/>
      <c r="C18" s="785" t="s">
        <v>389</v>
      </c>
      <c r="D18" s="785"/>
      <c r="E18" s="334">
        <v>0</v>
      </c>
      <c r="G18" s="419">
        <v>16</v>
      </c>
      <c r="J18" s="435">
        <v>22</v>
      </c>
      <c r="K18" s="384">
        <f t="shared" si="0"/>
        <v>72.727272727272734</v>
      </c>
      <c r="L18" s="384">
        <f t="shared" si="1"/>
        <v>0</v>
      </c>
      <c r="M18" s="384">
        <f t="shared" si="2"/>
        <v>0</v>
      </c>
      <c r="N18" s="421">
        <f t="shared" si="3"/>
        <v>72.727272727272734</v>
      </c>
      <c r="O18" s="383">
        <v>49.5</v>
      </c>
      <c r="P18" s="384">
        <v>3.8</v>
      </c>
      <c r="Q18" s="384"/>
      <c r="R18" s="385">
        <f t="shared" si="4"/>
        <v>53.3</v>
      </c>
      <c r="S18" s="388">
        <v>2</v>
      </c>
      <c r="T18" s="342"/>
      <c r="U18" s="355"/>
      <c r="V18" s="343" t="s">
        <v>384</v>
      </c>
      <c r="W18" s="334" t="s">
        <v>76</v>
      </c>
      <c r="X18" s="334" t="s">
        <v>11</v>
      </c>
      <c r="Y18" s="344">
        <v>49.5</v>
      </c>
      <c r="Z18" s="343" t="s">
        <v>123</v>
      </c>
      <c r="AA18" s="334" t="s">
        <v>77</v>
      </c>
      <c r="AB18" s="334" t="s">
        <v>18</v>
      </c>
      <c r="AC18" s="334">
        <v>3.8</v>
      </c>
      <c r="AD18" s="343"/>
      <c r="AG18" s="344"/>
      <c r="AL18" s="343"/>
      <c r="AO18" s="344"/>
      <c r="AP18" s="343"/>
      <c r="AS18" s="344"/>
      <c r="AW18" s="344"/>
      <c r="BA18" s="345"/>
    </row>
    <row r="19" spans="1:53" s="334" customFormat="1" x14ac:dyDescent="0.15">
      <c r="A19" s="386">
        <v>1963.9714285714299</v>
      </c>
      <c r="B19" s="355"/>
      <c r="C19" s="785" t="s">
        <v>389</v>
      </c>
      <c r="D19" s="785"/>
      <c r="E19" s="334">
        <v>366</v>
      </c>
      <c r="G19" s="419">
        <v>16</v>
      </c>
      <c r="J19" s="435">
        <v>22</v>
      </c>
      <c r="K19" s="384">
        <f t="shared" si="0"/>
        <v>72.727272727272734</v>
      </c>
      <c r="L19" s="384">
        <f t="shared" si="1"/>
        <v>0</v>
      </c>
      <c r="M19" s="384">
        <f t="shared" si="2"/>
        <v>0</v>
      </c>
      <c r="N19" s="421">
        <f t="shared" si="3"/>
        <v>72.727272727272734</v>
      </c>
      <c r="O19" s="383">
        <v>49.5</v>
      </c>
      <c r="P19" s="384">
        <v>3.8</v>
      </c>
      <c r="Q19" s="384"/>
      <c r="R19" s="385">
        <f t="shared" si="4"/>
        <v>53.3</v>
      </c>
      <c r="S19" s="388">
        <v>2</v>
      </c>
      <c r="T19" s="342"/>
      <c r="U19" s="355"/>
      <c r="V19" s="343" t="s">
        <v>384</v>
      </c>
      <c r="W19" s="334" t="s">
        <v>76</v>
      </c>
      <c r="X19" s="334" t="s">
        <v>11</v>
      </c>
      <c r="Y19" s="344">
        <v>49.5</v>
      </c>
      <c r="Z19" s="343" t="s">
        <v>123</v>
      </c>
      <c r="AA19" s="334" t="s">
        <v>77</v>
      </c>
      <c r="AB19" s="334" t="s">
        <v>18</v>
      </c>
      <c r="AC19" s="334">
        <v>3.8</v>
      </c>
      <c r="AD19" s="343"/>
      <c r="AG19" s="344"/>
      <c r="AL19" s="343"/>
      <c r="AO19" s="344"/>
      <c r="AP19" s="343"/>
      <c r="AS19" s="344"/>
      <c r="AW19" s="344"/>
      <c r="BA19" s="345"/>
    </row>
    <row r="20" spans="1:53" s="334" customFormat="1" x14ac:dyDescent="0.15">
      <c r="A20" s="386">
        <v>1965</v>
      </c>
      <c r="B20" s="355"/>
      <c r="C20" s="785" t="s">
        <v>389</v>
      </c>
      <c r="D20" s="785"/>
      <c r="E20" s="334">
        <v>0</v>
      </c>
      <c r="G20" s="419">
        <v>16</v>
      </c>
      <c r="J20" s="435">
        <v>22</v>
      </c>
      <c r="K20" s="384">
        <f t="shared" si="0"/>
        <v>72.727272727272734</v>
      </c>
      <c r="L20" s="384">
        <f t="shared" si="1"/>
        <v>0</v>
      </c>
      <c r="M20" s="384">
        <f t="shared" si="2"/>
        <v>0</v>
      </c>
      <c r="N20" s="421">
        <f t="shared" si="3"/>
        <v>72.727272727272734</v>
      </c>
      <c r="O20" s="383">
        <v>49.5</v>
      </c>
      <c r="P20" s="384">
        <v>3.8</v>
      </c>
      <c r="Q20" s="384"/>
      <c r="R20" s="385">
        <f t="shared" si="4"/>
        <v>53.3</v>
      </c>
      <c r="S20" s="388">
        <v>2</v>
      </c>
      <c r="T20" s="342"/>
      <c r="U20" s="355"/>
      <c r="V20" s="343" t="s">
        <v>384</v>
      </c>
      <c r="W20" s="334" t="s">
        <v>76</v>
      </c>
      <c r="X20" s="334" t="s">
        <v>11</v>
      </c>
      <c r="Y20" s="344">
        <v>49.5</v>
      </c>
      <c r="Z20" s="343" t="s">
        <v>123</v>
      </c>
      <c r="AA20" s="334" t="s">
        <v>77</v>
      </c>
      <c r="AB20" s="334" t="s">
        <v>18</v>
      </c>
      <c r="AC20" s="334">
        <v>3.8</v>
      </c>
      <c r="AD20" s="343"/>
      <c r="AG20" s="344"/>
      <c r="AL20" s="343"/>
      <c r="AO20" s="344"/>
      <c r="AP20" s="343"/>
      <c r="AS20" s="344"/>
      <c r="AW20" s="344"/>
      <c r="BA20" s="345"/>
    </row>
    <row r="21" spans="1:53" s="334" customFormat="1" x14ac:dyDescent="0.15">
      <c r="A21" s="386">
        <v>1964.88571428572</v>
      </c>
      <c r="B21" s="355"/>
      <c r="C21" s="785" t="s">
        <v>389</v>
      </c>
      <c r="D21" s="785"/>
      <c r="E21" s="334">
        <v>365</v>
      </c>
      <c r="G21" s="419">
        <v>16</v>
      </c>
      <c r="J21" s="435">
        <v>22</v>
      </c>
      <c r="K21" s="384">
        <f t="shared" si="0"/>
        <v>72.727272727272734</v>
      </c>
      <c r="L21" s="384">
        <f t="shared" si="1"/>
        <v>0</v>
      </c>
      <c r="M21" s="384">
        <f t="shared" si="2"/>
        <v>0</v>
      </c>
      <c r="N21" s="421">
        <f t="shared" si="3"/>
        <v>72.727272727272734</v>
      </c>
      <c r="O21" s="383">
        <v>49.5</v>
      </c>
      <c r="P21" s="384">
        <v>3.8</v>
      </c>
      <c r="Q21" s="384"/>
      <c r="R21" s="385">
        <f t="shared" si="4"/>
        <v>53.3</v>
      </c>
      <c r="S21" s="388">
        <v>2</v>
      </c>
      <c r="T21" s="342"/>
      <c r="U21" s="355"/>
      <c r="V21" s="343" t="s">
        <v>384</v>
      </c>
      <c r="W21" s="334" t="s">
        <v>76</v>
      </c>
      <c r="X21" s="334" t="s">
        <v>11</v>
      </c>
      <c r="Y21" s="344">
        <v>49.5</v>
      </c>
      <c r="Z21" s="343" t="s">
        <v>123</v>
      </c>
      <c r="AA21" s="334" t="s">
        <v>77</v>
      </c>
      <c r="AB21" s="334" t="s">
        <v>18</v>
      </c>
      <c r="AC21" s="334">
        <v>3.8</v>
      </c>
      <c r="AD21" s="343"/>
      <c r="AG21" s="344"/>
      <c r="AL21" s="343"/>
      <c r="AO21" s="344"/>
      <c r="AP21" s="343"/>
      <c r="AS21" s="344"/>
      <c r="AW21" s="344"/>
      <c r="BA21" s="345"/>
    </row>
    <row r="22" spans="1:53" s="334" customFormat="1" x14ac:dyDescent="0.15">
      <c r="A22" s="386">
        <v>1966</v>
      </c>
      <c r="B22" s="355"/>
      <c r="C22" s="785" t="s">
        <v>389</v>
      </c>
      <c r="D22" s="785"/>
      <c r="E22" s="334">
        <v>8</v>
      </c>
      <c r="G22" s="419">
        <v>16</v>
      </c>
      <c r="J22" s="435">
        <v>22</v>
      </c>
      <c r="K22" s="384">
        <f t="shared" si="0"/>
        <v>72.727272727272734</v>
      </c>
      <c r="L22" s="384">
        <f t="shared" si="1"/>
        <v>0</v>
      </c>
      <c r="M22" s="384">
        <f t="shared" si="2"/>
        <v>0</v>
      </c>
      <c r="N22" s="421">
        <f t="shared" si="3"/>
        <v>72.727272727272734</v>
      </c>
      <c r="O22" s="383">
        <v>49.5</v>
      </c>
      <c r="P22" s="384">
        <v>3.8</v>
      </c>
      <c r="Q22" s="384"/>
      <c r="R22" s="385">
        <f t="shared" si="4"/>
        <v>53.3</v>
      </c>
      <c r="S22" s="388">
        <v>2</v>
      </c>
      <c r="T22" s="342"/>
      <c r="U22" s="355"/>
      <c r="V22" s="343" t="s">
        <v>384</v>
      </c>
      <c r="W22" s="334" t="s">
        <v>76</v>
      </c>
      <c r="X22" s="334" t="s">
        <v>11</v>
      </c>
      <c r="Y22" s="344">
        <v>49.5</v>
      </c>
      <c r="Z22" s="343" t="s">
        <v>123</v>
      </c>
      <c r="AA22" s="334" t="s">
        <v>77</v>
      </c>
      <c r="AB22" s="334" t="s">
        <v>18</v>
      </c>
      <c r="AC22" s="334">
        <v>3.8</v>
      </c>
      <c r="AD22" s="343"/>
      <c r="AG22" s="344"/>
      <c r="AL22" s="343"/>
      <c r="AO22" s="344"/>
      <c r="AP22" s="343"/>
      <c r="AS22" s="344"/>
      <c r="AW22" s="344"/>
      <c r="BA22" s="345"/>
    </row>
    <row r="23" spans="1:53" s="73" customFormat="1" x14ac:dyDescent="0.15">
      <c r="A23" s="102">
        <v>1965.8</v>
      </c>
      <c r="B23" s="85">
        <v>24116</v>
      </c>
      <c r="C23" s="786" t="s">
        <v>390</v>
      </c>
      <c r="D23" s="786"/>
      <c r="E23" s="73">
        <v>357</v>
      </c>
      <c r="F23" s="73">
        <v>1</v>
      </c>
      <c r="G23" s="123">
        <v>12</v>
      </c>
      <c r="J23" s="134">
        <v>18</v>
      </c>
      <c r="K23" s="92">
        <f t="shared" si="0"/>
        <v>66.666666666666657</v>
      </c>
      <c r="L23" s="92">
        <f t="shared" si="1"/>
        <v>0</v>
      </c>
      <c r="M23" s="92">
        <f t="shared" si="2"/>
        <v>0</v>
      </c>
      <c r="N23" s="125">
        <f t="shared" si="3"/>
        <v>66.666666666666657</v>
      </c>
      <c r="O23" s="91">
        <v>49.5</v>
      </c>
      <c r="P23" s="92">
        <v>3.8</v>
      </c>
      <c r="Q23" s="92"/>
      <c r="R23" s="93">
        <f t="shared" si="4"/>
        <v>53.3</v>
      </c>
      <c r="S23" s="97">
        <v>2</v>
      </c>
      <c r="T23" s="95"/>
      <c r="U23" s="85">
        <v>24116</v>
      </c>
      <c r="V23" s="82" t="s">
        <v>384</v>
      </c>
      <c r="W23" s="73" t="s">
        <v>76</v>
      </c>
      <c r="X23" s="73" t="s">
        <v>11</v>
      </c>
      <c r="Y23" s="83">
        <v>49.5</v>
      </c>
      <c r="Z23" s="82" t="s">
        <v>123</v>
      </c>
      <c r="AA23" s="73" t="s">
        <v>77</v>
      </c>
      <c r="AB23" s="73" t="s">
        <v>18</v>
      </c>
      <c r="AC23" s="73">
        <v>3.8</v>
      </c>
      <c r="AD23" s="82"/>
      <c r="AG23" s="83"/>
      <c r="AL23" s="82"/>
      <c r="AO23" s="83"/>
      <c r="AP23" s="82"/>
      <c r="AS23" s="83"/>
      <c r="AW23" s="83"/>
      <c r="BA23" s="84"/>
    </row>
    <row r="24" spans="1:53" s="73" customFormat="1" x14ac:dyDescent="0.15">
      <c r="A24" s="102">
        <v>1967</v>
      </c>
      <c r="B24" s="85"/>
      <c r="C24" s="786" t="s">
        <v>390</v>
      </c>
      <c r="D24" s="786"/>
      <c r="E24" s="73">
        <v>97</v>
      </c>
      <c r="G24" s="123">
        <v>12</v>
      </c>
      <c r="J24" s="134">
        <v>18</v>
      </c>
      <c r="K24" s="92">
        <f t="shared" si="0"/>
        <v>66.666666666666657</v>
      </c>
      <c r="L24" s="92">
        <f t="shared" si="1"/>
        <v>0</v>
      </c>
      <c r="M24" s="92">
        <f t="shared" si="2"/>
        <v>0</v>
      </c>
      <c r="N24" s="125">
        <f t="shared" si="3"/>
        <v>66.666666666666657</v>
      </c>
      <c r="O24" s="91">
        <v>49.5</v>
      </c>
      <c r="P24" s="92">
        <v>3.8</v>
      </c>
      <c r="Q24" s="92"/>
      <c r="R24" s="93">
        <f t="shared" si="4"/>
        <v>53.3</v>
      </c>
      <c r="S24" s="97">
        <v>2</v>
      </c>
      <c r="T24" s="95"/>
      <c r="U24" s="85"/>
      <c r="V24" s="82" t="s">
        <v>384</v>
      </c>
      <c r="W24" s="73" t="s">
        <v>76</v>
      </c>
      <c r="X24" s="73" t="s">
        <v>11</v>
      </c>
      <c r="Y24" s="83">
        <v>49.5</v>
      </c>
      <c r="Z24" s="82" t="s">
        <v>123</v>
      </c>
      <c r="AA24" s="73" t="s">
        <v>77</v>
      </c>
      <c r="AB24" s="73" t="s">
        <v>18</v>
      </c>
      <c r="AC24" s="73">
        <v>3.8</v>
      </c>
      <c r="AD24" s="82"/>
      <c r="AG24" s="83"/>
      <c r="AL24" s="82"/>
      <c r="AO24" s="83"/>
      <c r="AP24" s="82"/>
      <c r="AS24" s="83"/>
      <c r="AW24" s="83"/>
      <c r="BA24" s="84"/>
    </row>
    <row r="25" spans="1:53" s="334" customFormat="1" x14ac:dyDescent="0.15">
      <c r="A25" s="386">
        <v>1966.7142857142901</v>
      </c>
      <c r="B25" s="355">
        <v>24570</v>
      </c>
      <c r="C25" s="785" t="s">
        <v>391</v>
      </c>
      <c r="D25" s="785"/>
      <c r="E25" s="334">
        <v>268</v>
      </c>
      <c r="F25" s="334">
        <v>2</v>
      </c>
      <c r="G25" s="419">
        <v>12</v>
      </c>
      <c r="H25" s="334">
        <v>6</v>
      </c>
      <c r="J25" s="435">
        <v>22</v>
      </c>
      <c r="K25" s="384">
        <f t="shared" si="0"/>
        <v>54.54545454545454</v>
      </c>
      <c r="L25" s="384">
        <f t="shared" si="1"/>
        <v>27.27272727272727</v>
      </c>
      <c r="M25" s="384">
        <f t="shared" si="2"/>
        <v>0</v>
      </c>
      <c r="N25" s="421">
        <f t="shared" si="3"/>
        <v>81.818181818181813</v>
      </c>
      <c r="O25" s="383">
        <v>40.6</v>
      </c>
      <c r="P25" s="384">
        <v>8.6999999999999993</v>
      </c>
      <c r="Q25" s="384"/>
      <c r="R25" s="385">
        <f t="shared" si="4"/>
        <v>49.3</v>
      </c>
      <c r="S25" s="388">
        <v>5</v>
      </c>
      <c r="T25" s="342">
        <v>24536</v>
      </c>
      <c r="U25" s="355">
        <v>24570</v>
      </c>
      <c r="V25" s="343" t="s">
        <v>384</v>
      </c>
      <c r="W25" s="334" t="s">
        <v>76</v>
      </c>
      <c r="X25" s="334" t="s">
        <v>11</v>
      </c>
      <c r="Y25" s="334">
        <v>40.6</v>
      </c>
      <c r="Z25" s="343" t="s">
        <v>123</v>
      </c>
      <c r="AA25" s="334" t="s">
        <v>77</v>
      </c>
      <c r="AB25" s="334" t="s">
        <v>18</v>
      </c>
      <c r="AC25" s="334">
        <v>8.6999999999999993</v>
      </c>
      <c r="AD25" s="343"/>
      <c r="AG25" s="344"/>
      <c r="AL25" s="343"/>
      <c r="AO25" s="344"/>
      <c r="AP25" s="343"/>
      <c r="AS25" s="344"/>
      <c r="AW25" s="344"/>
      <c r="BA25" s="345"/>
    </row>
    <row r="26" spans="1:53" s="334" customFormat="1" x14ac:dyDescent="0.15">
      <c r="A26" s="386">
        <v>1968</v>
      </c>
      <c r="B26" s="355"/>
      <c r="C26" s="785" t="s">
        <v>391</v>
      </c>
      <c r="D26" s="785"/>
      <c r="E26" s="334">
        <v>151</v>
      </c>
      <c r="G26" s="419">
        <v>12</v>
      </c>
      <c r="H26" s="334">
        <v>6</v>
      </c>
      <c r="J26" s="435">
        <v>22</v>
      </c>
      <c r="K26" s="384">
        <f t="shared" si="0"/>
        <v>54.54545454545454</v>
      </c>
      <c r="L26" s="384">
        <f t="shared" si="1"/>
        <v>27.27272727272727</v>
      </c>
      <c r="M26" s="384">
        <f t="shared" si="2"/>
        <v>0</v>
      </c>
      <c r="N26" s="421">
        <f t="shared" si="3"/>
        <v>81.818181818181813</v>
      </c>
      <c r="O26" s="383">
        <v>40.6</v>
      </c>
      <c r="P26" s="384">
        <v>8.6999999999999993</v>
      </c>
      <c r="Q26" s="384"/>
      <c r="R26" s="385">
        <f t="shared" si="4"/>
        <v>49.3</v>
      </c>
      <c r="S26" s="388">
        <v>5</v>
      </c>
      <c r="T26" s="342"/>
      <c r="U26" s="355"/>
      <c r="V26" s="343" t="s">
        <v>384</v>
      </c>
      <c r="W26" s="334" t="s">
        <v>76</v>
      </c>
      <c r="X26" s="334" t="s">
        <v>11</v>
      </c>
      <c r="Y26" s="334">
        <v>40.6</v>
      </c>
      <c r="Z26" s="343" t="s">
        <v>123</v>
      </c>
      <c r="AA26" s="334" t="s">
        <v>77</v>
      </c>
      <c r="AB26" s="334" t="s">
        <v>18</v>
      </c>
      <c r="AC26" s="334">
        <v>8.6999999999999993</v>
      </c>
      <c r="AD26" s="343"/>
      <c r="AG26" s="344"/>
      <c r="AL26" s="343"/>
      <c r="AO26" s="344"/>
      <c r="AP26" s="343"/>
      <c r="AS26" s="344"/>
      <c r="AW26" s="344"/>
      <c r="BA26" s="345"/>
    </row>
    <row r="27" spans="1:53" s="73" customFormat="1" x14ac:dyDescent="0.15">
      <c r="A27" s="102">
        <v>1967.62857142857</v>
      </c>
      <c r="B27" s="85">
        <v>24989</v>
      </c>
      <c r="C27" s="786" t="s">
        <v>392</v>
      </c>
      <c r="D27" s="786"/>
      <c r="E27" s="73">
        <v>42</v>
      </c>
      <c r="F27" s="73">
        <v>6</v>
      </c>
      <c r="G27" s="123">
        <v>14</v>
      </c>
      <c r="H27" s="73">
        <v>3</v>
      </c>
      <c r="J27" s="134">
        <v>22</v>
      </c>
      <c r="K27" s="92">
        <f t="shared" si="0"/>
        <v>63.636363636363633</v>
      </c>
      <c r="L27" s="92">
        <f t="shared" si="1"/>
        <v>13.636363636363635</v>
      </c>
      <c r="M27" s="92">
        <f t="shared" si="2"/>
        <v>0</v>
      </c>
      <c r="N27" s="125">
        <f t="shared" si="3"/>
        <v>77.272727272727266</v>
      </c>
      <c r="O27" s="91">
        <v>40.6</v>
      </c>
      <c r="P27" s="92">
        <v>8.6999999999999993</v>
      </c>
      <c r="Q27" s="92"/>
      <c r="R27" s="93">
        <f t="shared" si="4"/>
        <v>49.3</v>
      </c>
      <c r="S27" s="97">
        <v>5</v>
      </c>
      <c r="T27" s="95"/>
      <c r="U27" s="85">
        <v>24989</v>
      </c>
      <c r="V27" s="82" t="s">
        <v>384</v>
      </c>
      <c r="W27" s="73" t="s">
        <v>76</v>
      </c>
      <c r="X27" s="73" t="s">
        <v>11</v>
      </c>
      <c r="Y27" s="73">
        <v>40.6</v>
      </c>
      <c r="Z27" s="82" t="s">
        <v>123</v>
      </c>
      <c r="AA27" s="73" t="s">
        <v>77</v>
      </c>
      <c r="AB27" s="73" t="s">
        <v>18</v>
      </c>
      <c r="AC27" s="73">
        <v>8.6999999999999993</v>
      </c>
      <c r="AD27" s="82"/>
      <c r="AG27" s="83"/>
      <c r="AL27" s="82"/>
      <c r="AO27" s="83"/>
      <c r="AP27" s="82"/>
      <c r="AS27" s="83"/>
      <c r="AW27" s="83"/>
      <c r="BA27" s="84"/>
    </row>
    <row r="28" spans="1:53" s="334" customFormat="1" x14ac:dyDescent="0.15">
      <c r="A28" s="386">
        <v>1967.62857142857</v>
      </c>
      <c r="B28" s="355">
        <v>25031</v>
      </c>
      <c r="C28" s="785" t="s">
        <v>393</v>
      </c>
      <c r="D28" s="785"/>
      <c r="E28" s="334">
        <v>173</v>
      </c>
      <c r="F28" s="334">
        <v>1</v>
      </c>
      <c r="G28" s="419">
        <v>14</v>
      </c>
      <c r="H28" s="334">
        <v>2</v>
      </c>
      <c r="J28" s="435">
        <v>19</v>
      </c>
      <c r="K28" s="384">
        <f t="shared" si="0"/>
        <v>73.68421052631578</v>
      </c>
      <c r="L28" s="384">
        <f t="shared" si="1"/>
        <v>10.526315789473683</v>
      </c>
      <c r="M28" s="384">
        <f t="shared" si="2"/>
        <v>0</v>
      </c>
      <c r="N28" s="421">
        <f t="shared" si="3"/>
        <v>84.210526315789465</v>
      </c>
      <c r="O28" s="383">
        <v>60</v>
      </c>
      <c r="P28" s="384">
        <v>13.6</v>
      </c>
      <c r="Q28" s="384"/>
      <c r="R28" s="385">
        <f t="shared" si="4"/>
        <v>73.599999999999994</v>
      </c>
      <c r="S28" s="388">
        <v>3</v>
      </c>
      <c r="T28" s="342">
        <v>25012</v>
      </c>
      <c r="U28" s="355">
        <v>25031</v>
      </c>
      <c r="V28" s="343" t="s">
        <v>384</v>
      </c>
      <c r="W28" s="334" t="s">
        <v>76</v>
      </c>
      <c r="X28" s="334" t="s">
        <v>11</v>
      </c>
      <c r="Y28" s="334">
        <v>60</v>
      </c>
      <c r="Z28" s="343" t="s">
        <v>123</v>
      </c>
      <c r="AA28" s="334" t="s">
        <v>77</v>
      </c>
      <c r="AB28" s="334" t="s">
        <v>18</v>
      </c>
      <c r="AC28" s="334">
        <v>13.6</v>
      </c>
      <c r="AD28" s="343"/>
      <c r="AG28" s="344"/>
      <c r="AL28" s="343"/>
      <c r="AO28" s="344"/>
      <c r="AP28" s="343"/>
      <c r="AS28" s="344"/>
      <c r="AW28" s="344"/>
      <c r="BA28" s="345"/>
    </row>
    <row r="29" spans="1:53" s="334" customFormat="1" x14ac:dyDescent="0.15">
      <c r="A29" s="386">
        <v>1969</v>
      </c>
      <c r="B29" s="355"/>
      <c r="C29" s="785" t="s">
        <v>393</v>
      </c>
      <c r="D29" s="785"/>
      <c r="E29" s="334">
        <v>172</v>
      </c>
      <c r="G29" s="419">
        <v>14</v>
      </c>
      <c r="H29" s="334">
        <v>2</v>
      </c>
      <c r="J29" s="435">
        <v>19</v>
      </c>
      <c r="K29" s="384">
        <f t="shared" si="0"/>
        <v>73.68421052631578</v>
      </c>
      <c r="L29" s="384">
        <f t="shared" si="1"/>
        <v>10.526315789473683</v>
      </c>
      <c r="M29" s="384">
        <f t="shared" si="2"/>
        <v>0</v>
      </c>
      <c r="N29" s="421">
        <f t="shared" si="3"/>
        <v>84.210526315789465</v>
      </c>
      <c r="O29" s="383">
        <v>60</v>
      </c>
      <c r="P29" s="384">
        <v>13.6</v>
      </c>
      <c r="Q29" s="384"/>
      <c r="R29" s="385">
        <f t="shared" si="4"/>
        <v>73.599999999999994</v>
      </c>
      <c r="S29" s="388">
        <v>3</v>
      </c>
      <c r="T29" s="342"/>
      <c r="U29" s="355"/>
      <c r="V29" s="343" t="s">
        <v>384</v>
      </c>
      <c r="W29" s="334" t="s">
        <v>76</v>
      </c>
      <c r="X29" s="334" t="s">
        <v>11</v>
      </c>
      <c r="Y29" s="334">
        <v>60</v>
      </c>
      <c r="Z29" s="343" t="s">
        <v>123</v>
      </c>
      <c r="AA29" s="334" t="s">
        <v>77</v>
      </c>
      <c r="AB29" s="334" t="s">
        <v>18</v>
      </c>
      <c r="AC29" s="334">
        <v>13.6</v>
      </c>
      <c r="AD29" s="343"/>
      <c r="AG29" s="344"/>
      <c r="AL29" s="343"/>
      <c r="AO29" s="344"/>
      <c r="AP29" s="343"/>
      <c r="AS29" s="344"/>
      <c r="AW29" s="344"/>
      <c r="BA29" s="345"/>
    </row>
    <row r="30" spans="1:53" s="73" customFormat="1" x14ac:dyDescent="0.15">
      <c r="A30" s="102">
        <v>1968.5428571428599</v>
      </c>
      <c r="B30" s="85">
        <v>25376</v>
      </c>
      <c r="C30" s="786" t="s">
        <v>394</v>
      </c>
      <c r="D30" s="786"/>
      <c r="E30" s="73">
        <v>193</v>
      </c>
      <c r="F30" s="73">
        <v>2</v>
      </c>
      <c r="G30" s="123">
        <v>16</v>
      </c>
      <c r="H30" s="73">
        <v>3</v>
      </c>
      <c r="J30" s="134">
        <v>19</v>
      </c>
      <c r="K30" s="92">
        <f t="shared" si="0"/>
        <v>84.210526315789465</v>
      </c>
      <c r="L30" s="92">
        <f t="shared" si="1"/>
        <v>15.789473684210526</v>
      </c>
      <c r="M30" s="92">
        <f t="shared" si="2"/>
        <v>0</v>
      </c>
      <c r="N30" s="125">
        <f t="shared" si="3"/>
        <v>99.999999999999986</v>
      </c>
      <c r="O30" s="91">
        <v>60</v>
      </c>
      <c r="P30" s="92">
        <v>19.100000000000001</v>
      </c>
      <c r="Q30" s="92"/>
      <c r="R30" s="93">
        <f t="shared" si="4"/>
        <v>79.099999999999994</v>
      </c>
      <c r="S30" s="97">
        <v>3</v>
      </c>
      <c r="T30" s="95"/>
      <c r="U30" s="85">
        <v>25376</v>
      </c>
      <c r="V30" s="82" t="s">
        <v>384</v>
      </c>
      <c r="W30" s="73" t="s">
        <v>76</v>
      </c>
      <c r="X30" s="73" t="s">
        <v>11</v>
      </c>
      <c r="Y30" s="73">
        <v>60</v>
      </c>
      <c r="Z30" s="82" t="s">
        <v>123</v>
      </c>
      <c r="AA30" s="73" t="s">
        <v>77</v>
      </c>
      <c r="AB30" s="73" t="s">
        <v>18</v>
      </c>
      <c r="AC30" s="73">
        <v>13.6</v>
      </c>
      <c r="AD30" s="82" t="s">
        <v>124</v>
      </c>
      <c r="AE30" s="73" t="s">
        <v>82</v>
      </c>
      <c r="AF30" s="73" t="s">
        <v>18</v>
      </c>
      <c r="AG30" s="83">
        <v>5.5</v>
      </c>
      <c r="AL30" s="82"/>
      <c r="AO30" s="83"/>
      <c r="AP30" s="82"/>
      <c r="AS30" s="83"/>
      <c r="AW30" s="83"/>
      <c r="BA30" s="84"/>
    </row>
    <row r="31" spans="1:53" s="73" customFormat="1" x14ac:dyDescent="0.15">
      <c r="A31" s="102">
        <v>1970</v>
      </c>
      <c r="B31" s="85"/>
      <c r="C31" s="786" t="s">
        <v>394</v>
      </c>
      <c r="D31" s="786"/>
      <c r="E31" s="73">
        <v>0</v>
      </c>
      <c r="G31" s="123">
        <v>16</v>
      </c>
      <c r="H31" s="73">
        <v>3</v>
      </c>
      <c r="J31" s="134">
        <v>19</v>
      </c>
      <c r="K31" s="92">
        <f t="shared" si="0"/>
        <v>84.210526315789465</v>
      </c>
      <c r="L31" s="92">
        <f t="shared" si="1"/>
        <v>15.789473684210526</v>
      </c>
      <c r="M31" s="92">
        <f t="shared" si="2"/>
        <v>0</v>
      </c>
      <c r="N31" s="125">
        <f t="shared" si="3"/>
        <v>99.999999999999986</v>
      </c>
      <c r="O31" s="91">
        <v>60</v>
      </c>
      <c r="P31" s="92">
        <v>19.100000000000001</v>
      </c>
      <c r="Q31" s="92"/>
      <c r="R31" s="93">
        <f t="shared" si="4"/>
        <v>79.099999999999994</v>
      </c>
      <c r="S31" s="97">
        <v>3</v>
      </c>
      <c r="T31" s="95"/>
      <c r="U31" s="85"/>
      <c r="V31" s="82" t="s">
        <v>384</v>
      </c>
      <c r="W31" s="73" t="s">
        <v>76</v>
      </c>
      <c r="X31" s="73" t="s">
        <v>11</v>
      </c>
      <c r="Y31" s="73">
        <v>60</v>
      </c>
      <c r="Z31" s="82" t="s">
        <v>123</v>
      </c>
      <c r="AA31" s="73" t="s">
        <v>77</v>
      </c>
      <c r="AB31" s="73" t="s">
        <v>18</v>
      </c>
      <c r="AC31" s="73">
        <v>13.6</v>
      </c>
      <c r="AD31" s="82" t="s">
        <v>124</v>
      </c>
      <c r="AE31" s="73" t="s">
        <v>82</v>
      </c>
      <c r="AF31" s="73" t="s">
        <v>18</v>
      </c>
      <c r="AG31" s="83">
        <v>5.5</v>
      </c>
      <c r="AL31" s="82"/>
      <c r="AO31" s="83"/>
      <c r="AP31" s="82"/>
      <c r="AS31" s="83"/>
      <c r="AW31" s="83"/>
      <c r="BA31" s="84"/>
    </row>
    <row r="32" spans="1:53" s="73" customFormat="1" x14ac:dyDescent="0.15">
      <c r="A32" s="102">
        <v>1970</v>
      </c>
      <c r="B32" s="85"/>
      <c r="C32" s="786" t="s">
        <v>394</v>
      </c>
      <c r="D32" s="786"/>
      <c r="E32" s="73">
        <v>365</v>
      </c>
      <c r="G32" s="123">
        <v>16</v>
      </c>
      <c r="H32" s="73">
        <v>3</v>
      </c>
      <c r="J32" s="134">
        <v>19</v>
      </c>
      <c r="K32" s="92">
        <f t="shared" si="0"/>
        <v>84.210526315789465</v>
      </c>
      <c r="L32" s="92">
        <f t="shared" si="1"/>
        <v>15.789473684210526</v>
      </c>
      <c r="M32" s="92">
        <f t="shared" si="2"/>
        <v>0</v>
      </c>
      <c r="N32" s="125">
        <f t="shared" si="3"/>
        <v>99.999999999999986</v>
      </c>
      <c r="O32" s="91">
        <v>60</v>
      </c>
      <c r="P32" s="92">
        <v>19.100000000000001</v>
      </c>
      <c r="Q32" s="92"/>
      <c r="R32" s="93">
        <f t="shared" si="4"/>
        <v>79.099999999999994</v>
      </c>
      <c r="S32" s="97">
        <v>3</v>
      </c>
      <c r="T32" s="95"/>
      <c r="U32" s="85"/>
      <c r="V32" s="82" t="s">
        <v>384</v>
      </c>
      <c r="W32" s="73" t="s">
        <v>76</v>
      </c>
      <c r="X32" s="73" t="s">
        <v>11</v>
      </c>
      <c r="Y32" s="73">
        <v>60</v>
      </c>
      <c r="Z32" s="82" t="s">
        <v>123</v>
      </c>
      <c r="AA32" s="73" t="s">
        <v>77</v>
      </c>
      <c r="AB32" s="73" t="s">
        <v>18</v>
      </c>
      <c r="AC32" s="73">
        <v>13.6</v>
      </c>
      <c r="AD32" s="82" t="s">
        <v>124</v>
      </c>
      <c r="AE32" s="73" t="s">
        <v>82</v>
      </c>
      <c r="AF32" s="73" t="s">
        <v>18</v>
      </c>
      <c r="AG32" s="83">
        <v>5.5</v>
      </c>
      <c r="AL32" s="82"/>
      <c r="AO32" s="83"/>
      <c r="AP32" s="82"/>
      <c r="AS32" s="83"/>
      <c r="AW32" s="83"/>
      <c r="BA32" s="84"/>
    </row>
    <row r="33" spans="1:53" s="73" customFormat="1" x14ac:dyDescent="0.15">
      <c r="A33" s="102">
        <v>1971</v>
      </c>
      <c r="B33" s="85"/>
      <c r="C33" s="786" t="s">
        <v>394</v>
      </c>
      <c r="D33" s="786"/>
      <c r="E33" s="73">
        <v>0</v>
      </c>
      <c r="G33" s="123">
        <v>16</v>
      </c>
      <c r="H33" s="73">
        <v>3</v>
      </c>
      <c r="J33" s="134">
        <v>19</v>
      </c>
      <c r="K33" s="92">
        <f t="shared" si="0"/>
        <v>84.210526315789465</v>
      </c>
      <c r="L33" s="92">
        <f t="shared" si="1"/>
        <v>15.789473684210526</v>
      </c>
      <c r="M33" s="92">
        <f t="shared" si="2"/>
        <v>0</v>
      </c>
      <c r="N33" s="125">
        <f t="shared" si="3"/>
        <v>99.999999999999986</v>
      </c>
      <c r="O33" s="91">
        <v>60</v>
      </c>
      <c r="P33" s="92">
        <v>19.100000000000001</v>
      </c>
      <c r="Q33" s="92"/>
      <c r="R33" s="93">
        <f t="shared" si="4"/>
        <v>79.099999999999994</v>
      </c>
      <c r="S33" s="97">
        <v>3</v>
      </c>
      <c r="T33" s="95"/>
      <c r="U33" s="85"/>
      <c r="V33" s="82" t="s">
        <v>384</v>
      </c>
      <c r="W33" s="73" t="s">
        <v>76</v>
      </c>
      <c r="X33" s="73" t="s">
        <v>11</v>
      </c>
      <c r="Y33" s="73">
        <v>60</v>
      </c>
      <c r="Z33" s="82" t="s">
        <v>123</v>
      </c>
      <c r="AA33" s="73" t="s">
        <v>77</v>
      </c>
      <c r="AB33" s="73" t="s">
        <v>18</v>
      </c>
      <c r="AC33" s="73">
        <v>13.6</v>
      </c>
      <c r="AD33" s="82" t="s">
        <v>124</v>
      </c>
      <c r="AE33" s="73" t="s">
        <v>82</v>
      </c>
      <c r="AF33" s="73" t="s">
        <v>18</v>
      </c>
      <c r="AG33" s="83">
        <v>5.5</v>
      </c>
      <c r="AL33" s="82"/>
      <c r="AO33" s="83"/>
      <c r="AP33" s="82"/>
      <c r="AS33" s="83"/>
      <c r="AW33" s="83"/>
      <c r="BA33" s="84"/>
    </row>
    <row r="34" spans="1:53" s="73" customFormat="1" x14ac:dyDescent="0.15">
      <c r="A34" s="102">
        <v>1971</v>
      </c>
      <c r="B34" s="85"/>
      <c r="C34" s="786" t="s">
        <v>394</v>
      </c>
      <c r="D34" s="786"/>
      <c r="E34" s="73">
        <v>365</v>
      </c>
      <c r="G34" s="123">
        <v>16</v>
      </c>
      <c r="H34" s="73">
        <v>3</v>
      </c>
      <c r="J34" s="134">
        <v>19</v>
      </c>
      <c r="K34" s="92">
        <f t="shared" si="0"/>
        <v>84.210526315789465</v>
      </c>
      <c r="L34" s="92">
        <f t="shared" si="1"/>
        <v>15.789473684210526</v>
      </c>
      <c r="M34" s="92">
        <f t="shared" si="2"/>
        <v>0</v>
      </c>
      <c r="N34" s="125">
        <f t="shared" si="3"/>
        <v>99.999999999999986</v>
      </c>
      <c r="O34" s="91">
        <v>60</v>
      </c>
      <c r="P34" s="92">
        <v>19.100000000000001</v>
      </c>
      <c r="Q34" s="92"/>
      <c r="R34" s="93">
        <f t="shared" si="4"/>
        <v>79.099999999999994</v>
      </c>
      <c r="S34" s="97">
        <v>3</v>
      </c>
      <c r="T34" s="95"/>
      <c r="U34" s="85"/>
      <c r="V34" s="82" t="s">
        <v>384</v>
      </c>
      <c r="W34" s="73" t="s">
        <v>76</v>
      </c>
      <c r="X34" s="73" t="s">
        <v>11</v>
      </c>
      <c r="Y34" s="73">
        <v>60</v>
      </c>
      <c r="Z34" s="82" t="s">
        <v>123</v>
      </c>
      <c r="AA34" s="73" t="s">
        <v>77</v>
      </c>
      <c r="AB34" s="73" t="s">
        <v>18</v>
      </c>
      <c r="AC34" s="73">
        <v>13.6</v>
      </c>
      <c r="AD34" s="82" t="s">
        <v>124</v>
      </c>
      <c r="AE34" s="73" t="s">
        <v>82</v>
      </c>
      <c r="AF34" s="73" t="s">
        <v>18</v>
      </c>
      <c r="AG34" s="83">
        <v>5.5</v>
      </c>
      <c r="AL34" s="82"/>
      <c r="AO34" s="83"/>
      <c r="AP34" s="82"/>
      <c r="AS34" s="83"/>
      <c r="AW34" s="83"/>
      <c r="BA34" s="84"/>
    </row>
    <row r="35" spans="1:53" s="73" customFormat="1" x14ac:dyDescent="0.15">
      <c r="A35" s="102">
        <v>1972</v>
      </c>
      <c r="B35" s="85"/>
      <c r="C35" s="786" t="s">
        <v>394</v>
      </c>
      <c r="D35" s="786"/>
      <c r="E35" s="73">
        <v>188</v>
      </c>
      <c r="G35" s="123">
        <v>16</v>
      </c>
      <c r="H35" s="73">
        <v>3</v>
      </c>
      <c r="J35" s="134">
        <v>19</v>
      </c>
      <c r="K35" s="92">
        <f t="shared" si="0"/>
        <v>84.210526315789465</v>
      </c>
      <c r="L35" s="92">
        <f t="shared" si="1"/>
        <v>15.789473684210526</v>
      </c>
      <c r="M35" s="92">
        <f t="shared" si="2"/>
        <v>0</v>
      </c>
      <c r="N35" s="125">
        <f t="shared" si="3"/>
        <v>99.999999999999986</v>
      </c>
      <c r="O35" s="91">
        <v>60</v>
      </c>
      <c r="P35" s="92">
        <v>19.100000000000001</v>
      </c>
      <c r="Q35" s="92"/>
      <c r="R35" s="93">
        <f t="shared" si="4"/>
        <v>79.099999999999994</v>
      </c>
      <c r="S35" s="97">
        <v>3</v>
      </c>
      <c r="T35" s="95"/>
      <c r="U35" s="85"/>
      <c r="V35" s="82" t="s">
        <v>384</v>
      </c>
      <c r="W35" s="73" t="s">
        <v>76</v>
      </c>
      <c r="X35" s="73" t="s">
        <v>11</v>
      </c>
      <c r="Y35" s="73">
        <v>60</v>
      </c>
      <c r="Z35" s="82" t="s">
        <v>123</v>
      </c>
      <c r="AA35" s="73" t="s">
        <v>77</v>
      </c>
      <c r="AB35" s="73" t="s">
        <v>18</v>
      </c>
      <c r="AC35" s="73">
        <v>13.6</v>
      </c>
      <c r="AD35" s="82" t="s">
        <v>124</v>
      </c>
      <c r="AE35" s="73" t="s">
        <v>82</v>
      </c>
      <c r="AF35" s="73" t="s">
        <v>18</v>
      </c>
      <c r="AG35" s="83">
        <v>5.5</v>
      </c>
      <c r="AL35" s="82"/>
      <c r="AO35" s="83"/>
      <c r="AP35" s="82"/>
      <c r="AS35" s="83"/>
      <c r="AW35" s="83"/>
      <c r="BA35" s="84"/>
    </row>
    <row r="36" spans="1:53" s="334" customFormat="1" x14ac:dyDescent="0.15">
      <c r="A36" s="386">
        <v>1972</v>
      </c>
      <c r="B36" s="355">
        <v>26487</v>
      </c>
      <c r="C36" s="785" t="s">
        <v>395</v>
      </c>
      <c r="D36" s="785"/>
      <c r="E36" s="334">
        <v>178</v>
      </c>
      <c r="F36" s="334">
        <v>6</v>
      </c>
      <c r="G36" s="419">
        <v>17</v>
      </c>
      <c r="H36" s="334">
        <v>3</v>
      </c>
      <c r="J36" s="435">
        <v>20</v>
      </c>
      <c r="K36" s="384">
        <f t="shared" si="0"/>
        <v>85</v>
      </c>
      <c r="L36" s="384">
        <f t="shared" si="1"/>
        <v>15</v>
      </c>
      <c r="M36" s="384">
        <f t="shared" si="2"/>
        <v>0</v>
      </c>
      <c r="N36" s="421">
        <f t="shared" si="3"/>
        <v>100</v>
      </c>
      <c r="O36" s="383">
        <v>60</v>
      </c>
      <c r="P36" s="384">
        <v>19.100000000000001</v>
      </c>
      <c r="Q36" s="384"/>
      <c r="R36" s="385">
        <f t="shared" si="4"/>
        <v>79.099999999999994</v>
      </c>
      <c r="S36" s="388">
        <v>3</v>
      </c>
      <c r="T36" s="342"/>
      <c r="U36" s="355">
        <v>26487</v>
      </c>
      <c r="V36" s="343" t="s">
        <v>384</v>
      </c>
      <c r="W36" s="334" t="s">
        <v>76</v>
      </c>
      <c r="X36" s="334" t="s">
        <v>11</v>
      </c>
      <c r="Y36" s="334">
        <v>60</v>
      </c>
      <c r="Z36" s="343" t="s">
        <v>123</v>
      </c>
      <c r="AA36" s="334" t="s">
        <v>77</v>
      </c>
      <c r="AB36" s="334" t="s">
        <v>18</v>
      </c>
      <c r="AC36" s="334">
        <v>13.6</v>
      </c>
      <c r="AD36" s="343" t="s">
        <v>124</v>
      </c>
      <c r="AE36" s="334" t="s">
        <v>82</v>
      </c>
      <c r="AF36" s="334" t="s">
        <v>18</v>
      </c>
      <c r="AG36" s="344">
        <v>5.5</v>
      </c>
      <c r="AL36" s="343"/>
      <c r="AO36" s="344"/>
      <c r="AP36" s="343"/>
      <c r="AS36" s="344"/>
      <c r="AW36" s="344"/>
      <c r="BA36" s="345"/>
    </row>
    <row r="37" spans="1:53" s="334" customFormat="1" x14ac:dyDescent="0.15">
      <c r="A37" s="386">
        <v>1973</v>
      </c>
      <c r="B37" s="355"/>
      <c r="C37" s="785" t="s">
        <v>395</v>
      </c>
      <c r="D37" s="785"/>
      <c r="E37" s="334">
        <v>94</v>
      </c>
      <c r="G37" s="419">
        <v>17</v>
      </c>
      <c r="H37" s="334">
        <v>3</v>
      </c>
      <c r="J37" s="435">
        <v>20</v>
      </c>
      <c r="K37" s="384">
        <f t="shared" si="0"/>
        <v>85</v>
      </c>
      <c r="L37" s="384">
        <f t="shared" si="1"/>
        <v>15</v>
      </c>
      <c r="M37" s="384">
        <f t="shared" si="2"/>
        <v>0</v>
      </c>
      <c r="N37" s="421">
        <f t="shared" si="3"/>
        <v>100</v>
      </c>
      <c r="O37" s="383">
        <v>60</v>
      </c>
      <c r="P37" s="384">
        <v>19.100000000000001</v>
      </c>
      <c r="Q37" s="384"/>
      <c r="R37" s="385">
        <f t="shared" si="4"/>
        <v>79.099999999999994</v>
      </c>
      <c r="S37" s="388">
        <v>3</v>
      </c>
      <c r="T37" s="342"/>
      <c r="U37" s="355"/>
      <c r="V37" s="343" t="s">
        <v>384</v>
      </c>
      <c r="W37" s="334" t="s">
        <v>76</v>
      </c>
      <c r="X37" s="334" t="s">
        <v>11</v>
      </c>
      <c r="Y37" s="334">
        <v>60</v>
      </c>
      <c r="Z37" s="343" t="s">
        <v>123</v>
      </c>
      <c r="AA37" s="334" t="s">
        <v>77</v>
      </c>
      <c r="AB37" s="334" t="s">
        <v>18</v>
      </c>
      <c r="AC37" s="334">
        <v>13.6</v>
      </c>
      <c r="AD37" s="343" t="s">
        <v>124</v>
      </c>
      <c r="AE37" s="334" t="s">
        <v>82</v>
      </c>
      <c r="AF37" s="334" t="s">
        <v>18</v>
      </c>
      <c r="AG37" s="344">
        <v>5.5</v>
      </c>
      <c r="AL37" s="343"/>
      <c r="AO37" s="344"/>
      <c r="AP37" s="343"/>
      <c r="AS37" s="344"/>
      <c r="AW37" s="344"/>
      <c r="BA37" s="345"/>
    </row>
    <row r="38" spans="1:53" s="73" customFormat="1" x14ac:dyDescent="0.15">
      <c r="A38" s="102">
        <v>1973</v>
      </c>
      <c r="B38" s="85">
        <v>26759</v>
      </c>
      <c r="C38" s="786" t="s">
        <v>396</v>
      </c>
      <c r="D38" s="786"/>
      <c r="E38" s="73">
        <v>271</v>
      </c>
      <c r="F38" s="73">
        <v>1</v>
      </c>
      <c r="G38" s="123">
        <v>19</v>
      </c>
      <c r="J38" s="134">
        <v>22</v>
      </c>
      <c r="K38" s="92">
        <f t="shared" si="0"/>
        <v>86.36363636363636</v>
      </c>
      <c r="L38" s="92">
        <f t="shared" si="1"/>
        <v>0</v>
      </c>
      <c r="M38" s="92">
        <f t="shared" si="2"/>
        <v>0</v>
      </c>
      <c r="N38" s="125">
        <f t="shared" si="3"/>
        <v>86.36363636363636</v>
      </c>
      <c r="O38" s="91">
        <v>42</v>
      </c>
      <c r="P38" s="92">
        <v>11.4</v>
      </c>
      <c r="Q38" s="92"/>
      <c r="R38" s="93">
        <f t="shared" si="4"/>
        <v>53.4</v>
      </c>
      <c r="S38" s="97">
        <v>2</v>
      </c>
      <c r="T38" s="95">
        <v>26727</v>
      </c>
      <c r="U38" s="85">
        <v>26759</v>
      </c>
      <c r="V38" s="82" t="s">
        <v>384</v>
      </c>
      <c r="W38" s="73" t="s">
        <v>76</v>
      </c>
      <c r="X38" s="73" t="s">
        <v>11</v>
      </c>
      <c r="Y38" s="73">
        <v>37.6</v>
      </c>
      <c r="Z38" s="82" t="s">
        <v>123</v>
      </c>
      <c r="AA38" s="73" t="s">
        <v>77</v>
      </c>
      <c r="AB38" s="73" t="s">
        <v>18</v>
      </c>
      <c r="AC38" s="73">
        <v>11.4</v>
      </c>
      <c r="AD38" s="82" t="s">
        <v>125</v>
      </c>
      <c r="AE38" s="73" t="s">
        <v>80</v>
      </c>
      <c r="AF38" s="73" t="s">
        <v>11</v>
      </c>
      <c r="AG38" s="83">
        <v>4.4000000000000004</v>
      </c>
      <c r="AL38" s="82"/>
      <c r="AO38" s="83"/>
      <c r="AP38" s="82"/>
      <c r="AS38" s="83"/>
      <c r="AW38" s="83"/>
      <c r="BA38" s="84"/>
    </row>
    <row r="39" spans="1:53" s="73" customFormat="1" x14ac:dyDescent="0.15">
      <c r="A39" s="102">
        <v>1974</v>
      </c>
      <c r="B39" s="85"/>
      <c r="C39" s="786" t="s">
        <v>396</v>
      </c>
      <c r="D39" s="786"/>
      <c r="E39" s="73">
        <v>59</v>
      </c>
      <c r="G39" s="123">
        <v>19</v>
      </c>
      <c r="J39" s="134">
        <v>22</v>
      </c>
      <c r="K39" s="92">
        <f t="shared" si="0"/>
        <v>86.36363636363636</v>
      </c>
      <c r="L39" s="92">
        <f t="shared" si="1"/>
        <v>0</v>
      </c>
      <c r="M39" s="92">
        <f t="shared" si="2"/>
        <v>0</v>
      </c>
      <c r="N39" s="125">
        <f t="shared" si="3"/>
        <v>86.36363636363636</v>
      </c>
      <c r="O39" s="91">
        <v>42</v>
      </c>
      <c r="P39" s="92">
        <v>11.4</v>
      </c>
      <c r="Q39" s="92"/>
      <c r="R39" s="93">
        <f t="shared" si="4"/>
        <v>53.4</v>
      </c>
      <c r="S39" s="97">
        <v>2</v>
      </c>
      <c r="T39" s="95"/>
      <c r="U39" s="85"/>
      <c r="V39" s="82" t="s">
        <v>384</v>
      </c>
      <c r="W39" s="73" t="s">
        <v>76</v>
      </c>
      <c r="X39" s="73" t="s">
        <v>11</v>
      </c>
      <c r="Y39" s="73">
        <v>37.6</v>
      </c>
      <c r="Z39" s="82" t="s">
        <v>123</v>
      </c>
      <c r="AA39" s="73" t="s">
        <v>77</v>
      </c>
      <c r="AB39" s="73" t="s">
        <v>18</v>
      </c>
      <c r="AC39" s="73">
        <v>11.4</v>
      </c>
      <c r="AD39" s="82" t="s">
        <v>125</v>
      </c>
      <c r="AE39" s="73" t="s">
        <v>80</v>
      </c>
      <c r="AF39" s="73" t="s">
        <v>11</v>
      </c>
      <c r="AG39" s="83">
        <v>4.4000000000000004</v>
      </c>
      <c r="AL39" s="82"/>
      <c r="AO39" s="83"/>
      <c r="AP39" s="82"/>
      <c r="AS39" s="83"/>
      <c r="AW39" s="83"/>
      <c r="BA39" s="84"/>
    </row>
    <row r="40" spans="1:53" s="334" customFormat="1" x14ac:dyDescent="0.15">
      <c r="A40" s="386">
        <v>1974</v>
      </c>
      <c r="B40" s="355">
        <v>27089</v>
      </c>
      <c r="C40" s="785" t="s">
        <v>397</v>
      </c>
      <c r="D40" s="785"/>
      <c r="E40" s="334">
        <v>88</v>
      </c>
      <c r="F40" s="334">
        <v>7</v>
      </c>
      <c r="G40" s="419">
        <v>14</v>
      </c>
      <c r="J40" s="435">
        <v>16</v>
      </c>
      <c r="K40" s="384">
        <f t="shared" si="0"/>
        <v>87.5</v>
      </c>
      <c r="L40" s="384">
        <f t="shared" si="1"/>
        <v>0</v>
      </c>
      <c r="M40" s="384">
        <f t="shared" si="2"/>
        <v>0</v>
      </c>
      <c r="N40" s="421">
        <f t="shared" si="3"/>
        <v>87.5</v>
      </c>
      <c r="O40" s="383">
        <v>42</v>
      </c>
      <c r="P40" s="384">
        <v>11.4</v>
      </c>
      <c r="Q40" s="384"/>
      <c r="R40" s="385">
        <f t="shared" si="4"/>
        <v>53.4</v>
      </c>
      <c r="S40" s="388">
        <v>2</v>
      </c>
      <c r="T40" s="342"/>
      <c r="U40" s="355">
        <v>27089</v>
      </c>
      <c r="V40" s="343" t="s">
        <v>384</v>
      </c>
      <c r="W40" s="334" t="s">
        <v>76</v>
      </c>
      <c r="X40" s="334" t="s">
        <v>11</v>
      </c>
      <c r="Y40" s="334">
        <v>37.6</v>
      </c>
      <c r="Z40" s="343" t="s">
        <v>123</v>
      </c>
      <c r="AA40" s="334" t="s">
        <v>77</v>
      </c>
      <c r="AB40" s="334" t="s">
        <v>18</v>
      </c>
      <c r="AC40" s="334">
        <v>11.4</v>
      </c>
      <c r="AD40" s="343" t="s">
        <v>125</v>
      </c>
      <c r="AE40" s="334" t="s">
        <v>80</v>
      </c>
      <c r="AF40" s="334" t="s">
        <v>11</v>
      </c>
      <c r="AG40" s="344">
        <v>4.4000000000000004</v>
      </c>
      <c r="AL40" s="343"/>
      <c r="AO40" s="344"/>
      <c r="AP40" s="343"/>
      <c r="AS40" s="344"/>
      <c r="AW40" s="344"/>
      <c r="BA40" s="345"/>
    </row>
    <row r="41" spans="1:53" s="73" customFormat="1" x14ac:dyDescent="0.15">
      <c r="A41" s="102">
        <v>1974</v>
      </c>
      <c r="B41" s="85">
        <v>27177</v>
      </c>
      <c r="C41" s="786" t="s">
        <v>398</v>
      </c>
      <c r="D41" s="786"/>
      <c r="E41" s="73">
        <v>218</v>
      </c>
      <c r="F41" s="73">
        <v>1</v>
      </c>
      <c r="G41" s="123">
        <v>11</v>
      </c>
      <c r="H41" s="73">
        <v>1</v>
      </c>
      <c r="I41" s="73">
        <v>1</v>
      </c>
      <c r="J41" s="134">
        <v>16</v>
      </c>
      <c r="K41" s="92">
        <f t="shared" si="0"/>
        <v>68.75</v>
      </c>
      <c r="L41" s="92">
        <f t="shared" si="1"/>
        <v>6.25</v>
      </c>
      <c r="M41" s="92">
        <f t="shared" si="2"/>
        <v>6.25</v>
      </c>
      <c r="N41" s="125">
        <f t="shared" si="3"/>
        <v>81.25</v>
      </c>
      <c r="O41" s="91">
        <v>42</v>
      </c>
      <c r="P41" s="92">
        <v>11.4</v>
      </c>
      <c r="Q41" s="92">
        <v>2.2999999999999998</v>
      </c>
      <c r="R41" s="93">
        <f t="shared" si="4"/>
        <v>55.699999999999996</v>
      </c>
      <c r="S41" s="97">
        <v>3</v>
      </c>
      <c r="T41" s="95"/>
      <c r="U41" s="85">
        <v>27177</v>
      </c>
      <c r="V41" s="82" t="s">
        <v>384</v>
      </c>
      <c r="W41" s="73" t="s">
        <v>76</v>
      </c>
      <c r="X41" s="73" t="s">
        <v>11</v>
      </c>
      <c r="Y41" s="73">
        <v>37.6</v>
      </c>
      <c r="Z41" s="82" t="s">
        <v>123</v>
      </c>
      <c r="AA41" s="73" t="s">
        <v>77</v>
      </c>
      <c r="AB41" s="73" t="s">
        <v>18</v>
      </c>
      <c r="AC41" s="73">
        <v>11.4</v>
      </c>
      <c r="AD41" s="82" t="s">
        <v>125</v>
      </c>
      <c r="AE41" s="73" t="s">
        <v>80</v>
      </c>
      <c r="AF41" s="73" t="s">
        <v>11</v>
      </c>
      <c r="AG41" s="83">
        <v>4.4000000000000004</v>
      </c>
      <c r="AH41" s="73" t="s">
        <v>126</v>
      </c>
      <c r="AI41" s="73" t="s">
        <v>88</v>
      </c>
      <c r="AJ41" s="73" t="s">
        <v>12</v>
      </c>
      <c r="AK41" s="73">
        <v>2.2999999999999998</v>
      </c>
      <c r="AL41" s="82"/>
      <c r="AO41" s="83"/>
      <c r="AP41" s="82"/>
      <c r="AS41" s="83"/>
      <c r="AW41" s="83"/>
      <c r="BA41" s="84"/>
    </row>
    <row r="42" spans="1:53" s="73" customFormat="1" x14ac:dyDescent="0.15">
      <c r="A42" s="102">
        <v>1975</v>
      </c>
      <c r="B42" s="85"/>
      <c r="C42" s="786" t="s">
        <v>398</v>
      </c>
      <c r="D42" s="786"/>
      <c r="E42" s="73">
        <v>0</v>
      </c>
      <c r="G42" s="123">
        <v>11</v>
      </c>
      <c r="H42" s="73">
        <v>1</v>
      </c>
      <c r="I42" s="73">
        <v>1</v>
      </c>
      <c r="J42" s="134">
        <v>16</v>
      </c>
      <c r="K42" s="92">
        <f t="shared" si="0"/>
        <v>68.75</v>
      </c>
      <c r="L42" s="92">
        <f t="shared" si="1"/>
        <v>6.25</v>
      </c>
      <c r="M42" s="92">
        <f t="shared" si="2"/>
        <v>6.25</v>
      </c>
      <c r="N42" s="125">
        <f t="shared" si="3"/>
        <v>81.25</v>
      </c>
      <c r="O42" s="91">
        <v>42</v>
      </c>
      <c r="P42" s="92">
        <v>11.4</v>
      </c>
      <c r="Q42" s="92">
        <v>2.2999999999999998</v>
      </c>
      <c r="R42" s="93">
        <f t="shared" si="4"/>
        <v>55.699999999999996</v>
      </c>
      <c r="S42" s="97">
        <v>3</v>
      </c>
      <c r="T42" s="95"/>
      <c r="U42" s="85"/>
      <c r="V42" s="82" t="s">
        <v>384</v>
      </c>
      <c r="W42" s="73" t="s">
        <v>76</v>
      </c>
      <c r="X42" s="73" t="s">
        <v>11</v>
      </c>
      <c r="Y42" s="73">
        <v>37.6</v>
      </c>
      <c r="Z42" s="82" t="s">
        <v>123</v>
      </c>
      <c r="AA42" s="73" t="s">
        <v>77</v>
      </c>
      <c r="AB42" s="73" t="s">
        <v>18</v>
      </c>
      <c r="AC42" s="73">
        <v>11.4</v>
      </c>
      <c r="AD42" s="82" t="s">
        <v>125</v>
      </c>
      <c r="AE42" s="73" t="s">
        <v>80</v>
      </c>
      <c r="AF42" s="73" t="s">
        <v>11</v>
      </c>
      <c r="AG42" s="83">
        <v>4.4000000000000004</v>
      </c>
      <c r="AH42" s="73" t="s">
        <v>126</v>
      </c>
      <c r="AI42" s="73" t="s">
        <v>88</v>
      </c>
      <c r="AJ42" s="73" t="s">
        <v>12</v>
      </c>
      <c r="AK42" s="73">
        <v>2.2999999999999998</v>
      </c>
      <c r="AL42" s="82"/>
      <c r="AO42" s="83"/>
      <c r="AP42" s="82"/>
      <c r="AS42" s="83"/>
      <c r="AW42" s="83"/>
      <c r="BA42" s="84"/>
    </row>
    <row r="43" spans="1:53" s="73" customFormat="1" x14ac:dyDescent="0.15">
      <c r="A43" s="102">
        <v>1975</v>
      </c>
      <c r="B43" s="85"/>
      <c r="C43" s="786" t="s">
        <v>398</v>
      </c>
      <c r="D43" s="786"/>
      <c r="E43" s="73">
        <v>365</v>
      </c>
      <c r="G43" s="123">
        <v>11</v>
      </c>
      <c r="H43" s="73">
        <v>1</v>
      </c>
      <c r="I43" s="73">
        <v>1</v>
      </c>
      <c r="J43" s="134">
        <v>16</v>
      </c>
      <c r="K43" s="92">
        <f t="shared" si="0"/>
        <v>68.75</v>
      </c>
      <c r="L43" s="92">
        <f t="shared" si="1"/>
        <v>6.25</v>
      </c>
      <c r="M43" s="92">
        <f t="shared" si="2"/>
        <v>6.25</v>
      </c>
      <c r="N43" s="125">
        <f t="shared" si="3"/>
        <v>81.25</v>
      </c>
      <c r="O43" s="91">
        <v>42</v>
      </c>
      <c r="P43" s="92">
        <v>11.4</v>
      </c>
      <c r="Q43" s="92">
        <v>2.2999999999999998</v>
      </c>
      <c r="R43" s="93">
        <f t="shared" si="4"/>
        <v>55.699999999999996</v>
      </c>
      <c r="S43" s="97">
        <v>3</v>
      </c>
      <c r="T43" s="95"/>
      <c r="U43" s="85"/>
      <c r="V43" s="82" t="s">
        <v>384</v>
      </c>
      <c r="W43" s="73" t="s">
        <v>76</v>
      </c>
      <c r="X43" s="73" t="s">
        <v>11</v>
      </c>
      <c r="Y43" s="73">
        <v>37.6</v>
      </c>
      <c r="Z43" s="82" t="s">
        <v>123</v>
      </c>
      <c r="AA43" s="73" t="s">
        <v>77</v>
      </c>
      <c r="AB43" s="73" t="s">
        <v>18</v>
      </c>
      <c r="AC43" s="73">
        <v>11.4</v>
      </c>
      <c r="AD43" s="82" t="s">
        <v>125</v>
      </c>
      <c r="AE43" s="73" t="s">
        <v>80</v>
      </c>
      <c r="AF43" s="73" t="s">
        <v>11</v>
      </c>
      <c r="AG43" s="83">
        <v>4.4000000000000004</v>
      </c>
      <c r="AH43" s="73" t="s">
        <v>126</v>
      </c>
      <c r="AI43" s="73" t="s">
        <v>88</v>
      </c>
      <c r="AJ43" s="73" t="s">
        <v>12</v>
      </c>
      <c r="AK43" s="73">
        <v>2.2999999999999998</v>
      </c>
      <c r="AL43" s="82"/>
      <c r="AO43" s="83"/>
      <c r="AP43" s="82"/>
      <c r="AS43" s="83"/>
      <c r="AW43" s="83"/>
      <c r="BA43" s="84"/>
    </row>
    <row r="44" spans="1:53" s="73" customFormat="1" x14ac:dyDescent="0.15">
      <c r="A44" s="102">
        <v>1976</v>
      </c>
      <c r="B44" s="85"/>
      <c r="C44" s="786" t="s">
        <v>398</v>
      </c>
      <c r="D44" s="786"/>
      <c r="E44" s="73">
        <v>229</v>
      </c>
      <c r="G44" s="123">
        <v>11</v>
      </c>
      <c r="H44" s="73">
        <v>1</v>
      </c>
      <c r="I44" s="73">
        <v>1</v>
      </c>
      <c r="J44" s="134">
        <v>16</v>
      </c>
      <c r="K44" s="92">
        <f t="shared" si="0"/>
        <v>68.75</v>
      </c>
      <c r="L44" s="92">
        <f t="shared" si="1"/>
        <v>6.25</v>
      </c>
      <c r="M44" s="92">
        <f t="shared" si="2"/>
        <v>6.25</v>
      </c>
      <c r="N44" s="125">
        <f t="shared" si="3"/>
        <v>81.25</v>
      </c>
      <c r="O44" s="91">
        <v>42</v>
      </c>
      <c r="P44" s="92">
        <v>11.4</v>
      </c>
      <c r="Q44" s="92">
        <v>2.2999999999999998</v>
      </c>
      <c r="R44" s="93">
        <f t="shared" si="4"/>
        <v>55.699999999999996</v>
      </c>
      <c r="S44" s="97">
        <v>3</v>
      </c>
      <c r="T44" s="95"/>
      <c r="U44" s="85"/>
      <c r="V44" s="82" t="s">
        <v>384</v>
      </c>
      <c r="W44" s="73" t="s">
        <v>76</v>
      </c>
      <c r="X44" s="73" t="s">
        <v>11</v>
      </c>
      <c r="Y44" s="73">
        <v>37.6</v>
      </c>
      <c r="Z44" s="82" t="s">
        <v>123</v>
      </c>
      <c r="AA44" s="73" t="s">
        <v>77</v>
      </c>
      <c r="AB44" s="73" t="s">
        <v>18</v>
      </c>
      <c r="AC44" s="73">
        <v>11.4</v>
      </c>
      <c r="AD44" s="82" t="s">
        <v>125</v>
      </c>
      <c r="AE44" s="73" t="s">
        <v>80</v>
      </c>
      <c r="AF44" s="73" t="s">
        <v>11</v>
      </c>
      <c r="AG44" s="83">
        <v>4.4000000000000004</v>
      </c>
      <c r="AH44" s="73" t="s">
        <v>126</v>
      </c>
      <c r="AI44" s="73" t="s">
        <v>88</v>
      </c>
      <c r="AJ44" s="73" t="s">
        <v>12</v>
      </c>
      <c r="AK44" s="73">
        <v>2.2999999999999998</v>
      </c>
      <c r="AL44" s="82"/>
      <c r="AO44" s="83"/>
      <c r="AP44" s="82"/>
      <c r="AS44" s="83"/>
      <c r="AW44" s="83"/>
      <c r="BA44" s="84"/>
    </row>
    <row r="45" spans="1:53" s="334" customFormat="1" x14ac:dyDescent="0.15">
      <c r="A45" s="386">
        <v>1976</v>
      </c>
      <c r="B45" s="355">
        <v>27989</v>
      </c>
      <c r="C45" s="785" t="s">
        <v>399</v>
      </c>
      <c r="D45" s="785"/>
      <c r="E45" s="334">
        <v>137</v>
      </c>
      <c r="F45" s="334">
        <v>6</v>
      </c>
      <c r="G45" s="419">
        <v>9</v>
      </c>
      <c r="H45" s="334">
        <v>1</v>
      </c>
      <c r="I45" s="334">
        <v>3</v>
      </c>
      <c r="J45" s="435">
        <v>18</v>
      </c>
      <c r="K45" s="384">
        <f t="shared" si="0"/>
        <v>50</v>
      </c>
      <c r="L45" s="384">
        <f t="shared" si="1"/>
        <v>5.5555555555555554</v>
      </c>
      <c r="M45" s="384">
        <f t="shared" si="2"/>
        <v>16.666666666666664</v>
      </c>
      <c r="N45" s="421">
        <f t="shared" si="3"/>
        <v>72.222222222222229</v>
      </c>
      <c r="O45" s="383">
        <v>42</v>
      </c>
      <c r="P45" s="384">
        <v>11.4</v>
      </c>
      <c r="Q45" s="384">
        <v>2.2999999999999998</v>
      </c>
      <c r="R45" s="385">
        <f t="shared" si="4"/>
        <v>55.699999999999996</v>
      </c>
      <c r="S45" s="388">
        <v>3</v>
      </c>
      <c r="T45" s="342"/>
      <c r="U45" s="355">
        <v>27989</v>
      </c>
      <c r="V45" s="343" t="s">
        <v>384</v>
      </c>
      <c r="W45" s="334" t="s">
        <v>76</v>
      </c>
      <c r="X45" s="334" t="s">
        <v>11</v>
      </c>
      <c r="Y45" s="334">
        <v>37.6</v>
      </c>
      <c r="Z45" s="343" t="s">
        <v>123</v>
      </c>
      <c r="AA45" s="334" t="s">
        <v>77</v>
      </c>
      <c r="AB45" s="334" t="s">
        <v>18</v>
      </c>
      <c r="AC45" s="334">
        <v>11.4</v>
      </c>
      <c r="AD45" s="343" t="s">
        <v>125</v>
      </c>
      <c r="AE45" s="334" t="s">
        <v>80</v>
      </c>
      <c r="AF45" s="334" t="s">
        <v>11</v>
      </c>
      <c r="AG45" s="344">
        <v>4.4000000000000004</v>
      </c>
      <c r="AH45" s="334" t="s">
        <v>126</v>
      </c>
      <c r="AI45" s="334" t="s">
        <v>88</v>
      </c>
      <c r="AJ45" s="334" t="s">
        <v>12</v>
      </c>
      <c r="AK45" s="334">
        <v>2.2999999999999998</v>
      </c>
      <c r="AL45" s="343"/>
      <c r="AO45" s="344"/>
      <c r="AP45" s="343"/>
      <c r="AS45" s="344"/>
      <c r="AW45" s="344"/>
      <c r="BA45" s="345"/>
    </row>
    <row r="46" spans="1:53" s="334" customFormat="1" x14ac:dyDescent="0.15">
      <c r="A46" s="386">
        <v>1977</v>
      </c>
      <c r="B46" s="355"/>
      <c r="C46" s="785" t="s">
        <v>399</v>
      </c>
      <c r="D46" s="785"/>
      <c r="E46" s="334">
        <v>88</v>
      </c>
      <c r="G46" s="419">
        <v>9</v>
      </c>
      <c r="H46" s="334">
        <v>1</v>
      </c>
      <c r="I46" s="334">
        <v>3</v>
      </c>
      <c r="J46" s="435">
        <v>18</v>
      </c>
      <c r="K46" s="384">
        <f t="shared" si="0"/>
        <v>50</v>
      </c>
      <c r="L46" s="384">
        <f t="shared" si="1"/>
        <v>5.5555555555555554</v>
      </c>
      <c r="M46" s="384">
        <f t="shared" si="2"/>
        <v>16.666666666666664</v>
      </c>
      <c r="N46" s="421">
        <f t="shared" si="3"/>
        <v>72.222222222222229</v>
      </c>
      <c r="O46" s="383">
        <v>42</v>
      </c>
      <c r="P46" s="384">
        <v>11.4</v>
      </c>
      <c r="Q46" s="384">
        <v>2.2999999999999998</v>
      </c>
      <c r="R46" s="385">
        <f t="shared" si="4"/>
        <v>55.699999999999996</v>
      </c>
      <c r="S46" s="388">
        <v>3</v>
      </c>
      <c r="T46" s="342"/>
      <c r="U46" s="355"/>
      <c r="V46" s="343" t="s">
        <v>384</v>
      </c>
      <c r="W46" s="334" t="s">
        <v>76</v>
      </c>
      <c r="X46" s="334" t="s">
        <v>11</v>
      </c>
      <c r="Y46" s="334">
        <v>37.6</v>
      </c>
      <c r="Z46" s="343" t="s">
        <v>123</v>
      </c>
      <c r="AA46" s="334" t="s">
        <v>77</v>
      </c>
      <c r="AB46" s="334" t="s">
        <v>18</v>
      </c>
      <c r="AC46" s="334">
        <v>11.4</v>
      </c>
      <c r="AD46" s="343" t="s">
        <v>125</v>
      </c>
      <c r="AE46" s="334" t="s">
        <v>80</v>
      </c>
      <c r="AF46" s="334" t="s">
        <v>11</v>
      </c>
      <c r="AG46" s="344">
        <v>4.4000000000000004</v>
      </c>
      <c r="AH46" s="334" t="s">
        <v>126</v>
      </c>
      <c r="AI46" s="334" t="s">
        <v>88</v>
      </c>
      <c r="AJ46" s="334" t="s">
        <v>12</v>
      </c>
      <c r="AK46" s="334">
        <v>2.2999999999999998</v>
      </c>
      <c r="AL46" s="343"/>
      <c r="AO46" s="344"/>
      <c r="AP46" s="343"/>
      <c r="AS46" s="344"/>
      <c r="AW46" s="344"/>
      <c r="BA46" s="345"/>
    </row>
    <row r="47" spans="1:53" s="73" customFormat="1" x14ac:dyDescent="0.15">
      <c r="A47" s="102">
        <v>1977</v>
      </c>
      <c r="B47" s="85">
        <v>28214</v>
      </c>
      <c r="C47" s="786" t="s">
        <v>400</v>
      </c>
      <c r="D47" s="786"/>
      <c r="E47" s="73">
        <v>277</v>
      </c>
      <c r="F47" s="73">
        <v>4</v>
      </c>
      <c r="G47" s="123">
        <v>6</v>
      </c>
      <c r="H47" s="73">
        <v>2</v>
      </c>
      <c r="I47" s="73">
        <v>2</v>
      </c>
      <c r="J47" s="134">
        <v>15</v>
      </c>
      <c r="K47" s="92">
        <f t="shared" si="0"/>
        <v>40</v>
      </c>
      <c r="L47" s="92">
        <f t="shared" si="1"/>
        <v>13.333333333333334</v>
      </c>
      <c r="M47" s="92">
        <f t="shared" si="2"/>
        <v>13.333333333333334</v>
      </c>
      <c r="N47" s="125">
        <f t="shared" si="3"/>
        <v>66.666666666666671</v>
      </c>
      <c r="O47" s="91">
        <v>42</v>
      </c>
      <c r="P47" s="92">
        <v>11.4</v>
      </c>
      <c r="Q47" s="92">
        <v>2.2999999999999998</v>
      </c>
      <c r="R47" s="93">
        <f t="shared" si="4"/>
        <v>55.699999999999996</v>
      </c>
      <c r="S47" s="97">
        <v>3</v>
      </c>
      <c r="T47" s="95"/>
      <c r="U47" s="85">
        <v>28214</v>
      </c>
      <c r="V47" s="82" t="s">
        <v>385</v>
      </c>
      <c r="W47" s="73" t="s">
        <v>76</v>
      </c>
      <c r="X47" s="73" t="s">
        <v>11</v>
      </c>
      <c r="Y47" s="73">
        <v>37.6</v>
      </c>
      <c r="Z47" s="82" t="s">
        <v>123</v>
      </c>
      <c r="AA47" s="73" t="s">
        <v>77</v>
      </c>
      <c r="AB47" s="73" t="s">
        <v>18</v>
      </c>
      <c r="AC47" s="73">
        <v>11.4</v>
      </c>
      <c r="AD47" s="82" t="s">
        <v>125</v>
      </c>
      <c r="AE47" s="73" t="s">
        <v>80</v>
      </c>
      <c r="AF47" s="73" t="s">
        <v>11</v>
      </c>
      <c r="AG47" s="83">
        <v>4.4000000000000004</v>
      </c>
      <c r="AH47" s="73" t="s">
        <v>126</v>
      </c>
      <c r="AI47" s="73" t="s">
        <v>88</v>
      </c>
      <c r="AJ47" s="73" t="s">
        <v>12</v>
      </c>
      <c r="AK47" s="73">
        <v>2.2999999999999998</v>
      </c>
      <c r="AL47" s="82"/>
      <c r="AO47" s="83"/>
      <c r="AP47" s="82"/>
      <c r="AS47" s="83"/>
      <c r="AW47" s="83"/>
      <c r="BA47" s="84"/>
    </row>
    <row r="48" spans="1:53" s="73" customFormat="1" x14ac:dyDescent="0.15">
      <c r="A48" s="102">
        <v>1978</v>
      </c>
      <c r="B48" s="85"/>
      <c r="C48" s="786" t="s">
        <v>400</v>
      </c>
      <c r="D48" s="786"/>
      <c r="E48" s="73">
        <v>93</v>
      </c>
      <c r="G48" s="123">
        <v>6</v>
      </c>
      <c r="H48" s="73">
        <v>2</v>
      </c>
      <c r="I48" s="73">
        <v>2</v>
      </c>
      <c r="J48" s="134">
        <v>15</v>
      </c>
      <c r="K48" s="92">
        <f t="shared" si="0"/>
        <v>40</v>
      </c>
      <c r="L48" s="92">
        <f t="shared" si="1"/>
        <v>13.333333333333334</v>
      </c>
      <c r="M48" s="92">
        <f t="shared" si="2"/>
        <v>13.333333333333334</v>
      </c>
      <c r="N48" s="125">
        <f t="shared" si="3"/>
        <v>66.666666666666671</v>
      </c>
      <c r="O48" s="91">
        <v>42</v>
      </c>
      <c r="P48" s="92">
        <v>11.4</v>
      </c>
      <c r="Q48" s="92">
        <v>2.2999999999999998</v>
      </c>
      <c r="R48" s="93">
        <f t="shared" si="4"/>
        <v>55.699999999999996</v>
      </c>
      <c r="S48" s="97">
        <v>3</v>
      </c>
      <c r="T48" s="95"/>
      <c r="U48" s="85"/>
      <c r="V48" s="82" t="s">
        <v>385</v>
      </c>
      <c r="W48" s="73" t="s">
        <v>76</v>
      </c>
      <c r="X48" s="73" t="s">
        <v>11</v>
      </c>
      <c r="Y48" s="73">
        <v>37.6</v>
      </c>
      <c r="Z48" s="82" t="s">
        <v>123</v>
      </c>
      <c r="AA48" s="73" t="s">
        <v>77</v>
      </c>
      <c r="AB48" s="73" t="s">
        <v>18</v>
      </c>
      <c r="AC48" s="73">
        <v>11.4</v>
      </c>
      <c r="AD48" s="82" t="s">
        <v>125</v>
      </c>
      <c r="AE48" s="73" t="s">
        <v>80</v>
      </c>
      <c r="AF48" s="73" t="s">
        <v>11</v>
      </c>
      <c r="AG48" s="83">
        <v>4.4000000000000004</v>
      </c>
      <c r="AH48" s="73" t="s">
        <v>126</v>
      </c>
      <c r="AI48" s="73" t="s">
        <v>88</v>
      </c>
      <c r="AJ48" s="73" t="s">
        <v>12</v>
      </c>
      <c r="AK48" s="73">
        <v>2.2999999999999998</v>
      </c>
      <c r="AL48" s="82"/>
      <c r="AO48" s="83"/>
      <c r="AP48" s="82"/>
      <c r="AS48" s="83"/>
      <c r="AW48" s="83"/>
      <c r="BA48" s="84"/>
    </row>
    <row r="49" spans="1:53" s="334" customFormat="1" x14ac:dyDescent="0.15">
      <c r="A49" s="386">
        <v>1978</v>
      </c>
      <c r="B49" s="355">
        <v>28584</v>
      </c>
      <c r="C49" s="785" t="s">
        <v>401</v>
      </c>
      <c r="D49" s="785"/>
      <c r="E49" s="334">
        <v>272</v>
      </c>
      <c r="F49" s="334">
        <v>1</v>
      </c>
      <c r="G49" s="419">
        <v>6</v>
      </c>
      <c r="H49" s="334">
        <v>9</v>
      </c>
      <c r="J49" s="435">
        <v>20</v>
      </c>
      <c r="K49" s="384">
        <f t="shared" si="0"/>
        <v>30</v>
      </c>
      <c r="L49" s="384">
        <f t="shared" si="1"/>
        <v>45</v>
      </c>
      <c r="M49" s="384">
        <f t="shared" si="2"/>
        <v>0</v>
      </c>
      <c r="N49" s="421">
        <f t="shared" si="3"/>
        <v>75</v>
      </c>
      <c r="O49" s="383">
        <v>30</v>
      </c>
      <c r="P49" s="384">
        <v>26.2</v>
      </c>
      <c r="Q49" s="384"/>
      <c r="R49" s="385">
        <f t="shared" si="4"/>
        <v>56.2</v>
      </c>
      <c r="S49" s="388">
        <v>2</v>
      </c>
      <c r="T49" s="342">
        <v>28561</v>
      </c>
      <c r="U49" s="355">
        <v>28584</v>
      </c>
      <c r="V49" s="343" t="s">
        <v>385</v>
      </c>
      <c r="W49" s="334" t="s">
        <v>76</v>
      </c>
      <c r="X49" s="334" t="s">
        <v>11</v>
      </c>
      <c r="Y49" s="334">
        <v>30</v>
      </c>
      <c r="Z49" s="343" t="s">
        <v>127</v>
      </c>
      <c r="AA49" s="334" t="s">
        <v>79</v>
      </c>
      <c r="AB49" s="334" t="s">
        <v>18</v>
      </c>
      <c r="AC49" s="334">
        <v>26.2</v>
      </c>
      <c r="AD49" s="343"/>
      <c r="AG49" s="344"/>
      <c r="AL49" s="343"/>
      <c r="AO49" s="344"/>
      <c r="AP49" s="343"/>
      <c r="AS49" s="344"/>
      <c r="AW49" s="344"/>
      <c r="BA49" s="345"/>
    </row>
    <row r="50" spans="1:53" s="334" customFormat="1" x14ac:dyDescent="0.15">
      <c r="A50" s="386">
        <v>1979</v>
      </c>
      <c r="B50" s="355"/>
      <c r="C50" s="785" t="s">
        <v>401</v>
      </c>
      <c r="D50" s="785"/>
      <c r="E50" s="334">
        <v>0</v>
      </c>
      <c r="G50" s="419">
        <v>6</v>
      </c>
      <c r="H50" s="334">
        <v>9</v>
      </c>
      <c r="J50" s="435">
        <v>20</v>
      </c>
      <c r="K50" s="384">
        <f t="shared" si="0"/>
        <v>30</v>
      </c>
      <c r="L50" s="384">
        <f t="shared" si="1"/>
        <v>45</v>
      </c>
      <c r="M50" s="384">
        <f t="shared" si="2"/>
        <v>0</v>
      </c>
      <c r="N50" s="421">
        <f t="shared" si="3"/>
        <v>75</v>
      </c>
      <c r="O50" s="383">
        <v>30</v>
      </c>
      <c r="P50" s="384">
        <v>26.2</v>
      </c>
      <c r="Q50" s="384"/>
      <c r="R50" s="385">
        <f t="shared" si="4"/>
        <v>56.2</v>
      </c>
      <c r="S50" s="388">
        <v>2</v>
      </c>
      <c r="T50" s="342"/>
      <c r="U50" s="355"/>
      <c r="V50" s="343" t="s">
        <v>385</v>
      </c>
      <c r="W50" s="334" t="s">
        <v>76</v>
      </c>
      <c r="X50" s="334" t="s">
        <v>11</v>
      </c>
      <c r="Y50" s="334">
        <v>30</v>
      </c>
      <c r="Z50" s="343" t="s">
        <v>127</v>
      </c>
      <c r="AA50" s="334" t="s">
        <v>79</v>
      </c>
      <c r="AB50" s="334" t="s">
        <v>18</v>
      </c>
      <c r="AC50" s="334">
        <v>26.2</v>
      </c>
      <c r="AD50" s="343"/>
      <c r="AG50" s="344"/>
      <c r="AL50" s="343"/>
      <c r="AO50" s="344"/>
      <c r="AP50" s="343"/>
      <c r="AS50" s="344"/>
      <c r="AW50" s="344"/>
      <c r="BA50" s="345"/>
    </row>
    <row r="51" spans="1:53" s="334" customFormat="1" x14ac:dyDescent="0.15">
      <c r="A51" s="386">
        <v>1979</v>
      </c>
      <c r="B51" s="355"/>
      <c r="C51" s="785" t="s">
        <v>401</v>
      </c>
      <c r="D51" s="785"/>
      <c r="E51" s="334">
        <v>365</v>
      </c>
      <c r="G51" s="419">
        <v>6</v>
      </c>
      <c r="H51" s="334">
        <v>9</v>
      </c>
      <c r="J51" s="435">
        <v>20</v>
      </c>
      <c r="K51" s="384">
        <f t="shared" si="0"/>
        <v>30</v>
      </c>
      <c r="L51" s="384">
        <f t="shared" si="1"/>
        <v>45</v>
      </c>
      <c r="M51" s="384">
        <f t="shared" si="2"/>
        <v>0</v>
      </c>
      <c r="N51" s="421">
        <f t="shared" si="3"/>
        <v>75</v>
      </c>
      <c r="O51" s="383">
        <v>30</v>
      </c>
      <c r="P51" s="384">
        <v>26.2</v>
      </c>
      <c r="Q51" s="384"/>
      <c r="R51" s="385">
        <f t="shared" si="4"/>
        <v>56.2</v>
      </c>
      <c r="S51" s="388">
        <v>2</v>
      </c>
      <c r="T51" s="342"/>
      <c r="U51" s="355"/>
      <c r="V51" s="343" t="s">
        <v>385</v>
      </c>
      <c r="W51" s="334" t="s">
        <v>76</v>
      </c>
      <c r="X51" s="334" t="s">
        <v>11</v>
      </c>
      <c r="Y51" s="334">
        <v>30</v>
      </c>
      <c r="Z51" s="343" t="s">
        <v>127</v>
      </c>
      <c r="AA51" s="334" t="s">
        <v>79</v>
      </c>
      <c r="AB51" s="334" t="s">
        <v>18</v>
      </c>
      <c r="AC51" s="334">
        <v>26.2</v>
      </c>
      <c r="AD51" s="343"/>
      <c r="AG51" s="344"/>
      <c r="AL51" s="343"/>
      <c r="AO51" s="344"/>
      <c r="AP51" s="343"/>
      <c r="AS51" s="344"/>
      <c r="AW51" s="344"/>
      <c r="BA51" s="345"/>
    </row>
    <row r="52" spans="1:53" s="334" customFormat="1" x14ac:dyDescent="0.15">
      <c r="A52" s="386">
        <v>1980</v>
      </c>
      <c r="B52" s="355"/>
      <c r="C52" s="785" t="s">
        <v>401</v>
      </c>
      <c r="D52" s="785"/>
      <c r="E52" s="334">
        <v>0</v>
      </c>
      <c r="G52" s="419">
        <v>6</v>
      </c>
      <c r="H52" s="334">
        <v>9</v>
      </c>
      <c r="J52" s="435">
        <v>20</v>
      </c>
      <c r="K52" s="384">
        <f t="shared" si="0"/>
        <v>30</v>
      </c>
      <c r="L52" s="384">
        <f t="shared" si="1"/>
        <v>45</v>
      </c>
      <c r="M52" s="384">
        <f t="shared" si="2"/>
        <v>0</v>
      </c>
      <c r="N52" s="421">
        <f t="shared" si="3"/>
        <v>75</v>
      </c>
      <c r="O52" s="383">
        <v>30</v>
      </c>
      <c r="P52" s="384">
        <v>26.2</v>
      </c>
      <c r="Q52" s="384"/>
      <c r="R52" s="385">
        <f t="shared" si="4"/>
        <v>56.2</v>
      </c>
      <c r="S52" s="388">
        <v>2</v>
      </c>
      <c r="T52" s="342"/>
      <c r="U52" s="355"/>
      <c r="V52" s="343" t="s">
        <v>385</v>
      </c>
      <c r="W52" s="334" t="s">
        <v>76</v>
      </c>
      <c r="X52" s="334" t="s">
        <v>11</v>
      </c>
      <c r="Y52" s="334">
        <v>30</v>
      </c>
      <c r="Z52" s="343" t="s">
        <v>127</v>
      </c>
      <c r="AA52" s="334" t="s">
        <v>79</v>
      </c>
      <c r="AB52" s="334" t="s">
        <v>18</v>
      </c>
      <c r="AC52" s="334">
        <v>26.2</v>
      </c>
      <c r="AD52" s="343"/>
      <c r="AG52" s="344"/>
      <c r="AL52" s="343"/>
      <c r="AO52" s="344"/>
      <c r="AP52" s="343"/>
      <c r="AS52" s="344"/>
      <c r="AW52" s="344"/>
      <c r="BA52" s="345"/>
    </row>
    <row r="53" spans="1:53" s="334" customFormat="1" x14ac:dyDescent="0.15">
      <c r="A53" s="386">
        <v>1980</v>
      </c>
      <c r="B53" s="355"/>
      <c r="C53" s="785" t="s">
        <v>401</v>
      </c>
      <c r="D53" s="785"/>
      <c r="E53" s="334">
        <v>366</v>
      </c>
      <c r="G53" s="419">
        <v>6</v>
      </c>
      <c r="H53" s="334">
        <v>9</v>
      </c>
      <c r="J53" s="435">
        <v>20</v>
      </c>
      <c r="K53" s="384">
        <f t="shared" si="0"/>
        <v>30</v>
      </c>
      <c r="L53" s="384">
        <f t="shared" si="1"/>
        <v>45</v>
      </c>
      <c r="M53" s="384">
        <f t="shared" si="2"/>
        <v>0</v>
      </c>
      <c r="N53" s="421">
        <f t="shared" si="3"/>
        <v>75</v>
      </c>
      <c r="O53" s="383">
        <v>30</v>
      </c>
      <c r="P53" s="384">
        <v>26.2</v>
      </c>
      <c r="Q53" s="384"/>
      <c r="R53" s="385">
        <f t="shared" si="4"/>
        <v>56.2</v>
      </c>
      <c r="S53" s="388">
        <v>2</v>
      </c>
      <c r="T53" s="342"/>
      <c r="U53" s="355"/>
      <c r="V53" s="343" t="s">
        <v>385</v>
      </c>
      <c r="W53" s="334" t="s">
        <v>76</v>
      </c>
      <c r="X53" s="334" t="s">
        <v>11</v>
      </c>
      <c r="Y53" s="334">
        <v>30</v>
      </c>
      <c r="Z53" s="343" t="s">
        <v>127</v>
      </c>
      <c r="AA53" s="334" t="s">
        <v>79</v>
      </c>
      <c r="AB53" s="334" t="s">
        <v>18</v>
      </c>
      <c r="AC53" s="334">
        <v>26.2</v>
      </c>
      <c r="AD53" s="343"/>
      <c r="AG53" s="344"/>
      <c r="AL53" s="343"/>
      <c r="AO53" s="344"/>
      <c r="AP53" s="343"/>
      <c r="AS53" s="344"/>
      <c r="AW53" s="344"/>
      <c r="BA53" s="345"/>
    </row>
    <row r="54" spans="1:53" s="334" customFormat="1" x14ac:dyDescent="0.15">
      <c r="A54" s="386">
        <v>1981</v>
      </c>
      <c r="B54" s="355"/>
      <c r="C54" s="785" t="s">
        <v>401</v>
      </c>
      <c r="D54" s="785"/>
      <c r="E54" s="334">
        <v>141</v>
      </c>
      <c r="G54" s="419">
        <v>6</v>
      </c>
      <c r="H54" s="334">
        <v>9</v>
      </c>
      <c r="J54" s="435">
        <v>20</v>
      </c>
      <c r="K54" s="384">
        <f t="shared" si="0"/>
        <v>30</v>
      </c>
      <c r="L54" s="384">
        <f t="shared" si="1"/>
        <v>45</v>
      </c>
      <c r="M54" s="384">
        <f t="shared" si="2"/>
        <v>0</v>
      </c>
      <c r="N54" s="421">
        <f t="shared" si="3"/>
        <v>75</v>
      </c>
      <c r="O54" s="383">
        <v>30</v>
      </c>
      <c r="P54" s="384">
        <v>26.2</v>
      </c>
      <c r="Q54" s="384"/>
      <c r="R54" s="385">
        <f t="shared" si="4"/>
        <v>56.2</v>
      </c>
      <c r="S54" s="388">
        <v>2</v>
      </c>
      <c r="T54" s="342"/>
      <c r="U54" s="355"/>
      <c r="V54" s="343" t="s">
        <v>385</v>
      </c>
      <c r="W54" s="334" t="s">
        <v>76</v>
      </c>
      <c r="X54" s="334" t="s">
        <v>11</v>
      </c>
      <c r="Y54" s="334">
        <v>30</v>
      </c>
      <c r="Z54" s="343" t="s">
        <v>127</v>
      </c>
      <c r="AA54" s="334" t="s">
        <v>79</v>
      </c>
      <c r="AB54" s="334" t="s">
        <v>18</v>
      </c>
      <c r="AC54" s="334">
        <v>26.2</v>
      </c>
      <c r="AD54" s="343"/>
      <c r="AG54" s="344"/>
      <c r="AL54" s="343"/>
      <c r="AO54" s="344"/>
      <c r="AP54" s="343"/>
      <c r="AS54" s="344"/>
      <c r="AW54" s="344"/>
      <c r="BA54" s="345"/>
    </row>
    <row r="55" spans="1:53" s="73" customFormat="1" x14ac:dyDescent="0.15">
      <c r="A55" s="102">
        <v>1981</v>
      </c>
      <c r="B55" s="85">
        <v>29728</v>
      </c>
      <c r="C55" s="786" t="s">
        <v>402</v>
      </c>
      <c r="D55" s="786"/>
      <c r="E55" s="73">
        <v>32</v>
      </c>
      <c r="F55" s="73">
        <v>1</v>
      </c>
      <c r="G55" s="123"/>
      <c r="I55" s="73">
        <v>31</v>
      </c>
      <c r="J55" s="134">
        <v>31</v>
      </c>
      <c r="K55" s="92">
        <f t="shared" si="0"/>
        <v>0</v>
      </c>
      <c r="L55" s="92">
        <f t="shared" si="1"/>
        <v>0</v>
      </c>
      <c r="M55" s="92">
        <f t="shared" si="2"/>
        <v>100</v>
      </c>
      <c r="N55" s="125">
        <f t="shared" si="3"/>
        <v>100</v>
      </c>
      <c r="O55" s="91"/>
      <c r="P55" s="92"/>
      <c r="Q55" s="92">
        <v>21.5</v>
      </c>
      <c r="R55" s="93">
        <f t="shared" si="4"/>
        <v>21.5</v>
      </c>
      <c r="S55" s="97">
        <v>6</v>
      </c>
      <c r="T55" s="95"/>
      <c r="U55" s="85">
        <v>29728</v>
      </c>
      <c r="V55" s="82" t="s">
        <v>96</v>
      </c>
      <c r="W55" s="73" t="s">
        <v>20</v>
      </c>
      <c r="X55" s="73" t="s">
        <v>12</v>
      </c>
      <c r="Y55" s="73">
        <v>21.5</v>
      </c>
      <c r="Z55" s="82"/>
      <c r="AD55" s="82"/>
      <c r="AG55" s="83"/>
      <c r="AL55" s="82"/>
      <c r="AO55" s="83"/>
      <c r="AP55" s="82"/>
      <c r="AS55" s="83"/>
      <c r="AW55" s="83"/>
      <c r="BA55" s="84"/>
    </row>
    <row r="56" spans="1:53" s="334" customFormat="1" x14ac:dyDescent="0.15">
      <c r="A56" s="386">
        <v>1981</v>
      </c>
      <c r="B56" s="355">
        <v>29760</v>
      </c>
      <c r="C56" s="785" t="s">
        <v>403</v>
      </c>
      <c r="D56" s="785"/>
      <c r="E56" s="334">
        <v>192</v>
      </c>
      <c r="F56" s="334">
        <v>1</v>
      </c>
      <c r="G56" s="419"/>
      <c r="I56" s="334">
        <v>36</v>
      </c>
      <c r="J56" s="435">
        <v>36</v>
      </c>
      <c r="K56" s="384">
        <f t="shared" si="0"/>
        <v>0</v>
      </c>
      <c r="L56" s="384">
        <f t="shared" si="1"/>
        <v>0</v>
      </c>
      <c r="M56" s="384">
        <f t="shared" si="2"/>
        <v>100</v>
      </c>
      <c r="N56" s="421">
        <f t="shared" si="3"/>
        <v>100</v>
      </c>
      <c r="O56" s="383"/>
      <c r="P56" s="384"/>
      <c r="Q56" s="384">
        <v>65.7</v>
      </c>
      <c r="R56" s="385">
        <f t="shared" si="4"/>
        <v>65.7</v>
      </c>
      <c r="S56" s="388">
        <v>3</v>
      </c>
      <c r="T56" s="342">
        <v>29751</v>
      </c>
      <c r="U56" s="355">
        <v>29760</v>
      </c>
      <c r="V56" s="343" t="s">
        <v>96</v>
      </c>
      <c r="W56" s="334" t="s">
        <v>20</v>
      </c>
      <c r="X56" s="334" t="s">
        <v>12</v>
      </c>
      <c r="Y56" s="334">
        <v>56.5</v>
      </c>
      <c r="Z56" s="343" t="s">
        <v>128</v>
      </c>
      <c r="AA56" s="334" t="s">
        <v>114</v>
      </c>
      <c r="AB56" s="334" t="s">
        <v>12</v>
      </c>
      <c r="AC56" s="334">
        <v>9.1999999999999993</v>
      </c>
      <c r="AD56" s="343"/>
      <c r="AG56" s="344"/>
      <c r="AL56" s="343"/>
      <c r="AO56" s="344"/>
      <c r="AP56" s="343"/>
      <c r="AS56" s="344"/>
      <c r="AW56" s="344"/>
      <c r="BA56" s="345"/>
    </row>
    <row r="57" spans="1:53" s="334" customFormat="1" x14ac:dyDescent="0.15">
      <c r="A57" s="386">
        <v>1982</v>
      </c>
      <c r="B57" s="355"/>
      <c r="C57" s="785" t="s">
        <v>403</v>
      </c>
      <c r="D57" s="785"/>
      <c r="E57" s="334">
        <v>0</v>
      </c>
      <c r="G57" s="419"/>
      <c r="I57" s="334">
        <v>36</v>
      </c>
      <c r="J57" s="435">
        <v>36</v>
      </c>
      <c r="K57" s="384">
        <f t="shared" si="0"/>
        <v>0</v>
      </c>
      <c r="L57" s="384">
        <f t="shared" si="1"/>
        <v>0</v>
      </c>
      <c r="M57" s="384">
        <f t="shared" si="2"/>
        <v>100</v>
      </c>
      <c r="N57" s="421">
        <f t="shared" si="3"/>
        <v>100</v>
      </c>
      <c r="O57" s="383"/>
      <c r="P57" s="384"/>
      <c r="Q57" s="384">
        <v>65.7</v>
      </c>
      <c r="R57" s="385">
        <f t="shared" si="4"/>
        <v>65.7</v>
      </c>
      <c r="S57" s="388">
        <v>3</v>
      </c>
      <c r="T57" s="342"/>
      <c r="U57" s="355"/>
      <c r="V57" s="343" t="s">
        <v>96</v>
      </c>
      <c r="W57" s="334" t="s">
        <v>20</v>
      </c>
      <c r="X57" s="334" t="s">
        <v>12</v>
      </c>
      <c r="Y57" s="334">
        <v>56.5</v>
      </c>
      <c r="Z57" s="343" t="s">
        <v>128</v>
      </c>
      <c r="AA57" s="334" t="s">
        <v>114</v>
      </c>
      <c r="AB57" s="334" t="s">
        <v>12</v>
      </c>
      <c r="AC57" s="334">
        <v>9.1999999999999993</v>
      </c>
      <c r="AD57" s="343"/>
      <c r="AG57" s="344"/>
      <c r="AL57" s="343"/>
      <c r="AO57" s="344"/>
      <c r="AP57" s="343"/>
      <c r="AS57" s="344"/>
      <c r="AW57" s="344"/>
      <c r="BA57" s="345"/>
    </row>
    <row r="58" spans="1:53" s="334" customFormat="1" x14ac:dyDescent="0.15">
      <c r="A58" s="386">
        <v>1982</v>
      </c>
      <c r="B58" s="355"/>
      <c r="C58" s="785" t="s">
        <v>403</v>
      </c>
      <c r="D58" s="785"/>
      <c r="E58" s="334">
        <v>365</v>
      </c>
      <c r="G58" s="419"/>
      <c r="I58" s="334">
        <v>36</v>
      </c>
      <c r="J58" s="435">
        <v>36</v>
      </c>
      <c r="K58" s="384">
        <f t="shared" si="0"/>
        <v>0</v>
      </c>
      <c r="L58" s="384">
        <f t="shared" si="1"/>
        <v>0</v>
      </c>
      <c r="M58" s="384">
        <f t="shared" si="2"/>
        <v>100</v>
      </c>
      <c r="N58" s="421">
        <f t="shared" si="3"/>
        <v>100</v>
      </c>
      <c r="O58" s="383"/>
      <c r="P58" s="384"/>
      <c r="Q58" s="384">
        <v>65.7</v>
      </c>
      <c r="R58" s="385">
        <f t="shared" si="4"/>
        <v>65.7</v>
      </c>
      <c r="S58" s="388">
        <v>3</v>
      </c>
      <c r="T58" s="342"/>
      <c r="U58" s="355"/>
      <c r="V58" s="343" t="s">
        <v>96</v>
      </c>
      <c r="W58" s="334" t="s">
        <v>20</v>
      </c>
      <c r="X58" s="334" t="s">
        <v>12</v>
      </c>
      <c r="Y58" s="334">
        <v>56.5</v>
      </c>
      <c r="Z58" s="343" t="s">
        <v>128</v>
      </c>
      <c r="AA58" s="334" t="s">
        <v>114</v>
      </c>
      <c r="AB58" s="334" t="s">
        <v>12</v>
      </c>
      <c r="AC58" s="334">
        <v>9.1999999999999993</v>
      </c>
      <c r="AD58" s="343"/>
      <c r="AG58" s="344"/>
      <c r="AL58" s="343"/>
      <c r="AO58" s="344"/>
      <c r="AP58" s="343"/>
      <c r="AS58" s="344"/>
      <c r="AW58" s="344"/>
      <c r="BA58" s="345"/>
    </row>
    <row r="59" spans="1:53" s="334" customFormat="1" x14ac:dyDescent="0.15">
      <c r="A59" s="386">
        <v>1983</v>
      </c>
      <c r="B59" s="355"/>
      <c r="C59" s="785" t="s">
        <v>403</v>
      </c>
      <c r="D59" s="785"/>
      <c r="E59" s="334">
        <v>80</v>
      </c>
      <c r="G59" s="419"/>
      <c r="I59" s="334">
        <v>36</v>
      </c>
      <c r="J59" s="435">
        <v>36</v>
      </c>
      <c r="K59" s="384">
        <f t="shared" si="0"/>
        <v>0</v>
      </c>
      <c r="L59" s="384">
        <f t="shared" si="1"/>
        <v>0</v>
      </c>
      <c r="M59" s="384">
        <f t="shared" si="2"/>
        <v>100</v>
      </c>
      <c r="N59" s="421">
        <f t="shared" si="3"/>
        <v>100</v>
      </c>
      <c r="O59" s="383"/>
      <c r="P59" s="384"/>
      <c r="Q59" s="384">
        <v>65.7</v>
      </c>
      <c r="R59" s="385">
        <f t="shared" si="4"/>
        <v>65.7</v>
      </c>
      <c r="S59" s="388">
        <v>3</v>
      </c>
      <c r="T59" s="342"/>
      <c r="U59" s="355"/>
      <c r="V59" s="343" t="s">
        <v>96</v>
      </c>
      <c r="W59" s="334" t="s">
        <v>20</v>
      </c>
      <c r="X59" s="334" t="s">
        <v>12</v>
      </c>
      <c r="Y59" s="334">
        <v>56.5</v>
      </c>
      <c r="Z59" s="343" t="s">
        <v>128</v>
      </c>
      <c r="AA59" s="334" t="s">
        <v>114</v>
      </c>
      <c r="AB59" s="334" t="s">
        <v>12</v>
      </c>
      <c r="AC59" s="334">
        <v>9.1999999999999993</v>
      </c>
      <c r="AD59" s="343"/>
      <c r="AG59" s="344"/>
      <c r="AL59" s="343"/>
      <c r="AO59" s="344"/>
      <c r="AP59" s="343"/>
      <c r="AS59" s="344"/>
      <c r="AW59" s="344"/>
      <c r="BA59" s="345"/>
    </row>
    <row r="60" spans="1:53" s="73" customFormat="1" x14ac:dyDescent="0.15">
      <c r="A60" s="102">
        <v>1983</v>
      </c>
      <c r="B60" s="85">
        <v>30397</v>
      </c>
      <c r="C60" s="786" t="s">
        <v>404</v>
      </c>
      <c r="D60" s="786"/>
      <c r="E60" s="73">
        <v>285</v>
      </c>
      <c r="F60" s="73">
        <v>6</v>
      </c>
      <c r="G60" s="123"/>
      <c r="I60" s="73">
        <v>23</v>
      </c>
      <c r="J60" s="134">
        <v>23</v>
      </c>
      <c r="K60" s="92">
        <f t="shared" si="0"/>
        <v>0</v>
      </c>
      <c r="L60" s="92">
        <f t="shared" si="1"/>
        <v>0</v>
      </c>
      <c r="M60" s="92">
        <f t="shared" si="2"/>
        <v>100</v>
      </c>
      <c r="N60" s="125">
        <f t="shared" si="3"/>
        <v>100</v>
      </c>
      <c r="O60" s="91"/>
      <c r="P60" s="92"/>
      <c r="Q60" s="92">
        <v>65.7</v>
      </c>
      <c r="R60" s="93">
        <f t="shared" si="4"/>
        <v>65.7</v>
      </c>
      <c r="S60" s="97">
        <v>3</v>
      </c>
      <c r="T60" s="95"/>
      <c r="U60" s="85">
        <v>30397</v>
      </c>
      <c r="V60" s="82" t="s">
        <v>96</v>
      </c>
      <c r="W60" s="73" t="s">
        <v>20</v>
      </c>
      <c r="X60" s="73" t="s">
        <v>12</v>
      </c>
      <c r="Y60" s="73">
        <v>56.5</v>
      </c>
      <c r="Z60" s="82" t="s">
        <v>128</v>
      </c>
      <c r="AA60" s="73" t="s">
        <v>114</v>
      </c>
      <c r="AB60" s="73" t="s">
        <v>12</v>
      </c>
      <c r="AC60" s="73">
        <v>9.1999999999999993</v>
      </c>
      <c r="AD60" s="82"/>
      <c r="AG60" s="83"/>
      <c r="AL60" s="82"/>
      <c r="AO60" s="83"/>
      <c r="AP60" s="82"/>
      <c r="AS60" s="83"/>
      <c r="AW60" s="83"/>
      <c r="BA60" s="84"/>
    </row>
    <row r="61" spans="1:53" s="73" customFormat="1" x14ac:dyDescent="0.15">
      <c r="A61" s="102">
        <v>1984</v>
      </c>
      <c r="B61" s="85"/>
      <c r="C61" s="786" t="s">
        <v>404</v>
      </c>
      <c r="D61" s="786"/>
      <c r="E61" s="73">
        <v>204</v>
      </c>
      <c r="G61" s="123"/>
      <c r="I61" s="73">
        <v>23</v>
      </c>
      <c r="J61" s="134">
        <v>23</v>
      </c>
      <c r="K61" s="92">
        <f t="shared" si="0"/>
        <v>0</v>
      </c>
      <c r="L61" s="92">
        <f t="shared" si="1"/>
        <v>0</v>
      </c>
      <c r="M61" s="92">
        <f t="shared" si="2"/>
        <v>100</v>
      </c>
      <c r="N61" s="125">
        <f t="shared" si="3"/>
        <v>100</v>
      </c>
      <c r="O61" s="91"/>
      <c r="P61" s="92"/>
      <c r="Q61" s="92">
        <v>65.7</v>
      </c>
      <c r="R61" s="93">
        <f t="shared" si="4"/>
        <v>65.7</v>
      </c>
      <c r="S61" s="97">
        <v>3</v>
      </c>
      <c r="T61" s="95"/>
      <c r="U61" s="85"/>
      <c r="V61" s="82" t="s">
        <v>96</v>
      </c>
      <c r="W61" s="73" t="s">
        <v>20</v>
      </c>
      <c r="X61" s="73" t="s">
        <v>12</v>
      </c>
      <c r="Y61" s="73">
        <v>56.5</v>
      </c>
      <c r="Z61" s="82" t="s">
        <v>128</v>
      </c>
      <c r="AA61" s="73" t="s">
        <v>114</v>
      </c>
      <c r="AB61" s="73" t="s">
        <v>12</v>
      </c>
      <c r="AC61" s="73">
        <v>9.1999999999999993</v>
      </c>
      <c r="AD61" s="82"/>
      <c r="AG61" s="83"/>
      <c r="AL61" s="82"/>
      <c r="AO61" s="83"/>
      <c r="AP61" s="82"/>
      <c r="AS61" s="83"/>
      <c r="AW61" s="83"/>
      <c r="BA61" s="84"/>
    </row>
    <row r="62" spans="1:53" s="334" customFormat="1" x14ac:dyDescent="0.15">
      <c r="A62" s="386">
        <v>1984</v>
      </c>
      <c r="B62" s="355">
        <v>30886</v>
      </c>
      <c r="C62" s="785" t="s">
        <v>405</v>
      </c>
      <c r="D62" s="785"/>
      <c r="E62" s="334">
        <v>162</v>
      </c>
      <c r="F62" s="334">
        <v>6</v>
      </c>
      <c r="G62" s="419"/>
      <c r="I62" s="334">
        <v>23</v>
      </c>
      <c r="J62" s="435">
        <v>23</v>
      </c>
      <c r="K62" s="384">
        <f t="shared" si="0"/>
        <v>0</v>
      </c>
      <c r="L62" s="384">
        <f t="shared" si="1"/>
        <v>0</v>
      </c>
      <c r="M62" s="384">
        <f t="shared" si="2"/>
        <v>100</v>
      </c>
      <c r="N62" s="421">
        <f t="shared" si="3"/>
        <v>100</v>
      </c>
      <c r="O62" s="383"/>
      <c r="P62" s="384"/>
      <c r="Q62" s="384">
        <v>56.5</v>
      </c>
      <c r="R62" s="385">
        <f t="shared" si="4"/>
        <v>56.5</v>
      </c>
      <c r="S62" s="388">
        <v>1</v>
      </c>
      <c r="T62" s="342"/>
      <c r="U62" s="355">
        <v>30886</v>
      </c>
      <c r="V62" s="343" t="s">
        <v>96</v>
      </c>
      <c r="W62" s="334" t="s">
        <v>20</v>
      </c>
      <c r="X62" s="334" t="s">
        <v>12</v>
      </c>
      <c r="Y62" s="334">
        <v>56.5</v>
      </c>
      <c r="Z62" s="343"/>
      <c r="AD62" s="343"/>
      <c r="AG62" s="344"/>
      <c r="AL62" s="343"/>
      <c r="AO62" s="344"/>
      <c r="AP62" s="343"/>
      <c r="AS62" s="344"/>
      <c r="AW62" s="344"/>
      <c r="BA62" s="345"/>
    </row>
    <row r="63" spans="1:53" s="334" customFormat="1" x14ac:dyDescent="0.15">
      <c r="A63" s="386">
        <v>1985</v>
      </c>
      <c r="B63" s="355"/>
      <c r="C63" s="785" t="s">
        <v>405</v>
      </c>
      <c r="D63" s="785"/>
      <c r="E63" s="334">
        <v>0</v>
      </c>
      <c r="G63" s="419"/>
      <c r="I63" s="334">
        <v>23</v>
      </c>
      <c r="J63" s="435">
        <v>23</v>
      </c>
      <c r="K63" s="384">
        <f t="shared" si="0"/>
        <v>0</v>
      </c>
      <c r="L63" s="384">
        <f t="shared" si="1"/>
        <v>0</v>
      </c>
      <c r="M63" s="384">
        <f t="shared" si="2"/>
        <v>100</v>
      </c>
      <c r="N63" s="421">
        <f t="shared" si="3"/>
        <v>100</v>
      </c>
      <c r="O63" s="383"/>
      <c r="P63" s="384"/>
      <c r="Q63" s="384">
        <v>56.5</v>
      </c>
      <c r="R63" s="385">
        <f t="shared" si="4"/>
        <v>56.5</v>
      </c>
      <c r="S63" s="388">
        <v>1</v>
      </c>
      <c r="T63" s="342"/>
      <c r="U63" s="355"/>
      <c r="V63" s="343" t="s">
        <v>96</v>
      </c>
      <c r="W63" s="334" t="s">
        <v>20</v>
      </c>
      <c r="X63" s="334" t="s">
        <v>12</v>
      </c>
      <c r="Y63" s="334">
        <v>56.5</v>
      </c>
      <c r="Z63" s="343"/>
      <c r="AD63" s="343"/>
      <c r="AG63" s="344"/>
      <c r="AL63" s="343"/>
      <c r="AO63" s="344"/>
      <c r="AP63" s="343"/>
      <c r="AS63" s="344"/>
      <c r="AW63" s="344"/>
      <c r="BA63" s="345"/>
    </row>
    <row r="64" spans="1:53" s="334" customFormat="1" x14ac:dyDescent="0.15">
      <c r="A64" s="386">
        <v>1985</v>
      </c>
      <c r="B64" s="355"/>
      <c r="C64" s="785" t="s">
        <v>405</v>
      </c>
      <c r="D64" s="785"/>
      <c r="E64" s="334">
        <v>365</v>
      </c>
      <c r="G64" s="419"/>
      <c r="I64" s="334">
        <v>23</v>
      </c>
      <c r="J64" s="435">
        <v>23</v>
      </c>
      <c r="K64" s="384">
        <f t="shared" si="0"/>
        <v>0</v>
      </c>
      <c r="L64" s="384">
        <f t="shared" si="1"/>
        <v>0</v>
      </c>
      <c r="M64" s="384">
        <f t="shared" si="2"/>
        <v>100</v>
      </c>
      <c r="N64" s="421">
        <f t="shared" si="3"/>
        <v>100</v>
      </c>
      <c r="O64" s="383"/>
      <c r="P64" s="384"/>
      <c r="Q64" s="384">
        <v>56.5</v>
      </c>
      <c r="R64" s="385">
        <f t="shared" si="4"/>
        <v>56.5</v>
      </c>
      <c r="S64" s="388">
        <v>1</v>
      </c>
      <c r="T64" s="342"/>
      <c r="U64" s="355"/>
      <c r="V64" s="343" t="s">
        <v>96</v>
      </c>
      <c r="W64" s="334" t="s">
        <v>20</v>
      </c>
      <c r="X64" s="334" t="s">
        <v>12</v>
      </c>
      <c r="Y64" s="334">
        <v>56.5</v>
      </c>
      <c r="Z64" s="343"/>
      <c r="AD64" s="343"/>
      <c r="AG64" s="344"/>
      <c r="AL64" s="343"/>
      <c r="AO64" s="344"/>
      <c r="AP64" s="343"/>
      <c r="AS64" s="344"/>
      <c r="AW64" s="344"/>
      <c r="BA64" s="345"/>
    </row>
    <row r="65" spans="1:53" s="334" customFormat="1" x14ac:dyDescent="0.15">
      <c r="A65" s="334">
        <v>1986</v>
      </c>
      <c r="B65" s="355"/>
      <c r="C65" s="785" t="s">
        <v>405</v>
      </c>
      <c r="D65" s="785"/>
      <c r="E65" s="334">
        <v>78</v>
      </c>
      <c r="G65" s="419"/>
      <c r="I65" s="334">
        <v>23</v>
      </c>
      <c r="J65" s="435">
        <v>23</v>
      </c>
      <c r="K65" s="384">
        <f>G65/J65*100</f>
        <v>0</v>
      </c>
      <c r="L65" s="384">
        <f>H65/J65*100</f>
        <v>0</v>
      </c>
      <c r="M65" s="384">
        <f>I65/J65*100</f>
        <v>100</v>
      </c>
      <c r="N65" s="421">
        <f t="shared" si="3"/>
        <v>100</v>
      </c>
      <c r="O65" s="383"/>
      <c r="P65" s="384"/>
      <c r="Q65" s="384">
        <v>56.5</v>
      </c>
      <c r="R65" s="385">
        <f t="shared" si="4"/>
        <v>56.5</v>
      </c>
      <c r="S65" s="388">
        <v>1</v>
      </c>
      <c r="T65" s="342"/>
      <c r="U65" s="355"/>
      <c r="V65" s="343" t="s">
        <v>96</v>
      </c>
      <c r="W65" s="334" t="s">
        <v>20</v>
      </c>
      <c r="X65" s="334" t="s">
        <v>12</v>
      </c>
      <c r="Y65" s="334">
        <v>56.5</v>
      </c>
      <c r="Z65" s="343"/>
      <c r="AD65" s="343"/>
      <c r="AG65" s="344"/>
      <c r="AL65" s="343"/>
      <c r="AO65" s="344"/>
      <c r="AP65" s="343"/>
      <c r="AS65" s="344"/>
      <c r="AW65" s="344"/>
      <c r="BA65" s="345"/>
    </row>
    <row r="66" spans="1:53" s="73" customFormat="1" x14ac:dyDescent="0.15">
      <c r="A66" s="73">
        <v>1986</v>
      </c>
      <c r="B66" s="85">
        <v>31491</v>
      </c>
      <c r="C66" s="786" t="s">
        <v>412</v>
      </c>
      <c r="D66" s="786"/>
      <c r="E66" s="73">
        <v>287</v>
      </c>
      <c r="F66" s="73">
        <v>1</v>
      </c>
      <c r="G66" s="123">
        <v>14</v>
      </c>
      <c r="H66" s="73">
        <v>8</v>
      </c>
      <c r="J66" s="134">
        <v>25</v>
      </c>
      <c r="K66" s="92">
        <f t="shared" ref="K66:K73" si="5">G66/J66*100</f>
        <v>56.000000000000007</v>
      </c>
      <c r="L66" s="92">
        <f t="shared" ref="L66:L73" si="6">H66/J66*100</f>
        <v>32</v>
      </c>
      <c r="M66" s="92">
        <f t="shared" ref="M66:M73" si="7">I66/J66*100</f>
        <v>0</v>
      </c>
      <c r="N66" s="125">
        <f t="shared" si="3"/>
        <v>88</v>
      </c>
      <c r="O66" s="91">
        <v>26.3</v>
      </c>
      <c r="P66" s="92">
        <v>23</v>
      </c>
      <c r="Q66" s="92"/>
      <c r="R66" s="93">
        <f t="shared" si="4"/>
        <v>49.3</v>
      </c>
      <c r="S66" s="97">
        <v>5</v>
      </c>
      <c r="T66" s="95">
        <v>31487</v>
      </c>
      <c r="U66" s="85">
        <v>31491</v>
      </c>
      <c r="V66" s="82" t="s">
        <v>385</v>
      </c>
      <c r="W66" s="73" t="s">
        <v>76</v>
      </c>
      <c r="X66" s="73" t="s">
        <v>11</v>
      </c>
      <c r="Y66" s="73">
        <v>26.3</v>
      </c>
      <c r="Z66" s="82" t="s">
        <v>127</v>
      </c>
      <c r="AA66" s="73" t="s">
        <v>79</v>
      </c>
      <c r="AB66" s="73" t="s">
        <v>18</v>
      </c>
      <c r="AC66" s="73">
        <v>23</v>
      </c>
      <c r="AD66" s="82"/>
      <c r="AG66" s="83"/>
      <c r="AL66" s="82"/>
      <c r="AO66" s="83"/>
      <c r="AP66" s="82"/>
      <c r="AS66" s="83"/>
      <c r="AW66" s="83"/>
      <c r="BA66" s="84"/>
    </row>
    <row r="67" spans="1:53" s="73" customFormat="1" x14ac:dyDescent="0.15">
      <c r="A67" s="73">
        <v>1987</v>
      </c>
      <c r="B67" s="85"/>
      <c r="C67" s="786" t="s">
        <v>412</v>
      </c>
      <c r="D67" s="786"/>
      <c r="E67" s="73">
        <v>0</v>
      </c>
      <c r="G67" s="123">
        <v>14</v>
      </c>
      <c r="H67" s="73">
        <v>8</v>
      </c>
      <c r="J67" s="134">
        <v>25</v>
      </c>
      <c r="K67" s="92">
        <f t="shared" si="5"/>
        <v>56.000000000000007</v>
      </c>
      <c r="L67" s="92">
        <f t="shared" si="6"/>
        <v>32</v>
      </c>
      <c r="M67" s="92">
        <f t="shared" si="7"/>
        <v>0</v>
      </c>
      <c r="N67" s="125">
        <f t="shared" si="3"/>
        <v>88</v>
      </c>
      <c r="O67" s="91">
        <v>26.3</v>
      </c>
      <c r="P67" s="92">
        <v>23</v>
      </c>
      <c r="Q67" s="92"/>
      <c r="R67" s="93">
        <f t="shared" si="4"/>
        <v>49.3</v>
      </c>
      <c r="S67" s="97">
        <v>5</v>
      </c>
      <c r="T67" s="95"/>
      <c r="U67" s="85"/>
      <c r="V67" s="82" t="s">
        <v>385</v>
      </c>
      <c r="W67" s="73" t="s">
        <v>76</v>
      </c>
      <c r="X67" s="73" t="s">
        <v>11</v>
      </c>
      <c r="Y67" s="73">
        <v>26.3</v>
      </c>
      <c r="Z67" s="82" t="s">
        <v>127</v>
      </c>
      <c r="AA67" s="73" t="s">
        <v>79</v>
      </c>
      <c r="AB67" s="73" t="s">
        <v>18</v>
      </c>
      <c r="AC67" s="73">
        <v>23</v>
      </c>
      <c r="AD67" s="82"/>
      <c r="AG67" s="83"/>
      <c r="AL67" s="82"/>
      <c r="AO67" s="83"/>
      <c r="AP67" s="82"/>
      <c r="AS67" s="83"/>
      <c r="AW67" s="83"/>
      <c r="BA67" s="84"/>
    </row>
    <row r="68" spans="1:53" s="73" customFormat="1" x14ac:dyDescent="0.15">
      <c r="A68" s="73">
        <v>1987</v>
      </c>
      <c r="B68" s="85"/>
      <c r="C68" s="786" t="s">
        <v>412</v>
      </c>
      <c r="D68" s="786"/>
      <c r="E68" s="73">
        <v>365</v>
      </c>
      <c r="G68" s="123">
        <v>14</v>
      </c>
      <c r="H68" s="73">
        <v>8</v>
      </c>
      <c r="J68" s="134">
        <v>25</v>
      </c>
      <c r="K68" s="92">
        <f t="shared" si="5"/>
        <v>56.000000000000007</v>
      </c>
      <c r="L68" s="92">
        <f t="shared" si="6"/>
        <v>32</v>
      </c>
      <c r="M68" s="92">
        <f t="shared" si="7"/>
        <v>0</v>
      </c>
      <c r="N68" s="125">
        <f t="shared" si="3"/>
        <v>88</v>
      </c>
      <c r="O68" s="91">
        <v>26.3</v>
      </c>
      <c r="P68" s="92">
        <v>23</v>
      </c>
      <c r="Q68" s="92"/>
      <c r="R68" s="93">
        <f t="shared" si="4"/>
        <v>49.3</v>
      </c>
      <c r="S68" s="97">
        <v>5</v>
      </c>
      <c r="T68" s="95"/>
      <c r="U68" s="85"/>
      <c r="V68" s="82" t="s">
        <v>385</v>
      </c>
      <c r="W68" s="73" t="s">
        <v>76</v>
      </c>
      <c r="X68" s="73" t="s">
        <v>11</v>
      </c>
      <c r="Y68" s="73">
        <v>26.3</v>
      </c>
      <c r="Z68" s="82" t="s">
        <v>127</v>
      </c>
      <c r="AA68" s="73" t="s">
        <v>79</v>
      </c>
      <c r="AB68" s="73" t="s">
        <v>18</v>
      </c>
      <c r="AC68" s="73">
        <v>23</v>
      </c>
      <c r="AD68" s="82"/>
      <c r="AG68" s="83"/>
      <c r="AL68" s="82"/>
      <c r="AO68" s="83"/>
      <c r="AP68" s="82"/>
      <c r="AS68" s="83"/>
      <c r="AW68" s="83"/>
      <c r="BA68" s="84"/>
    </row>
    <row r="69" spans="1:53" s="73" customFormat="1" x14ac:dyDescent="0.15">
      <c r="A69" s="73">
        <v>1988</v>
      </c>
      <c r="B69" s="85"/>
      <c r="C69" s="786" t="s">
        <v>412</v>
      </c>
      <c r="D69" s="786"/>
      <c r="E69" s="73">
        <v>133</v>
      </c>
      <c r="G69" s="123">
        <v>14</v>
      </c>
      <c r="H69" s="73">
        <v>8</v>
      </c>
      <c r="J69" s="134">
        <v>25</v>
      </c>
      <c r="K69" s="92">
        <f t="shared" si="5"/>
        <v>56.000000000000007</v>
      </c>
      <c r="L69" s="92">
        <f t="shared" si="6"/>
        <v>32</v>
      </c>
      <c r="M69" s="92">
        <f t="shared" si="7"/>
        <v>0</v>
      </c>
      <c r="N69" s="125">
        <f t="shared" si="3"/>
        <v>88</v>
      </c>
      <c r="O69" s="91">
        <v>26.3</v>
      </c>
      <c r="P69" s="92">
        <v>23</v>
      </c>
      <c r="Q69" s="92"/>
      <c r="R69" s="93">
        <f t="shared" si="4"/>
        <v>49.3</v>
      </c>
      <c r="S69" s="97">
        <v>5</v>
      </c>
      <c r="T69" s="95"/>
      <c r="U69" s="85"/>
      <c r="V69" s="82" t="s">
        <v>385</v>
      </c>
      <c r="W69" s="73" t="s">
        <v>76</v>
      </c>
      <c r="X69" s="73" t="s">
        <v>11</v>
      </c>
      <c r="Y69" s="73">
        <v>26.3</v>
      </c>
      <c r="Z69" s="82" t="s">
        <v>127</v>
      </c>
      <c r="AA69" s="73" t="s">
        <v>79</v>
      </c>
      <c r="AB69" s="73" t="s">
        <v>18</v>
      </c>
      <c r="AC69" s="73">
        <v>23</v>
      </c>
      <c r="AD69" s="82"/>
      <c r="AG69" s="83"/>
      <c r="AL69" s="82"/>
      <c r="AO69" s="83"/>
      <c r="AP69" s="82"/>
      <c r="AS69" s="83"/>
      <c r="AW69" s="83"/>
      <c r="BA69" s="84"/>
    </row>
    <row r="70" spans="1:53" s="334" customFormat="1" x14ac:dyDescent="0.15">
      <c r="A70" s="334">
        <v>1988</v>
      </c>
      <c r="B70" s="355">
        <v>32276</v>
      </c>
      <c r="C70" s="785" t="s">
        <v>406</v>
      </c>
      <c r="D70" s="785"/>
      <c r="E70" s="334">
        <v>46</v>
      </c>
      <c r="F70" s="334">
        <v>1</v>
      </c>
      <c r="G70" s="419"/>
      <c r="H70" s="334">
        <v>2</v>
      </c>
      <c r="I70" s="334">
        <v>14</v>
      </c>
      <c r="J70" s="435">
        <v>19</v>
      </c>
      <c r="K70" s="384">
        <f>G70/J70*100</f>
        <v>0</v>
      </c>
      <c r="L70" s="384">
        <f>H70/J70*100</f>
        <v>10.526315789473683</v>
      </c>
      <c r="M70" s="384">
        <f>I70/J70*100</f>
        <v>73.68421052631578</v>
      </c>
      <c r="N70" s="421">
        <f t="shared" si="3"/>
        <v>84.210526315789465</v>
      </c>
      <c r="O70" s="383"/>
      <c r="P70" s="384">
        <v>23</v>
      </c>
      <c r="Q70" s="384">
        <v>35.6</v>
      </c>
      <c r="R70" s="385">
        <f t="shared" si="4"/>
        <v>58.6</v>
      </c>
      <c r="S70" s="388">
        <v>2</v>
      </c>
      <c r="T70" s="342"/>
      <c r="U70" s="355">
        <v>32276</v>
      </c>
      <c r="V70" s="343" t="s">
        <v>96</v>
      </c>
      <c r="W70" s="334" t="s">
        <v>20</v>
      </c>
      <c r="X70" s="334" t="s">
        <v>12</v>
      </c>
      <c r="Y70" s="334">
        <v>35.6</v>
      </c>
      <c r="Z70" s="343" t="s">
        <v>127</v>
      </c>
      <c r="AA70" s="334" t="s">
        <v>79</v>
      </c>
      <c r="AB70" s="334" t="s">
        <v>18</v>
      </c>
      <c r="AC70" s="334">
        <v>23</v>
      </c>
      <c r="AD70" s="343"/>
      <c r="AG70" s="344"/>
      <c r="AL70" s="343"/>
      <c r="AO70" s="344"/>
      <c r="AP70" s="343"/>
      <c r="AS70" s="344"/>
      <c r="AW70" s="344"/>
      <c r="BA70" s="345"/>
    </row>
    <row r="71" spans="1:53" s="73" customFormat="1" x14ac:dyDescent="0.15">
      <c r="A71" s="73">
        <v>1988</v>
      </c>
      <c r="B71" s="85">
        <v>32322</v>
      </c>
      <c r="C71" s="786" t="s">
        <v>407</v>
      </c>
      <c r="D71" s="786"/>
      <c r="E71" s="73">
        <v>187</v>
      </c>
      <c r="F71" s="73">
        <v>6</v>
      </c>
      <c r="G71" s="123"/>
      <c r="I71" s="73">
        <v>14</v>
      </c>
      <c r="J71" s="134">
        <v>20</v>
      </c>
      <c r="K71" s="92">
        <f t="shared" si="5"/>
        <v>0</v>
      </c>
      <c r="L71" s="92">
        <f t="shared" si="6"/>
        <v>0</v>
      </c>
      <c r="M71" s="92">
        <f t="shared" si="7"/>
        <v>70</v>
      </c>
      <c r="N71" s="125">
        <f t="shared" si="3"/>
        <v>70</v>
      </c>
      <c r="O71" s="91"/>
      <c r="P71" s="92"/>
      <c r="Q71" s="92">
        <v>48.4</v>
      </c>
      <c r="R71" s="93">
        <f t="shared" si="4"/>
        <v>48.4</v>
      </c>
      <c r="S71" s="97">
        <v>5</v>
      </c>
      <c r="T71" s="95">
        <v>32299</v>
      </c>
      <c r="U71" s="85">
        <v>32322</v>
      </c>
      <c r="V71" s="82" t="s">
        <v>96</v>
      </c>
      <c r="W71" s="73" t="s">
        <v>20</v>
      </c>
      <c r="X71" s="73" t="s">
        <v>12</v>
      </c>
      <c r="Y71" s="83">
        <v>46.8</v>
      </c>
      <c r="Z71" s="73" t="s">
        <v>126</v>
      </c>
      <c r="AA71" s="73" t="s">
        <v>88</v>
      </c>
      <c r="AB71" s="73" t="s">
        <v>12</v>
      </c>
      <c r="AC71" s="73">
        <v>1.6</v>
      </c>
      <c r="AD71" s="82" t="s">
        <v>409</v>
      </c>
      <c r="AE71" s="73" t="s">
        <v>222</v>
      </c>
      <c r="AF71" s="73" t="s">
        <v>12</v>
      </c>
      <c r="AG71" s="83">
        <v>0</v>
      </c>
      <c r="AL71" s="82"/>
      <c r="AO71" s="83"/>
      <c r="AP71" s="82"/>
      <c r="AS71" s="83"/>
      <c r="AW71" s="83"/>
      <c r="BA71" s="84"/>
    </row>
    <row r="72" spans="1:53" s="73" customFormat="1" x14ac:dyDescent="0.15">
      <c r="A72" s="73">
        <v>1989</v>
      </c>
      <c r="B72" s="85"/>
      <c r="C72" s="786" t="s">
        <v>407</v>
      </c>
      <c r="D72" s="786"/>
      <c r="E72" s="73">
        <v>0</v>
      </c>
      <c r="G72" s="123"/>
      <c r="I72" s="73">
        <v>14</v>
      </c>
      <c r="J72" s="134">
        <v>20</v>
      </c>
      <c r="K72" s="92">
        <f t="shared" si="5"/>
        <v>0</v>
      </c>
      <c r="L72" s="92">
        <f t="shared" si="6"/>
        <v>0</v>
      </c>
      <c r="M72" s="92">
        <f t="shared" si="7"/>
        <v>70</v>
      </c>
      <c r="N72" s="125">
        <f t="shared" si="3"/>
        <v>70</v>
      </c>
      <c r="O72" s="91"/>
      <c r="P72" s="92"/>
      <c r="Q72" s="92">
        <v>48.4</v>
      </c>
      <c r="R72" s="93">
        <f t="shared" si="4"/>
        <v>48.4</v>
      </c>
      <c r="S72" s="97">
        <v>5</v>
      </c>
      <c r="T72" s="95"/>
      <c r="U72" s="85"/>
      <c r="V72" s="82" t="s">
        <v>96</v>
      </c>
      <c r="W72" s="73" t="s">
        <v>20</v>
      </c>
      <c r="X72" s="73" t="s">
        <v>12</v>
      </c>
      <c r="Y72" s="83">
        <v>46.8</v>
      </c>
      <c r="Z72" s="73" t="s">
        <v>126</v>
      </c>
      <c r="AA72" s="73" t="s">
        <v>88</v>
      </c>
      <c r="AB72" s="73" t="s">
        <v>12</v>
      </c>
      <c r="AC72" s="73">
        <v>1.6</v>
      </c>
      <c r="AD72" s="82" t="s">
        <v>409</v>
      </c>
      <c r="AE72" s="73" t="s">
        <v>222</v>
      </c>
      <c r="AF72" s="73" t="s">
        <v>12</v>
      </c>
      <c r="AG72" s="83">
        <v>0</v>
      </c>
      <c r="AL72" s="82"/>
      <c r="AO72" s="83"/>
      <c r="AP72" s="82"/>
      <c r="AS72" s="83"/>
      <c r="AW72" s="83"/>
      <c r="BA72" s="84"/>
    </row>
    <row r="73" spans="1:53" s="136" customFormat="1" x14ac:dyDescent="0.15">
      <c r="A73" s="136">
        <v>1989</v>
      </c>
      <c r="B73" s="137"/>
      <c r="C73" s="821" t="s">
        <v>407</v>
      </c>
      <c r="D73" s="821"/>
      <c r="E73" s="136">
        <f>365-E72</f>
        <v>365</v>
      </c>
      <c r="G73" s="138"/>
      <c r="I73" s="136">
        <v>14</v>
      </c>
      <c r="J73" s="139">
        <v>20</v>
      </c>
      <c r="K73" s="140">
        <f t="shared" si="5"/>
        <v>0</v>
      </c>
      <c r="L73" s="140">
        <f t="shared" si="6"/>
        <v>0</v>
      </c>
      <c r="M73" s="140">
        <f t="shared" si="7"/>
        <v>70</v>
      </c>
      <c r="N73" s="141">
        <f t="shared" ref="N73:N129" si="8">SUM(K73:M73)</f>
        <v>70</v>
      </c>
      <c r="O73" s="142"/>
      <c r="P73" s="140"/>
      <c r="Q73" s="140">
        <v>48.4</v>
      </c>
      <c r="R73" s="143">
        <f t="shared" ref="R73:R126" si="9">SUM(O73:Q73)</f>
        <v>48.4</v>
      </c>
      <c r="S73" s="144">
        <v>5</v>
      </c>
      <c r="T73" s="145"/>
      <c r="U73" s="137"/>
      <c r="V73" s="146" t="s">
        <v>96</v>
      </c>
      <c r="W73" s="136" t="s">
        <v>20</v>
      </c>
      <c r="X73" s="136" t="s">
        <v>12</v>
      </c>
      <c r="Y73" s="147">
        <v>46.8</v>
      </c>
      <c r="Z73" s="136" t="s">
        <v>126</v>
      </c>
      <c r="AA73" s="136" t="s">
        <v>88</v>
      </c>
      <c r="AB73" s="136" t="s">
        <v>12</v>
      </c>
      <c r="AC73" s="136">
        <v>1.6</v>
      </c>
      <c r="AD73" s="146" t="s">
        <v>409</v>
      </c>
      <c r="AE73" s="136" t="s">
        <v>222</v>
      </c>
      <c r="AF73" s="136" t="s">
        <v>12</v>
      </c>
      <c r="AG73" s="147">
        <v>0</v>
      </c>
      <c r="AL73" s="146"/>
      <c r="AO73" s="147"/>
      <c r="AP73" s="146"/>
      <c r="AS73" s="147"/>
      <c r="AW73" s="147"/>
      <c r="BA73" s="148"/>
    </row>
    <row r="74" spans="1:53" s="73" customFormat="1" x14ac:dyDescent="0.15">
      <c r="A74" s="73">
        <v>1990</v>
      </c>
      <c r="C74" s="786" t="s">
        <v>407</v>
      </c>
      <c r="D74" s="786"/>
      <c r="E74" s="73">
        <v>0</v>
      </c>
      <c r="G74" s="123"/>
      <c r="I74" s="73">
        <v>14</v>
      </c>
      <c r="J74" s="134">
        <v>20</v>
      </c>
      <c r="K74" s="92">
        <v>0</v>
      </c>
      <c r="L74" s="92">
        <v>0</v>
      </c>
      <c r="M74" s="92">
        <v>70</v>
      </c>
      <c r="N74" s="125">
        <f t="shared" si="8"/>
        <v>70</v>
      </c>
      <c r="O74" s="91"/>
      <c r="P74" s="92"/>
      <c r="Q74" s="92">
        <v>48.4</v>
      </c>
      <c r="R74" s="93">
        <f t="shared" si="9"/>
        <v>48.4</v>
      </c>
      <c r="S74" s="97">
        <v>5</v>
      </c>
      <c r="T74" s="95"/>
      <c r="U74" s="85"/>
      <c r="V74" s="82" t="s">
        <v>96</v>
      </c>
      <c r="W74" s="73" t="s">
        <v>20</v>
      </c>
      <c r="X74" s="73" t="s">
        <v>12</v>
      </c>
      <c r="Y74" s="83">
        <v>46.8</v>
      </c>
      <c r="Z74" s="73" t="s">
        <v>126</v>
      </c>
      <c r="AA74" s="73" t="s">
        <v>88</v>
      </c>
      <c r="AB74" s="73" t="s">
        <v>12</v>
      </c>
      <c r="AC74" s="73">
        <v>1.6</v>
      </c>
      <c r="AD74" s="82" t="s">
        <v>409</v>
      </c>
      <c r="AE74" s="73" t="s">
        <v>222</v>
      </c>
      <c r="AF74" s="73" t="s">
        <v>12</v>
      </c>
      <c r="AG74" s="83">
        <v>0</v>
      </c>
      <c r="AL74" s="82"/>
      <c r="AO74" s="83"/>
      <c r="AP74" s="82"/>
      <c r="AS74" s="83"/>
      <c r="AW74" s="83"/>
      <c r="BA74" s="84"/>
    </row>
    <row r="75" spans="1:53" s="73" customFormat="1" x14ac:dyDescent="0.15">
      <c r="A75" s="73">
        <v>1990</v>
      </c>
      <c r="C75" s="786" t="s">
        <v>407</v>
      </c>
      <c r="D75" s="786"/>
      <c r="E75" s="73">
        <f>365-E74</f>
        <v>365</v>
      </c>
      <c r="G75" s="123"/>
      <c r="I75" s="73">
        <v>14</v>
      </c>
      <c r="J75" s="134">
        <v>20</v>
      </c>
      <c r="K75" s="92">
        <f>G75/J75*100</f>
        <v>0</v>
      </c>
      <c r="L75" s="92">
        <f>H75/J75*100</f>
        <v>0</v>
      </c>
      <c r="M75" s="92">
        <f>I75/J75*100</f>
        <v>70</v>
      </c>
      <c r="N75" s="125">
        <f t="shared" si="8"/>
        <v>70</v>
      </c>
      <c r="O75" s="91"/>
      <c r="P75" s="92"/>
      <c r="Q75" s="92">
        <v>48.4</v>
      </c>
      <c r="R75" s="93">
        <f t="shared" si="9"/>
        <v>48.4</v>
      </c>
      <c r="S75" s="97">
        <v>5</v>
      </c>
      <c r="T75" s="95"/>
      <c r="U75" s="85"/>
      <c r="V75" s="82" t="s">
        <v>96</v>
      </c>
      <c r="W75" s="73" t="s">
        <v>20</v>
      </c>
      <c r="X75" s="73" t="s">
        <v>12</v>
      </c>
      <c r="Y75" s="83">
        <v>46.8</v>
      </c>
      <c r="Z75" s="73" t="s">
        <v>126</v>
      </c>
      <c r="AA75" s="73" t="s">
        <v>88</v>
      </c>
      <c r="AB75" s="73" t="s">
        <v>12</v>
      </c>
      <c r="AC75" s="73">
        <v>1.6</v>
      </c>
      <c r="AD75" s="82" t="s">
        <v>409</v>
      </c>
      <c r="AE75" s="73" t="s">
        <v>222</v>
      </c>
      <c r="AF75" s="73" t="s">
        <v>12</v>
      </c>
      <c r="AG75" s="83">
        <v>0</v>
      </c>
      <c r="AL75" s="82"/>
      <c r="AO75" s="83"/>
      <c r="AP75" s="82"/>
      <c r="AS75" s="83"/>
      <c r="AW75" s="83"/>
      <c r="BA75" s="84"/>
    </row>
    <row r="76" spans="1:53" s="73" customFormat="1" x14ac:dyDescent="0.15">
      <c r="A76" s="73">
        <v>1991</v>
      </c>
      <c r="C76" s="786" t="s">
        <v>407</v>
      </c>
      <c r="D76" s="786"/>
      <c r="E76" s="73">
        <v>134</v>
      </c>
      <c r="G76" s="123"/>
      <c r="I76" s="73">
        <v>14</v>
      </c>
      <c r="J76" s="134">
        <v>20</v>
      </c>
      <c r="K76" s="92">
        <f>G76/J76*100</f>
        <v>0</v>
      </c>
      <c r="L76" s="92">
        <f>H76/J76*100</f>
        <v>0</v>
      </c>
      <c r="M76" s="92">
        <f>I76/J76*100</f>
        <v>70</v>
      </c>
      <c r="N76" s="125">
        <f t="shared" si="8"/>
        <v>70</v>
      </c>
      <c r="O76" s="91"/>
      <c r="P76" s="92"/>
      <c r="Q76" s="92">
        <v>48.4</v>
      </c>
      <c r="R76" s="93">
        <f t="shared" si="9"/>
        <v>48.4</v>
      </c>
      <c r="S76" s="97">
        <v>5</v>
      </c>
      <c r="T76" s="95"/>
      <c r="U76" s="85"/>
      <c r="V76" s="82" t="s">
        <v>96</v>
      </c>
      <c r="W76" s="73" t="s">
        <v>20</v>
      </c>
      <c r="X76" s="73" t="s">
        <v>12</v>
      </c>
      <c r="Y76" s="83">
        <v>46.8</v>
      </c>
      <c r="Z76" s="73" t="s">
        <v>126</v>
      </c>
      <c r="AA76" s="73" t="s">
        <v>88</v>
      </c>
      <c r="AB76" s="73" t="s">
        <v>12</v>
      </c>
      <c r="AC76" s="73">
        <v>1.6</v>
      </c>
      <c r="AD76" s="82" t="s">
        <v>409</v>
      </c>
      <c r="AE76" s="73" t="s">
        <v>222</v>
      </c>
      <c r="AF76" s="73" t="s">
        <v>12</v>
      </c>
      <c r="AG76" s="83">
        <v>0</v>
      </c>
      <c r="AL76" s="82"/>
      <c r="AO76" s="83"/>
      <c r="AP76" s="82"/>
      <c r="AS76" s="83"/>
      <c r="AW76" s="83"/>
      <c r="BA76" s="84"/>
    </row>
    <row r="77" spans="1:53" s="334" customFormat="1" x14ac:dyDescent="0.15">
      <c r="A77" s="334">
        <v>1991</v>
      </c>
      <c r="B77" s="355">
        <v>33373</v>
      </c>
      <c r="C77" s="812" t="s">
        <v>408</v>
      </c>
      <c r="D77" s="812"/>
      <c r="E77" s="334">
        <f>365-E76</f>
        <v>231</v>
      </c>
      <c r="F77" s="334">
        <v>6</v>
      </c>
      <c r="G77" s="419"/>
      <c r="I77" s="334">
        <v>17</v>
      </c>
      <c r="J77" s="435">
        <v>20</v>
      </c>
      <c r="K77" s="384">
        <f>G77/J77*100</f>
        <v>0</v>
      </c>
      <c r="L77" s="384">
        <f>H77/J77*100</f>
        <v>0</v>
      </c>
      <c r="M77" s="384">
        <f>I77/J77*100</f>
        <v>85</v>
      </c>
      <c r="N77" s="421">
        <f t="shared" si="8"/>
        <v>85</v>
      </c>
      <c r="O77" s="383"/>
      <c r="P77" s="384"/>
      <c r="Q77" s="384">
        <v>48.4</v>
      </c>
      <c r="R77" s="385">
        <f t="shared" si="9"/>
        <v>48.4</v>
      </c>
      <c r="S77" s="388">
        <v>5</v>
      </c>
      <c r="T77" s="342"/>
      <c r="U77" s="355">
        <v>33373</v>
      </c>
      <c r="V77" s="343" t="s">
        <v>96</v>
      </c>
      <c r="W77" s="334" t="s">
        <v>20</v>
      </c>
      <c r="X77" s="334" t="s">
        <v>12</v>
      </c>
      <c r="Y77" s="344">
        <v>46.8</v>
      </c>
      <c r="Z77" s="334" t="s">
        <v>126</v>
      </c>
      <c r="AA77" s="334" t="s">
        <v>88</v>
      </c>
      <c r="AB77" s="334" t="s">
        <v>12</v>
      </c>
      <c r="AC77" s="334">
        <v>1.6</v>
      </c>
      <c r="AD77" s="343" t="s">
        <v>409</v>
      </c>
      <c r="AE77" s="334" t="s">
        <v>222</v>
      </c>
      <c r="AF77" s="334" t="s">
        <v>12</v>
      </c>
      <c r="AG77" s="344">
        <v>0</v>
      </c>
      <c r="AL77" s="343"/>
      <c r="AO77" s="344"/>
      <c r="AP77" s="343"/>
      <c r="AS77" s="344"/>
      <c r="AW77" s="344"/>
      <c r="BA77" s="345"/>
    </row>
    <row r="78" spans="1:53" s="334" customFormat="1" x14ac:dyDescent="0.15">
      <c r="A78" s="334">
        <v>1992</v>
      </c>
      <c r="B78" s="355"/>
      <c r="C78" s="812" t="s">
        <v>408</v>
      </c>
      <c r="D78" s="812"/>
      <c r="E78" s="334">
        <v>92</v>
      </c>
      <c r="G78" s="419"/>
      <c r="I78" s="334">
        <v>17</v>
      </c>
      <c r="J78" s="435">
        <v>20</v>
      </c>
      <c r="K78" s="384">
        <f>G78/J78*100</f>
        <v>0</v>
      </c>
      <c r="L78" s="384">
        <f>H78/J78*100</f>
        <v>0</v>
      </c>
      <c r="M78" s="384">
        <f>I78/J78*100</f>
        <v>85</v>
      </c>
      <c r="N78" s="421">
        <f t="shared" si="8"/>
        <v>85</v>
      </c>
      <c r="O78" s="383"/>
      <c r="P78" s="384"/>
      <c r="Q78" s="384">
        <v>48.4</v>
      </c>
      <c r="R78" s="385">
        <f t="shared" si="9"/>
        <v>48.4</v>
      </c>
      <c r="S78" s="388">
        <v>5</v>
      </c>
      <c r="T78" s="342"/>
      <c r="U78" s="355"/>
      <c r="V78" s="343" t="s">
        <v>96</v>
      </c>
      <c r="W78" s="334" t="s">
        <v>20</v>
      </c>
      <c r="X78" s="334" t="s">
        <v>12</v>
      </c>
      <c r="Y78" s="344">
        <v>46.8</v>
      </c>
      <c r="Z78" s="334" t="s">
        <v>126</v>
      </c>
      <c r="AA78" s="334" t="s">
        <v>88</v>
      </c>
      <c r="AB78" s="334" t="s">
        <v>12</v>
      </c>
      <c r="AC78" s="334">
        <v>1.6</v>
      </c>
      <c r="AD78" s="343" t="s">
        <v>409</v>
      </c>
      <c r="AE78" s="334" t="s">
        <v>222</v>
      </c>
      <c r="AF78" s="334" t="s">
        <v>12</v>
      </c>
      <c r="AG78" s="344">
        <v>0</v>
      </c>
      <c r="AL78" s="343"/>
      <c r="AO78" s="344"/>
      <c r="AP78" s="343"/>
      <c r="AS78" s="344"/>
      <c r="AW78" s="344"/>
      <c r="BA78" s="345"/>
    </row>
    <row r="79" spans="1:53" s="73" customFormat="1" x14ac:dyDescent="0.15">
      <c r="A79" s="73">
        <v>1992</v>
      </c>
      <c r="B79" s="85">
        <v>33696</v>
      </c>
      <c r="C79" s="811" t="s">
        <v>410</v>
      </c>
      <c r="D79" s="811"/>
      <c r="E79" s="73">
        <v>274</v>
      </c>
      <c r="F79" s="73">
        <v>6</v>
      </c>
      <c r="G79" s="123"/>
      <c r="I79" s="73">
        <v>20</v>
      </c>
      <c r="J79" s="134">
        <v>27</v>
      </c>
      <c r="K79" s="92">
        <f>G79/J79*100</f>
        <v>0</v>
      </c>
      <c r="L79" s="92">
        <f>H79/J79*100</f>
        <v>0</v>
      </c>
      <c r="M79" s="92">
        <f>I79/J79*100</f>
        <v>74.074074074074076</v>
      </c>
      <c r="N79" s="125">
        <f t="shared" si="8"/>
        <v>74.074074074074076</v>
      </c>
      <c r="O79" s="91"/>
      <c r="P79" s="92"/>
      <c r="Q79" s="92">
        <v>48.4</v>
      </c>
      <c r="R79" s="93">
        <f t="shared" si="9"/>
        <v>48.4</v>
      </c>
      <c r="S79" s="97">
        <v>5</v>
      </c>
      <c r="T79" s="95"/>
      <c r="U79" s="85">
        <v>33696</v>
      </c>
      <c r="V79" s="82" t="s">
        <v>96</v>
      </c>
      <c r="W79" s="73" t="s">
        <v>20</v>
      </c>
      <c r="X79" s="73" t="s">
        <v>12</v>
      </c>
      <c r="Y79" s="83">
        <v>46.8</v>
      </c>
      <c r="Z79" s="73" t="s">
        <v>126</v>
      </c>
      <c r="AA79" s="73" t="s">
        <v>88</v>
      </c>
      <c r="AB79" s="73" t="s">
        <v>12</v>
      </c>
      <c r="AC79" s="73">
        <v>1.6</v>
      </c>
      <c r="AD79" s="82"/>
      <c r="AG79" s="83"/>
      <c r="AL79" s="82"/>
      <c r="AO79" s="83"/>
      <c r="AP79" s="82"/>
      <c r="AS79" s="83"/>
      <c r="AW79" s="83"/>
      <c r="BA79" s="84"/>
    </row>
    <row r="80" spans="1:53" s="73" customFormat="1" x14ac:dyDescent="0.15">
      <c r="A80" s="73">
        <v>1993</v>
      </c>
      <c r="B80" s="85"/>
      <c r="C80" s="811" t="s">
        <v>410</v>
      </c>
      <c r="D80" s="811"/>
      <c r="E80" s="73">
        <v>87</v>
      </c>
      <c r="G80" s="123"/>
      <c r="I80" s="73">
        <v>20</v>
      </c>
      <c r="J80" s="134">
        <v>27</v>
      </c>
      <c r="K80" s="92">
        <f t="shared" ref="K80:K107" si="10">G80/J80*100</f>
        <v>0</v>
      </c>
      <c r="L80" s="92">
        <f t="shared" ref="L80:L107" si="11">H80/J80*100</f>
        <v>0</v>
      </c>
      <c r="M80" s="92">
        <f t="shared" ref="M80:M107" si="12">I80/J80*100</f>
        <v>74.074074074074076</v>
      </c>
      <c r="N80" s="125">
        <f t="shared" si="8"/>
        <v>74.074074074074076</v>
      </c>
      <c r="O80" s="91"/>
      <c r="P80" s="92"/>
      <c r="Q80" s="92">
        <v>48.4</v>
      </c>
      <c r="R80" s="93">
        <f t="shared" si="9"/>
        <v>48.4</v>
      </c>
      <c r="S80" s="97">
        <v>5</v>
      </c>
      <c r="T80" s="95"/>
      <c r="U80" s="85"/>
      <c r="V80" s="82" t="s">
        <v>96</v>
      </c>
      <c r="W80" s="73" t="s">
        <v>20</v>
      </c>
      <c r="X80" s="73" t="s">
        <v>12</v>
      </c>
      <c r="Y80" s="83">
        <v>46.8</v>
      </c>
      <c r="Z80" s="73" t="s">
        <v>126</v>
      </c>
      <c r="AA80" s="73" t="s">
        <v>88</v>
      </c>
      <c r="AB80" s="73" t="s">
        <v>12</v>
      </c>
      <c r="AC80" s="73">
        <v>1.6</v>
      </c>
      <c r="AD80" s="82"/>
      <c r="AG80" s="83"/>
      <c r="AL80" s="82"/>
      <c r="AO80" s="83"/>
      <c r="AP80" s="82"/>
      <c r="AS80" s="83"/>
      <c r="AW80" s="83"/>
      <c r="BA80" s="84"/>
    </row>
    <row r="81" spans="1:53" s="334" customFormat="1" x14ac:dyDescent="0.15">
      <c r="A81" s="334">
        <v>1993</v>
      </c>
      <c r="B81" s="355">
        <v>34057</v>
      </c>
      <c r="C81" s="812" t="s">
        <v>411</v>
      </c>
      <c r="D81" s="812"/>
      <c r="E81" s="334">
        <f>365-E80</f>
        <v>278</v>
      </c>
      <c r="F81" s="334">
        <v>1</v>
      </c>
      <c r="G81" s="419">
        <v>15</v>
      </c>
      <c r="H81" s="334">
        <v>14</v>
      </c>
      <c r="J81" s="435">
        <v>30</v>
      </c>
      <c r="K81" s="384">
        <f t="shared" si="10"/>
        <v>50</v>
      </c>
      <c r="L81" s="384">
        <f t="shared" si="11"/>
        <v>46.666666666666664</v>
      </c>
      <c r="M81" s="384">
        <f t="shared" si="12"/>
        <v>0</v>
      </c>
      <c r="N81" s="421">
        <f t="shared" si="8"/>
        <v>96.666666666666657</v>
      </c>
      <c r="O81" s="383">
        <v>44.5</v>
      </c>
      <c r="P81" s="384">
        <v>37.299999999999997</v>
      </c>
      <c r="Q81" s="384"/>
      <c r="R81" s="385">
        <f t="shared" si="9"/>
        <v>81.8</v>
      </c>
      <c r="S81" s="388">
        <v>2</v>
      </c>
      <c r="T81" s="342">
        <v>34056</v>
      </c>
      <c r="U81" s="355">
        <v>34057</v>
      </c>
      <c r="V81" s="343" t="s">
        <v>385</v>
      </c>
      <c r="W81" s="334" t="s">
        <v>76</v>
      </c>
      <c r="X81" s="334" t="s">
        <v>11</v>
      </c>
      <c r="Y81" s="344">
        <v>44.5</v>
      </c>
      <c r="Z81" s="343" t="s">
        <v>127</v>
      </c>
      <c r="AA81" s="334" t="s">
        <v>79</v>
      </c>
      <c r="AB81" s="334" t="s">
        <v>18</v>
      </c>
      <c r="AC81" s="334">
        <v>37.299999999999997</v>
      </c>
      <c r="AD81" s="343"/>
      <c r="AG81" s="344"/>
      <c r="AL81" s="343"/>
      <c r="AO81" s="344"/>
      <c r="AP81" s="343"/>
      <c r="AS81" s="344"/>
      <c r="AW81" s="344"/>
      <c r="BA81" s="345"/>
    </row>
    <row r="82" spans="1:53" s="334" customFormat="1" x14ac:dyDescent="0.15">
      <c r="A82" s="334">
        <v>1994</v>
      </c>
      <c r="B82" s="355"/>
      <c r="C82" s="812" t="s">
        <v>411</v>
      </c>
      <c r="D82" s="812"/>
      <c r="E82" s="334">
        <v>0</v>
      </c>
      <c r="G82" s="419">
        <v>14</v>
      </c>
      <c r="H82" s="334">
        <v>14</v>
      </c>
      <c r="J82" s="435">
        <v>29</v>
      </c>
      <c r="K82" s="384">
        <f t="shared" si="10"/>
        <v>48.275862068965516</v>
      </c>
      <c r="L82" s="384">
        <f t="shared" si="11"/>
        <v>48.275862068965516</v>
      </c>
      <c r="M82" s="384">
        <f t="shared" si="12"/>
        <v>0</v>
      </c>
      <c r="N82" s="421">
        <f t="shared" si="8"/>
        <v>96.551724137931032</v>
      </c>
      <c r="O82" s="383">
        <v>44.5</v>
      </c>
      <c r="P82" s="384">
        <v>37.299999999999997</v>
      </c>
      <c r="Q82" s="384"/>
      <c r="R82" s="385">
        <f t="shared" si="9"/>
        <v>81.8</v>
      </c>
      <c r="S82" s="388">
        <v>2</v>
      </c>
      <c r="T82" s="342"/>
      <c r="U82" s="355"/>
      <c r="V82" s="343" t="s">
        <v>385</v>
      </c>
      <c r="W82" s="334" t="s">
        <v>76</v>
      </c>
      <c r="X82" s="334" t="s">
        <v>11</v>
      </c>
      <c r="Y82" s="344">
        <v>44.5</v>
      </c>
      <c r="Z82" s="343" t="s">
        <v>127</v>
      </c>
      <c r="AA82" s="334" t="s">
        <v>79</v>
      </c>
      <c r="AB82" s="334" t="s">
        <v>18</v>
      </c>
      <c r="AC82" s="334">
        <v>37.299999999999997</v>
      </c>
      <c r="AD82" s="343"/>
      <c r="AG82" s="344"/>
      <c r="AL82" s="343"/>
      <c r="AO82" s="344"/>
      <c r="AP82" s="343"/>
      <c r="AS82" s="344"/>
      <c r="AW82" s="344"/>
      <c r="BA82" s="345"/>
    </row>
    <row r="83" spans="1:53" s="334" customFormat="1" x14ac:dyDescent="0.15">
      <c r="A83" s="334">
        <v>1994</v>
      </c>
      <c r="B83" s="355"/>
      <c r="C83" s="812" t="s">
        <v>411</v>
      </c>
      <c r="D83" s="812"/>
      <c r="E83" s="334">
        <f>365-E82</f>
        <v>365</v>
      </c>
      <c r="G83" s="419">
        <v>14</v>
      </c>
      <c r="H83" s="334">
        <v>14</v>
      </c>
      <c r="J83" s="435">
        <v>29</v>
      </c>
      <c r="K83" s="384">
        <f t="shared" si="10"/>
        <v>48.275862068965516</v>
      </c>
      <c r="L83" s="384">
        <f t="shared" si="11"/>
        <v>48.275862068965516</v>
      </c>
      <c r="M83" s="384">
        <f t="shared" si="12"/>
        <v>0</v>
      </c>
      <c r="N83" s="421">
        <f t="shared" si="8"/>
        <v>96.551724137931032</v>
      </c>
      <c r="O83" s="383">
        <v>44.5</v>
      </c>
      <c r="P83" s="384">
        <v>37.299999999999997</v>
      </c>
      <c r="Q83" s="384"/>
      <c r="R83" s="385">
        <f t="shared" si="9"/>
        <v>81.8</v>
      </c>
      <c r="S83" s="388">
        <v>2</v>
      </c>
      <c r="T83" s="342"/>
      <c r="U83" s="355"/>
      <c r="V83" s="343" t="s">
        <v>385</v>
      </c>
      <c r="W83" s="334" t="s">
        <v>76</v>
      </c>
      <c r="X83" s="334" t="s">
        <v>11</v>
      </c>
      <c r="Y83" s="344">
        <v>44.5</v>
      </c>
      <c r="Z83" s="343" t="s">
        <v>127</v>
      </c>
      <c r="AA83" s="334" t="s">
        <v>79</v>
      </c>
      <c r="AB83" s="334" t="s">
        <v>18</v>
      </c>
      <c r="AC83" s="334">
        <v>37.299999999999997</v>
      </c>
      <c r="AD83" s="343"/>
      <c r="AG83" s="344"/>
      <c r="AL83" s="343"/>
      <c r="AO83" s="344"/>
      <c r="AP83" s="343"/>
      <c r="AS83" s="344"/>
      <c r="AW83" s="344"/>
      <c r="BA83" s="345"/>
    </row>
    <row r="84" spans="1:53" s="334" customFormat="1" x14ac:dyDescent="0.15">
      <c r="A84" s="334">
        <v>1995</v>
      </c>
      <c r="B84" s="355"/>
      <c r="C84" s="812" t="s">
        <v>411</v>
      </c>
      <c r="D84" s="812"/>
      <c r="E84" s="334">
        <v>137</v>
      </c>
      <c r="G84" s="419">
        <v>14</v>
      </c>
      <c r="H84" s="334">
        <v>14</v>
      </c>
      <c r="J84" s="435">
        <v>29</v>
      </c>
      <c r="K84" s="384">
        <f t="shared" si="10"/>
        <v>48.275862068965516</v>
      </c>
      <c r="L84" s="384">
        <f t="shared" si="11"/>
        <v>48.275862068965516</v>
      </c>
      <c r="M84" s="384">
        <f t="shared" si="12"/>
        <v>0</v>
      </c>
      <c r="N84" s="421">
        <f t="shared" si="8"/>
        <v>96.551724137931032</v>
      </c>
      <c r="O84" s="383">
        <v>44.5</v>
      </c>
      <c r="P84" s="384">
        <v>37.299999999999997</v>
      </c>
      <c r="Q84" s="384"/>
      <c r="R84" s="385">
        <f t="shared" si="9"/>
        <v>81.8</v>
      </c>
      <c r="S84" s="388">
        <v>2</v>
      </c>
      <c r="T84" s="342"/>
      <c r="U84" s="355"/>
      <c r="V84" s="343" t="s">
        <v>385</v>
      </c>
      <c r="W84" s="334" t="s">
        <v>76</v>
      </c>
      <c r="X84" s="334" t="s">
        <v>11</v>
      </c>
      <c r="Y84" s="344">
        <v>44.5</v>
      </c>
      <c r="Z84" s="343" t="s">
        <v>127</v>
      </c>
      <c r="AA84" s="334" t="s">
        <v>79</v>
      </c>
      <c r="AB84" s="334" t="s">
        <v>18</v>
      </c>
      <c r="AC84" s="334">
        <v>37.299999999999997</v>
      </c>
      <c r="AD84" s="343"/>
      <c r="AG84" s="344"/>
      <c r="AL84" s="343"/>
      <c r="AO84" s="344"/>
      <c r="AP84" s="343"/>
      <c r="AS84" s="344"/>
      <c r="AW84" s="344"/>
      <c r="BA84" s="345"/>
    </row>
    <row r="85" spans="1:53" s="73" customFormat="1" x14ac:dyDescent="0.15">
      <c r="A85" s="73">
        <v>1995</v>
      </c>
      <c r="B85" s="85">
        <v>34837</v>
      </c>
      <c r="C85" s="811" t="s">
        <v>413</v>
      </c>
      <c r="D85" s="811"/>
      <c r="E85" s="73">
        <v>173</v>
      </c>
      <c r="F85" s="73">
        <v>2</v>
      </c>
      <c r="G85" s="123">
        <v>17</v>
      </c>
      <c r="H85" s="73">
        <v>11</v>
      </c>
      <c r="J85" s="134">
        <v>29</v>
      </c>
      <c r="K85" s="92">
        <f>G85/J85*100</f>
        <v>58.620689655172406</v>
      </c>
      <c r="L85" s="92">
        <f>H85/J85*100</f>
        <v>37.931034482758619</v>
      </c>
      <c r="M85" s="92">
        <f>I85/J85*100</f>
        <v>0</v>
      </c>
      <c r="N85" s="125">
        <f>SUM(K85:M85)</f>
        <v>96.551724137931018</v>
      </c>
      <c r="O85" s="91">
        <v>44.5</v>
      </c>
      <c r="P85" s="92">
        <v>37.299999999999997</v>
      </c>
      <c r="Q85" s="92"/>
      <c r="R85" s="93">
        <f>SUM(O85:Q85)</f>
        <v>81.8</v>
      </c>
      <c r="S85" s="97">
        <v>2</v>
      </c>
      <c r="T85" s="95"/>
      <c r="U85" s="85">
        <v>34837</v>
      </c>
      <c r="V85" s="82" t="s">
        <v>385</v>
      </c>
      <c r="W85" s="73" t="s">
        <v>76</v>
      </c>
      <c r="X85" s="73" t="s">
        <v>11</v>
      </c>
      <c r="Y85" s="83">
        <v>44.5</v>
      </c>
      <c r="Z85" s="82" t="s">
        <v>127</v>
      </c>
      <c r="AA85" s="73" t="s">
        <v>79</v>
      </c>
      <c r="AB85" s="73" t="s">
        <v>18</v>
      </c>
      <c r="AC85" s="73">
        <v>37.299999999999997</v>
      </c>
      <c r="AD85" s="82"/>
      <c r="AG85" s="83"/>
      <c r="AL85" s="82"/>
      <c r="AO85" s="83"/>
      <c r="AP85" s="82"/>
      <c r="AS85" s="83"/>
      <c r="AW85" s="83"/>
      <c r="BA85" s="84"/>
    </row>
    <row r="86" spans="1:53" s="334" customFormat="1" x14ac:dyDescent="0.15">
      <c r="A86" s="334">
        <v>1995</v>
      </c>
      <c r="B86" s="355">
        <v>35010</v>
      </c>
      <c r="C86" s="812" t="s">
        <v>414</v>
      </c>
      <c r="D86" s="812"/>
      <c r="E86" s="334">
        <v>55</v>
      </c>
      <c r="F86" s="334">
        <v>2</v>
      </c>
      <c r="G86" s="419">
        <v>17</v>
      </c>
      <c r="H86" s="334">
        <v>10</v>
      </c>
      <c r="J86" s="435">
        <v>29</v>
      </c>
      <c r="K86" s="384">
        <f t="shared" si="10"/>
        <v>58.620689655172406</v>
      </c>
      <c r="L86" s="384">
        <f t="shared" si="11"/>
        <v>34.482758620689658</v>
      </c>
      <c r="M86" s="384">
        <f t="shared" si="12"/>
        <v>0</v>
      </c>
      <c r="N86" s="421">
        <f t="shared" si="8"/>
        <v>93.103448275862064</v>
      </c>
      <c r="O86" s="383">
        <v>44.5</v>
      </c>
      <c r="P86" s="384">
        <v>37.299999999999997</v>
      </c>
      <c r="Q86" s="384"/>
      <c r="R86" s="385">
        <f t="shared" si="9"/>
        <v>81.8</v>
      </c>
      <c r="S86" s="388">
        <v>2</v>
      </c>
      <c r="T86" s="342"/>
      <c r="U86" s="355">
        <v>35010</v>
      </c>
      <c r="V86" s="343" t="s">
        <v>385</v>
      </c>
      <c r="W86" s="334" t="s">
        <v>76</v>
      </c>
      <c r="X86" s="334" t="s">
        <v>11</v>
      </c>
      <c r="Y86" s="344">
        <v>44.5</v>
      </c>
      <c r="Z86" s="343" t="s">
        <v>127</v>
      </c>
      <c r="AA86" s="334" t="s">
        <v>79</v>
      </c>
      <c r="AB86" s="334" t="s">
        <v>18</v>
      </c>
      <c r="AC86" s="334">
        <v>37.299999999999997</v>
      </c>
      <c r="AD86" s="343"/>
      <c r="AG86" s="344"/>
      <c r="AL86" s="343"/>
      <c r="AO86" s="344"/>
      <c r="AP86" s="343"/>
      <c r="AS86" s="344"/>
      <c r="AW86" s="344"/>
      <c r="BA86" s="345"/>
    </row>
    <row r="87" spans="1:53" s="334" customFormat="1" x14ac:dyDescent="0.15">
      <c r="A87" s="334">
        <v>1996</v>
      </c>
      <c r="B87" s="355"/>
      <c r="C87" s="812" t="s">
        <v>414</v>
      </c>
      <c r="D87" s="812"/>
      <c r="E87" s="334">
        <v>0</v>
      </c>
      <c r="G87" s="419">
        <v>17</v>
      </c>
      <c r="H87" s="334">
        <v>10</v>
      </c>
      <c r="J87" s="435">
        <v>29</v>
      </c>
      <c r="K87" s="384">
        <f t="shared" si="10"/>
        <v>58.620689655172406</v>
      </c>
      <c r="L87" s="384">
        <f t="shared" si="11"/>
        <v>34.482758620689658</v>
      </c>
      <c r="M87" s="384">
        <f t="shared" si="12"/>
        <v>0</v>
      </c>
      <c r="N87" s="421">
        <f t="shared" si="8"/>
        <v>93.103448275862064</v>
      </c>
      <c r="O87" s="383">
        <v>44.5</v>
      </c>
      <c r="P87" s="384">
        <v>37.299999999999997</v>
      </c>
      <c r="Q87" s="384"/>
      <c r="R87" s="385">
        <f t="shared" si="9"/>
        <v>81.8</v>
      </c>
      <c r="S87" s="388">
        <v>2</v>
      </c>
      <c r="T87" s="342"/>
      <c r="U87" s="355"/>
      <c r="V87" s="343" t="s">
        <v>385</v>
      </c>
      <c r="W87" s="334" t="s">
        <v>76</v>
      </c>
      <c r="X87" s="334" t="s">
        <v>11</v>
      </c>
      <c r="Y87" s="344">
        <v>44.5</v>
      </c>
      <c r="Z87" s="343" t="s">
        <v>127</v>
      </c>
      <c r="AA87" s="334" t="s">
        <v>79</v>
      </c>
      <c r="AB87" s="334" t="s">
        <v>18</v>
      </c>
      <c r="AC87" s="334">
        <v>37.299999999999997</v>
      </c>
      <c r="AD87" s="343"/>
      <c r="AG87" s="344"/>
      <c r="AL87" s="343"/>
      <c r="AO87" s="344"/>
      <c r="AP87" s="343"/>
      <c r="AS87" s="344"/>
      <c r="AW87" s="344"/>
      <c r="BA87" s="345"/>
    </row>
    <row r="88" spans="1:53" s="334" customFormat="1" x14ac:dyDescent="0.15">
      <c r="A88" s="334">
        <v>1996</v>
      </c>
      <c r="B88" s="355"/>
      <c r="C88" s="812" t="s">
        <v>414</v>
      </c>
      <c r="D88" s="812"/>
      <c r="E88" s="334">
        <v>366</v>
      </c>
      <c r="G88" s="419">
        <v>17</v>
      </c>
      <c r="H88" s="334">
        <v>10</v>
      </c>
      <c r="J88" s="435">
        <v>29</v>
      </c>
      <c r="K88" s="384">
        <f t="shared" si="10"/>
        <v>58.620689655172406</v>
      </c>
      <c r="L88" s="384">
        <f t="shared" si="11"/>
        <v>34.482758620689658</v>
      </c>
      <c r="M88" s="384">
        <f t="shared" si="12"/>
        <v>0</v>
      </c>
      <c r="N88" s="421">
        <f t="shared" si="8"/>
        <v>93.103448275862064</v>
      </c>
      <c r="O88" s="383">
        <v>44.5</v>
      </c>
      <c r="P88" s="384">
        <v>37.299999999999997</v>
      </c>
      <c r="Q88" s="384"/>
      <c r="R88" s="385">
        <f t="shared" si="9"/>
        <v>81.8</v>
      </c>
      <c r="S88" s="388">
        <v>2</v>
      </c>
      <c r="T88" s="342"/>
      <c r="U88" s="355"/>
      <c r="V88" s="343" t="s">
        <v>385</v>
      </c>
      <c r="W88" s="334" t="s">
        <v>76</v>
      </c>
      <c r="X88" s="334" t="s">
        <v>11</v>
      </c>
      <c r="Y88" s="344">
        <v>44.5</v>
      </c>
      <c r="Z88" s="343" t="s">
        <v>127</v>
      </c>
      <c r="AA88" s="334" t="s">
        <v>79</v>
      </c>
      <c r="AB88" s="334" t="s">
        <v>18</v>
      </c>
      <c r="AC88" s="334">
        <v>37.299999999999997</v>
      </c>
      <c r="AD88" s="343"/>
      <c r="AG88" s="344"/>
      <c r="AL88" s="343"/>
      <c r="AO88" s="344"/>
      <c r="AP88" s="343"/>
      <c r="AS88" s="344"/>
      <c r="AW88" s="344"/>
      <c r="BA88" s="345"/>
    </row>
    <row r="89" spans="1:53" s="334" customFormat="1" x14ac:dyDescent="0.15">
      <c r="A89" s="334">
        <v>1997</v>
      </c>
      <c r="B89" s="355"/>
      <c r="C89" s="812" t="s">
        <v>414</v>
      </c>
      <c r="D89" s="812"/>
      <c r="E89" s="334">
        <v>154</v>
      </c>
      <c r="G89" s="419">
        <v>17</v>
      </c>
      <c r="H89" s="334">
        <v>10</v>
      </c>
      <c r="J89" s="435">
        <v>29</v>
      </c>
      <c r="K89" s="384">
        <f t="shared" si="10"/>
        <v>58.620689655172406</v>
      </c>
      <c r="L89" s="384">
        <f t="shared" si="11"/>
        <v>34.482758620689658</v>
      </c>
      <c r="M89" s="384">
        <f t="shared" si="12"/>
        <v>0</v>
      </c>
      <c r="N89" s="421">
        <f t="shared" si="8"/>
        <v>93.103448275862064</v>
      </c>
      <c r="O89" s="383">
        <v>44.5</v>
      </c>
      <c r="P89" s="384">
        <v>37.299999999999997</v>
      </c>
      <c r="Q89" s="384"/>
      <c r="R89" s="385">
        <f t="shared" si="9"/>
        <v>81.8</v>
      </c>
      <c r="S89" s="388">
        <v>2</v>
      </c>
      <c r="T89" s="342"/>
      <c r="U89" s="355"/>
      <c r="V89" s="343" t="s">
        <v>385</v>
      </c>
      <c r="W89" s="334" t="s">
        <v>76</v>
      </c>
      <c r="X89" s="334" t="s">
        <v>11</v>
      </c>
      <c r="Y89" s="344">
        <v>44.5</v>
      </c>
      <c r="Z89" s="343" t="s">
        <v>127</v>
      </c>
      <c r="AA89" s="334" t="s">
        <v>79</v>
      </c>
      <c r="AB89" s="334" t="s">
        <v>18</v>
      </c>
      <c r="AC89" s="334">
        <v>37.299999999999997</v>
      </c>
      <c r="AD89" s="343"/>
      <c r="AG89" s="344"/>
      <c r="AL89" s="343"/>
      <c r="AO89" s="344"/>
      <c r="AP89" s="343"/>
      <c r="AS89" s="344"/>
      <c r="AW89" s="344"/>
      <c r="BA89" s="345"/>
    </row>
    <row r="90" spans="1:53" s="73" customFormat="1" x14ac:dyDescent="0.15">
      <c r="A90" s="73">
        <v>1997</v>
      </c>
      <c r="B90" s="85">
        <v>35585</v>
      </c>
      <c r="C90" s="811" t="s">
        <v>415</v>
      </c>
      <c r="D90" s="811"/>
      <c r="E90" s="73">
        <f>365-E89</f>
        <v>211</v>
      </c>
      <c r="F90" s="73">
        <v>1</v>
      </c>
      <c r="G90" s="123"/>
      <c r="I90" s="73">
        <v>17</v>
      </c>
      <c r="J90" s="134">
        <v>17</v>
      </c>
      <c r="K90" s="92">
        <f t="shared" si="10"/>
        <v>0</v>
      </c>
      <c r="L90" s="92">
        <f t="shared" si="11"/>
        <v>0</v>
      </c>
      <c r="M90" s="92">
        <f t="shared" si="12"/>
        <v>100</v>
      </c>
      <c r="N90" s="125">
        <f t="shared" si="8"/>
        <v>100</v>
      </c>
      <c r="O90" s="91"/>
      <c r="P90" s="92"/>
      <c r="Q90" s="92">
        <v>53.8</v>
      </c>
      <c r="R90" s="93">
        <f t="shared" si="9"/>
        <v>53.8</v>
      </c>
      <c r="S90" s="97">
        <v>3</v>
      </c>
      <c r="T90" s="95">
        <v>35582</v>
      </c>
      <c r="U90" s="85">
        <v>35585</v>
      </c>
      <c r="V90" s="82" t="s">
        <v>96</v>
      </c>
      <c r="W90" s="73" t="s">
        <v>20</v>
      </c>
      <c r="X90" s="73" t="s">
        <v>12</v>
      </c>
      <c r="Y90" s="83">
        <v>42.6</v>
      </c>
      <c r="Z90" s="82" t="s">
        <v>128</v>
      </c>
      <c r="AA90" s="73" t="s">
        <v>114</v>
      </c>
      <c r="AB90" s="73" t="s">
        <v>12</v>
      </c>
      <c r="AC90" s="73">
        <v>6.4</v>
      </c>
      <c r="AD90" s="82" t="s">
        <v>417</v>
      </c>
      <c r="AE90" s="73" t="s">
        <v>221</v>
      </c>
      <c r="AF90" s="73" t="s">
        <v>12</v>
      </c>
      <c r="AG90" s="83">
        <v>1.4</v>
      </c>
      <c r="AH90" s="73" t="s">
        <v>126</v>
      </c>
      <c r="AI90" s="73" t="s">
        <v>88</v>
      </c>
      <c r="AJ90" s="73" t="s">
        <v>12</v>
      </c>
      <c r="AK90" s="73">
        <v>2.2000000000000002</v>
      </c>
      <c r="AL90" s="82" t="s">
        <v>416</v>
      </c>
      <c r="AM90" s="73" t="s">
        <v>340</v>
      </c>
      <c r="AN90" s="73" t="s">
        <v>12</v>
      </c>
      <c r="AO90" s="83">
        <v>1.2</v>
      </c>
      <c r="AP90" s="82"/>
      <c r="AS90" s="83"/>
      <c r="AW90" s="83"/>
      <c r="BA90" s="84"/>
    </row>
    <row r="91" spans="1:53" s="73" customFormat="1" x14ac:dyDescent="0.15">
      <c r="A91" s="73">
        <v>1998</v>
      </c>
      <c r="B91" s="85"/>
      <c r="C91" s="811" t="s">
        <v>415</v>
      </c>
      <c r="D91" s="811"/>
      <c r="E91" s="73">
        <v>88</v>
      </c>
      <c r="G91" s="123"/>
      <c r="I91" s="73">
        <v>17</v>
      </c>
      <c r="J91" s="134">
        <v>17</v>
      </c>
      <c r="K91" s="92">
        <f t="shared" si="10"/>
        <v>0</v>
      </c>
      <c r="L91" s="92">
        <f t="shared" si="11"/>
        <v>0</v>
      </c>
      <c r="M91" s="92">
        <f t="shared" si="12"/>
        <v>100</v>
      </c>
      <c r="N91" s="125">
        <f t="shared" si="8"/>
        <v>100</v>
      </c>
      <c r="O91" s="91"/>
      <c r="P91" s="92"/>
      <c r="Q91" s="92">
        <v>53.8</v>
      </c>
      <c r="R91" s="93">
        <f t="shared" si="9"/>
        <v>53.8</v>
      </c>
      <c r="S91" s="97">
        <v>3</v>
      </c>
      <c r="T91" s="95"/>
      <c r="U91" s="85"/>
      <c r="V91" s="82" t="s">
        <v>96</v>
      </c>
      <c r="W91" s="73" t="s">
        <v>20</v>
      </c>
      <c r="X91" s="73" t="s">
        <v>12</v>
      </c>
      <c r="Y91" s="83">
        <v>42.6</v>
      </c>
      <c r="Z91" s="82" t="s">
        <v>128</v>
      </c>
      <c r="AA91" s="73" t="s">
        <v>114</v>
      </c>
      <c r="AB91" s="73" t="s">
        <v>12</v>
      </c>
      <c r="AC91" s="73">
        <v>6.4</v>
      </c>
      <c r="AD91" s="82" t="s">
        <v>417</v>
      </c>
      <c r="AE91" s="73" t="s">
        <v>221</v>
      </c>
      <c r="AF91" s="73" t="s">
        <v>12</v>
      </c>
      <c r="AG91" s="83">
        <v>1.4</v>
      </c>
      <c r="AH91" s="73" t="s">
        <v>1340</v>
      </c>
      <c r="AI91" s="73" t="s">
        <v>88</v>
      </c>
      <c r="AJ91" s="73" t="s">
        <v>12</v>
      </c>
      <c r="AK91" s="73">
        <v>2.2000000000000002</v>
      </c>
      <c r="AL91" s="82" t="s">
        <v>416</v>
      </c>
      <c r="AM91" s="73" t="s">
        <v>340</v>
      </c>
      <c r="AN91" s="73" t="s">
        <v>12</v>
      </c>
      <c r="AO91" s="83">
        <v>1.2</v>
      </c>
      <c r="AP91" s="82"/>
      <c r="AS91" s="83"/>
      <c r="AW91" s="83"/>
      <c r="BA91" s="84"/>
    </row>
    <row r="92" spans="1:53" s="73" customFormat="1" x14ac:dyDescent="0.15">
      <c r="A92" s="73">
        <v>1998</v>
      </c>
      <c r="B92" s="149">
        <v>35884</v>
      </c>
      <c r="C92" s="811" t="s">
        <v>415</v>
      </c>
      <c r="D92" s="811"/>
      <c r="E92" s="73">
        <f>365-E91</f>
        <v>277</v>
      </c>
      <c r="F92" s="150">
        <v>0</v>
      </c>
      <c r="G92" s="123"/>
      <c r="I92" s="73">
        <v>18</v>
      </c>
      <c r="J92" s="134">
        <v>18</v>
      </c>
      <c r="K92" s="92">
        <f t="shared" si="10"/>
        <v>0</v>
      </c>
      <c r="L92" s="92">
        <f t="shared" si="11"/>
        <v>0</v>
      </c>
      <c r="M92" s="92">
        <f t="shared" si="12"/>
        <v>100</v>
      </c>
      <c r="N92" s="125">
        <f t="shared" si="8"/>
        <v>100</v>
      </c>
      <c r="O92" s="91"/>
      <c r="P92" s="92"/>
      <c r="Q92" s="92">
        <v>53.8</v>
      </c>
      <c r="R92" s="93">
        <f t="shared" si="9"/>
        <v>53.8</v>
      </c>
      <c r="S92" s="97">
        <v>3</v>
      </c>
      <c r="T92" s="95"/>
      <c r="U92" s="149"/>
      <c r="V92" s="82" t="s">
        <v>96</v>
      </c>
      <c r="W92" s="73" t="s">
        <v>20</v>
      </c>
      <c r="X92" s="73" t="s">
        <v>12</v>
      </c>
      <c r="Y92" s="83">
        <v>42.6</v>
      </c>
      <c r="Z92" s="82" t="s">
        <v>128</v>
      </c>
      <c r="AA92" s="73" t="s">
        <v>114</v>
      </c>
      <c r="AB92" s="73" t="s">
        <v>12</v>
      </c>
      <c r="AC92" s="73">
        <v>6.4</v>
      </c>
      <c r="AD92" s="82" t="s">
        <v>417</v>
      </c>
      <c r="AE92" s="73" t="s">
        <v>221</v>
      </c>
      <c r="AF92" s="73" t="s">
        <v>12</v>
      </c>
      <c r="AG92" s="83">
        <v>1.4</v>
      </c>
      <c r="AH92" s="719" t="s">
        <v>1340</v>
      </c>
      <c r="AI92" s="73" t="s">
        <v>88</v>
      </c>
      <c r="AJ92" s="73" t="s">
        <v>12</v>
      </c>
      <c r="AK92" s="73">
        <v>2.2000000000000002</v>
      </c>
      <c r="AL92" s="82" t="s">
        <v>416</v>
      </c>
      <c r="AM92" s="73" t="s">
        <v>340</v>
      </c>
      <c r="AN92" s="73" t="s">
        <v>12</v>
      </c>
      <c r="AO92" s="83">
        <v>1.2</v>
      </c>
      <c r="AP92" s="82"/>
      <c r="AS92" s="83"/>
      <c r="AW92" s="83"/>
      <c r="BA92" s="84"/>
    </row>
    <row r="93" spans="1:53" s="73" customFormat="1" x14ac:dyDescent="0.15">
      <c r="A93" s="73">
        <v>1999</v>
      </c>
      <c r="B93" s="85"/>
      <c r="C93" s="811" t="s">
        <v>415</v>
      </c>
      <c r="D93" s="811"/>
      <c r="E93" s="73">
        <v>0</v>
      </c>
      <c r="G93" s="123"/>
      <c r="I93" s="73">
        <v>18</v>
      </c>
      <c r="J93" s="134">
        <v>18</v>
      </c>
      <c r="K93" s="92">
        <f t="shared" si="10"/>
        <v>0</v>
      </c>
      <c r="L93" s="92">
        <f t="shared" si="11"/>
        <v>0</v>
      </c>
      <c r="M93" s="92">
        <f t="shared" si="12"/>
        <v>100</v>
      </c>
      <c r="N93" s="125">
        <f t="shared" si="8"/>
        <v>100</v>
      </c>
      <c r="O93" s="91"/>
      <c r="P93" s="92"/>
      <c r="Q93" s="92">
        <v>53.8</v>
      </c>
      <c r="R93" s="93">
        <f t="shared" si="9"/>
        <v>53.8</v>
      </c>
      <c r="S93" s="97">
        <v>3</v>
      </c>
      <c r="T93" s="95"/>
      <c r="U93" s="85"/>
      <c r="V93" s="82" t="s">
        <v>96</v>
      </c>
      <c r="W93" s="73" t="s">
        <v>20</v>
      </c>
      <c r="X93" s="73" t="s">
        <v>12</v>
      </c>
      <c r="Y93" s="83">
        <v>42.6</v>
      </c>
      <c r="Z93" s="82" t="s">
        <v>128</v>
      </c>
      <c r="AA93" s="73" t="s">
        <v>114</v>
      </c>
      <c r="AB93" s="73" t="s">
        <v>12</v>
      </c>
      <c r="AC93" s="73">
        <v>6.4</v>
      </c>
      <c r="AD93" s="82" t="s">
        <v>417</v>
      </c>
      <c r="AE93" s="73" t="s">
        <v>221</v>
      </c>
      <c r="AF93" s="73" t="s">
        <v>12</v>
      </c>
      <c r="AG93" s="83">
        <v>1.4</v>
      </c>
      <c r="AH93" s="719" t="s">
        <v>1340</v>
      </c>
      <c r="AI93" s="73" t="s">
        <v>88</v>
      </c>
      <c r="AJ93" s="73" t="s">
        <v>12</v>
      </c>
      <c r="AK93" s="73">
        <v>2.2000000000000002</v>
      </c>
      <c r="AL93" s="82" t="s">
        <v>416</v>
      </c>
      <c r="AM93" s="73" t="s">
        <v>340</v>
      </c>
      <c r="AN93" s="73" t="s">
        <v>12</v>
      </c>
      <c r="AO93" s="83">
        <v>1.2</v>
      </c>
      <c r="AP93" s="82"/>
      <c r="AS93" s="83"/>
      <c r="AW93" s="83"/>
      <c r="BA93" s="84"/>
    </row>
    <row r="94" spans="1:53" s="73" customFormat="1" x14ac:dyDescent="0.15">
      <c r="A94" s="73">
        <v>1999</v>
      </c>
      <c r="B94" s="85"/>
      <c r="C94" s="811" t="s">
        <v>415</v>
      </c>
      <c r="D94" s="811"/>
      <c r="E94" s="73">
        <f>365-E93</f>
        <v>365</v>
      </c>
      <c r="G94" s="123"/>
      <c r="I94" s="73">
        <v>18</v>
      </c>
      <c r="J94" s="134">
        <v>18</v>
      </c>
      <c r="K94" s="92">
        <f t="shared" si="10"/>
        <v>0</v>
      </c>
      <c r="L94" s="92">
        <f t="shared" si="11"/>
        <v>0</v>
      </c>
      <c r="M94" s="92">
        <f t="shared" si="12"/>
        <v>100</v>
      </c>
      <c r="N94" s="125">
        <f t="shared" si="8"/>
        <v>100</v>
      </c>
      <c r="O94" s="91"/>
      <c r="P94" s="92"/>
      <c r="Q94" s="92">
        <v>53.8</v>
      </c>
      <c r="R94" s="93">
        <f t="shared" si="9"/>
        <v>53.8</v>
      </c>
      <c r="S94" s="97">
        <v>3</v>
      </c>
      <c r="T94" s="95"/>
      <c r="U94" s="85"/>
      <c r="V94" s="82" t="s">
        <v>96</v>
      </c>
      <c r="W94" s="73" t="s">
        <v>20</v>
      </c>
      <c r="X94" s="73" t="s">
        <v>12</v>
      </c>
      <c r="Y94" s="83">
        <v>42.6</v>
      </c>
      <c r="Z94" s="82" t="s">
        <v>128</v>
      </c>
      <c r="AA94" s="73" t="s">
        <v>114</v>
      </c>
      <c r="AB94" s="73" t="s">
        <v>12</v>
      </c>
      <c r="AC94" s="73">
        <v>6.4</v>
      </c>
      <c r="AD94" s="82" t="s">
        <v>417</v>
      </c>
      <c r="AE94" s="73" t="s">
        <v>221</v>
      </c>
      <c r="AF94" s="73" t="s">
        <v>12</v>
      </c>
      <c r="AG94" s="83">
        <v>1.4</v>
      </c>
      <c r="AH94" s="719" t="s">
        <v>1340</v>
      </c>
      <c r="AI94" s="73" t="s">
        <v>88</v>
      </c>
      <c r="AJ94" s="73" t="s">
        <v>12</v>
      </c>
      <c r="AK94" s="73">
        <v>2.2000000000000002</v>
      </c>
      <c r="AL94" s="82" t="s">
        <v>416</v>
      </c>
      <c r="AM94" s="73" t="s">
        <v>340</v>
      </c>
      <c r="AN94" s="73" t="s">
        <v>12</v>
      </c>
      <c r="AO94" s="83">
        <v>1.2</v>
      </c>
      <c r="AP94" s="82"/>
      <c r="AS94" s="83"/>
      <c r="AW94" s="83"/>
      <c r="BA94" s="84"/>
    </row>
    <row r="95" spans="1:53" s="73" customFormat="1" x14ac:dyDescent="0.15">
      <c r="A95" s="73">
        <v>2000</v>
      </c>
      <c r="B95" s="85"/>
      <c r="C95" s="811" t="s">
        <v>415</v>
      </c>
      <c r="D95" s="811"/>
      <c r="E95" s="73">
        <v>86</v>
      </c>
      <c r="G95" s="123"/>
      <c r="I95" s="73">
        <v>18</v>
      </c>
      <c r="J95" s="134">
        <v>18</v>
      </c>
      <c r="K95" s="92">
        <f t="shared" si="10"/>
        <v>0</v>
      </c>
      <c r="L95" s="92">
        <f t="shared" si="11"/>
        <v>0</v>
      </c>
      <c r="M95" s="92">
        <f t="shared" si="12"/>
        <v>100</v>
      </c>
      <c r="N95" s="125">
        <f t="shared" si="8"/>
        <v>100</v>
      </c>
      <c r="O95" s="91"/>
      <c r="P95" s="92"/>
      <c r="Q95" s="92">
        <v>53.8</v>
      </c>
      <c r="R95" s="93">
        <f t="shared" si="9"/>
        <v>53.8</v>
      </c>
      <c r="S95" s="97">
        <v>3</v>
      </c>
      <c r="T95" s="95"/>
      <c r="U95" s="85"/>
      <c r="V95" s="82" t="s">
        <v>96</v>
      </c>
      <c r="W95" s="73" t="s">
        <v>20</v>
      </c>
      <c r="X95" s="73" t="s">
        <v>12</v>
      </c>
      <c r="Y95" s="83">
        <v>42.6</v>
      </c>
      <c r="Z95" s="82" t="s">
        <v>128</v>
      </c>
      <c r="AA95" s="73" t="s">
        <v>114</v>
      </c>
      <c r="AB95" s="73" t="s">
        <v>12</v>
      </c>
      <c r="AC95" s="73">
        <v>6.4</v>
      </c>
      <c r="AD95" s="82" t="s">
        <v>417</v>
      </c>
      <c r="AE95" s="73" t="s">
        <v>221</v>
      </c>
      <c r="AF95" s="73" t="s">
        <v>12</v>
      </c>
      <c r="AG95" s="83">
        <v>1.4</v>
      </c>
      <c r="AH95" s="719" t="s">
        <v>1340</v>
      </c>
      <c r="AI95" s="73" t="s">
        <v>88</v>
      </c>
      <c r="AJ95" s="73" t="s">
        <v>12</v>
      </c>
      <c r="AK95" s="73">
        <v>2.2000000000000002</v>
      </c>
      <c r="AL95" s="82" t="s">
        <v>416</v>
      </c>
      <c r="AM95" s="73" t="s">
        <v>340</v>
      </c>
      <c r="AN95" s="73" t="s">
        <v>12</v>
      </c>
      <c r="AO95" s="83">
        <v>1.2</v>
      </c>
      <c r="AP95" s="82"/>
      <c r="AS95" s="83"/>
      <c r="AW95" s="83"/>
      <c r="BA95" s="84"/>
    </row>
    <row r="96" spans="1:53" s="73" customFormat="1" x14ac:dyDescent="0.15">
      <c r="A96" s="73">
        <v>2000</v>
      </c>
      <c r="B96" s="149">
        <v>36612</v>
      </c>
      <c r="C96" s="811" t="s">
        <v>415</v>
      </c>
      <c r="D96" s="811"/>
      <c r="E96" s="73">
        <v>280</v>
      </c>
      <c r="F96" s="150">
        <v>0</v>
      </c>
      <c r="G96" s="123"/>
      <c r="I96" s="73">
        <v>21</v>
      </c>
      <c r="J96" s="134">
        <v>21</v>
      </c>
      <c r="K96" s="92">
        <f t="shared" si="10"/>
        <v>0</v>
      </c>
      <c r="L96" s="92">
        <f t="shared" si="11"/>
        <v>0</v>
      </c>
      <c r="M96" s="92">
        <f t="shared" si="12"/>
        <v>100</v>
      </c>
      <c r="N96" s="125">
        <f t="shared" si="8"/>
        <v>100</v>
      </c>
      <c r="O96" s="91"/>
      <c r="P96" s="92"/>
      <c r="Q96" s="92">
        <v>53.8</v>
      </c>
      <c r="R96" s="93">
        <f t="shared" si="9"/>
        <v>53.8</v>
      </c>
      <c r="S96" s="97">
        <v>3</v>
      </c>
      <c r="T96" s="95"/>
      <c r="U96" s="149"/>
      <c r="V96" s="82" t="s">
        <v>96</v>
      </c>
      <c r="W96" s="73" t="s">
        <v>20</v>
      </c>
      <c r="X96" s="73" t="s">
        <v>12</v>
      </c>
      <c r="Y96" s="83">
        <v>42.6</v>
      </c>
      <c r="Z96" s="82" t="s">
        <v>128</v>
      </c>
      <c r="AA96" s="73" t="s">
        <v>114</v>
      </c>
      <c r="AB96" s="73" t="s">
        <v>12</v>
      </c>
      <c r="AC96" s="73">
        <v>6.4</v>
      </c>
      <c r="AD96" s="82" t="s">
        <v>417</v>
      </c>
      <c r="AE96" s="73" t="s">
        <v>221</v>
      </c>
      <c r="AF96" s="73" t="s">
        <v>12</v>
      </c>
      <c r="AG96" s="83">
        <v>1.4</v>
      </c>
      <c r="AH96" s="719" t="s">
        <v>1340</v>
      </c>
      <c r="AI96" s="73" t="s">
        <v>88</v>
      </c>
      <c r="AJ96" s="73" t="s">
        <v>12</v>
      </c>
      <c r="AK96" s="73">
        <v>2.2000000000000002</v>
      </c>
      <c r="AL96" s="82" t="s">
        <v>416</v>
      </c>
      <c r="AM96" s="73" t="s">
        <v>340</v>
      </c>
      <c r="AN96" s="73" t="s">
        <v>12</v>
      </c>
      <c r="AO96" s="83">
        <v>1.2</v>
      </c>
      <c r="AP96" s="82"/>
      <c r="AS96" s="83"/>
      <c r="AW96" s="83"/>
      <c r="BA96" s="84"/>
    </row>
    <row r="97" spans="1:53" s="73" customFormat="1" x14ac:dyDescent="0.15">
      <c r="A97" s="73">
        <v>2001</v>
      </c>
      <c r="B97" s="85"/>
      <c r="C97" s="811" t="s">
        <v>415</v>
      </c>
      <c r="D97" s="811"/>
      <c r="E97" s="73">
        <v>0</v>
      </c>
      <c r="G97" s="123"/>
      <c r="I97" s="73">
        <v>21</v>
      </c>
      <c r="J97" s="134">
        <v>21</v>
      </c>
      <c r="K97" s="92">
        <f t="shared" si="10"/>
        <v>0</v>
      </c>
      <c r="L97" s="92">
        <f t="shared" si="11"/>
        <v>0</v>
      </c>
      <c r="M97" s="92">
        <f t="shared" si="12"/>
        <v>100</v>
      </c>
      <c r="N97" s="125">
        <f t="shared" si="8"/>
        <v>100</v>
      </c>
      <c r="O97" s="91"/>
      <c r="P97" s="92"/>
      <c r="Q97" s="92">
        <v>53.8</v>
      </c>
      <c r="R97" s="93">
        <f t="shared" si="9"/>
        <v>53.8</v>
      </c>
      <c r="S97" s="97">
        <v>3</v>
      </c>
      <c r="T97" s="95"/>
      <c r="U97" s="85"/>
      <c r="V97" s="82" t="s">
        <v>96</v>
      </c>
      <c r="W97" s="73" t="s">
        <v>20</v>
      </c>
      <c r="X97" s="73" t="s">
        <v>12</v>
      </c>
      <c r="Y97" s="83">
        <v>42.6</v>
      </c>
      <c r="Z97" s="82" t="s">
        <v>128</v>
      </c>
      <c r="AA97" s="73" t="s">
        <v>114</v>
      </c>
      <c r="AB97" s="73" t="s">
        <v>12</v>
      </c>
      <c r="AC97" s="73">
        <v>6.4</v>
      </c>
      <c r="AD97" s="82" t="s">
        <v>417</v>
      </c>
      <c r="AE97" s="73" t="s">
        <v>221</v>
      </c>
      <c r="AF97" s="73" t="s">
        <v>12</v>
      </c>
      <c r="AG97" s="83">
        <v>1.4</v>
      </c>
      <c r="AH97" s="719" t="s">
        <v>1340</v>
      </c>
      <c r="AI97" s="73" t="s">
        <v>88</v>
      </c>
      <c r="AJ97" s="73" t="s">
        <v>12</v>
      </c>
      <c r="AK97" s="73">
        <v>2.2000000000000002</v>
      </c>
      <c r="AL97" s="82" t="s">
        <v>416</v>
      </c>
      <c r="AM97" s="73" t="s">
        <v>340</v>
      </c>
      <c r="AN97" s="73" t="s">
        <v>12</v>
      </c>
      <c r="AO97" s="83">
        <v>1.2</v>
      </c>
      <c r="AP97" s="82"/>
      <c r="AS97" s="83"/>
      <c r="AW97" s="83"/>
      <c r="BA97" s="84"/>
    </row>
    <row r="98" spans="1:53" s="73" customFormat="1" x14ac:dyDescent="0.15">
      <c r="A98" s="73">
        <v>2001</v>
      </c>
      <c r="B98" s="85"/>
      <c r="C98" s="811" t="s">
        <v>415</v>
      </c>
      <c r="D98" s="811"/>
      <c r="E98" s="73">
        <f>365-E97</f>
        <v>365</v>
      </c>
      <c r="G98" s="123"/>
      <c r="I98" s="73">
        <v>21</v>
      </c>
      <c r="J98" s="134">
        <v>21</v>
      </c>
      <c r="K98" s="92">
        <f t="shared" si="10"/>
        <v>0</v>
      </c>
      <c r="L98" s="92">
        <f t="shared" si="11"/>
        <v>0</v>
      </c>
      <c r="M98" s="92">
        <f t="shared" si="12"/>
        <v>100</v>
      </c>
      <c r="N98" s="125">
        <f t="shared" si="8"/>
        <v>100</v>
      </c>
      <c r="O98" s="91"/>
      <c r="P98" s="92"/>
      <c r="Q98" s="92">
        <v>53.8</v>
      </c>
      <c r="R98" s="93">
        <f t="shared" si="9"/>
        <v>53.8</v>
      </c>
      <c r="S98" s="97">
        <v>3</v>
      </c>
      <c r="T98" s="95"/>
      <c r="U98" s="85"/>
      <c r="V98" s="82" t="s">
        <v>96</v>
      </c>
      <c r="W98" s="73" t="s">
        <v>20</v>
      </c>
      <c r="X98" s="73" t="s">
        <v>12</v>
      </c>
      <c r="Y98" s="83">
        <v>42.6</v>
      </c>
      <c r="Z98" s="82" t="s">
        <v>128</v>
      </c>
      <c r="AA98" s="73" t="s">
        <v>114</v>
      </c>
      <c r="AB98" s="73" t="s">
        <v>12</v>
      </c>
      <c r="AC98" s="73">
        <v>6.4</v>
      </c>
      <c r="AD98" s="82" t="s">
        <v>417</v>
      </c>
      <c r="AE98" s="73" t="s">
        <v>221</v>
      </c>
      <c r="AF98" s="73" t="s">
        <v>12</v>
      </c>
      <c r="AG98" s="83">
        <v>1.4</v>
      </c>
      <c r="AH98" s="719" t="s">
        <v>1340</v>
      </c>
      <c r="AI98" s="73" t="s">
        <v>88</v>
      </c>
      <c r="AJ98" s="73" t="s">
        <v>12</v>
      </c>
      <c r="AK98" s="73">
        <v>2.2000000000000002</v>
      </c>
      <c r="AL98" s="82" t="s">
        <v>416</v>
      </c>
      <c r="AM98" s="73" t="s">
        <v>340</v>
      </c>
      <c r="AN98" s="73" t="s">
        <v>12</v>
      </c>
      <c r="AO98" s="83">
        <v>1.2</v>
      </c>
      <c r="AP98" s="82"/>
      <c r="AS98" s="83"/>
      <c r="AW98" s="83"/>
      <c r="BA98" s="84"/>
    </row>
    <row r="99" spans="1:53" s="73" customFormat="1" x14ac:dyDescent="0.15">
      <c r="A99" s="73">
        <v>2002</v>
      </c>
      <c r="B99" s="85"/>
      <c r="C99" s="811" t="s">
        <v>415</v>
      </c>
      <c r="D99" s="811"/>
      <c r="E99" s="73">
        <v>126</v>
      </c>
      <c r="G99" s="123"/>
      <c r="I99" s="73">
        <v>21</v>
      </c>
      <c r="J99" s="134">
        <v>21</v>
      </c>
      <c r="K99" s="92">
        <f t="shared" si="10"/>
        <v>0</v>
      </c>
      <c r="L99" s="92">
        <f t="shared" si="11"/>
        <v>0</v>
      </c>
      <c r="M99" s="92">
        <f t="shared" si="12"/>
        <v>100</v>
      </c>
      <c r="N99" s="125">
        <f t="shared" si="8"/>
        <v>100</v>
      </c>
      <c r="O99" s="91"/>
      <c r="P99" s="92"/>
      <c r="Q99" s="92">
        <v>53.8</v>
      </c>
      <c r="R99" s="93">
        <f t="shared" si="9"/>
        <v>53.8</v>
      </c>
      <c r="S99" s="97">
        <v>3</v>
      </c>
      <c r="T99" s="95"/>
      <c r="U99" s="85"/>
      <c r="V99" s="82" t="s">
        <v>96</v>
      </c>
      <c r="W99" s="73" t="s">
        <v>20</v>
      </c>
      <c r="X99" s="73" t="s">
        <v>12</v>
      </c>
      <c r="Y99" s="83">
        <v>42.6</v>
      </c>
      <c r="Z99" s="82" t="s">
        <v>128</v>
      </c>
      <c r="AA99" s="73" t="s">
        <v>114</v>
      </c>
      <c r="AB99" s="73" t="s">
        <v>12</v>
      </c>
      <c r="AC99" s="73">
        <v>6.4</v>
      </c>
      <c r="AD99" s="82" t="s">
        <v>417</v>
      </c>
      <c r="AE99" s="73" t="s">
        <v>221</v>
      </c>
      <c r="AF99" s="73" t="s">
        <v>12</v>
      </c>
      <c r="AG99" s="83">
        <v>1.4</v>
      </c>
      <c r="AH99" s="719" t="s">
        <v>1340</v>
      </c>
      <c r="AI99" s="73" t="s">
        <v>88</v>
      </c>
      <c r="AJ99" s="73" t="s">
        <v>12</v>
      </c>
      <c r="AK99" s="73">
        <v>2.2000000000000002</v>
      </c>
      <c r="AL99" s="82" t="s">
        <v>416</v>
      </c>
      <c r="AM99" s="73" t="s">
        <v>340</v>
      </c>
      <c r="AN99" s="73" t="s">
        <v>12</v>
      </c>
      <c r="AO99" s="83">
        <v>1.2</v>
      </c>
      <c r="AP99" s="82"/>
      <c r="AS99" s="83"/>
      <c r="AW99" s="83"/>
      <c r="BA99" s="84"/>
    </row>
    <row r="100" spans="1:53" s="334" customFormat="1" x14ac:dyDescent="0.15">
      <c r="A100" s="334">
        <v>2002</v>
      </c>
      <c r="B100" s="355">
        <v>37383</v>
      </c>
      <c r="C100" s="812" t="s">
        <v>418</v>
      </c>
      <c r="D100" s="812"/>
      <c r="E100" s="334">
        <v>43</v>
      </c>
      <c r="F100" s="334">
        <v>1</v>
      </c>
      <c r="G100" s="419">
        <v>15</v>
      </c>
      <c r="H100" s="334">
        <v>2</v>
      </c>
      <c r="J100" s="435">
        <v>22</v>
      </c>
      <c r="K100" s="384">
        <f>G100/J100*100</f>
        <v>68.181818181818173</v>
      </c>
      <c r="L100" s="384">
        <f>H100/J100*100</f>
        <v>9.0909090909090917</v>
      </c>
      <c r="M100" s="384">
        <f>I100/J100*100</f>
        <v>0</v>
      </c>
      <c r="N100" s="421">
        <f>SUM(K100:M100)</f>
        <v>77.272727272727266</v>
      </c>
      <c r="O100" s="383">
        <v>24.1</v>
      </c>
      <c r="P100" s="384">
        <v>18.899999999999999</v>
      </c>
      <c r="Q100" s="384"/>
      <c r="R100" s="385">
        <f>SUM(O100:Q100)</f>
        <v>43</v>
      </c>
      <c r="S100" s="388">
        <v>6</v>
      </c>
      <c r="T100" s="342"/>
      <c r="U100" s="355">
        <v>37383</v>
      </c>
      <c r="V100" s="343" t="s">
        <v>119</v>
      </c>
      <c r="W100" s="334" t="s">
        <v>76</v>
      </c>
      <c r="X100" s="334" t="s">
        <v>11</v>
      </c>
      <c r="Y100" s="344">
        <v>24.1</v>
      </c>
      <c r="Z100" s="343" t="s">
        <v>127</v>
      </c>
      <c r="AA100" s="334" t="s">
        <v>79</v>
      </c>
      <c r="AB100" s="334" t="s">
        <v>18</v>
      </c>
      <c r="AC100" s="334">
        <v>18.899999999999999</v>
      </c>
      <c r="AD100" s="343"/>
      <c r="AG100" s="344"/>
      <c r="AL100" s="343"/>
      <c r="AO100" s="344"/>
      <c r="AP100" s="343"/>
      <c r="AS100" s="344"/>
      <c r="AW100" s="344"/>
      <c r="BA100" s="345"/>
    </row>
    <row r="101" spans="1:53" s="73" customFormat="1" x14ac:dyDescent="0.15">
      <c r="A101" s="73">
        <v>2002</v>
      </c>
      <c r="B101" s="85">
        <v>37426</v>
      </c>
      <c r="C101" s="811" t="s">
        <v>419</v>
      </c>
      <c r="D101" s="811"/>
      <c r="E101" s="73">
        <v>196</v>
      </c>
      <c r="F101" s="73">
        <v>1</v>
      </c>
      <c r="G101" s="123">
        <v>18</v>
      </c>
      <c r="H101" s="73">
        <v>2</v>
      </c>
      <c r="J101" s="134">
        <v>27</v>
      </c>
      <c r="K101" s="92">
        <f t="shared" si="10"/>
        <v>66.666666666666657</v>
      </c>
      <c r="L101" s="92">
        <f t="shared" si="11"/>
        <v>7.4074074074074066</v>
      </c>
      <c r="M101" s="92">
        <f t="shared" si="12"/>
        <v>0</v>
      </c>
      <c r="N101" s="125">
        <f t="shared" si="8"/>
        <v>74.074074074074062</v>
      </c>
      <c r="O101" s="91">
        <v>63.3</v>
      </c>
      <c r="P101" s="92">
        <v>5</v>
      </c>
      <c r="Q101" s="92"/>
      <c r="R101" s="93">
        <f t="shared" si="9"/>
        <v>68.3</v>
      </c>
      <c r="S101" s="97">
        <v>3</v>
      </c>
      <c r="T101" s="95">
        <v>37423</v>
      </c>
      <c r="U101" s="85">
        <v>37426</v>
      </c>
      <c r="V101" s="82" t="s">
        <v>119</v>
      </c>
      <c r="W101" s="73" t="s">
        <v>76</v>
      </c>
      <c r="X101" s="73" t="s">
        <v>11</v>
      </c>
      <c r="Y101" s="83">
        <v>63.3</v>
      </c>
      <c r="Z101" s="82" t="s">
        <v>127</v>
      </c>
      <c r="AA101" s="73" t="s">
        <v>79</v>
      </c>
      <c r="AB101" s="73" t="s">
        <v>18</v>
      </c>
      <c r="AC101" s="73">
        <v>5</v>
      </c>
      <c r="AD101" s="82"/>
      <c r="AG101" s="83"/>
      <c r="AL101" s="82"/>
      <c r="AO101" s="83"/>
      <c r="AP101" s="82"/>
      <c r="AS101" s="83"/>
      <c r="AW101" s="83"/>
      <c r="BA101" s="84"/>
    </row>
    <row r="102" spans="1:53" s="73" customFormat="1" x14ac:dyDescent="0.15">
      <c r="A102" s="73">
        <v>2003</v>
      </c>
      <c r="B102" s="85"/>
      <c r="C102" s="811" t="s">
        <v>419</v>
      </c>
      <c r="D102" s="811"/>
      <c r="E102" s="73">
        <v>0</v>
      </c>
      <c r="G102" s="123">
        <v>18</v>
      </c>
      <c r="H102" s="73">
        <v>2</v>
      </c>
      <c r="J102" s="134">
        <v>27</v>
      </c>
      <c r="K102" s="92">
        <f t="shared" si="10"/>
        <v>66.666666666666657</v>
      </c>
      <c r="L102" s="92">
        <f t="shared" si="11"/>
        <v>7.4074074074074066</v>
      </c>
      <c r="M102" s="92">
        <f t="shared" si="12"/>
        <v>0</v>
      </c>
      <c r="N102" s="125">
        <f t="shared" si="8"/>
        <v>74.074074074074062</v>
      </c>
      <c r="O102" s="91">
        <v>63.3</v>
      </c>
      <c r="P102" s="92">
        <v>5</v>
      </c>
      <c r="Q102" s="92"/>
      <c r="R102" s="93">
        <f t="shared" si="9"/>
        <v>68.3</v>
      </c>
      <c r="S102" s="97">
        <v>3</v>
      </c>
      <c r="T102" s="95"/>
      <c r="U102" s="85"/>
      <c r="V102" s="82" t="s">
        <v>119</v>
      </c>
      <c r="W102" s="73" t="s">
        <v>76</v>
      </c>
      <c r="X102" s="73" t="s">
        <v>11</v>
      </c>
      <c r="Y102" s="83">
        <v>63.3</v>
      </c>
      <c r="Z102" s="82" t="s">
        <v>127</v>
      </c>
      <c r="AA102" s="73" t="s">
        <v>79</v>
      </c>
      <c r="AB102" s="73" t="s">
        <v>18</v>
      </c>
      <c r="AC102" s="73">
        <v>5</v>
      </c>
      <c r="AD102" s="82"/>
      <c r="AG102" s="83"/>
      <c r="AL102" s="82"/>
      <c r="AO102" s="83"/>
      <c r="AP102" s="82"/>
      <c r="AS102" s="83"/>
      <c r="AW102" s="83"/>
      <c r="BA102" s="84"/>
    </row>
    <row r="103" spans="1:53" s="73" customFormat="1" x14ac:dyDescent="0.15">
      <c r="A103" s="73">
        <v>2003</v>
      </c>
      <c r="B103" s="85"/>
      <c r="C103" s="811" t="s">
        <v>419</v>
      </c>
      <c r="D103" s="811"/>
      <c r="E103" s="73">
        <f>365-E102</f>
        <v>365</v>
      </c>
      <c r="G103" s="123">
        <v>18</v>
      </c>
      <c r="H103" s="73">
        <v>2</v>
      </c>
      <c r="J103" s="134">
        <v>27</v>
      </c>
      <c r="K103" s="92">
        <f t="shared" si="10"/>
        <v>66.666666666666657</v>
      </c>
      <c r="L103" s="92">
        <f t="shared" si="11"/>
        <v>7.4074074074074066</v>
      </c>
      <c r="M103" s="92">
        <f t="shared" si="12"/>
        <v>0</v>
      </c>
      <c r="N103" s="125">
        <f t="shared" si="8"/>
        <v>74.074074074074062</v>
      </c>
      <c r="O103" s="91">
        <v>63.3</v>
      </c>
      <c r="P103" s="92">
        <v>5</v>
      </c>
      <c r="Q103" s="92"/>
      <c r="R103" s="93">
        <f t="shared" si="9"/>
        <v>68.3</v>
      </c>
      <c r="S103" s="97">
        <v>3</v>
      </c>
      <c r="T103" s="95"/>
      <c r="U103" s="85"/>
      <c r="V103" s="82" t="s">
        <v>119</v>
      </c>
      <c r="W103" s="73" t="s">
        <v>76</v>
      </c>
      <c r="X103" s="73" t="s">
        <v>11</v>
      </c>
      <c r="Y103" s="83">
        <v>63.3</v>
      </c>
      <c r="Z103" s="82" t="s">
        <v>127</v>
      </c>
      <c r="AA103" s="73" t="s">
        <v>79</v>
      </c>
      <c r="AB103" s="73" t="s">
        <v>18</v>
      </c>
      <c r="AC103" s="73">
        <v>5</v>
      </c>
      <c r="AD103" s="82"/>
      <c r="AG103" s="83"/>
      <c r="AL103" s="82"/>
      <c r="AO103" s="83"/>
      <c r="AP103" s="82"/>
      <c r="AS103" s="83"/>
      <c r="AW103" s="83"/>
      <c r="BA103" s="84"/>
    </row>
    <row r="104" spans="1:53" s="73" customFormat="1" x14ac:dyDescent="0.15">
      <c r="A104" s="73">
        <v>2004</v>
      </c>
      <c r="B104" s="85"/>
      <c r="C104" s="811" t="s">
        <v>419</v>
      </c>
      <c r="D104" s="811"/>
      <c r="E104" s="73">
        <v>90</v>
      </c>
      <c r="G104" s="123">
        <v>18</v>
      </c>
      <c r="H104" s="73">
        <v>2</v>
      </c>
      <c r="J104" s="134">
        <v>27</v>
      </c>
      <c r="K104" s="92">
        <f t="shared" si="10"/>
        <v>66.666666666666657</v>
      </c>
      <c r="L104" s="92">
        <f t="shared" si="11"/>
        <v>7.4074074074074066</v>
      </c>
      <c r="M104" s="92">
        <f t="shared" si="12"/>
        <v>0</v>
      </c>
      <c r="N104" s="125">
        <f t="shared" si="8"/>
        <v>74.074074074074062</v>
      </c>
      <c r="O104" s="91">
        <v>63.3</v>
      </c>
      <c r="P104" s="92">
        <v>5</v>
      </c>
      <c r="Q104" s="92"/>
      <c r="R104" s="93">
        <f t="shared" si="9"/>
        <v>68.3</v>
      </c>
      <c r="S104" s="97">
        <v>3</v>
      </c>
      <c r="T104" s="95"/>
      <c r="U104" s="85"/>
      <c r="V104" s="82" t="s">
        <v>119</v>
      </c>
      <c r="W104" s="73" t="s">
        <v>76</v>
      </c>
      <c r="X104" s="73" t="s">
        <v>11</v>
      </c>
      <c r="Y104" s="83">
        <v>63.3</v>
      </c>
      <c r="Z104" s="82" t="s">
        <v>127</v>
      </c>
      <c r="AA104" s="73" t="s">
        <v>79</v>
      </c>
      <c r="AB104" s="73" t="s">
        <v>18</v>
      </c>
      <c r="AC104" s="73">
        <v>5</v>
      </c>
      <c r="AD104" s="82"/>
      <c r="AG104" s="83"/>
      <c r="AL104" s="82"/>
      <c r="AO104" s="83"/>
      <c r="AP104" s="82"/>
      <c r="AS104" s="83"/>
      <c r="AW104" s="83"/>
      <c r="BA104" s="84"/>
    </row>
    <row r="105" spans="1:53" s="334" customFormat="1" x14ac:dyDescent="0.15">
      <c r="A105" s="334">
        <v>2004</v>
      </c>
      <c r="B105" s="355">
        <v>38077</v>
      </c>
      <c r="C105" s="812" t="s">
        <v>420</v>
      </c>
      <c r="D105" s="812"/>
      <c r="E105" s="334">
        <v>276</v>
      </c>
      <c r="F105" s="334">
        <v>2</v>
      </c>
      <c r="G105" s="419">
        <v>29</v>
      </c>
      <c r="H105" s="334">
        <v>1</v>
      </c>
      <c r="J105" s="435">
        <v>31</v>
      </c>
      <c r="K105" s="384">
        <f t="shared" si="10"/>
        <v>93.548387096774192</v>
      </c>
      <c r="L105" s="384">
        <f t="shared" si="11"/>
        <v>3.225806451612903</v>
      </c>
      <c r="M105" s="384">
        <f t="shared" si="12"/>
        <v>0</v>
      </c>
      <c r="N105" s="421">
        <f t="shared" si="8"/>
        <v>96.774193548387089</v>
      </c>
      <c r="O105" s="383">
        <v>63.3</v>
      </c>
      <c r="P105" s="384">
        <v>5</v>
      </c>
      <c r="Q105" s="384"/>
      <c r="R105" s="385">
        <f t="shared" si="9"/>
        <v>68.3</v>
      </c>
      <c r="S105" s="388">
        <v>3</v>
      </c>
      <c r="T105" s="342"/>
      <c r="U105" s="355">
        <v>38077</v>
      </c>
      <c r="V105" s="343" t="s">
        <v>119</v>
      </c>
      <c r="W105" s="334" t="s">
        <v>76</v>
      </c>
      <c r="X105" s="334" t="s">
        <v>11</v>
      </c>
      <c r="Y105" s="344">
        <v>63.3</v>
      </c>
      <c r="Z105" s="343" t="s">
        <v>127</v>
      </c>
      <c r="AA105" s="334" t="s">
        <v>79</v>
      </c>
      <c r="AB105" s="334" t="s">
        <v>18</v>
      </c>
      <c r="AC105" s="334">
        <v>5</v>
      </c>
      <c r="AD105" s="343"/>
      <c r="AG105" s="344"/>
      <c r="AL105" s="343"/>
      <c r="AO105" s="344"/>
      <c r="AP105" s="343"/>
      <c r="AS105" s="344"/>
      <c r="AW105" s="344"/>
      <c r="BA105" s="345"/>
    </row>
    <row r="106" spans="1:53" s="334" customFormat="1" x14ac:dyDescent="0.15">
      <c r="A106" s="334">
        <v>2005</v>
      </c>
      <c r="B106" s="355"/>
      <c r="C106" s="812" t="s">
        <v>420</v>
      </c>
      <c r="D106" s="812"/>
      <c r="E106" s="334">
        <v>150</v>
      </c>
      <c r="G106" s="419">
        <v>29</v>
      </c>
      <c r="H106" s="334">
        <v>1</v>
      </c>
      <c r="J106" s="435">
        <v>31</v>
      </c>
      <c r="K106" s="384">
        <f t="shared" si="10"/>
        <v>93.548387096774192</v>
      </c>
      <c r="L106" s="384">
        <f t="shared" si="11"/>
        <v>3.225806451612903</v>
      </c>
      <c r="M106" s="384">
        <f t="shared" si="12"/>
        <v>0</v>
      </c>
      <c r="N106" s="421">
        <f t="shared" si="8"/>
        <v>96.774193548387089</v>
      </c>
      <c r="O106" s="383">
        <v>63.3</v>
      </c>
      <c r="P106" s="384">
        <v>5</v>
      </c>
      <c r="Q106" s="384"/>
      <c r="R106" s="385">
        <f t="shared" si="9"/>
        <v>68.3</v>
      </c>
      <c r="S106" s="388">
        <v>3</v>
      </c>
      <c r="T106" s="342"/>
      <c r="U106" s="355"/>
      <c r="V106" s="343" t="s">
        <v>119</v>
      </c>
      <c r="W106" s="334" t="s">
        <v>76</v>
      </c>
      <c r="X106" s="334" t="s">
        <v>11</v>
      </c>
      <c r="Y106" s="344">
        <v>63.3</v>
      </c>
      <c r="Z106" s="343" t="s">
        <v>127</v>
      </c>
      <c r="AA106" s="334" t="s">
        <v>79</v>
      </c>
      <c r="AB106" s="334" t="s">
        <v>18</v>
      </c>
      <c r="AC106" s="334">
        <v>5</v>
      </c>
      <c r="AD106" s="343"/>
      <c r="AG106" s="344"/>
      <c r="AL106" s="343"/>
      <c r="AO106" s="344"/>
      <c r="AP106" s="343"/>
      <c r="AS106" s="344"/>
      <c r="AW106" s="344"/>
      <c r="BA106" s="345"/>
    </row>
    <row r="107" spans="1:53" s="73" customFormat="1" x14ac:dyDescent="0.15">
      <c r="A107" s="73">
        <v>2005</v>
      </c>
      <c r="B107" s="85">
        <v>38503</v>
      </c>
      <c r="C107" s="811" t="s">
        <v>421</v>
      </c>
      <c r="D107" s="811"/>
      <c r="E107" s="73">
        <f>365-E106</f>
        <v>215</v>
      </c>
      <c r="F107" s="73">
        <v>2</v>
      </c>
      <c r="G107" s="123">
        <v>27</v>
      </c>
      <c r="H107" s="73">
        <v>1</v>
      </c>
      <c r="J107" s="134">
        <v>31</v>
      </c>
      <c r="K107" s="92">
        <f t="shared" si="10"/>
        <v>87.096774193548384</v>
      </c>
      <c r="L107" s="92">
        <f t="shared" si="11"/>
        <v>3.225806451612903</v>
      </c>
      <c r="M107" s="92">
        <f t="shared" si="12"/>
        <v>0</v>
      </c>
      <c r="N107" s="125">
        <f t="shared" si="8"/>
        <v>90.322580645161281</v>
      </c>
      <c r="O107" s="91">
        <v>63.3</v>
      </c>
      <c r="P107" s="92">
        <v>5</v>
      </c>
      <c r="Q107" s="92"/>
      <c r="R107" s="93">
        <f t="shared" si="9"/>
        <v>68.3</v>
      </c>
      <c r="S107" s="97">
        <v>3</v>
      </c>
      <c r="T107" s="95"/>
      <c r="U107" s="85">
        <v>38503</v>
      </c>
      <c r="V107" s="82" t="s">
        <v>119</v>
      </c>
      <c r="W107" s="73" t="s">
        <v>76</v>
      </c>
      <c r="X107" s="73" t="s">
        <v>11</v>
      </c>
      <c r="Y107" s="83">
        <v>63.3</v>
      </c>
      <c r="Z107" s="82" t="s">
        <v>127</v>
      </c>
      <c r="AA107" s="73" t="s">
        <v>79</v>
      </c>
      <c r="AB107" s="73" t="s">
        <v>18</v>
      </c>
      <c r="AC107" s="73">
        <v>5</v>
      </c>
      <c r="AD107" s="82"/>
      <c r="AG107" s="83"/>
      <c r="AL107" s="82"/>
      <c r="AO107" s="83"/>
      <c r="AP107" s="82"/>
      <c r="AS107" s="83"/>
      <c r="AW107" s="83"/>
      <c r="BA107" s="84"/>
    </row>
    <row r="108" spans="1:53" s="73" customFormat="1" x14ac:dyDescent="0.15">
      <c r="A108" s="73">
        <v>2006</v>
      </c>
      <c r="B108" s="85"/>
      <c r="C108" s="811" t="s">
        <v>421</v>
      </c>
      <c r="D108" s="811"/>
      <c r="E108" s="73">
        <v>0</v>
      </c>
      <c r="G108" s="123">
        <v>27</v>
      </c>
      <c r="H108" s="73">
        <v>1</v>
      </c>
      <c r="J108" s="134">
        <v>31</v>
      </c>
      <c r="K108" s="92">
        <f t="shared" ref="K108:L119" si="13">G108/J108*100</f>
        <v>87.096774193548384</v>
      </c>
      <c r="L108" s="92">
        <f t="shared" ref="L108:L118" si="14">H108/J108*100</f>
        <v>3.225806451612903</v>
      </c>
      <c r="M108" s="92">
        <f t="shared" ref="M108:M119" si="15">I108/J108*100</f>
        <v>0</v>
      </c>
      <c r="N108" s="125">
        <f t="shared" si="8"/>
        <v>90.322580645161281</v>
      </c>
      <c r="O108" s="91">
        <v>63.3</v>
      </c>
      <c r="P108" s="92">
        <v>5</v>
      </c>
      <c r="Q108" s="92"/>
      <c r="R108" s="93">
        <f t="shared" si="9"/>
        <v>68.3</v>
      </c>
      <c r="S108" s="97">
        <v>3</v>
      </c>
      <c r="T108" s="95"/>
      <c r="U108" s="85"/>
      <c r="V108" s="82" t="s">
        <v>119</v>
      </c>
      <c r="W108" s="73" t="s">
        <v>76</v>
      </c>
      <c r="X108" s="73" t="s">
        <v>11</v>
      </c>
      <c r="Y108" s="83">
        <v>63.3</v>
      </c>
      <c r="Z108" s="82" t="s">
        <v>127</v>
      </c>
      <c r="AA108" s="73" t="s">
        <v>79</v>
      </c>
      <c r="AB108" s="73" t="s">
        <v>18</v>
      </c>
      <c r="AC108" s="73">
        <v>5</v>
      </c>
      <c r="AD108" s="82"/>
      <c r="AG108" s="83"/>
      <c r="AL108" s="82"/>
      <c r="AO108" s="83"/>
      <c r="AP108" s="82"/>
      <c r="AS108" s="83"/>
      <c r="AW108" s="83"/>
      <c r="BA108" s="84"/>
    </row>
    <row r="109" spans="1:53" s="73" customFormat="1" x14ac:dyDescent="0.15">
      <c r="A109" s="73">
        <v>2006</v>
      </c>
      <c r="B109" s="85"/>
      <c r="C109" s="811" t="s">
        <v>421</v>
      </c>
      <c r="D109" s="811"/>
      <c r="E109" s="73">
        <v>365</v>
      </c>
      <c r="G109" s="123">
        <v>27</v>
      </c>
      <c r="H109" s="73">
        <v>1</v>
      </c>
      <c r="J109" s="134">
        <v>31</v>
      </c>
      <c r="K109" s="92">
        <f t="shared" si="13"/>
        <v>87.096774193548384</v>
      </c>
      <c r="L109" s="92">
        <f t="shared" si="14"/>
        <v>3.225806451612903</v>
      </c>
      <c r="M109" s="92">
        <f t="shared" si="15"/>
        <v>0</v>
      </c>
      <c r="N109" s="125">
        <f t="shared" si="8"/>
        <v>90.322580645161281</v>
      </c>
      <c r="O109" s="91">
        <v>63.3</v>
      </c>
      <c r="P109" s="92">
        <v>5</v>
      </c>
      <c r="Q109" s="92"/>
      <c r="R109" s="93">
        <f t="shared" si="9"/>
        <v>68.3</v>
      </c>
      <c r="S109" s="97">
        <v>3</v>
      </c>
      <c r="T109" s="95"/>
      <c r="U109" s="85"/>
      <c r="V109" s="82" t="s">
        <v>119</v>
      </c>
      <c r="W109" s="73" t="s">
        <v>76</v>
      </c>
      <c r="X109" s="73" t="s">
        <v>11</v>
      </c>
      <c r="Y109" s="83">
        <v>63.3</v>
      </c>
      <c r="Z109" s="82" t="s">
        <v>127</v>
      </c>
      <c r="AA109" s="73" t="s">
        <v>79</v>
      </c>
      <c r="AB109" s="73" t="s">
        <v>18</v>
      </c>
      <c r="AC109" s="73">
        <v>5</v>
      </c>
      <c r="AD109" s="82"/>
      <c r="AG109" s="83"/>
      <c r="AL109" s="82"/>
      <c r="AO109" s="83"/>
      <c r="AP109" s="82"/>
      <c r="AS109" s="83"/>
      <c r="AW109" s="83"/>
      <c r="BA109" s="84"/>
    </row>
    <row r="110" spans="1:53" s="73" customFormat="1" x14ac:dyDescent="0.15">
      <c r="A110" s="73">
        <v>2007</v>
      </c>
      <c r="B110" s="85"/>
      <c r="C110" s="811" t="s">
        <v>421</v>
      </c>
      <c r="D110" s="811"/>
      <c r="E110" s="73">
        <v>137</v>
      </c>
      <c r="G110" s="123">
        <v>27</v>
      </c>
      <c r="H110" s="73">
        <v>1</v>
      </c>
      <c r="J110" s="134">
        <v>31</v>
      </c>
      <c r="K110" s="92">
        <f t="shared" si="13"/>
        <v>87.096774193548384</v>
      </c>
      <c r="L110" s="92">
        <f t="shared" si="14"/>
        <v>3.225806451612903</v>
      </c>
      <c r="M110" s="92">
        <f t="shared" si="15"/>
        <v>0</v>
      </c>
      <c r="N110" s="125">
        <f t="shared" si="8"/>
        <v>90.322580645161281</v>
      </c>
      <c r="O110" s="91">
        <v>63.3</v>
      </c>
      <c r="P110" s="92">
        <v>5</v>
      </c>
      <c r="Q110" s="92"/>
      <c r="R110" s="93">
        <f t="shared" si="9"/>
        <v>68.3</v>
      </c>
      <c r="S110" s="97">
        <v>3</v>
      </c>
      <c r="T110" s="95"/>
      <c r="U110" s="85"/>
      <c r="V110" s="82" t="s">
        <v>119</v>
      </c>
      <c r="W110" s="73" t="s">
        <v>76</v>
      </c>
      <c r="X110" s="73" t="s">
        <v>11</v>
      </c>
      <c r="Y110" s="83">
        <v>63.3</v>
      </c>
      <c r="Z110" s="82" t="s">
        <v>127</v>
      </c>
      <c r="AA110" s="73" t="s">
        <v>79</v>
      </c>
      <c r="AB110" s="73" t="s">
        <v>18</v>
      </c>
      <c r="AC110" s="73">
        <v>5</v>
      </c>
      <c r="AD110" s="82"/>
      <c r="AG110" s="83"/>
      <c r="AL110" s="82"/>
      <c r="AO110" s="83"/>
      <c r="AP110" s="82"/>
      <c r="AS110" s="83"/>
      <c r="AW110" s="83"/>
      <c r="BA110" s="84"/>
    </row>
    <row r="111" spans="1:53" s="334" customFormat="1" x14ac:dyDescent="0.15">
      <c r="A111" s="334">
        <v>2007</v>
      </c>
      <c r="B111" s="355">
        <v>39220</v>
      </c>
      <c r="C111" s="812" t="s">
        <v>422</v>
      </c>
      <c r="D111" s="812"/>
      <c r="E111" s="334">
        <v>32</v>
      </c>
      <c r="F111" s="334">
        <v>1</v>
      </c>
      <c r="G111" s="419">
        <v>12</v>
      </c>
      <c r="H111" s="334">
        <v>1</v>
      </c>
      <c r="J111" s="435">
        <v>16</v>
      </c>
      <c r="K111" s="384">
        <f>G111/J111*100</f>
        <v>75</v>
      </c>
      <c r="L111" s="384">
        <f>H111/J111*100</f>
        <v>6.25</v>
      </c>
      <c r="M111" s="384">
        <f>I111/J111*100</f>
        <v>0</v>
      </c>
      <c r="N111" s="421">
        <f>SUM(K111:M111)</f>
        <v>81.25</v>
      </c>
      <c r="O111" s="383">
        <v>63.3</v>
      </c>
      <c r="P111" s="384">
        <v>0</v>
      </c>
      <c r="Q111" s="384"/>
      <c r="R111" s="385">
        <f>SUM(O111:Q111)</f>
        <v>63.3</v>
      </c>
      <c r="S111" s="388">
        <v>3</v>
      </c>
      <c r="T111" s="342"/>
      <c r="U111" s="355">
        <v>39220</v>
      </c>
      <c r="V111" s="343" t="s">
        <v>119</v>
      </c>
      <c r="W111" s="334" t="s">
        <v>76</v>
      </c>
      <c r="X111" s="334" t="s">
        <v>11</v>
      </c>
      <c r="Y111" s="344">
        <v>63.3</v>
      </c>
      <c r="Z111" s="334" t="s">
        <v>424</v>
      </c>
      <c r="AA111" s="334" t="s">
        <v>337</v>
      </c>
      <c r="AB111" s="334" t="s">
        <v>18</v>
      </c>
      <c r="AC111" s="334">
        <v>0</v>
      </c>
      <c r="AD111" s="343"/>
      <c r="AG111" s="344"/>
      <c r="AL111" s="343"/>
      <c r="AO111" s="344"/>
      <c r="AP111" s="343"/>
      <c r="AS111" s="344"/>
      <c r="AW111" s="344"/>
      <c r="BA111" s="345"/>
    </row>
    <row r="112" spans="1:53" s="73" customFormat="1" x14ac:dyDescent="0.15">
      <c r="A112" s="73">
        <v>2007</v>
      </c>
      <c r="B112" s="85">
        <v>39252</v>
      </c>
      <c r="C112" s="811" t="s">
        <v>423</v>
      </c>
      <c r="D112" s="811"/>
      <c r="E112" s="73">
        <v>196</v>
      </c>
      <c r="F112" s="73">
        <v>1</v>
      </c>
      <c r="G112" s="123">
        <v>12</v>
      </c>
      <c r="H112" s="73">
        <v>1</v>
      </c>
      <c r="J112" s="134">
        <v>16</v>
      </c>
      <c r="K112" s="92">
        <f t="shared" si="13"/>
        <v>75</v>
      </c>
      <c r="L112" s="92">
        <f t="shared" si="14"/>
        <v>6.25</v>
      </c>
      <c r="M112" s="92">
        <f t="shared" si="15"/>
        <v>0</v>
      </c>
      <c r="N112" s="125">
        <f t="shared" si="8"/>
        <v>81.25</v>
      </c>
      <c r="O112" s="91">
        <v>54.1</v>
      </c>
      <c r="P112" s="92">
        <v>3.8</v>
      </c>
      <c r="Q112" s="92"/>
      <c r="R112" s="93">
        <f t="shared" si="9"/>
        <v>57.9</v>
      </c>
      <c r="S112" s="97">
        <v>3</v>
      </c>
      <c r="T112" s="95">
        <v>39243</v>
      </c>
      <c r="U112" s="85">
        <v>39252</v>
      </c>
      <c r="V112" s="82" t="s">
        <v>119</v>
      </c>
      <c r="W112" s="73" t="s">
        <v>76</v>
      </c>
      <c r="X112" s="73" t="s">
        <v>11</v>
      </c>
      <c r="Y112" s="83">
        <v>54.1</v>
      </c>
      <c r="Z112" s="73" t="s">
        <v>424</v>
      </c>
      <c r="AA112" s="73" t="s">
        <v>337</v>
      </c>
      <c r="AB112" s="73" t="s">
        <v>18</v>
      </c>
      <c r="AC112" s="73">
        <v>3.8</v>
      </c>
      <c r="AD112" s="82"/>
      <c r="AG112" s="83"/>
      <c r="AL112" s="82"/>
      <c r="AO112" s="83"/>
      <c r="AP112" s="82"/>
      <c r="AS112" s="83"/>
      <c r="AW112" s="83"/>
      <c r="BA112" s="84"/>
    </row>
    <row r="113" spans="1:53" s="73" customFormat="1" x14ac:dyDescent="0.15">
      <c r="A113" s="73">
        <v>2008</v>
      </c>
      <c r="B113" s="85"/>
      <c r="C113" s="811" t="s">
        <v>423</v>
      </c>
      <c r="D113" s="811"/>
      <c r="E113" s="73">
        <v>0</v>
      </c>
      <c r="G113" s="123">
        <v>12</v>
      </c>
      <c r="H113" s="73">
        <v>1</v>
      </c>
      <c r="J113" s="134">
        <v>16</v>
      </c>
      <c r="K113" s="92">
        <f t="shared" si="13"/>
        <v>75</v>
      </c>
      <c r="L113" s="92">
        <f t="shared" si="14"/>
        <v>6.25</v>
      </c>
      <c r="M113" s="92">
        <f t="shared" si="15"/>
        <v>0</v>
      </c>
      <c r="N113" s="125">
        <f t="shared" si="8"/>
        <v>81.25</v>
      </c>
      <c r="O113" s="91">
        <v>54.1</v>
      </c>
      <c r="P113" s="92">
        <v>3.8</v>
      </c>
      <c r="Q113" s="92"/>
      <c r="R113" s="93">
        <f t="shared" si="9"/>
        <v>57.9</v>
      </c>
      <c r="S113" s="97">
        <v>3</v>
      </c>
      <c r="T113" s="95"/>
      <c r="U113" s="85"/>
      <c r="V113" s="82" t="s">
        <v>119</v>
      </c>
      <c r="W113" s="73" t="s">
        <v>76</v>
      </c>
      <c r="X113" s="73" t="s">
        <v>11</v>
      </c>
      <c r="Y113" s="83">
        <v>54.1</v>
      </c>
      <c r="Z113" s="73" t="s">
        <v>424</v>
      </c>
      <c r="AA113" s="73" t="s">
        <v>337</v>
      </c>
      <c r="AB113" s="73" t="s">
        <v>18</v>
      </c>
      <c r="AC113" s="73">
        <v>3.8</v>
      </c>
      <c r="AD113" s="82"/>
      <c r="AG113" s="83"/>
      <c r="AL113" s="82"/>
      <c r="AO113" s="83"/>
      <c r="AP113" s="82"/>
      <c r="AS113" s="83"/>
      <c r="AW113" s="83"/>
      <c r="BA113" s="84"/>
    </row>
    <row r="114" spans="1:53" s="73" customFormat="1" x14ac:dyDescent="0.15">
      <c r="A114" s="73">
        <v>2008</v>
      </c>
      <c r="B114" s="85"/>
      <c r="C114" s="811" t="s">
        <v>423</v>
      </c>
      <c r="D114" s="811"/>
      <c r="E114" s="73">
        <v>366</v>
      </c>
      <c r="G114" s="123">
        <v>12</v>
      </c>
      <c r="H114" s="73">
        <v>1</v>
      </c>
      <c r="J114" s="134">
        <v>16</v>
      </c>
      <c r="K114" s="92">
        <f t="shared" si="13"/>
        <v>75</v>
      </c>
      <c r="L114" s="92">
        <f t="shared" si="14"/>
        <v>6.25</v>
      </c>
      <c r="M114" s="92">
        <f t="shared" si="15"/>
        <v>0</v>
      </c>
      <c r="N114" s="125">
        <f t="shared" si="8"/>
        <v>81.25</v>
      </c>
      <c r="O114" s="91">
        <v>54.1</v>
      </c>
      <c r="P114" s="92">
        <v>3.8</v>
      </c>
      <c r="Q114" s="92"/>
      <c r="R114" s="93">
        <f t="shared" si="9"/>
        <v>57.9</v>
      </c>
      <c r="S114" s="97">
        <v>3</v>
      </c>
      <c r="T114" s="95"/>
      <c r="U114" s="85"/>
      <c r="V114" s="82" t="s">
        <v>119</v>
      </c>
      <c r="W114" s="73" t="s">
        <v>76</v>
      </c>
      <c r="X114" s="73" t="s">
        <v>11</v>
      </c>
      <c r="Y114" s="83">
        <v>54.1</v>
      </c>
      <c r="Z114" s="73" t="s">
        <v>424</v>
      </c>
      <c r="AA114" s="73" t="s">
        <v>337</v>
      </c>
      <c r="AB114" s="73" t="s">
        <v>18</v>
      </c>
      <c r="AC114" s="73">
        <v>3.8</v>
      </c>
      <c r="AD114" s="82"/>
      <c r="AG114" s="83"/>
      <c r="AL114" s="82"/>
      <c r="AO114" s="83"/>
      <c r="AP114" s="82"/>
      <c r="AS114" s="83"/>
      <c r="AW114" s="83"/>
      <c r="BA114" s="84"/>
    </row>
    <row r="115" spans="1:53" s="73" customFormat="1" x14ac:dyDescent="0.15">
      <c r="A115" s="73">
        <v>2009</v>
      </c>
      <c r="B115" s="85"/>
      <c r="C115" s="811" t="s">
        <v>423</v>
      </c>
      <c r="D115" s="811"/>
      <c r="E115" s="73">
        <v>14</v>
      </c>
      <c r="G115" s="123">
        <v>12</v>
      </c>
      <c r="H115" s="73">
        <v>1</v>
      </c>
      <c r="J115" s="134">
        <v>16</v>
      </c>
      <c r="K115" s="92">
        <f t="shared" si="13"/>
        <v>75</v>
      </c>
      <c r="L115" s="92">
        <f t="shared" si="14"/>
        <v>6.25</v>
      </c>
      <c r="M115" s="92">
        <f t="shared" si="15"/>
        <v>0</v>
      </c>
      <c r="N115" s="125">
        <f t="shared" si="8"/>
        <v>81.25</v>
      </c>
      <c r="O115" s="91">
        <v>54.1</v>
      </c>
      <c r="P115" s="92">
        <v>3.8</v>
      </c>
      <c r="Q115" s="92"/>
      <c r="R115" s="93">
        <f t="shared" si="9"/>
        <v>57.9</v>
      </c>
      <c r="S115" s="97">
        <v>3</v>
      </c>
      <c r="T115" s="95"/>
      <c r="U115" s="85"/>
      <c r="V115" s="82" t="s">
        <v>119</v>
      </c>
      <c r="W115" s="73" t="s">
        <v>76</v>
      </c>
      <c r="X115" s="73" t="s">
        <v>11</v>
      </c>
      <c r="Y115" s="83">
        <v>54.1</v>
      </c>
      <c r="Z115" s="73" t="s">
        <v>424</v>
      </c>
      <c r="AA115" s="73" t="s">
        <v>337</v>
      </c>
      <c r="AB115" s="73" t="s">
        <v>18</v>
      </c>
      <c r="AC115" s="73">
        <v>3.8</v>
      </c>
      <c r="AD115" s="82"/>
      <c r="AG115" s="83"/>
      <c r="AL115" s="82"/>
      <c r="AO115" s="83"/>
      <c r="AP115" s="82"/>
      <c r="AS115" s="83"/>
      <c r="AW115" s="83"/>
      <c r="BA115" s="84"/>
    </row>
    <row r="116" spans="1:53" s="73" customFormat="1" x14ac:dyDescent="0.15">
      <c r="A116" s="73">
        <v>2009</v>
      </c>
      <c r="B116" s="149">
        <v>39828</v>
      </c>
      <c r="C116" s="811" t="s">
        <v>423</v>
      </c>
      <c r="D116" s="811"/>
      <c r="E116" s="73">
        <v>159</v>
      </c>
      <c r="F116" s="150">
        <v>0</v>
      </c>
      <c r="G116" s="123">
        <v>15</v>
      </c>
      <c r="H116" s="73">
        <v>1</v>
      </c>
      <c r="J116" s="134">
        <v>17</v>
      </c>
      <c r="K116" s="92">
        <f t="shared" si="13"/>
        <v>88.235294117647058</v>
      </c>
      <c r="L116" s="92">
        <f t="shared" si="14"/>
        <v>5.8823529411764701</v>
      </c>
      <c r="M116" s="92">
        <f t="shared" si="15"/>
        <v>0</v>
      </c>
      <c r="N116" s="125">
        <f t="shared" si="8"/>
        <v>94.117647058823522</v>
      </c>
      <c r="O116" s="91">
        <v>54.1</v>
      </c>
      <c r="P116" s="92">
        <v>3.8</v>
      </c>
      <c r="Q116" s="92"/>
      <c r="R116" s="93">
        <f t="shared" si="9"/>
        <v>57.9</v>
      </c>
      <c r="S116" s="97">
        <v>3</v>
      </c>
      <c r="T116" s="95"/>
      <c r="U116" s="149"/>
      <c r="V116" s="82" t="s">
        <v>119</v>
      </c>
      <c r="W116" s="73" t="s">
        <v>76</v>
      </c>
      <c r="X116" s="73" t="s">
        <v>11</v>
      </c>
      <c r="Y116" s="83">
        <v>54.1</v>
      </c>
      <c r="Z116" s="73" t="s">
        <v>424</v>
      </c>
      <c r="AA116" s="73" t="s">
        <v>337</v>
      </c>
      <c r="AB116" s="73" t="s">
        <v>18</v>
      </c>
      <c r="AC116" s="73">
        <v>3.8</v>
      </c>
      <c r="AD116" s="82"/>
      <c r="AG116" s="83"/>
      <c r="AL116" s="82"/>
      <c r="AO116" s="83"/>
      <c r="AP116" s="82"/>
      <c r="AS116" s="83"/>
      <c r="AW116" s="83"/>
      <c r="BA116" s="84"/>
    </row>
    <row r="117" spans="1:53" s="73" customFormat="1" x14ac:dyDescent="0.15">
      <c r="A117" s="73">
        <v>2009</v>
      </c>
      <c r="B117" s="149">
        <v>39987</v>
      </c>
      <c r="C117" s="811" t="s">
        <v>423</v>
      </c>
      <c r="D117" s="811"/>
      <c r="E117" s="73">
        <v>192</v>
      </c>
      <c r="F117" s="150">
        <v>0</v>
      </c>
      <c r="G117" s="123">
        <v>15</v>
      </c>
      <c r="H117" s="73">
        <v>1</v>
      </c>
      <c r="J117" s="134">
        <v>19</v>
      </c>
      <c r="K117" s="92">
        <f t="shared" si="13"/>
        <v>78.94736842105263</v>
      </c>
      <c r="L117" s="92">
        <f t="shared" si="14"/>
        <v>5.2631578947368416</v>
      </c>
      <c r="M117" s="92">
        <f t="shared" si="15"/>
        <v>0</v>
      </c>
      <c r="N117" s="125">
        <f t="shared" si="8"/>
        <v>84.210526315789465</v>
      </c>
      <c r="O117" s="91">
        <v>54.1</v>
      </c>
      <c r="P117" s="92">
        <v>3.8</v>
      </c>
      <c r="Q117" s="92"/>
      <c r="R117" s="93">
        <f t="shared" si="9"/>
        <v>57.9</v>
      </c>
      <c r="S117" s="97">
        <v>3</v>
      </c>
      <c r="T117" s="95"/>
      <c r="U117" s="149"/>
      <c r="V117" s="82" t="s">
        <v>119</v>
      </c>
      <c r="W117" s="73" t="s">
        <v>76</v>
      </c>
      <c r="X117" s="73" t="s">
        <v>11</v>
      </c>
      <c r="Y117" s="83">
        <v>54.1</v>
      </c>
      <c r="Z117" s="73" t="s">
        <v>424</v>
      </c>
      <c r="AA117" s="73" t="s">
        <v>337</v>
      </c>
      <c r="AB117" s="73" t="s">
        <v>18</v>
      </c>
      <c r="AC117" s="73">
        <v>3.8</v>
      </c>
      <c r="AD117" s="82"/>
      <c r="AG117" s="83"/>
      <c r="AL117" s="82"/>
      <c r="AO117" s="83"/>
      <c r="AP117" s="82"/>
      <c r="AS117" s="83"/>
      <c r="AW117" s="83"/>
      <c r="BA117" s="84"/>
    </row>
    <row r="118" spans="1:53" s="73" customFormat="1" x14ac:dyDescent="0.15">
      <c r="A118" s="73">
        <v>2010</v>
      </c>
      <c r="B118" s="85"/>
      <c r="C118" s="811" t="s">
        <v>423</v>
      </c>
      <c r="D118" s="811"/>
      <c r="E118" s="73">
        <v>317</v>
      </c>
      <c r="G118" s="123">
        <v>15</v>
      </c>
      <c r="H118" s="73">
        <v>1</v>
      </c>
      <c r="J118" s="134">
        <v>19</v>
      </c>
      <c r="K118" s="92">
        <f t="shared" si="13"/>
        <v>78.94736842105263</v>
      </c>
      <c r="L118" s="92">
        <f t="shared" si="14"/>
        <v>5.2631578947368416</v>
      </c>
      <c r="M118" s="92">
        <f t="shared" si="15"/>
        <v>0</v>
      </c>
      <c r="N118" s="125">
        <f t="shared" si="8"/>
        <v>84.210526315789465</v>
      </c>
      <c r="O118" s="91">
        <v>54.1</v>
      </c>
      <c r="P118" s="92">
        <v>3.8</v>
      </c>
      <c r="Q118" s="92"/>
      <c r="R118" s="93">
        <f t="shared" si="9"/>
        <v>57.9</v>
      </c>
      <c r="S118" s="97">
        <v>3</v>
      </c>
      <c r="T118" s="95"/>
      <c r="U118" s="85"/>
      <c r="V118" s="82" t="s">
        <v>119</v>
      </c>
      <c r="W118" s="73" t="s">
        <v>76</v>
      </c>
      <c r="X118" s="73" t="s">
        <v>11</v>
      </c>
      <c r="Y118" s="83">
        <v>54.1</v>
      </c>
      <c r="Z118" s="73" t="s">
        <v>424</v>
      </c>
      <c r="AA118" s="73" t="s">
        <v>337</v>
      </c>
      <c r="AB118" s="73" t="s">
        <v>18</v>
      </c>
      <c r="AC118" s="73">
        <v>3.8</v>
      </c>
      <c r="AD118" s="82"/>
      <c r="AG118" s="83"/>
      <c r="AL118" s="82"/>
      <c r="AO118" s="83"/>
      <c r="AP118" s="82"/>
      <c r="AS118" s="83"/>
      <c r="AW118" s="83"/>
      <c r="BA118" s="84"/>
    </row>
    <row r="119" spans="1:53" s="334" customFormat="1" x14ac:dyDescent="0.15">
      <c r="A119" s="334">
        <v>2010</v>
      </c>
      <c r="B119" s="355">
        <v>40496</v>
      </c>
      <c r="C119" s="812" t="s">
        <v>1155</v>
      </c>
      <c r="D119" s="812"/>
      <c r="E119" s="334">
        <f>365-E118</f>
        <v>48</v>
      </c>
      <c r="F119" s="334">
        <v>4</v>
      </c>
      <c r="G119" s="419">
        <v>22</v>
      </c>
      <c r="J119" s="435">
        <v>23</v>
      </c>
      <c r="K119" s="384">
        <f t="shared" si="13"/>
        <v>95.652173913043484</v>
      </c>
      <c r="L119" s="384">
        <f t="shared" si="13"/>
        <v>0</v>
      </c>
      <c r="M119" s="384">
        <f t="shared" si="15"/>
        <v>0</v>
      </c>
      <c r="N119" s="421">
        <f t="shared" si="8"/>
        <v>95.652173913043484</v>
      </c>
      <c r="O119" s="383">
        <v>54.1</v>
      </c>
      <c r="P119" s="384"/>
      <c r="Q119" s="384"/>
      <c r="R119" s="385">
        <f t="shared" si="9"/>
        <v>54.1</v>
      </c>
      <c r="S119" s="388">
        <v>1</v>
      </c>
      <c r="T119" s="342"/>
      <c r="U119" s="355">
        <v>40496</v>
      </c>
      <c r="V119" s="343" t="s">
        <v>119</v>
      </c>
      <c r="W119" s="334" t="s">
        <v>76</v>
      </c>
      <c r="X119" s="334" t="s">
        <v>11</v>
      </c>
      <c r="Y119" s="344">
        <v>54.1</v>
      </c>
      <c r="AD119" s="343"/>
      <c r="AG119" s="344"/>
      <c r="AL119" s="343"/>
      <c r="AO119" s="344"/>
      <c r="AP119" s="343"/>
      <c r="AS119" s="344"/>
      <c r="AW119" s="344"/>
      <c r="BA119" s="345"/>
    </row>
    <row r="120" spans="1:53" s="334" customFormat="1" x14ac:dyDescent="0.15">
      <c r="A120" s="334">
        <v>2011</v>
      </c>
      <c r="B120" s="355"/>
      <c r="C120" s="812" t="s">
        <v>1155</v>
      </c>
      <c r="D120" s="812"/>
      <c r="E120" s="334">
        <v>0</v>
      </c>
      <c r="G120" s="419">
        <v>22</v>
      </c>
      <c r="J120" s="435">
        <v>23</v>
      </c>
      <c r="K120" s="384">
        <f t="shared" ref="K120:L122" si="16">G120/J120*100</f>
        <v>95.652173913043484</v>
      </c>
      <c r="L120" s="384">
        <f t="shared" si="16"/>
        <v>0</v>
      </c>
      <c r="M120" s="384">
        <f t="shared" ref="M120:M126" si="17">I120/J120*100</f>
        <v>0</v>
      </c>
      <c r="N120" s="421">
        <f t="shared" si="8"/>
        <v>95.652173913043484</v>
      </c>
      <c r="O120" s="383">
        <v>54.1</v>
      </c>
      <c r="P120" s="384"/>
      <c r="Q120" s="384"/>
      <c r="R120" s="385">
        <f t="shared" si="9"/>
        <v>54.1</v>
      </c>
      <c r="S120" s="388">
        <v>1</v>
      </c>
      <c r="T120" s="342"/>
      <c r="U120" s="355"/>
      <c r="V120" s="343" t="s">
        <v>119</v>
      </c>
      <c r="W120" s="334" t="s">
        <v>76</v>
      </c>
      <c r="X120" s="334" t="s">
        <v>11</v>
      </c>
      <c r="Y120" s="344">
        <v>54.1</v>
      </c>
      <c r="AD120" s="343"/>
      <c r="AG120" s="344"/>
      <c r="AL120" s="343"/>
      <c r="AO120" s="344"/>
      <c r="AP120" s="343"/>
      <c r="AS120" s="344"/>
      <c r="AW120" s="344"/>
      <c r="BA120" s="345"/>
    </row>
    <row r="121" spans="1:53" s="334" customFormat="1" x14ac:dyDescent="0.15">
      <c r="A121" s="334">
        <v>2011</v>
      </c>
      <c r="B121" s="355"/>
      <c r="C121" s="812" t="s">
        <v>1155</v>
      </c>
      <c r="D121" s="812"/>
      <c r="E121" s="334">
        <v>365</v>
      </c>
      <c r="G121" s="419">
        <v>22</v>
      </c>
      <c r="J121" s="435">
        <v>23</v>
      </c>
      <c r="K121" s="384">
        <f t="shared" si="16"/>
        <v>95.652173913043484</v>
      </c>
      <c r="L121" s="384">
        <f t="shared" si="16"/>
        <v>0</v>
      </c>
      <c r="M121" s="384">
        <f t="shared" si="17"/>
        <v>0</v>
      </c>
      <c r="N121" s="421">
        <f t="shared" si="8"/>
        <v>95.652173913043484</v>
      </c>
      <c r="O121" s="383">
        <v>54.1</v>
      </c>
      <c r="P121" s="384"/>
      <c r="Q121" s="384"/>
      <c r="R121" s="385">
        <f t="shared" si="9"/>
        <v>54.1</v>
      </c>
      <c r="S121" s="388">
        <v>1</v>
      </c>
      <c r="T121" s="342"/>
      <c r="U121" s="355"/>
      <c r="V121" s="343" t="s">
        <v>119</v>
      </c>
      <c r="W121" s="334" t="s">
        <v>76</v>
      </c>
      <c r="X121" s="334" t="s">
        <v>11</v>
      </c>
      <c r="Y121" s="344">
        <v>54.1</v>
      </c>
      <c r="AD121" s="343"/>
      <c r="AG121" s="344"/>
      <c r="AL121" s="343"/>
      <c r="AO121" s="344"/>
      <c r="AP121" s="343"/>
      <c r="AS121" s="344"/>
      <c r="AW121" s="344"/>
      <c r="BA121" s="345"/>
    </row>
    <row r="122" spans="1:53" s="334" customFormat="1" x14ac:dyDescent="0.15">
      <c r="A122" s="334">
        <v>2012</v>
      </c>
      <c r="B122" s="355"/>
      <c r="C122" s="812" t="s">
        <v>1155</v>
      </c>
      <c r="D122" s="812"/>
      <c r="E122" s="334">
        <v>136</v>
      </c>
      <c r="G122" s="419">
        <v>22</v>
      </c>
      <c r="J122" s="435">
        <v>23</v>
      </c>
      <c r="K122" s="384">
        <f t="shared" si="16"/>
        <v>95.652173913043484</v>
      </c>
      <c r="L122" s="384">
        <f t="shared" si="16"/>
        <v>0</v>
      </c>
      <c r="M122" s="384">
        <f t="shared" si="17"/>
        <v>0</v>
      </c>
      <c r="N122" s="421">
        <f t="shared" si="8"/>
        <v>95.652173913043484</v>
      </c>
      <c r="O122" s="383">
        <v>54.1</v>
      </c>
      <c r="P122" s="384"/>
      <c r="Q122" s="384"/>
      <c r="R122" s="385">
        <f t="shared" si="9"/>
        <v>54.1</v>
      </c>
      <c r="S122" s="388">
        <v>1</v>
      </c>
      <c r="T122" s="342"/>
      <c r="U122" s="355"/>
      <c r="V122" s="343" t="s">
        <v>119</v>
      </c>
      <c r="W122" s="334" t="s">
        <v>76</v>
      </c>
      <c r="X122" s="334" t="s">
        <v>11</v>
      </c>
      <c r="Y122" s="344">
        <v>54.1</v>
      </c>
      <c r="AD122" s="343"/>
      <c r="AG122" s="344"/>
      <c r="AL122" s="343"/>
      <c r="AO122" s="344"/>
      <c r="AP122" s="343"/>
      <c r="AS122" s="344"/>
      <c r="AW122" s="344"/>
      <c r="BA122" s="345"/>
    </row>
    <row r="123" spans="1:53" s="300" customFormat="1" x14ac:dyDescent="0.15">
      <c r="A123" s="300">
        <v>2012</v>
      </c>
      <c r="B123" s="299">
        <v>41045</v>
      </c>
      <c r="C123" s="811" t="s">
        <v>425</v>
      </c>
      <c r="D123" s="811"/>
      <c r="E123" s="300">
        <v>33</v>
      </c>
      <c r="F123" s="300">
        <v>1</v>
      </c>
      <c r="G123" s="123"/>
      <c r="I123" s="300">
        <v>20</v>
      </c>
      <c r="J123" s="134">
        <v>20</v>
      </c>
      <c r="K123" s="92">
        <f>G123/J123*100</f>
        <v>0</v>
      </c>
      <c r="L123" s="92">
        <f>H123/J123*100</f>
        <v>0</v>
      </c>
      <c r="M123" s="92">
        <f t="shared" si="17"/>
        <v>100</v>
      </c>
      <c r="N123" s="125">
        <f>SUM(K123:M123)</f>
        <v>100</v>
      </c>
      <c r="O123" s="91"/>
      <c r="P123" s="92"/>
      <c r="Q123" s="92">
        <v>37.4</v>
      </c>
      <c r="R123" s="93">
        <f>SUM(O123:Q123)</f>
        <v>37.4</v>
      </c>
      <c r="S123" s="97">
        <v>6</v>
      </c>
      <c r="T123" s="95"/>
      <c r="U123" s="299">
        <v>41045</v>
      </c>
      <c r="V123" s="82" t="s">
        <v>96</v>
      </c>
      <c r="W123" s="300" t="s">
        <v>20</v>
      </c>
      <c r="X123" s="300" t="s">
        <v>12</v>
      </c>
      <c r="Y123" s="83">
        <v>35.5</v>
      </c>
      <c r="Z123" s="719" t="s">
        <v>1340</v>
      </c>
      <c r="AA123" s="300" t="s">
        <v>88</v>
      </c>
      <c r="AB123" s="300" t="s">
        <v>12</v>
      </c>
      <c r="AC123" s="300">
        <v>1.2</v>
      </c>
      <c r="AD123" s="82" t="s">
        <v>417</v>
      </c>
      <c r="AE123" s="300" t="s">
        <v>221</v>
      </c>
      <c r="AF123" s="300" t="s">
        <v>12</v>
      </c>
      <c r="AG123" s="83">
        <v>0.7</v>
      </c>
      <c r="AL123" s="82"/>
      <c r="AO123" s="83"/>
      <c r="AP123" s="82"/>
      <c r="AS123" s="83"/>
      <c r="AW123" s="83"/>
      <c r="BA123" s="84"/>
    </row>
    <row r="124" spans="1:53" s="334" customFormat="1" x14ac:dyDescent="0.15">
      <c r="A124" s="334">
        <v>2012</v>
      </c>
      <c r="B124" s="355">
        <v>41078</v>
      </c>
      <c r="C124" s="812" t="s">
        <v>426</v>
      </c>
      <c r="D124" s="812"/>
      <c r="E124" s="334">
        <v>197</v>
      </c>
      <c r="F124" s="334">
        <v>1</v>
      </c>
      <c r="G124" s="419"/>
      <c r="I124" s="334">
        <v>21</v>
      </c>
      <c r="J124" s="435">
        <v>21</v>
      </c>
      <c r="K124" s="384">
        <f t="shared" ref="K124:K131" si="18">G124/J124*100</f>
        <v>0</v>
      </c>
      <c r="L124" s="384">
        <f>H124/J124*100</f>
        <v>0</v>
      </c>
      <c r="M124" s="384">
        <f t="shared" si="17"/>
        <v>100</v>
      </c>
      <c r="N124" s="421">
        <f t="shared" si="8"/>
        <v>100</v>
      </c>
      <c r="O124" s="383"/>
      <c r="P124" s="384"/>
      <c r="Q124" s="384">
        <v>53.5</v>
      </c>
      <c r="R124" s="385">
        <f t="shared" si="9"/>
        <v>53.5</v>
      </c>
      <c r="S124" s="388">
        <v>3</v>
      </c>
      <c r="T124" s="342">
        <v>41077</v>
      </c>
      <c r="U124" s="355">
        <v>41078</v>
      </c>
      <c r="V124" s="343" t="s">
        <v>96</v>
      </c>
      <c r="W124" s="334" t="s">
        <v>20</v>
      </c>
      <c r="X124" s="334" t="s">
        <v>12</v>
      </c>
      <c r="Y124" s="344">
        <v>48.5</v>
      </c>
      <c r="Z124" s="720" t="s">
        <v>1340</v>
      </c>
      <c r="AA124" s="334" t="s">
        <v>88</v>
      </c>
      <c r="AB124" s="334" t="s">
        <v>12</v>
      </c>
      <c r="AC124" s="334">
        <v>2.1</v>
      </c>
      <c r="AD124" s="343" t="s">
        <v>417</v>
      </c>
      <c r="AE124" s="334" t="s">
        <v>221</v>
      </c>
      <c r="AF124" s="334" t="s">
        <v>12</v>
      </c>
      <c r="AG124" s="344">
        <v>2.9</v>
      </c>
      <c r="AL124" s="343"/>
      <c r="AO124" s="344"/>
      <c r="AP124" s="343"/>
      <c r="AS124" s="344"/>
      <c r="AW124" s="344"/>
      <c r="BA124" s="345"/>
    </row>
    <row r="125" spans="1:53" s="334" customFormat="1" x14ac:dyDescent="0.15">
      <c r="A125" s="334">
        <v>2013</v>
      </c>
      <c r="B125" s="355"/>
      <c r="C125" s="785" t="s">
        <v>426</v>
      </c>
      <c r="D125" s="785"/>
      <c r="E125" s="334">
        <v>0</v>
      </c>
      <c r="G125" s="419"/>
      <c r="I125" s="334">
        <v>21</v>
      </c>
      <c r="J125" s="435">
        <v>21</v>
      </c>
      <c r="K125" s="384">
        <f t="shared" si="18"/>
        <v>0</v>
      </c>
      <c r="L125" s="647">
        <f t="shared" ref="L125:L131" si="19">H125/J125*100</f>
        <v>0</v>
      </c>
      <c r="M125" s="384">
        <f t="shared" si="17"/>
        <v>100</v>
      </c>
      <c r="N125" s="498">
        <f t="shared" si="8"/>
        <v>100</v>
      </c>
      <c r="O125" s="383"/>
      <c r="P125" s="384"/>
      <c r="Q125" s="384">
        <v>53.5</v>
      </c>
      <c r="R125" s="385">
        <f t="shared" si="9"/>
        <v>53.5</v>
      </c>
      <c r="S125" s="388">
        <v>3</v>
      </c>
      <c r="T125" s="342"/>
      <c r="U125" s="355"/>
      <c r="V125" s="343" t="s">
        <v>96</v>
      </c>
      <c r="W125" s="334" t="s">
        <v>20</v>
      </c>
      <c r="X125" s="334" t="s">
        <v>12</v>
      </c>
      <c r="Y125" s="344">
        <v>48.5</v>
      </c>
      <c r="Z125" s="720" t="s">
        <v>1340</v>
      </c>
      <c r="AA125" s="334" t="s">
        <v>88</v>
      </c>
      <c r="AB125" s="334" t="s">
        <v>12</v>
      </c>
      <c r="AC125" s="334">
        <v>2.1</v>
      </c>
      <c r="AD125" s="343" t="s">
        <v>417</v>
      </c>
      <c r="AE125" s="334" t="s">
        <v>221</v>
      </c>
      <c r="AF125" s="334" t="s">
        <v>12</v>
      </c>
      <c r="AG125" s="344">
        <v>2.9</v>
      </c>
      <c r="AL125" s="343"/>
      <c r="AO125" s="344"/>
      <c r="AP125" s="343"/>
      <c r="AS125" s="344"/>
      <c r="AW125" s="344"/>
      <c r="BA125" s="345"/>
    </row>
    <row r="126" spans="1:53" s="334" customFormat="1" x14ac:dyDescent="0.15">
      <c r="A126" s="334">
        <v>2013</v>
      </c>
      <c r="B126" s="355"/>
      <c r="C126" s="785" t="s">
        <v>426</v>
      </c>
      <c r="D126" s="785"/>
      <c r="E126" s="334">
        <v>365</v>
      </c>
      <c r="G126" s="419"/>
      <c r="I126" s="334">
        <v>21</v>
      </c>
      <c r="J126" s="435">
        <v>21</v>
      </c>
      <c r="K126" s="384">
        <f t="shared" si="18"/>
        <v>0</v>
      </c>
      <c r="L126" s="647">
        <f t="shared" si="19"/>
        <v>0</v>
      </c>
      <c r="M126" s="384">
        <f t="shared" si="17"/>
        <v>100</v>
      </c>
      <c r="N126" s="498">
        <f t="shared" si="8"/>
        <v>100</v>
      </c>
      <c r="O126" s="383"/>
      <c r="P126" s="384"/>
      <c r="Q126" s="384">
        <v>53.5</v>
      </c>
      <c r="R126" s="385">
        <f t="shared" si="9"/>
        <v>53.5</v>
      </c>
      <c r="S126" s="388">
        <v>3</v>
      </c>
      <c r="T126" s="342"/>
      <c r="U126" s="355"/>
      <c r="V126" s="343" t="s">
        <v>96</v>
      </c>
      <c r="W126" s="334" t="s">
        <v>20</v>
      </c>
      <c r="X126" s="334" t="s">
        <v>12</v>
      </c>
      <c r="Y126" s="344">
        <v>48.5</v>
      </c>
      <c r="Z126" s="720" t="s">
        <v>1340</v>
      </c>
      <c r="AA126" s="334" t="s">
        <v>88</v>
      </c>
      <c r="AB126" s="334" t="s">
        <v>12</v>
      </c>
      <c r="AC126" s="334">
        <v>2.1</v>
      </c>
      <c r="AD126" s="343" t="s">
        <v>417</v>
      </c>
      <c r="AE126" s="334" t="s">
        <v>221</v>
      </c>
      <c r="AF126" s="334" t="s">
        <v>12</v>
      </c>
      <c r="AG126" s="344">
        <v>2.9</v>
      </c>
      <c r="AL126" s="343"/>
      <c r="AO126" s="344"/>
      <c r="AP126" s="343"/>
      <c r="AS126" s="344"/>
      <c r="AW126" s="344"/>
      <c r="BA126" s="345"/>
    </row>
    <row r="127" spans="1:53" s="532" customFormat="1" x14ac:dyDescent="0.15">
      <c r="A127" s="532">
        <v>2014</v>
      </c>
      <c r="B127" s="529"/>
      <c r="C127" s="785" t="s">
        <v>426</v>
      </c>
      <c r="D127" s="785"/>
      <c r="E127" s="532">
        <v>89</v>
      </c>
      <c r="G127" s="497"/>
      <c r="I127" s="532">
        <v>21</v>
      </c>
      <c r="J127" s="499">
        <v>21</v>
      </c>
      <c r="K127" s="495">
        <f t="shared" si="18"/>
        <v>0</v>
      </c>
      <c r="L127" s="647">
        <f t="shared" si="19"/>
        <v>0</v>
      </c>
      <c r="M127" s="495">
        <f>I127/J127*100</f>
        <v>100</v>
      </c>
      <c r="N127" s="498">
        <f t="shared" si="8"/>
        <v>100</v>
      </c>
      <c r="O127" s="494"/>
      <c r="P127" s="495"/>
      <c r="Q127" s="495">
        <v>53.5</v>
      </c>
      <c r="R127" s="496">
        <f>SUM(O127:Q127)</f>
        <v>53.5</v>
      </c>
      <c r="S127" s="388">
        <v>3</v>
      </c>
      <c r="T127" s="487"/>
      <c r="U127" s="529"/>
      <c r="V127" s="488" t="s">
        <v>96</v>
      </c>
      <c r="W127" s="532" t="s">
        <v>20</v>
      </c>
      <c r="X127" s="532" t="s">
        <v>12</v>
      </c>
      <c r="Y127" s="489">
        <v>48.5</v>
      </c>
      <c r="Z127" s="720" t="s">
        <v>1340</v>
      </c>
      <c r="AA127" s="532" t="s">
        <v>88</v>
      </c>
      <c r="AB127" s="532" t="s">
        <v>12</v>
      </c>
      <c r="AC127" s="532">
        <v>2.1</v>
      </c>
      <c r="AD127" s="488" t="s">
        <v>417</v>
      </c>
      <c r="AE127" s="532" t="s">
        <v>221</v>
      </c>
      <c r="AF127" s="532" t="s">
        <v>12</v>
      </c>
      <c r="AG127" s="489">
        <v>2.9</v>
      </c>
      <c r="AL127" s="488"/>
      <c r="AO127" s="489"/>
      <c r="AP127" s="488"/>
      <c r="AS127" s="489"/>
      <c r="AW127" s="489"/>
      <c r="BA127" s="490"/>
    </row>
    <row r="128" spans="1:53" s="531" customFormat="1" x14ac:dyDescent="0.15">
      <c r="A128" s="531">
        <v>2014</v>
      </c>
      <c r="B128" s="528">
        <v>41729</v>
      </c>
      <c r="C128" s="811" t="s">
        <v>1307</v>
      </c>
      <c r="D128" s="811"/>
      <c r="E128" s="531">
        <v>149</v>
      </c>
      <c r="F128" s="531">
        <v>2</v>
      </c>
      <c r="G128" s="480"/>
      <c r="I128" s="531">
        <v>17</v>
      </c>
      <c r="J128" s="482">
        <v>17</v>
      </c>
      <c r="K128" s="477">
        <f t="shared" si="18"/>
        <v>0</v>
      </c>
      <c r="L128" s="597">
        <f>H128/J128*100</f>
        <v>0</v>
      </c>
      <c r="M128" s="477">
        <f>I128/J128*100</f>
        <v>100</v>
      </c>
      <c r="N128" s="481">
        <f t="shared" si="8"/>
        <v>100</v>
      </c>
      <c r="O128" s="476"/>
      <c r="P128" s="477"/>
      <c r="Q128" s="477">
        <v>50.2</v>
      </c>
      <c r="R128" s="478">
        <f>SUM(O128:Q128)</f>
        <v>50.2</v>
      </c>
      <c r="S128" s="97">
        <v>2</v>
      </c>
      <c r="T128" s="479"/>
      <c r="U128" s="528">
        <v>41729</v>
      </c>
      <c r="V128" s="472" t="s">
        <v>96</v>
      </c>
      <c r="W128" s="531" t="s">
        <v>20</v>
      </c>
      <c r="X128" s="531" t="s">
        <v>12</v>
      </c>
      <c r="Y128" s="473">
        <v>48.1</v>
      </c>
      <c r="Z128" s="719" t="s">
        <v>1340</v>
      </c>
      <c r="AA128" s="531" t="s">
        <v>88</v>
      </c>
      <c r="AB128" s="531" t="s">
        <v>12</v>
      </c>
      <c r="AC128" s="531">
        <v>2.1</v>
      </c>
      <c r="AD128" s="472"/>
      <c r="AG128" s="473"/>
      <c r="AL128" s="472"/>
      <c r="AO128" s="473"/>
      <c r="AP128" s="472"/>
      <c r="AS128" s="473"/>
      <c r="AW128" s="473"/>
      <c r="BA128" s="474"/>
    </row>
    <row r="129" spans="1:53" s="531" customFormat="1" x14ac:dyDescent="0.15">
      <c r="A129" s="531">
        <v>2014</v>
      </c>
      <c r="B129" s="483">
        <v>41878</v>
      </c>
      <c r="C129" s="811" t="s">
        <v>1307</v>
      </c>
      <c r="D129" s="811"/>
      <c r="E129" s="531">
        <v>127</v>
      </c>
      <c r="F129" s="484">
        <v>0</v>
      </c>
      <c r="G129" s="480"/>
      <c r="I129" s="719">
        <v>17</v>
      </c>
      <c r="J129" s="602">
        <v>17</v>
      </c>
      <c r="K129" s="597">
        <f t="shared" si="18"/>
        <v>0</v>
      </c>
      <c r="L129" s="597">
        <f t="shared" si="19"/>
        <v>0</v>
      </c>
      <c r="M129" s="477">
        <f>I129/J129*100</f>
        <v>100</v>
      </c>
      <c r="N129" s="481">
        <f t="shared" si="8"/>
        <v>100</v>
      </c>
      <c r="O129" s="476"/>
      <c r="P129" s="477"/>
      <c r="Q129" s="477">
        <v>50.2</v>
      </c>
      <c r="R129" s="478">
        <f>SUM(O129:Q129)</f>
        <v>50.2</v>
      </c>
      <c r="S129" s="97">
        <v>2</v>
      </c>
      <c r="T129" s="479"/>
      <c r="U129" s="483"/>
      <c r="V129" s="472" t="s">
        <v>96</v>
      </c>
      <c r="W129" s="531" t="s">
        <v>20</v>
      </c>
      <c r="X129" s="531" t="s">
        <v>12</v>
      </c>
      <c r="Y129" s="473">
        <v>48.1</v>
      </c>
      <c r="Z129" s="719" t="s">
        <v>1340</v>
      </c>
      <c r="AA129" s="531" t="s">
        <v>88</v>
      </c>
      <c r="AB129" s="531" t="s">
        <v>12</v>
      </c>
      <c r="AC129" s="531">
        <v>2.1</v>
      </c>
      <c r="AD129" s="472"/>
      <c r="AG129" s="473"/>
      <c r="AL129" s="472"/>
      <c r="AO129" s="473"/>
      <c r="AP129" s="472"/>
      <c r="AS129" s="473"/>
      <c r="AW129" s="473"/>
      <c r="BA129" s="474"/>
    </row>
    <row r="130" spans="1:53" s="719" customFormat="1" x14ac:dyDescent="0.15">
      <c r="A130" s="719">
        <v>2015</v>
      </c>
      <c r="B130" s="603"/>
      <c r="C130" s="811" t="s">
        <v>1307</v>
      </c>
      <c r="D130" s="811"/>
      <c r="E130" s="719">
        <v>0</v>
      </c>
      <c r="F130" s="604"/>
      <c r="G130" s="600"/>
      <c r="I130" s="531">
        <v>17</v>
      </c>
      <c r="J130" s="482">
        <v>17</v>
      </c>
      <c r="K130" s="597">
        <f t="shared" si="18"/>
        <v>0</v>
      </c>
      <c r="L130" s="597">
        <f t="shared" si="19"/>
        <v>0</v>
      </c>
      <c r="M130" s="597">
        <f t="shared" ref="M130:M131" si="20">I130/J130*100</f>
        <v>100</v>
      </c>
      <c r="N130" s="601">
        <f t="shared" ref="N130:N131" si="21">SUM(K130:M130)</f>
        <v>100</v>
      </c>
      <c r="O130" s="596"/>
      <c r="P130" s="597"/>
      <c r="Q130" s="597">
        <v>50.2</v>
      </c>
      <c r="R130" s="598">
        <f t="shared" ref="R130:R131" si="22">SUM(O130:Q130)</f>
        <v>50.2</v>
      </c>
      <c r="S130" s="97">
        <v>2</v>
      </c>
      <c r="T130" s="599"/>
      <c r="U130" s="603"/>
      <c r="V130" s="592" t="s">
        <v>96</v>
      </c>
      <c r="W130" s="719" t="s">
        <v>20</v>
      </c>
      <c r="X130" s="719" t="s">
        <v>12</v>
      </c>
      <c r="Y130" s="593">
        <v>48.1</v>
      </c>
      <c r="Z130" s="719" t="s">
        <v>1340</v>
      </c>
      <c r="AA130" s="719" t="s">
        <v>88</v>
      </c>
      <c r="AB130" s="719" t="s">
        <v>12</v>
      </c>
      <c r="AC130" s="719">
        <v>2.1</v>
      </c>
      <c r="AD130" s="592"/>
      <c r="AG130" s="593"/>
      <c r="AL130" s="592"/>
      <c r="AO130" s="593"/>
      <c r="AP130" s="592"/>
      <c r="AS130" s="593"/>
      <c r="AW130" s="593"/>
      <c r="BA130" s="594"/>
    </row>
    <row r="131" spans="1:53" s="719" customFormat="1" x14ac:dyDescent="0.15">
      <c r="A131" s="719">
        <v>2015</v>
      </c>
      <c r="B131" s="603"/>
      <c r="C131" s="811" t="s">
        <v>1307</v>
      </c>
      <c r="D131" s="811"/>
      <c r="E131" s="719">
        <v>365</v>
      </c>
      <c r="F131" s="604"/>
      <c r="G131" s="600"/>
      <c r="I131" s="719">
        <v>17</v>
      </c>
      <c r="J131" s="602">
        <v>17</v>
      </c>
      <c r="K131" s="597">
        <f t="shared" si="18"/>
        <v>0</v>
      </c>
      <c r="L131" s="597">
        <f t="shared" si="19"/>
        <v>0</v>
      </c>
      <c r="M131" s="597">
        <f t="shared" si="20"/>
        <v>100</v>
      </c>
      <c r="N131" s="601">
        <f t="shared" si="21"/>
        <v>100</v>
      </c>
      <c r="O131" s="596"/>
      <c r="P131" s="597"/>
      <c r="Q131" s="597">
        <v>50.2</v>
      </c>
      <c r="R131" s="598">
        <f t="shared" si="22"/>
        <v>50.2</v>
      </c>
      <c r="S131" s="97">
        <v>2</v>
      </c>
      <c r="T131" s="599"/>
      <c r="U131" s="603"/>
      <c r="V131" s="592" t="s">
        <v>96</v>
      </c>
      <c r="W131" s="719" t="s">
        <v>20</v>
      </c>
      <c r="X131" s="719" t="s">
        <v>12</v>
      </c>
      <c r="Y131" s="593">
        <v>48.1</v>
      </c>
      <c r="Z131" s="719" t="s">
        <v>1340</v>
      </c>
      <c r="AA131" s="719" t="s">
        <v>88</v>
      </c>
      <c r="AB131" s="719" t="s">
        <v>12</v>
      </c>
      <c r="AC131" s="719">
        <v>2.1</v>
      </c>
      <c r="AD131" s="592"/>
      <c r="AG131" s="593"/>
      <c r="AL131" s="592"/>
      <c r="AO131" s="593"/>
      <c r="AP131" s="592"/>
      <c r="AS131" s="593"/>
      <c r="AW131" s="593"/>
      <c r="BA131" s="594"/>
    </row>
    <row r="132" spans="1:53" x14ac:dyDescent="0.15">
      <c r="J132" s="15"/>
      <c r="M132" s="2"/>
      <c r="N132" s="2"/>
    </row>
    <row r="133" spans="1:53" x14ac:dyDescent="0.15">
      <c r="J133" s="15"/>
    </row>
    <row r="134" spans="1:53" s="2" customFormat="1" ht="18" customHeight="1" x14ac:dyDescent="0.2">
      <c r="B134" s="22" t="s">
        <v>1284</v>
      </c>
    </row>
    <row r="135" spans="1:53" s="2" customFormat="1" ht="9" customHeight="1" x14ac:dyDescent="0.15"/>
    <row r="136" spans="1:53" s="364" customFormat="1" ht="9" customHeight="1" x14ac:dyDescent="0.15">
      <c r="A136" s="362"/>
      <c r="B136" s="363" t="s">
        <v>1235</v>
      </c>
      <c r="C136" s="363"/>
      <c r="D136" s="363"/>
      <c r="E136" s="363"/>
      <c r="F136" s="363"/>
      <c r="G136" s="363" t="s">
        <v>1236</v>
      </c>
      <c r="H136" s="363"/>
      <c r="I136" s="363"/>
      <c r="J136" s="363"/>
      <c r="K136" s="363"/>
      <c r="L136" s="363"/>
      <c r="M136" s="363"/>
      <c r="N136" s="363"/>
      <c r="R136" s="802" t="s">
        <v>1237</v>
      </c>
      <c r="S136" s="802"/>
      <c r="T136" s="802"/>
      <c r="U136" s="802"/>
      <c r="V136" s="802"/>
      <c r="W136" s="802"/>
      <c r="X136" s="365"/>
      <c r="Y136" s="365"/>
      <c r="AA136" s="365"/>
      <c r="AB136" s="365"/>
      <c r="AC136" s="365"/>
      <c r="AD136" s="365"/>
    </row>
    <row r="137" spans="1:53" s="369" customFormat="1" ht="9" customHeight="1" x14ac:dyDescent="0.15">
      <c r="A137" s="366"/>
      <c r="B137" s="367" t="s">
        <v>1239</v>
      </c>
      <c r="C137" s="368"/>
      <c r="D137" s="368"/>
      <c r="E137" s="368"/>
      <c r="F137" s="368"/>
      <c r="G137" s="367" t="s">
        <v>1238</v>
      </c>
      <c r="H137" s="368"/>
      <c r="I137" s="368"/>
      <c r="J137" s="368"/>
      <c r="K137" s="368"/>
      <c r="L137" s="368"/>
      <c r="M137" s="368"/>
      <c r="N137" s="368"/>
      <c r="R137" s="370" t="s">
        <v>1240</v>
      </c>
      <c r="S137" s="371"/>
      <c r="T137" s="372"/>
      <c r="U137" s="372"/>
      <c r="V137" s="372"/>
      <c r="W137" s="370" t="s">
        <v>1241</v>
      </c>
      <c r="X137" s="372"/>
      <c r="Y137" s="372"/>
      <c r="AA137" s="372"/>
      <c r="AB137" s="372"/>
      <c r="AC137" s="372"/>
      <c r="AD137" s="372"/>
    </row>
    <row r="138" spans="1:53" s="351" customFormat="1" ht="12" customHeight="1" x14ac:dyDescent="0.15">
      <c r="A138" s="373" t="s">
        <v>3</v>
      </c>
      <c r="B138" s="374" t="s">
        <v>8</v>
      </c>
      <c r="C138" s="374" t="s">
        <v>9</v>
      </c>
      <c r="D138" s="374" t="s">
        <v>10</v>
      </c>
      <c r="E138" s="375" t="s">
        <v>1215</v>
      </c>
      <c r="F138" s="374"/>
      <c r="G138" s="351" t="s">
        <v>3</v>
      </c>
      <c r="H138" s="803" t="s">
        <v>0</v>
      </c>
      <c r="I138" s="803"/>
      <c r="J138" s="803" t="s">
        <v>1</v>
      </c>
      <c r="K138" s="803"/>
      <c r="L138" s="803" t="s">
        <v>2</v>
      </c>
      <c r="M138" s="803"/>
      <c r="N138" s="804" t="s">
        <v>1215</v>
      </c>
      <c r="O138" s="804"/>
      <c r="P138" s="376"/>
      <c r="Q138" s="376"/>
      <c r="R138" s="377" t="s">
        <v>3</v>
      </c>
      <c r="S138" s="378" t="s">
        <v>136</v>
      </c>
      <c r="T138" s="376" t="s">
        <v>134</v>
      </c>
      <c r="U138" s="374" t="s">
        <v>135</v>
      </c>
      <c r="V138" s="376"/>
      <c r="W138" s="379" t="s">
        <v>26</v>
      </c>
    </row>
    <row r="139" spans="1:53" s="273" customFormat="1" x14ac:dyDescent="0.15">
      <c r="A139" s="273">
        <v>1959</v>
      </c>
      <c r="B139" s="260">
        <f>(K6*($E8/365))+(K7*($E7/365))</f>
        <v>42.035225048923678</v>
      </c>
      <c r="C139" s="260">
        <f>(L6*($E8/365))+(L7*($E7/365))</f>
        <v>18.68232224396608</v>
      </c>
      <c r="D139" s="260">
        <f>(M6*($E8/365))+(M7*($E7/365))</f>
        <v>4.6705805609915201</v>
      </c>
      <c r="E139" s="261">
        <f>B139+C139+D139</f>
        <v>65.388127853881286</v>
      </c>
      <c r="G139" s="263">
        <v>1959</v>
      </c>
      <c r="H139" s="783">
        <f>(O6/$R6*100*($E6/365))+(O7/$R7*100*($E7/365))</f>
        <v>80.178942454144718</v>
      </c>
      <c r="I139" s="783"/>
      <c r="J139" s="783">
        <f>(P6/$R6*100*($E6/365))+(P7/$R7*100*($E7/365))</f>
        <v>13.988064889794336</v>
      </c>
      <c r="K139" s="783"/>
      <c r="L139" s="783">
        <f>(Q6/$R6*100*($E6/365))+(Q7/$R7*100*($E7/365))</f>
        <v>5.8329926560609433</v>
      </c>
      <c r="M139" s="783"/>
      <c r="N139" s="813">
        <f>H139+J139+K139</f>
        <v>94.167007343939048</v>
      </c>
      <c r="O139" s="813"/>
      <c r="P139" s="274"/>
      <c r="Q139" s="274"/>
      <c r="R139" s="263">
        <v>1959</v>
      </c>
      <c r="S139" s="260">
        <f>(O6*($E6/365))+(O7*($E7/365))</f>
        <v>70.651506849315069</v>
      </c>
      <c r="T139" s="260">
        <f>(P6*($E6/365))+(P7*($E7/365))</f>
        <v>12.3</v>
      </c>
      <c r="U139" s="260">
        <f>(Q6*($E6/365))+(Q7*($E7/365))</f>
        <v>5.0802739726027397</v>
      </c>
      <c r="W139" s="277">
        <f>S139+T139+U139</f>
        <v>88.031780821917806</v>
      </c>
      <c r="X139" s="262"/>
    </row>
    <row r="140" spans="1:53" x14ac:dyDescent="0.15">
      <c r="A140" s="1">
        <v>1960</v>
      </c>
      <c r="B140" s="8">
        <f>(K8*($E8/366))+(K9*($E9/366))</f>
        <v>42.857142857142854</v>
      </c>
      <c r="C140" s="8">
        <f>(L8*($E8/366))+(L9*($E9/366))</f>
        <v>19.047619047619047</v>
      </c>
      <c r="D140" s="8">
        <f>(M8*($E8/366))+(M9*($E9/366))</f>
        <v>4.7619047619047619</v>
      </c>
      <c r="E140" s="39">
        <f>SUM(B140:D140)</f>
        <v>66.666666666666657</v>
      </c>
      <c r="G140" s="20">
        <v>1960</v>
      </c>
      <c r="H140" s="779">
        <f>(O8/$R8*100*($E8/366))+(O9/$R9*100*($E9/366))</f>
        <v>80.542986425339365</v>
      </c>
      <c r="I140" s="779"/>
      <c r="J140" s="779">
        <f>(P8/$R8*100*($E8/366))+(P9/$R9*100*($E9/366))</f>
        <v>13.914027149321267</v>
      </c>
      <c r="K140" s="779"/>
      <c r="L140" s="779">
        <f>(Q8/$R8*100*($E8/366))+(Q9/$R9*100*($E9/366))</f>
        <v>5.5429864253393664</v>
      </c>
      <c r="M140" s="779"/>
      <c r="N140" s="810">
        <f>SUM(H140:M140)</f>
        <v>100</v>
      </c>
      <c r="O140" s="810"/>
      <c r="P140" s="7"/>
      <c r="Q140" s="7"/>
      <c r="R140" s="20">
        <v>1960</v>
      </c>
      <c r="S140" s="8">
        <f>(O8*($E8/366))+(O9*($E9/366))</f>
        <v>71.2</v>
      </c>
      <c r="T140" s="8">
        <f>(P8*($E8/366))+(P9*($E9/366))</f>
        <v>12.3</v>
      </c>
      <c r="U140" s="8">
        <f>(Q8*($E8/366))+(Q9*($E9/366))</f>
        <v>4.9000000000000004</v>
      </c>
      <c r="W140" s="14">
        <f t="shared" ref="W140:W171" si="23">SUM(S140:U140)</f>
        <v>88.4</v>
      </c>
      <c r="X140" s="5"/>
    </row>
    <row r="141" spans="1:53" x14ac:dyDescent="0.15">
      <c r="A141" s="1">
        <v>1961</v>
      </c>
      <c r="B141" s="8">
        <f>(K10*($E10/365))+(K11*($E11/365))</f>
        <v>42.857142857142854</v>
      </c>
      <c r="C141" s="8">
        <f>(L10*($E10/365))+(L11*($E11/365))</f>
        <v>19.047619047619047</v>
      </c>
      <c r="D141" s="8">
        <f>(M10*($E10/365))+(M11*($E11/365))</f>
        <v>4.7619047619047619</v>
      </c>
      <c r="E141" s="39">
        <f t="shared" ref="E141:E193" si="24">SUM(B141:D141)</f>
        <v>66.666666666666657</v>
      </c>
      <c r="G141" s="20">
        <v>1961</v>
      </c>
      <c r="H141" s="779">
        <f>(O10/$R10*100*($E10/365))+(O11/$R11*100*($E11/365))</f>
        <v>80.542986425339365</v>
      </c>
      <c r="I141" s="779"/>
      <c r="J141" s="779">
        <f>(P10/$R10*100*($E10/365))+(P11/$R11*100*($E11/365))</f>
        <v>13.914027149321267</v>
      </c>
      <c r="K141" s="779"/>
      <c r="L141" s="779">
        <f>(Q10/$R10*100*($E10/365))+(Q11/$R11*100*($E11/365))</f>
        <v>5.5429864253393664</v>
      </c>
      <c r="M141" s="779"/>
      <c r="N141" s="810">
        <f>SUM(H141:M141)</f>
        <v>100</v>
      </c>
      <c r="O141" s="810"/>
      <c r="P141" s="7"/>
      <c r="Q141" s="7"/>
      <c r="R141" s="20">
        <v>1961</v>
      </c>
      <c r="S141" s="8">
        <f>(O10*($E10/365))+(O11*($E11/365))</f>
        <v>71.2</v>
      </c>
      <c r="T141" s="8">
        <f>(P10*($E10/365))+(P11*($E11/365))</f>
        <v>12.3</v>
      </c>
      <c r="U141" s="8">
        <f>(Q10*($E10/365))+(Q11*($E11/365))</f>
        <v>4.9000000000000004</v>
      </c>
      <c r="W141" s="14">
        <f t="shared" si="23"/>
        <v>88.4</v>
      </c>
      <c r="X141" s="5"/>
    </row>
    <row r="142" spans="1:53" x14ac:dyDescent="0.15">
      <c r="A142" s="1">
        <v>1962</v>
      </c>
      <c r="B142" s="8">
        <f>(K12*($E12/365))+(K13*($E13/365))+(K14*($E14/365))+(K15*($E15/365))</f>
        <v>63.556306706991641</v>
      </c>
      <c r="C142" s="8">
        <f>(L12*($E12/365))+(L13*($E13/365))+(L14*($E14/365))+(L15*($E15/365))</f>
        <v>6.9714760125719026</v>
      </c>
      <c r="D142" s="8">
        <f>(M12*($E12/365))+(M13*($E13/365))+(M14*($E14/365))+(M15*($E15/365))</f>
        <v>1.3568166992824526</v>
      </c>
      <c r="E142" s="39">
        <f t="shared" si="24"/>
        <v>71.884599418845994</v>
      </c>
      <c r="G142" s="20">
        <v>1962</v>
      </c>
      <c r="H142" s="779">
        <f>(O12/$R12*100*($E12/365))+(O13/$R13*100*($E13/365))+(O14/$R14*100*($E14/365))+(O15/$R15*100*($E15/365))</f>
        <v>92.6971452821642</v>
      </c>
      <c r="I142" s="779"/>
      <c r="J142" s="779">
        <f>(P12/$R12*100*($E12/365))+(P13/$R13*100*($E13/365))+(P14/$R14*100*($E14/365))+(P15/$R15*100*($E15/365))</f>
        <v>5.7234832432185616</v>
      </c>
      <c r="K142" s="779"/>
      <c r="L142" s="779">
        <f>(Q12/$R12*100*($E12/365))+(Q13/$R13*100*($E13/365))+(Q14/$R14*100*($E14/365))+(Q15/$R15*100*($E15/365))</f>
        <v>1.579371474617244</v>
      </c>
      <c r="M142" s="779"/>
      <c r="N142" s="810">
        <f t="shared" ref="N142:N191" si="25">SUM(H142:M142)</f>
        <v>100.00000000000001</v>
      </c>
      <c r="O142" s="810"/>
      <c r="P142" s="7"/>
      <c r="Q142" s="7"/>
      <c r="R142" s="20">
        <v>1962</v>
      </c>
      <c r="S142" s="8">
        <f>(O12*($E12/365))+(O13*($E13/365))+(O14*($E14/365))+(O15*($E15/365))</f>
        <v>69.654246575342469</v>
      </c>
      <c r="T142" s="8">
        <f>(P12*($E12/365))+(P13*($E13/365))+(P14*($E14/365))+(P15*($E15/365))</f>
        <v>4.82</v>
      </c>
      <c r="U142" s="8">
        <f>(Q12*($E12/365))+(Q13*($E13/365))+(Q14*($E14/365))+(Q15*($E15/365))</f>
        <v>1.396164383561644</v>
      </c>
      <c r="W142" s="14">
        <f t="shared" si="23"/>
        <v>75.870410958904117</v>
      </c>
      <c r="X142" s="5"/>
      <c r="Y142" s="37"/>
    </row>
    <row r="143" spans="1:53" x14ac:dyDescent="0.15">
      <c r="A143" s="1">
        <v>1963</v>
      </c>
      <c r="B143" s="8">
        <f>(K16*($E16/365))+(K17*($E17/365))</f>
        <v>72.727272727272734</v>
      </c>
      <c r="C143" s="8">
        <f>(L16*($E16/365))+(L17*($E17/365))</f>
        <v>0</v>
      </c>
      <c r="D143" s="8">
        <f>(M16*($E16/365))+(M17*($E17/365))</f>
        <v>0</v>
      </c>
      <c r="E143" s="39">
        <f t="shared" si="24"/>
        <v>72.727272727272734</v>
      </c>
      <c r="G143" s="20">
        <v>1963</v>
      </c>
      <c r="H143" s="779">
        <f>(O16/$R16*100*($E16/365))+(O17/$R17*100*($E17/365))</f>
        <v>92.870544090056299</v>
      </c>
      <c r="I143" s="779"/>
      <c r="J143" s="779">
        <f>(P16/$R16*100*($E16/365))+(P17/$R17*100*($E17/365))</f>
        <v>7.1294559099437143</v>
      </c>
      <c r="K143" s="779"/>
      <c r="L143" s="779">
        <f>(Q16/$R16*100*($E16/365))+(Q17/$R17*100*($E17/365))</f>
        <v>0</v>
      </c>
      <c r="M143" s="779"/>
      <c r="N143" s="810">
        <f t="shared" si="25"/>
        <v>100.00000000000001</v>
      </c>
      <c r="O143" s="810"/>
      <c r="P143" s="7"/>
      <c r="Q143" s="7"/>
      <c r="R143" s="20">
        <v>1963</v>
      </c>
      <c r="S143" s="8">
        <f>(O16*($E16/365))+(O17*($E17/365))</f>
        <v>49.5</v>
      </c>
      <c r="T143" s="8">
        <f>(P16*($E16/365))+(P17*($E17/365))</f>
        <v>3.8</v>
      </c>
      <c r="U143" s="8">
        <f>(Q16*($E16/365))+(Q17*($E17/365))</f>
        <v>0</v>
      </c>
      <c r="W143" s="14">
        <f t="shared" si="23"/>
        <v>53.3</v>
      </c>
      <c r="X143" s="5"/>
      <c r="Y143" s="37"/>
    </row>
    <row r="144" spans="1:53" x14ac:dyDescent="0.15">
      <c r="A144" s="1">
        <v>1964</v>
      </c>
      <c r="B144" s="8">
        <f>(K18*($E18/366))+(K19*($E19/366))</f>
        <v>72.727272727272734</v>
      </c>
      <c r="C144" s="8">
        <f>(L18*($E18/366))+(L19*($E19/366))</f>
        <v>0</v>
      </c>
      <c r="D144" s="8">
        <f>(M18*($E18/366))+(M19*($E19/366))</f>
        <v>0</v>
      </c>
      <c r="E144" s="39">
        <f t="shared" si="24"/>
        <v>72.727272727272734</v>
      </c>
      <c r="G144" s="20">
        <v>1964</v>
      </c>
      <c r="H144" s="779">
        <f>(O18/$R18*100*($E18/366))+(O19/$R19*100*($E19/366))</f>
        <v>92.870544090056299</v>
      </c>
      <c r="I144" s="779"/>
      <c r="J144" s="779">
        <f>(P18/$R18*100*($E18/366))+(P19/$R19*100*($E19/366))</f>
        <v>7.1294559099437143</v>
      </c>
      <c r="K144" s="779"/>
      <c r="L144" s="779">
        <f>(Q18/$R18*100*($E18/366))+(Q19/$R19*100*($E19/366))</f>
        <v>0</v>
      </c>
      <c r="M144" s="779"/>
      <c r="N144" s="810">
        <f t="shared" si="25"/>
        <v>100.00000000000001</v>
      </c>
      <c r="O144" s="810"/>
      <c r="P144" s="7"/>
      <c r="Q144" s="7"/>
      <c r="R144" s="20">
        <v>1964</v>
      </c>
      <c r="S144" s="8">
        <f>(O18*($E18/366))+(O19*($E19/366))</f>
        <v>49.5</v>
      </c>
      <c r="T144" s="8">
        <f>(P18*($E18/366))+(P19*($E19/366))</f>
        <v>3.8</v>
      </c>
      <c r="U144" s="8">
        <f>(Q18*($E18/366))+(Q19*($E19/366))</f>
        <v>0</v>
      </c>
      <c r="W144" s="14">
        <f t="shared" si="23"/>
        <v>53.3</v>
      </c>
      <c r="X144" s="5"/>
      <c r="Y144" s="37"/>
    </row>
    <row r="145" spans="1:25" x14ac:dyDescent="0.15">
      <c r="A145" s="1">
        <v>1965</v>
      </c>
      <c r="B145" s="8">
        <f>(K20*($E20/365))+(K21*($E21/365))</f>
        <v>72.727272727272734</v>
      </c>
      <c r="C145" s="8">
        <f>(L20*($E20/365))+(L21*($E21/365))</f>
        <v>0</v>
      </c>
      <c r="D145" s="8">
        <f>(M20*($E20/365))+(M21*($E21/365))</f>
        <v>0</v>
      </c>
      <c r="E145" s="39">
        <f t="shared" si="24"/>
        <v>72.727272727272734</v>
      </c>
      <c r="G145" s="20">
        <v>1965</v>
      </c>
      <c r="H145" s="779">
        <f>(O20/$R20*100*($E20/365))+(O21/$R21*100*($E21/365))</f>
        <v>92.870544090056299</v>
      </c>
      <c r="I145" s="779"/>
      <c r="J145" s="779">
        <f>(P20/$R20*100*($E20/365))+(P21/$R21*100*($E21/365))</f>
        <v>7.1294559099437143</v>
      </c>
      <c r="K145" s="779"/>
      <c r="L145" s="779">
        <f>(Q20/$R20*100*($E20/365))+(Q21/$R21*100*($E21/365))</f>
        <v>0</v>
      </c>
      <c r="M145" s="779"/>
      <c r="N145" s="810">
        <f t="shared" si="25"/>
        <v>100.00000000000001</v>
      </c>
      <c r="O145" s="810"/>
      <c r="P145" s="7"/>
      <c r="Q145" s="7"/>
      <c r="R145" s="20">
        <v>1965</v>
      </c>
      <c r="S145" s="8">
        <f>(O20*($E20/365))+(O21*($E21/365))</f>
        <v>49.5</v>
      </c>
      <c r="T145" s="8">
        <f>(P20*($E20/365))+(P21*($E21/365))</f>
        <v>3.8</v>
      </c>
      <c r="U145" s="8">
        <f>(Q20*($E20/365))+(Q21*($E21/365))</f>
        <v>0</v>
      </c>
      <c r="W145" s="14">
        <f t="shared" si="23"/>
        <v>53.3</v>
      </c>
      <c r="X145" s="5"/>
      <c r="Y145" s="37"/>
    </row>
    <row r="146" spans="1:25" x14ac:dyDescent="0.15">
      <c r="A146" s="1">
        <v>1966</v>
      </c>
      <c r="B146" s="8">
        <f>(K22*($E22/365))+(K23*($E23/365))</f>
        <v>66.799501867995019</v>
      </c>
      <c r="C146" s="8">
        <f>(L22*($E22/365))+(L23*($E23/365))</f>
        <v>0</v>
      </c>
      <c r="D146" s="8">
        <f>(M22*($E22/365))+(M23*($E23/365))</f>
        <v>0</v>
      </c>
      <c r="E146" s="39">
        <f t="shared" si="24"/>
        <v>66.799501867995019</v>
      </c>
      <c r="G146" s="20">
        <v>1966</v>
      </c>
      <c r="H146" s="779">
        <f>(O22/$R22*100*($E22/365))+(O23/$R23*100*($E23/365))</f>
        <v>92.870544090056299</v>
      </c>
      <c r="I146" s="779"/>
      <c r="J146" s="779">
        <f>(P22/$R22*100*($E22/365))+(P23/$R23*100*($E23/365))</f>
        <v>7.1294559099437143</v>
      </c>
      <c r="K146" s="779"/>
      <c r="L146" s="779">
        <f>(Q22/$R22*100*($E22/365))+(Q23/$R23*100*($E23/365))</f>
        <v>0</v>
      </c>
      <c r="M146" s="779"/>
      <c r="N146" s="810">
        <f>SUM(H146:M146)</f>
        <v>100.00000000000001</v>
      </c>
      <c r="O146" s="810"/>
      <c r="P146" s="7"/>
      <c r="Q146" s="7"/>
      <c r="R146" s="20">
        <v>1966</v>
      </c>
      <c r="S146" s="8">
        <f>(O22*($E22/365))+(O23*($E23/365))</f>
        <v>49.5</v>
      </c>
      <c r="T146" s="8">
        <f>(P22*($E22/365))+(P23*($E23/365))</f>
        <v>3.8</v>
      </c>
      <c r="U146" s="8">
        <f>(Q22*($E22/365))+(Q23*($E23/365))</f>
        <v>0</v>
      </c>
      <c r="W146" s="14">
        <f t="shared" si="23"/>
        <v>53.3</v>
      </c>
      <c r="X146" s="5"/>
      <c r="Y146" s="37"/>
    </row>
    <row r="147" spans="1:25" x14ac:dyDescent="0.15">
      <c r="A147" s="1">
        <v>1967</v>
      </c>
      <c r="B147" s="8">
        <f>(K24*($E24/365))+(K25*($E25/365))</f>
        <v>57.766708177667077</v>
      </c>
      <c r="C147" s="8">
        <f>(L24*($E24/365))+(L25*($E25/365))</f>
        <v>20.024906600249064</v>
      </c>
      <c r="D147" s="8">
        <f>(M24*($E24/365))+(M25*($E25/365))</f>
        <v>0</v>
      </c>
      <c r="E147" s="39">
        <f t="shared" si="24"/>
        <v>77.791614777916138</v>
      </c>
      <c r="G147" s="20">
        <v>1967</v>
      </c>
      <c r="H147" s="779">
        <f>(O24/$R24*100*($E24/365))+(O25/$R25*100*($E25/365))</f>
        <v>85.14803016994405</v>
      </c>
      <c r="I147" s="779"/>
      <c r="J147" s="779">
        <f>(P24/$R24*100*($E24/365))+(P25/$R25*100*($E25/365))</f>
        <v>14.851969830055952</v>
      </c>
      <c r="K147" s="779"/>
      <c r="L147" s="779">
        <f>(Q24/$R24*100*($E24/365))+(Q25/$R25*100*($E25/365))</f>
        <v>0</v>
      </c>
      <c r="M147" s="779"/>
      <c r="N147" s="810">
        <f t="shared" si="25"/>
        <v>100</v>
      </c>
      <c r="O147" s="810"/>
      <c r="P147" s="7"/>
      <c r="Q147" s="7"/>
      <c r="R147" s="20">
        <v>1967</v>
      </c>
      <c r="S147" s="8">
        <f>(O24*($E24/365))+(O25*($E25/365))</f>
        <v>42.965205479452059</v>
      </c>
      <c r="T147" s="8">
        <f>(P24*($E24/365))+(P25*($E25/365))</f>
        <v>7.3978082191780814</v>
      </c>
      <c r="U147" s="8">
        <f>(Q24*($E24/365))+(Q25*($E25/365))</f>
        <v>0</v>
      </c>
      <c r="W147" s="14">
        <f t="shared" si="23"/>
        <v>50.363013698630141</v>
      </c>
      <c r="X147" s="5"/>
      <c r="Y147" s="37"/>
    </row>
    <row r="148" spans="1:25" x14ac:dyDescent="0.15">
      <c r="A148" s="1">
        <v>1968</v>
      </c>
      <c r="B148" s="8">
        <f>(K26*($E26/366))+(K27*($E27/366))+(K28*($E28/366))</f>
        <v>64.635134781812951</v>
      </c>
      <c r="C148" s="8">
        <f>(L26*($E26/366))+(L27*($E27/366))+(L28*($E28/366))</f>
        <v>17.792245143409939</v>
      </c>
      <c r="D148" s="8">
        <f>(M26*($E26/366))+(M27*($E27/366))+(M28*($E28/366))</f>
        <v>0</v>
      </c>
      <c r="E148" s="39">
        <f t="shared" si="24"/>
        <v>82.427379925222894</v>
      </c>
      <c r="G148" s="20">
        <v>1968</v>
      </c>
      <c r="H148" s="779">
        <f>(O26/$R26*100*($E26/366))+(O27/$R27*100*($E27/366))+(O28/$R28*100*($E28/366))</f>
        <v>81.960050591868963</v>
      </c>
      <c r="I148" s="779"/>
      <c r="J148" s="779">
        <f>(P26/$R26*100*($E26/366))+(P27/$R27*100*($E27/366))+(P28/$R28*100*($E28/366))</f>
        <v>18.039949408131037</v>
      </c>
      <c r="K148" s="779"/>
      <c r="L148" s="779">
        <f>(Q26/$R26*100*($E26/366))+(Q27/$R27*100*($E27/366))+(Q28/$R28*100*($E28/366))</f>
        <v>0</v>
      </c>
      <c r="M148" s="779"/>
      <c r="N148" s="810">
        <f t="shared" si="25"/>
        <v>100</v>
      </c>
      <c r="O148" s="810"/>
      <c r="P148" s="7"/>
      <c r="Q148" s="7"/>
      <c r="R148" s="20">
        <v>1968</v>
      </c>
      <c r="S148" s="8">
        <f>(O26*($E26/366))+(O27*($E27/366))+(O28*($E28/366))</f>
        <v>49.769945355191261</v>
      </c>
      <c r="T148" s="8">
        <f>(P26*($E26/366))+(P27*($E27/366))+(P28*($E28/366))</f>
        <v>11.016120218579236</v>
      </c>
      <c r="U148" s="8">
        <f>(Q26*($E26/366))+(Q27*($E27/366))+(Q28*($E28/366))</f>
        <v>0</v>
      </c>
      <c r="W148" s="14">
        <f t="shared" si="23"/>
        <v>60.7860655737705</v>
      </c>
      <c r="X148" s="5"/>
      <c r="Y148" s="37"/>
    </row>
    <row r="149" spans="1:25" x14ac:dyDescent="0.15">
      <c r="A149" s="1">
        <v>1969</v>
      </c>
      <c r="B149" s="8">
        <f>(K29*($E29/365))+(K30*($E30/365))</f>
        <v>79.250180245133379</v>
      </c>
      <c r="C149" s="8">
        <f>(L29*($E29/365))+(L30*($E30/365))</f>
        <v>13.309300648882481</v>
      </c>
      <c r="D149" s="8">
        <f>(M29*($E29/365))+(M30*($E30/365))</f>
        <v>0</v>
      </c>
      <c r="E149" s="39">
        <f t="shared" si="24"/>
        <v>92.559480894015863</v>
      </c>
      <c r="G149" s="20">
        <v>1969</v>
      </c>
      <c r="H149" s="779">
        <f>(O29/$R29*100*($E29/365))+(O30/$R30*100*($E30/365))</f>
        <v>78.524481416531586</v>
      </c>
      <c r="I149" s="779"/>
      <c r="J149" s="779">
        <f>(P29/$R29*100*($E29/365))+(P30/$R30*100*($E30/365))</f>
        <v>21.475518583468428</v>
      </c>
      <c r="K149" s="779"/>
      <c r="L149" s="779">
        <f>(Q29/$R29*100*($E29/365))+(Q30/$R30*100*($E30/365))</f>
        <v>0</v>
      </c>
      <c r="M149" s="779"/>
      <c r="N149" s="810">
        <f t="shared" si="25"/>
        <v>100.00000000000001</v>
      </c>
      <c r="O149" s="810"/>
      <c r="P149" s="7"/>
      <c r="Q149" s="7"/>
      <c r="R149" s="20">
        <v>1969</v>
      </c>
      <c r="S149" s="8">
        <f>(O29*($E29/365))+(O30*($E30/365))</f>
        <v>60</v>
      </c>
      <c r="T149" s="8">
        <f>(P29*($E29/365))+(P30*($E30/365))</f>
        <v>16.508219178082193</v>
      </c>
      <c r="U149" s="8">
        <f>(Q29*($E29/365))+(Q30*($E30/365))</f>
        <v>0</v>
      </c>
      <c r="W149" s="14">
        <f t="shared" si="23"/>
        <v>76.508219178082186</v>
      </c>
      <c r="X149" s="5"/>
      <c r="Y149" s="37"/>
    </row>
    <row r="150" spans="1:25" x14ac:dyDescent="0.15">
      <c r="A150" s="1">
        <v>1970</v>
      </c>
      <c r="B150" s="8">
        <f>(K31*($E31/365))+(K32*($E32/365))</f>
        <v>84.210526315789465</v>
      </c>
      <c r="C150" s="8">
        <f>(L31*($E31/365))+(L32*($E32/365))</f>
        <v>15.789473684210526</v>
      </c>
      <c r="D150" s="8">
        <f>(M31*($E31/365))+(M32*($E32/365))</f>
        <v>0</v>
      </c>
      <c r="E150" s="39">
        <f t="shared" si="24"/>
        <v>99.999999999999986</v>
      </c>
      <c r="G150" s="20">
        <v>1970</v>
      </c>
      <c r="H150" s="779">
        <f>(O31/$R31*100*($E31/365))+(O32/$R32*100*($E32/365))</f>
        <v>75.853350189633389</v>
      </c>
      <c r="I150" s="779"/>
      <c r="J150" s="779">
        <f>(P31/$R31*100*($E31/365))+(P32/$R32*100*($E32/365))</f>
        <v>24.146649810366625</v>
      </c>
      <c r="K150" s="779"/>
      <c r="L150" s="779">
        <f>(Q31/$R31*100*($E31/365))+(Q32/$R32*100*($E32/365))</f>
        <v>0</v>
      </c>
      <c r="M150" s="779"/>
      <c r="N150" s="810">
        <f t="shared" si="25"/>
        <v>100.00000000000001</v>
      </c>
      <c r="O150" s="810"/>
      <c r="P150" s="7"/>
      <c r="Q150" s="7"/>
      <c r="R150" s="20">
        <v>1970</v>
      </c>
      <c r="S150" s="8">
        <f>(O31*($E31/365))+(O32*($E32/365))</f>
        <v>60</v>
      </c>
      <c r="T150" s="8">
        <f>(P31*($E31/365))+(P32*($E32/365))</f>
        <v>19.100000000000001</v>
      </c>
      <c r="U150" s="8">
        <f>(Q31*($E31/365))+(Q32*($E32/365))</f>
        <v>0</v>
      </c>
      <c r="W150" s="14">
        <f t="shared" si="23"/>
        <v>79.099999999999994</v>
      </c>
      <c r="X150" s="5"/>
      <c r="Y150" s="37"/>
    </row>
    <row r="151" spans="1:25" x14ac:dyDescent="0.15">
      <c r="A151" s="1">
        <v>1971</v>
      </c>
      <c r="B151" s="8">
        <f>(K33*($E33/365))+(K34*($E34/365))</f>
        <v>84.210526315789465</v>
      </c>
      <c r="C151" s="8">
        <f>(L33*($E33/365))+(L34*($E34/365))</f>
        <v>15.789473684210526</v>
      </c>
      <c r="D151" s="8">
        <f>(M33*($E33/365))+(M34*($E34/365))</f>
        <v>0</v>
      </c>
      <c r="E151" s="39">
        <f t="shared" si="24"/>
        <v>99.999999999999986</v>
      </c>
      <c r="G151" s="20">
        <v>1971</v>
      </c>
      <c r="H151" s="779">
        <f>(O33/$R33*100*($E33/365))+(O34/$R34*100*($E34/365))</f>
        <v>75.853350189633389</v>
      </c>
      <c r="I151" s="779"/>
      <c r="J151" s="779">
        <f>(P33/$R33*100*($E33/365))+(P34/$R34*100*($E34/365))</f>
        <v>24.146649810366625</v>
      </c>
      <c r="K151" s="779"/>
      <c r="L151" s="779">
        <f>(Q33/$R33*100*($E33/365))+(Q34/$R34*100*($E34/365))</f>
        <v>0</v>
      </c>
      <c r="M151" s="779"/>
      <c r="N151" s="810">
        <f t="shared" si="25"/>
        <v>100.00000000000001</v>
      </c>
      <c r="O151" s="810"/>
      <c r="P151" s="7"/>
      <c r="Q151" s="7"/>
      <c r="R151" s="20">
        <v>1971</v>
      </c>
      <c r="S151" s="8">
        <f>(O33*($E33/365))+(O34*($E34/365))</f>
        <v>60</v>
      </c>
      <c r="T151" s="8">
        <f>(P33*($E33/365))+(P34*($E34/365))</f>
        <v>19.100000000000001</v>
      </c>
      <c r="U151" s="8">
        <f>(Q33*($E33/365))+(Q34*($E34/365))</f>
        <v>0</v>
      </c>
      <c r="W151" s="14">
        <f t="shared" si="23"/>
        <v>79.099999999999994</v>
      </c>
      <c r="X151" s="5"/>
      <c r="Y151" s="37"/>
    </row>
    <row r="152" spans="1:25" x14ac:dyDescent="0.15">
      <c r="A152" s="1">
        <v>1972</v>
      </c>
      <c r="B152" s="8">
        <f>(K35*($E35/366))+(K36*($E36/366))</f>
        <v>84.594477998274371</v>
      </c>
      <c r="C152" s="8">
        <f>(L35*($E35/366))+(L36*($E36/366))</f>
        <v>15.405522001725625</v>
      </c>
      <c r="D152" s="8">
        <f>(M35*($E35/366))+(M36*($E36/366))</f>
        <v>0</v>
      </c>
      <c r="E152" s="39">
        <f t="shared" si="24"/>
        <v>100</v>
      </c>
      <c r="G152" s="20">
        <v>1972</v>
      </c>
      <c r="H152" s="779">
        <f>(O35/$R35*100*($E35/366))+(O36/$R36*100*($E36/366))</f>
        <v>75.853350189633389</v>
      </c>
      <c r="I152" s="779"/>
      <c r="J152" s="779">
        <f>(P35/$R35*100*($E35/366))+(P36/$R36*100*($E36/366))</f>
        <v>24.146649810366625</v>
      </c>
      <c r="K152" s="779"/>
      <c r="L152" s="779">
        <f>(Q35/$R35*100*($E35/366))+(Q36/$R36*100*($E36/366))</f>
        <v>0</v>
      </c>
      <c r="M152" s="779"/>
      <c r="N152" s="810">
        <f t="shared" si="25"/>
        <v>100.00000000000001</v>
      </c>
      <c r="O152" s="810"/>
      <c r="P152" s="7"/>
      <c r="Q152" s="7"/>
      <c r="R152" s="20">
        <v>1972</v>
      </c>
      <c r="S152" s="8">
        <f>(O35*($E35/366))+(O36*($E36/366))</f>
        <v>60</v>
      </c>
      <c r="T152" s="8">
        <f>(P35*($E35/366))+(P36*($E36/366))</f>
        <v>19.100000000000001</v>
      </c>
      <c r="U152" s="8">
        <f>(Q35*($E35/366))+(Q36*($E36/366))</f>
        <v>0</v>
      </c>
      <c r="W152" s="14">
        <f t="shared" si="23"/>
        <v>79.099999999999994</v>
      </c>
      <c r="X152" s="5"/>
      <c r="Y152" s="37"/>
    </row>
    <row r="153" spans="1:25" x14ac:dyDescent="0.15">
      <c r="A153" s="1">
        <v>1973</v>
      </c>
      <c r="B153" s="8">
        <f>(K37*($E37/365))+(K38*($E38/365))</f>
        <v>86.012453300124534</v>
      </c>
      <c r="C153" s="8">
        <f>(L37*($E37/365))+(L38*($E38/365))</f>
        <v>3.8630136986301369</v>
      </c>
      <c r="D153" s="8">
        <f>(M37*($E37/365))+(M38*($E38/365))</f>
        <v>0</v>
      </c>
      <c r="E153" s="39">
        <f t="shared" si="24"/>
        <v>89.875466998754675</v>
      </c>
      <c r="G153" s="20">
        <v>1973</v>
      </c>
      <c r="H153" s="779">
        <f>(O37/$R37*100*($E37/365))+(O38/$R38*100*($E38/365))</f>
        <v>77.9310182449276</v>
      </c>
      <c r="I153" s="779"/>
      <c r="J153" s="779">
        <f>(P37/$R37*100*($E37/365))+(P38/$R38*100*($E38/365))</f>
        <v>22.068981755072407</v>
      </c>
      <c r="K153" s="779"/>
      <c r="L153" s="779">
        <f>(Q37/$R37*100*($E37/365))+(Q38/$R38*100*($E38/365))</f>
        <v>0</v>
      </c>
      <c r="M153" s="779"/>
      <c r="N153" s="810">
        <f t="shared" si="25"/>
        <v>100</v>
      </c>
      <c r="O153" s="810"/>
      <c r="P153" s="7"/>
      <c r="Q153" s="7"/>
      <c r="R153" s="20">
        <v>1973</v>
      </c>
      <c r="S153" s="8">
        <f>(O37*($E37/365))+(O38*($E38/365))</f>
        <v>46.635616438356159</v>
      </c>
      <c r="T153" s="8">
        <f>(P37*($E37/365))+(P38*($E38/365))</f>
        <v>13.383013698630137</v>
      </c>
      <c r="U153" s="8">
        <f>(Q37*($E37/365))+(Q38*($E38/365))</f>
        <v>0</v>
      </c>
      <c r="W153" s="14">
        <f t="shared" si="23"/>
        <v>60.018630136986296</v>
      </c>
      <c r="X153" s="5"/>
      <c r="Y153" s="37"/>
    </row>
    <row r="154" spans="1:25" x14ac:dyDescent="0.15">
      <c r="A154" s="1">
        <v>1974</v>
      </c>
      <c r="B154" s="8">
        <f>(K39*($E39/365))+(K40*($E40/365))+(K41*($E41/365))</f>
        <v>76.117683686176832</v>
      </c>
      <c r="C154" s="8">
        <f>(L39*($E39/365))+(L40*($E40/365))+(L41*($E41/365))</f>
        <v>3.7328767123287672</v>
      </c>
      <c r="D154" s="8">
        <f>(M39*($E39/365))+(M40*($E40/365))+(M41*($E41/365))</f>
        <v>3.7328767123287672</v>
      </c>
      <c r="E154" s="39">
        <f t="shared" si="24"/>
        <v>83.583437110834353</v>
      </c>
      <c r="G154" s="20">
        <v>1974</v>
      </c>
      <c r="H154" s="779">
        <f>(O39/$R39*100*($E39/365))+(O40/$R40*100*($E40/365))+(O41/$R41*100*($E41/365))</f>
        <v>76.711941901648288</v>
      </c>
      <c r="I154" s="779"/>
      <c r="J154" s="779">
        <f>(P39/$R39*100*($E39/365))+(P40/$R40*100*($E40/365))+(P41/$R41*100*($E41/365))</f>
        <v>20.821812801875968</v>
      </c>
      <c r="K154" s="779"/>
      <c r="L154" s="779">
        <f>(Q39/$R39*100*($E39/365))+(Q40/$R40*100*($E40/365))+(Q41/$R41*100*($E41/365))</f>
        <v>2.4662452964757389</v>
      </c>
      <c r="M154" s="779"/>
      <c r="N154" s="810">
        <f t="shared" si="25"/>
        <v>99.999999999999986</v>
      </c>
      <c r="O154" s="810"/>
      <c r="P154" s="7"/>
      <c r="Q154" s="7"/>
      <c r="R154" s="20">
        <v>1974</v>
      </c>
      <c r="S154" s="8">
        <f>(O39*($E39/365))+(O40*($E40/365))+(O41*($E41/365))</f>
        <v>42</v>
      </c>
      <c r="T154" s="8">
        <f>(P39*($E39/365))+(P40*($E40/365))+(P41*($E41/365))</f>
        <v>11.4</v>
      </c>
      <c r="U154" s="8">
        <f>(Q39*($E39/365))+(Q40*($E40/365))+(Q41*($E41/365))</f>
        <v>1.3736986301369862</v>
      </c>
      <c r="W154" s="14">
        <f t="shared" si="23"/>
        <v>54.773698630136984</v>
      </c>
      <c r="X154" s="5"/>
      <c r="Y154" s="37"/>
    </row>
    <row r="155" spans="1:25" x14ac:dyDescent="0.15">
      <c r="A155" s="1">
        <v>1975</v>
      </c>
      <c r="B155" s="8">
        <f>(K42*($E42/365))+(K43*($E43/365))</f>
        <v>68.75</v>
      </c>
      <c r="C155" s="8">
        <f>(L42*($E42/365))+(L43*($E43/365))</f>
        <v>6.25</v>
      </c>
      <c r="D155" s="8">
        <f>(M42*($E42/365))+(M43*($E43/365))</f>
        <v>6.25</v>
      </c>
      <c r="E155" s="39">
        <f t="shared" si="24"/>
        <v>81.25</v>
      </c>
      <c r="G155" s="20">
        <v>1975</v>
      </c>
      <c r="H155" s="779">
        <f>(O42/$R42*100*($E42/365))+(O43/$R43*100*($E43/365))</f>
        <v>75.403949730700177</v>
      </c>
      <c r="I155" s="779"/>
      <c r="J155" s="779">
        <f>(P42/$R42*100*($E42/365))+(P43/$R43*100*($E43/365))</f>
        <v>20.466786355475765</v>
      </c>
      <c r="K155" s="779"/>
      <c r="L155" s="779">
        <f>(Q42/$R42*100*($E42/365))+(Q43/$R43*100*($E43/365))</f>
        <v>4.1292639138240581</v>
      </c>
      <c r="M155" s="779"/>
      <c r="N155" s="810">
        <f t="shared" si="25"/>
        <v>100</v>
      </c>
      <c r="O155" s="810"/>
      <c r="P155" s="7"/>
      <c r="Q155" s="7"/>
      <c r="R155" s="20">
        <v>1975</v>
      </c>
      <c r="S155" s="8">
        <f>(O42*($E42/365))+(O43*($E43/365))</f>
        <v>42</v>
      </c>
      <c r="T155" s="8">
        <f>(P42*($E42/365))+(P43*($E43/365))</f>
        <v>11.4</v>
      </c>
      <c r="U155" s="8">
        <f>(Q42*($E42/365))+(Q43*($E43/365))</f>
        <v>2.2999999999999998</v>
      </c>
      <c r="W155" s="14">
        <f t="shared" si="23"/>
        <v>55.699999999999996</v>
      </c>
      <c r="X155" s="5"/>
      <c r="Y155" s="37"/>
    </row>
    <row r="156" spans="1:25" x14ac:dyDescent="0.15">
      <c r="A156" s="1">
        <v>1976</v>
      </c>
      <c r="B156" s="8">
        <f>(K44*($E44/366))+(K45*($E45/366))</f>
        <v>61.731557377049185</v>
      </c>
      <c r="C156" s="8">
        <f>(L44*($E44/366))+(L45*($E45/366))</f>
        <v>5.9900576806314518</v>
      </c>
      <c r="D156" s="8">
        <f>(M44*($E44/366))+(M45*($E45/366))</f>
        <v>10.149134790528233</v>
      </c>
      <c r="E156" s="39">
        <f t="shared" si="24"/>
        <v>77.870749848208874</v>
      </c>
      <c r="G156" s="20">
        <v>1976</v>
      </c>
      <c r="H156" s="779">
        <f>(O44/$R44*100*($E44/366))+(O45/$R45*100*($E45/366))</f>
        <v>75.403949730700191</v>
      </c>
      <c r="I156" s="779"/>
      <c r="J156" s="779">
        <f>(P44/$R44*100*($E44/366))+(P45/$R45*100*($E45/366))</f>
        <v>20.466786355475765</v>
      </c>
      <c r="K156" s="779"/>
      <c r="L156" s="779">
        <f>(Q44/$R44*100*($E44/366))+(Q45/$R45*100*($E45/366))</f>
        <v>4.1292639138240581</v>
      </c>
      <c r="M156" s="779"/>
      <c r="N156" s="810">
        <f t="shared" si="25"/>
        <v>100.00000000000001</v>
      </c>
      <c r="O156" s="810"/>
      <c r="P156" s="7"/>
      <c r="Q156" s="7"/>
      <c r="R156" s="20">
        <v>1976</v>
      </c>
      <c r="S156" s="8">
        <f>(O44*($E44/366))+(O45*($E45/366))</f>
        <v>42</v>
      </c>
      <c r="T156" s="8">
        <f>(P44*($E44/366))+(P45*($E45/366))</f>
        <v>11.4</v>
      </c>
      <c r="U156" s="8">
        <f>(Q44*($E44/366))+(Q45*($E45/366))</f>
        <v>2.2999999999999998</v>
      </c>
      <c r="W156" s="14">
        <f t="shared" si="23"/>
        <v>55.699999999999996</v>
      </c>
      <c r="X156" s="5"/>
      <c r="Y156" s="37"/>
    </row>
    <row r="157" spans="1:25" s="12" customFormat="1" x14ac:dyDescent="0.15">
      <c r="A157" s="1">
        <v>1977</v>
      </c>
      <c r="B157" s="8">
        <f>(K46*($E46/365))+(K47*($E47/365))</f>
        <v>42.410958904109592</v>
      </c>
      <c r="C157" s="8">
        <f>(L46*($E46/365))+(L47*($E47/365))</f>
        <v>11.458143074581432</v>
      </c>
      <c r="D157" s="8">
        <f>(M46*($E46/365))+(M47*($E47/365))</f>
        <v>14.136986301369863</v>
      </c>
      <c r="E157" s="39">
        <f t="shared" si="24"/>
        <v>68.006088280060879</v>
      </c>
      <c r="G157" s="20">
        <v>1977</v>
      </c>
      <c r="H157" s="779">
        <f>(O46/$R46*100*($E46/365))+(O47/$R47*100*($E47/365))</f>
        <v>75.403949730700177</v>
      </c>
      <c r="I157" s="779"/>
      <c r="J157" s="779">
        <f>(P46/$R46*100*($E46/365))+(P47/$R47*100*($E47/365))</f>
        <v>20.466786355475765</v>
      </c>
      <c r="K157" s="779"/>
      <c r="L157" s="779">
        <f>(Q46/$R46*100*($E46/365))+(Q47/$R47*100*($E47/365))</f>
        <v>4.1292639138240581</v>
      </c>
      <c r="M157" s="779"/>
      <c r="N157" s="810">
        <f t="shared" si="25"/>
        <v>100</v>
      </c>
      <c r="O157" s="810"/>
      <c r="P157" s="7"/>
      <c r="Q157" s="7"/>
      <c r="R157" s="20">
        <v>1977</v>
      </c>
      <c r="S157" s="8">
        <f>(O46*($E46/365))+(O47*($E47/365))</f>
        <v>42</v>
      </c>
      <c r="T157" s="8">
        <f>(P46*($E46/365))+(P47*($E47/365))</f>
        <v>11.4</v>
      </c>
      <c r="U157" s="8">
        <f>(Q46*($E46/365))+(Q47*($E47/365))</f>
        <v>2.2999999999999998</v>
      </c>
      <c r="W157" s="14">
        <f t="shared" si="23"/>
        <v>55.699999999999996</v>
      </c>
      <c r="X157" s="5"/>
      <c r="Y157" s="37"/>
    </row>
    <row r="158" spans="1:25" x14ac:dyDescent="0.15">
      <c r="A158" s="1">
        <v>1978</v>
      </c>
      <c r="B158" s="8">
        <f>(K48*($E48/365))+(K49*($E49/365))</f>
        <v>32.547945205479451</v>
      </c>
      <c r="C158" s="8">
        <f>(L48*($E48/365))+(L49*($E49/365))</f>
        <v>36.93150684931507</v>
      </c>
      <c r="D158" s="8">
        <f>(M48*($E48/365))+(M49*($E49/365))</f>
        <v>3.397260273972603</v>
      </c>
      <c r="E158" s="39">
        <f t="shared" si="24"/>
        <v>72.876712328767127</v>
      </c>
      <c r="G158" s="20">
        <v>1978</v>
      </c>
      <c r="H158" s="779">
        <f>(O48/$R48*100*($E48/365))+(O49/$R49*100*($E49/365))</f>
        <v>58.992165147100749</v>
      </c>
      <c r="I158" s="779"/>
      <c r="J158" s="779">
        <f>(P48/$R48*100*($E48/365))+(P49/$R49*100*($E49/365))</f>
        <v>39.955721033760526</v>
      </c>
      <c r="K158" s="779"/>
      <c r="L158" s="779">
        <f>(Q48/$R48*100*($E48/365))+(Q49/$R49*100*($E49/365))</f>
        <v>1.0521138191387327</v>
      </c>
      <c r="M158" s="779"/>
      <c r="N158" s="810">
        <f t="shared" si="25"/>
        <v>100.00000000000001</v>
      </c>
      <c r="O158" s="810"/>
      <c r="P158" s="7"/>
      <c r="Q158" s="7"/>
      <c r="R158" s="20">
        <v>1978</v>
      </c>
      <c r="S158" s="8">
        <f>(O48*($E48/365))+(O49*($E49/365))</f>
        <v>33.057534246575344</v>
      </c>
      <c r="T158" s="8">
        <f>(P48*($E48/365))+(P49*($E49/365))</f>
        <v>22.429041095890412</v>
      </c>
      <c r="U158" s="8">
        <f>(Q48*($E48/365))+(Q49*($E49/365))</f>
        <v>0.58602739726027397</v>
      </c>
      <c r="W158" s="14">
        <f t="shared" si="23"/>
        <v>56.07260273972603</v>
      </c>
      <c r="X158" s="5"/>
      <c r="Y158" s="37"/>
    </row>
    <row r="159" spans="1:25" x14ac:dyDescent="0.15">
      <c r="A159" s="1">
        <v>1979</v>
      </c>
      <c r="B159" s="8">
        <f>(K50*($E50/365))+(K51*($E51/365))</f>
        <v>30</v>
      </c>
      <c r="C159" s="8">
        <f>(L50*($E50/365))+(L51*($E51/365))</f>
        <v>45</v>
      </c>
      <c r="D159" s="8">
        <f>(M50*($E50/365))+(M51*($E51/365))</f>
        <v>0</v>
      </c>
      <c r="E159" s="39">
        <f t="shared" si="24"/>
        <v>75</v>
      </c>
      <c r="G159" s="20">
        <v>1979</v>
      </c>
      <c r="H159" s="779">
        <f>(O50/$R50*100*($E50/365))+(O51/$R51*100*($E51/365))</f>
        <v>53.380782918149464</v>
      </c>
      <c r="I159" s="779"/>
      <c r="J159" s="779">
        <f>(P50/$R50*100*($E50/365))+(P51/$R51*100*($E51/365))</f>
        <v>46.619217081850529</v>
      </c>
      <c r="K159" s="779"/>
      <c r="L159" s="779">
        <f>(Q50/$R50*100*($E50/365))+(Q51/$R51*100*($E51/365))</f>
        <v>0</v>
      </c>
      <c r="M159" s="779"/>
      <c r="N159" s="810">
        <f t="shared" si="25"/>
        <v>100</v>
      </c>
      <c r="O159" s="810"/>
      <c r="P159" s="7"/>
      <c r="Q159" s="7"/>
      <c r="R159" s="20">
        <v>1979</v>
      </c>
      <c r="S159" s="8">
        <f>(O50*($E50/365))+(O51*($E51/365))</f>
        <v>30</v>
      </c>
      <c r="T159" s="8">
        <f>(P50*($E50/365))+(P51*($E51/365))</f>
        <v>26.2</v>
      </c>
      <c r="U159" s="8">
        <f>(Q50*($E50/365))+(Q51*($E51/365))</f>
        <v>0</v>
      </c>
      <c r="W159" s="14">
        <f t="shared" si="23"/>
        <v>56.2</v>
      </c>
      <c r="X159" s="5"/>
    </row>
    <row r="160" spans="1:25" x14ac:dyDescent="0.15">
      <c r="A160" s="1">
        <v>1980</v>
      </c>
      <c r="B160" s="8">
        <f>(K52*($E52/366))+(K53*($E53/366))</f>
        <v>30</v>
      </c>
      <c r="C160" s="8">
        <f>(L52*($E52/366))+(L53*($E53/366))</f>
        <v>45</v>
      </c>
      <c r="D160" s="8">
        <f>(M52*($E52/366))+(M53*($E53/366))</f>
        <v>0</v>
      </c>
      <c r="E160" s="39">
        <f t="shared" si="24"/>
        <v>75</v>
      </c>
      <c r="G160" s="20">
        <v>1980</v>
      </c>
      <c r="H160" s="779">
        <f>(O52/$R52*100*($E52/366))+(O53/$R53*100*($E53/366))</f>
        <v>53.380782918149464</v>
      </c>
      <c r="I160" s="779"/>
      <c r="J160" s="779">
        <f>(P52/$R52*100*($E52/366))+(P53/$R53*100*($E53/366))</f>
        <v>46.619217081850529</v>
      </c>
      <c r="K160" s="779"/>
      <c r="L160" s="779">
        <f>(Q52/$R52*100*($E52/366))+(Q53/$R53*100*($E53/366))</f>
        <v>0</v>
      </c>
      <c r="M160" s="779"/>
      <c r="N160" s="810">
        <f t="shared" si="25"/>
        <v>100</v>
      </c>
      <c r="O160" s="810"/>
      <c r="P160" s="7"/>
      <c r="Q160" s="7"/>
      <c r="R160" s="20">
        <v>1980</v>
      </c>
      <c r="S160" s="8">
        <f>(O52*($E52/366))+(O53*($E53/366))</f>
        <v>30</v>
      </c>
      <c r="T160" s="8">
        <f>(P52*($E52/366))+(P53*($E53/366))</f>
        <v>26.2</v>
      </c>
      <c r="U160" s="8">
        <f>(Q52*($E52/366))+(Q53*($E53/366))</f>
        <v>0</v>
      </c>
      <c r="W160" s="14">
        <f t="shared" si="23"/>
        <v>56.2</v>
      </c>
      <c r="X160" s="5"/>
    </row>
    <row r="161" spans="1:24" x14ac:dyDescent="0.15">
      <c r="A161" s="1">
        <v>1981</v>
      </c>
      <c r="B161" s="8">
        <f>(K54*($E54/365))+(K55*($E55/365))+(K56*($E56/365))</f>
        <v>11.589041095890412</v>
      </c>
      <c r="C161" s="8">
        <f>(L54*($E54/365))+(L55*($E55/365))+(L56*($E56/365))</f>
        <v>17.383561643835616</v>
      </c>
      <c r="D161" s="8">
        <f>(M54*($E54/365))+(M55*($E55/365))+(M56*($E56/365))</f>
        <v>61.369863013698627</v>
      </c>
      <c r="E161" s="39">
        <f t="shared" si="24"/>
        <v>90.342465753424648</v>
      </c>
      <c r="G161" s="20">
        <v>1981</v>
      </c>
      <c r="H161" s="779">
        <f>(O54/$R54*100*($E54/365))+(O55/$R55*100*($E55/365))+(O56/$R56*100*($E56/365))</f>
        <v>20.621069565641299</v>
      </c>
      <c r="I161" s="779"/>
      <c r="J161" s="779">
        <f>(P54/$R54*100*($E54/365))+(P55/$R55*100*($E55/365))+(P56/$R56*100*($E56/365))</f>
        <v>18.009067420660067</v>
      </c>
      <c r="K161" s="779"/>
      <c r="L161" s="779">
        <f>(Q54/$R54*100*($E54/365))+(Q55/$R55*100*($E55/365))+(Q56/$R56*100*($E56/365))</f>
        <v>61.369863013698627</v>
      </c>
      <c r="M161" s="779"/>
      <c r="N161" s="810">
        <f t="shared" si="25"/>
        <v>100</v>
      </c>
      <c r="O161" s="810"/>
      <c r="P161" s="7"/>
      <c r="Q161" s="7"/>
      <c r="R161" s="20">
        <v>1981</v>
      </c>
      <c r="S161" s="8">
        <f>(O54*($E54/365))+(O55*($E55/365))+(O56*($E56/365))</f>
        <v>11.589041095890412</v>
      </c>
      <c r="T161" s="8">
        <f>(P54*($E54/365))+(P55*($E55/365))+(P56*($E56/365))</f>
        <v>10.12109589041096</v>
      </c>
      <c r="U161" s="8">
        <f>(Q54*($E54/365))+(Q55*($E55/365))+(Q56*($E56/365))</f>
        <v>36.444931506849308</v>
      </c>
      <c r="W161" s="14">
        <f t="shared" si="23"/>
        <v>58.155068493150679</v>
      </c>
      <c r="X161" s="5"/>
    </row>
    <row r="162" spans="1:24" x14ac:dyDescent="0.15">
      <c r="A162" s="1">
        <v>1982</v>
      </c>
      <c r="B162" s="8">
        <f>(K57*($E57/365))+(K58*($E58/365))</f>
        <v>0</v>
      </c>
      <c r="C162" s="8">
        <f>(L57*($E57/365))+(L58*($E58/365))</f>
        <v>0</v>
      </c>
      <c r="D162" s="8">
        <f>(M57*($E57/365))+(M58*($E58/365))</f>
        <v>100</v>
      </c>
      <c r="E162" s="39">
        <f t="shared" si="24"/>
        <v>100</v>
      </c>
      <c r="G162" s="20">
        <v>1982</v>
      </c>
      <c r="H162" s="779">
        <f>(O57/$R57*100*($E57/365))+(O58/$R58*100*($E58/365))</f>
        <v>0</v>
      </c>
      <c r="I162" s="779"/>
      <c r="J162" s="779">
        <f>(P57/$R57*100*($E57/365))+(P58/$R58*100*($E58/365))</f>
        <v>0</v>
      </c>
      <c r="K162" s="779"/>
      <c r="L162" s="779">
        <f>(Q57/$R57*100*($E57/365))+(Q58/$R58*100*($E58/365))</f>
        <v>100</v>
      </c>
      <c r="M162" s="779"/>
      <c r="N162" s="810">
        <f t="shared" si="25"/>
        <v>100</v>
      </c>
      <c r="O162" s="810"/>
      <c r="P162" s="7"/>
      <c r="Q162" s="7"/>
      <c r="R162" s="20">
        <v>1982</v>
      </c>
      <c r="S162" s="8">
        <f>(O57*($E57/365))+(O58*($E58/365))</f>
        <v>0</v>
      </c>
      <c r="T162" s="8">
        <f>(P57*($E57/365))+(P58*($E58/365))</f>
        <v>0</v>
      </c>
      <c r="U162" s="8">
        <f>(Q57*($E57/365))+(Q58*($E58/365))</f>
        <v>65.7</v>
      </c>
      <c r="W162" s="14">
        <f t="shared" si="23"/>
        <v>65.7</v>
      </c>
      <c r="X162" s="5"/>
    </row>
    <row r="163" spans="1:24" x14ac:dyDescent="0.15">
      <c r="A163" s="1">
        <v>1983</v>
      </c>
      <c r="B163" s="8">
        <f>(K59*($E59/365))+(K60*($E60/365))</f>
        <v>0</v>
      </c>
      <c r="C163" s="8">
        <f>(L59*($E59/365))+(L60*($E60/365))</f>
        <v>0</v>
      </c>
      <c r="D163" s="8">
        <f>(M59*($E59/365))+(M60*($E60/365))</f>
        <v>100</v>
      </c>
      <c r="E163" s="39">
        <f t="shared" si="24"/>
        <v>100</v>
      </c>
      <c r="G163" s="20">
        <v>1983</v>
      </c>
      <c r="H163" s="779">
        <f>(O59/$R59*100*($E59/365))+(O60/$R60*100*($E60/365))</f>
        <v>0</v>
      </c>
      <c r="I163" s="779"/>
      <c r="J163" s="779">
        <f>(P59/$R59*100*($E59/365))+(P60/$R60*100*($E60/365))</f>
        <v>0</v>
      </c>
      <c r="K163" s="779"/>
      <c r="L163" s="779">
        <f>(Q59/$R59*100*($E59/365))+(Q60/$R60*100*($E60/365))</f>
        <v>100</v>
      </c>
      <c r="M163" s="779"/>
      <c r="N163" s="810">
        <f t="shared" si="25"/>
        <v>100</v>
      </c>
      <c r="O163" s="810"/>
      <c r="P163" s="7"/>
      <c r="Q163" s="7"/>
      <c r="R163" s="20">
        <v>1983</v>
      </c>
      <c r="S163" s="8">
        <f>(O59*($E59/365))+(O60*($E60/365))</f>
        <v>0</v>
      </c>
      <c r="T163" s="8">
        <f>(P59*($E59/365))+(P60*($E60/365))</f>
        <v>0</v>
      </c>
      <c r="U163" s="8">
        <f>(Q59*($E59/365))+(Q60*($E60/365))</f>
        <v>65.7</v>
      </c>
      <c r="W163" s="14">
        <f t="shared" si="23"/>
        <v>65.7</v>
      </c>
      <c r="X163" s="5"/>
    </row>
    <row r="164" spans="1:24" x14ac:dyDescent="0.15">
      <c r="A164" s="1">
        <v>1984</v>
      </c>
      <c r="B164" s="8">
        <f>(K61*($E61/366))+(K62*($E62/366))</f>
        <v>0</v>
      </c>
      <c r="C164" s="8">
        <f>(L61*($E61/366))+(L62*($E62/366))</f>
        <v>0</v>
      </c>
      <c r="D164" s="8">
        <f>(M61*($E61/366))+(M62*($E62/366))</f>
        <v>100</v>
      </c>
      <c r="E164" s="39">
        <f t="shared" si="24"/>
        <v>100</v>
      </c>
      <c r="G164" s="20">
        <v>1984</v>
      </c>
      <c r="H164" s="779">
        <f>(O61/$R61*100*($E61/366))+(O62/$R62*100*($E62/366))</f>
        <v>0</v>
      </c>
      <c r="I164" s="779"/>
      <c r="J164" s="779">
        <f>(P61/$R61*100*($E61/366))+(P62/$R62*100*($E62/366))</f>
        <v>0</v>
      </c>
      <c r="K164" s="779"/>
      <c r="L164" s="779">
        <f>(Q61/$R61*100*($E61/366))+(Q62/$R62*100*($E62/366))</f>
        <v>100</v>
      </c>
      <c r="M164" s="779"/>
      <c r="N164" s="810">
        <f t="shared" si="25"/>
        <v>100</v>
      </c>
      <c r="O164" s="810"/>
      <c r="P164" s="7"/>
      <c r="Q164" s="7"/>
      <c r="R164" s="20">
        <v>1984</v>
      </c>
      <c r="S164" s="8">
        <f>(O61*($E61/366))+(O62*($E62/366))</f>
        <v>0</v>
      </c>
      <c r="T164" s="8">
        <f>(P61*($E61/366))+(P62*($E62/366))</f>
        <v>0</v>
      </c>
      <c r="U164" s="8">
        <f>(Q61*($E61/366))+(Q62*($E62/366))</f>
        <v>61.627868852459017</v>
      </c>
      <c r="W164" s="14">
        <f t="shared" si="23"/>
        <v>61.627868852459017</v>
      </c>
      <c r="X164" s="5"/>
    </row>
    <row r="165" spans="1:24" x14ac:dyDescent="0.15">
      <c r="A165" s="1">
        <v>1985</v>
      </c>
      <c r="B165" s="8">
        <f>(K63*($E63/365))+(K64*($E64/365))</f>
        <v>0</v>
      </c>
      <c r="C165" s="8">
        <f>(L63*($E63/365))+(L64*($E64/365))</f>
        <v>0</v>
      </c>
      <c r="D165" s="8">
        <f>(M63*($E63/365))+(M64*($E64/365))</f>
        <v>100</v>
      </c>
      <c r="E165" s="39">
        <f t="shared" si="24"/>
        <v>100</v>
      </c>
      <c r="G165" s="20">
        <v>1985</v>
      </c>
      <c r="H165" s="779">
        <f>(O63/$R63*100*($E63/365))+(O64/$R64*100*($E64/365))</f>
        <v>0</v>
      </c>
      <c r="I165" s="779"/>
      <c r="J165" s="779">
        <f>(P63/$R63*100*($E63/365))+(P64/$R64*100*($E64/365))</f>
        <v>0</v>
      </c>
      <c r="K165" s="779"/>
      <c r="L165" s="779">
        <f>(Q63/$R63*100*($E63/365))+(Q64/$R64*100*($E64/365))</f>
        <v>100</v>
      </c>
      <c r="M165" s="779"/>
      <c r="N165" s="810">
        <f t="shared" si="25"/>
        <v>100</v>
      </c>
      <c r="O165" s="810"/>
      <c r="P165" s="7"/>
      <c r="Q165" s="7"/>
      <c r="R165" s="20">
        <v>1985</v>
      </c>
      <c r="S165" s="8">
        <f>(O63*($E63/365))+(O64*($E64/365))</f>
        <v>0</v>
      </c>
      <c r="T165" s="8">
        <f>(P63*($E63/365))+(P64*($E64/365))</f>
        <v>0</v>
      </c>
      <c r="U165" s="8">
        <f>(Q63*($E63/365))+(Q64*($E64/365))</f>
        <v>56.5</v>
      </c>
      <c r="W165" s="14">
        <f t="shared" si="23"/>
        <v>56.5</v>
      </c>
      <c r="X165" s="5"/>
    </row>
    <row r="166" spans="1:24" x14ac:dyDescent="0.15">
      <c r="A166" s="1">
        <v>1986</v>
      </c>
      <c r="B166" s="8">
        <f>(K65*($E65/365))+(K66*($E66/365))</f>
        <v>44.032876712328772</v>
      </c>
      <c r="C166" s="8">
        <f>(L65*($E65/365))+(L66*($E66/365))</f>
        <v>25.161643835616438</v>
      </c>
      <c r="D166" s="8">
        <f>(M65*($E65/365))+(M66*($E66/365))</f>
        <v>21.36986301369863</v>
      </c>
      <c r="E166" s="39">
        <f t="shared" si="24"/>
        <v>90.564383561643851</v>
      </c>
      <c r="G166" s="20">
        <v>1986</v>
      </c>
      <c r="H166" s="779">
        <f>(O65/$R65*100*($E65/365))+(O66/$R66*100*($E66/365))</f>
        <v>41.946705937925479</v>
      </c>
      <c r="I166" s="779"/>
      <c r="J166" s="779">
        <f>(P65/$R65*100*($E65/365))+(P66/$R66*100*($E66/365))</f>
        <v>36.683431048375894</v>
      </c>
      <c r="K166" s="779"/>
      <c r="L166" s="779">
        <f>(Q65/$R65*100*($E65/365))+(Q66/$R66*100*($E66/365))</f>
        <v>21.36986301369863</v>
      </c>
      <c r="M166" s="779"/>
      <c r="N166" s="810">
        <f t="shared" si="25"/>
        <v>100.00000000000001</v>
      </c>
      <c r="O166" s="810"/>
      <c r="P166" s="7"/>
      <c r="Q166" s="7"/>
      <c r="R166" s="20">
        <v>1986</v>
      </c>
      <c r="S166" s="8">
        <f>(O65*($E65/365))+(O66*($E66/365))</f>
        <v>20.679726027397262</v>
      </c>
      <c r="T166" s="8">
        <f>(P65*($E65/365))+(P66*($E66/365))</f>
        <v>18.084931506849315</v>
      </c>
      <c r="U166" s="8">
        <f>(Q65*($E65/365))+(Q66*($E66/365))</f>
        <v>12.073972602739726</v>
      </c>
      <c r="W166" s="14">
        <f t="shared" si="23"/>
        <v>50.838630136986311</v>
      </c>
      <c r="X166" s="5"/>
    </row>
    <row r="167" spans="1:24" ht="9" customHeight="1" x14ac:dyDescent="0.15">
      <c r="A167" s="1">
        <v>1987</v>
      </c>
      <c r="B167" s="8">
        <f>(K67*($E67/365))+(K68*($E68/365))</f>
        <v>56.000000000000007</v>
      </c>
      <c r="C167" s="8">
        <f>(L67*($E67/365))+(L68*($E68/365))</f>
        <v>32</v>
      </c>
      <c r="D167" s="8">
        <f>(M67*($E67/365))+(M68*($E68/365))</f>
        <v>0</v>
      </c>
      <c r="E167" s="39">
        <f t="shared" si="24"/>
        <v>88</v>
      </c>
      <c r="G167" s="20">
        <v>1987</v>
      </c>
      <c r="H167" s="779">
        <f>(O67/$R67*100*($E67/365))+(O68/$R68*100*($E68/365))</f>
        <v>53.346855983772826</v>
      </c>
      <c r="I167" s="779"/>
      <c r="J167" s="779">
        <f>(P67/$R67*100*($E67/365))+(P68/$R68*100*($E68/365))</f>
        <v>46.653144016227181</v>
      </c>
      <c r="K167" s="779"/>
      <c r="L167" s="779">
        <f>(Q67/$R67*100*($E67/365))+(Q68/$R68*100*($E68/365))</f>
        <v>0</v>
      </c>
      <c r="M167" s="779"/>
      <c r="N167" s="810">
        <f t="shared" si="25"/>
        <v>100</v>
      </c>
      <c r="O167" s="810"/>
      <c r="P167" s="7"/>
      <c r="Q167" s="7"/>
      <c r="R167" s="20">
        <v>1987</v>
      </c>
      <c r="S167" s="8">
        <f>(O67*($E67/365))+(O68*($E68/365))</f>
        <v>26.3</v>
      </c>
      <c r="T167" s="8">
        <f>(P67*($E67/365))+(P68*($E68/365))</f>
        <v>23</v>
      </c>
      <c r="U167" s="8">
        <f>(Q67*($E67/365))+(Q68*($E68/365))</f>
        <v>0</v>
      </c>
      <c r="W167" s="14">
        <f t="shared" si="23"/>
        <v>49.3</v>
      </c>
      <c r="X167" s="5"/>
    </row>
    <row r="168" spans="1:24" ht="9" customHeight="1" x14ac:dyDescent="0.15">
      <c r="A168" s="1">
        <v>1988</v>
      </c>
      <c r="B168" s="8">
        <f>(K69*($E69/366))+(K70*($E70/366))+(K71*($E71/366))</f>
        <v>20.349726775956288</v>
      </c>
      <c r="C168" s="8">
        <f>(L69*($E69/366))+(L70*($E70/366))+(L71*($E71/366))</f>
        <v>12.951394880644234</v>
      </c>
      <c r="D168" s="8">
        <f>(M69*($E69/366))+(M70*($E70/366))+(M71*($E71/366))</f>
        <v>45.025884383088865</v>
      </c>
      <c r="E168" s="39">
        <f t="shared" si="24"/>
        <v>78.327006039689394</v>
      </c>
      <c r="G168" s="20">
        <v>1988</v>
      </c>
      <c r="H168" s="779">
        <f>(O69/$R69*100*($E69/366))+(O70/$R70*100*($E70/366))+(O71/$R71*100*($E71/366))</f>
        <v>19.385606136179742</v>
      </c>
      <c r="I168" s="779"/>
      <c r="J168" s="779">
        <f>(P69/$R69*100*($E69/366))+(P70/$R70*100*($E70/366))+(P71/$R71*100*($E71/366))</f>
        <v>21.886144549211632</v>
      </c>
      <c r="K168" s="779"/>
      <c r="L168" s="779">
        <f>(Q69/$R69*100*($E69/366))+(Q70/$R70*100*($E70/366))+(Q71/$R71*100*($E71/366))</f>
        <v>58.728249314608632</v>
      </c>
      <c r="M168" s="779"/>
      <c r="N168" s="810">
        <f t="shared" si="25"/>
        <v>100</v>
      </c>
      <c r="O168" s="810"/>
      <c r="P168" s="7"/>
      <c r="Q168" s="7"/>
      <c r="R168" s="20">
        <v>1988</v>
      </c>
      <c r="S168" s="8">
        <f>(O69*($E69/366))+(O70*($E70/366))+(O71*($E71/366))</f>
        <v>9.5571038251366129</v>
      </c>
      <c r="T168" s="8">
        <f>(P69*($E69/366))+(P70*($E70/366))+(P71*($E71/366))</f>
        <v>11.248633879781423</v>
      </c>
      <c r="U168" s="8">
        <f>(Q69*($E69/366))+(Q70*($E70/366))+(Q71*($E71/366))</f>
        <v>29.203278688524591</v>
      </c>
      <c r="W168" s="14">
        <f t="shared" si="23"/>
        <v>50.009016393442629</v>
      </c>
      <c r="X168" s="5"/>
    </row>
    <row r="169" spans="1:24" s="4" customFormat="1" ht="9" customHeight="1" x14ac:dyDescent="0.15">
      <c r="A169" s="4">
        <v>1989</v>
      </c>
      <c r="B169" s="11">
        <f>(K72*($E72/365))+(K73*($E73/365))</f>
        <v>0</v>
      </c>
      <c r="C169" s="11">
        <f>(L72*($E72/365))+(L73*($E73/365))</f>
        <v>0</v>
      </c>
      <c r="D169" s="11">
        <f>(M72*($E72/365))+(M73*($E73/365))</f>
        <v>70</v>
      </c>
      <c r="E169" s="38">
        <f t="shared" si="24"/>
        <v>70</v>
      </c>
      <c r="G169" s="21">
        <v>1989</v>
      </c>
      <c r="H169" s="806">
        <f>(O72/$R72*100*($E72/365))+(O73/$R73*100*($E73/365))</f>
        <v>0</v>
      </c>
      <c r="I169" s="806"/>
      <c r="J169" s="806">
        <f>(P72/$R72*100*($E72/365))+(P73/$R73*100*($E73/365))</f>
        <v>0</v>
      </c>
      <c r="K169" s="806"/>
      <c r="L169" s="806">
        <f>(Q72/$R72*100*($E72/365))+(Q73/$R73*100*($E73/365))</f>
        <v>100</v>
      </c>
      <c r="M169" s="806"/>
      <c r="N169" s="808">
        <f t="shared" si="25"/>
        <v>100</v>
      </c>
      <c r="O169" s="808"/>
      <c r="P169" s="11"/>
      <c r="Q169" s="11"/>
      <c r="R169" s="21">
        <v>1989</v>
      </c>
      <c r="S169" s="11">
        <f>(O72*($E72/365))+(O73*($E73/365))</f>
        <v>0</v>
      </c>
      <c r="T169" s="11">
        <f>(P72*($E72/365))+(P73*($E73/365))</f>
        <v>0</v>
      </c>
      <c r="U169" s="11">
        <f>(Q72*($E72/365))+(Q73*($E73/365))</f>
        <v>48.4</v>
      </c>
      <c r="W169" s="28">
        <f t="shared" si="23"/>
        <v>48.4</v>
      </c>
      <c r="X169" s="19"/>
    </row>
    <row r="170" spans="1:24" ht="9" customHeight="1" x14ac:dyDescent="0.15">
      <c r="A170" s="1">
        <v>1990</v>
      </c>
      <c r="B170" s="8">
        <f>(K74*($E74/365))+(K75*($E75/365))</f>
        <v>0</v>
      </c>
      <c r="C170" s="8">
        <f>(L74*($E74/365))+(L75*($E75/365))</f>
        <v>0</v>
      </c>
      <c r="D170" s="8">
        <f>(M74*($E74/365))+(M75*($E75/365))</f>
        <v>70</v>
      </c>
      <c r="E170" s="39">
        <f t="shared" si="24"/>
        <v>70</v>
      </c>
      <c r="G170" s="1">
        <v>1990</v>
      </c>
      <c r="H170" s="779">
        <f>(O74/$R74*100*($E74/365))+(O75/$R75*100*($E75/365))</f>
        <v>0</v>
      </c>
      <c r="I170" s="779"/>
      <c r="J170" s="779">
        <f>(P74/$R74*100*($E74/365))+(P75/$R75*100*($E75/365))</f>
        <v>0</v>
      </c>
      <c r="K170" s="779"/>
      <c r="L170" s="779">
        <f>(Q74/$R74*100*($E74/365))+(Q75/$R75*100*($E75/365))</f>
        <v>100</v>
      </c>
      <c r="M170" s="779"/>
      <c r="N170" s="810">
        <f t="shared" si="25"/>
        <v>100</v>
      </c>
      <c r="O170" s="810"/>
      <c r="R170" s="1">
        <v>1990</v>
      </c>
      <c r="S170" s="8">
        <f>(O74*($E74/365))+(O75*($E75/365))</f>
        <v>0</v>
      </c>
      <c r="T170" s="8">
        <f>(P74*($E74/365))+(P75*($E75/365))</f>
        <v>0</v>
      </c>
      <c r="U170" s="8">
        <f>(Q74*($E74/365))+(Q75*($E75/365))</f>
        <v>48.4</v>
      </c>
      <c r="W170" s="14">
        <f t="shared" si="23"/>
        <v>48.4</v>
      </c>
      <c r="X170" s="5"/>
    </row>
    <row r="171" spans="1:24" ht="9" customHeight="1" x14ac:dyDescent="0.15">
      <c r="A171" s="1">
        <v>1991</v>
      </c>
      <c r="B171" s="8">
        <f>(K76*($E76/365))+(K77*($E77/365))</f>
        <v>0</v>
      </c>
      <c r="C171" s="8">
        <f>(L76*($E76/365))+(L77*($E77/365))</f>
        <v>0</v>
      </c>
      <c r="D171" s="8">
        <f>(M76*($E76/365))+(M77*($E77/365))</f>
        <v>79.493150684931507</v>
      </c>
      <c r="E171" s="39">
        <f t="shared" si="24"/>
        <v>79.493150684931507</v>
      </c>
      <c r="G171" s="1">
        <v>1991</v>
      </c>
      <c r="H171" s="779">
        <f>(O76/$R76*100*($E76/365))+(O77/$R77*100*($E77/365))</f>
        <v>0</v>
      </c>
      <c r="I171" s="779"/>
      <c r="J171" s="779">
        <f>(P76/$R76*100*($E76/365))+(P77/$R77*100*($E77/365))</f>
        <v>0</v>
      </c>
      <c r="K171" s="779"/>
      <c r="L171" s="779">
        <f>(Q76/$R76*100*($E76/365))+(Q77/$R77*100*($E77/365))</f>
        <v>100</v>
      </c>
      <c r="M171" s="779"/>
      <c r="N171" s="810">
        <f t="shared" si="25"/>
        <v>100</v>
      </c>
      <c r="O171" s="810"/>
      <c r="R171" s="1">
        <v>1991</v>
      </c>
      <c r="S171" s="8">
        <f>(O76*($E76/365))+(O77*($E77/365))</f>
        <v>0</v>
      </c>
      <c r="T171" s="8">
        <f>(P76*($E76/365))+(P77*($E77/365))</f>
        <v>0</v>
      </c>
      <c r="U171" s="8">
        <f>(Q76*($E76/365))+(Q77*($E77/365))</f>
        <v>48.399999999999991</v>
      </c>
      <c r="W171" s="14">
        <f t="shared" si="23"/>
        <v>48.399999999999991</v>
      </c>
      <c r="X171" s="5"/>
    </row>
    <row r="172" spans="1:24" ht="9" customHeight="1" x14ac:dyDescent="0.15">
      <c r="A172" s="1">
        <v>1992</v>
      </c>
      <c r="B172" s="8">
        <f>(K78*($E78/366))+(K79*($E79/366))</f>
        <v>0</v>
      </c>
      <c r="C172" s="8">
        <f>(L78*($E78/366))+(L79*($E79/366))</f>
        <v>0</v>
      </c>
      <c r="D172" s="8">
        <f>(M78*($E78/366))+(M79*($E79/366))</f>
        <v>76.820481683869673</v>
      </c>
      <c r="E172" s="39">
        <f t="shared" si="24"/>
        <v>76.820481683869673</v>
      </c>
      <c r="G172" s="1">
        <v>1992</v>
      </c>
      <c r="H172" s="779">
        <f>(O78/$R78*100*($E78/366))+(O79/$R79*100*($E79/366))</f>
        <v>0</v>
      </c>
      <c r="I172" s="779"/>
      <c r="J172" s="779">
        <f>(P78/$R78*100*($E78/366))+(P79/$R79*100*($E79/366))</f>
        <v>0</v>
      </c>
      <c r="K172" s="779"/>
      <c r="L172" s="779">
        <f>(Q78/$R78*100*($E78/366))+(Q79/$R79*100*($E79/366))</f>
        <v>100.00000000000001</v>
      </c>
      <c r="M172" s="779"/>
      <c r="N172" s="810">
        <f t="shared" si="25"/>
        <v>100.00000000000001</v>
      </c>
      <c r="O172" s="810"/>
      <c r="R172" s="1">
        <v>1992</v>
      </c>
      <c r="S172" s="8">
        <f>(O78*($E78/366))+(O79*($E79/366))</f>
        <v>0</v>
      </c>
      <c r="T172" s="8">
        <f>(P78*($E78/366))+(P79*($E79/366))</f>
        <v>0</v>
      </c>
      <c r="U172" s="8">
        <f>(Q78*($E78/366))+(Q79*($E79/366))</f>
        <v>48.400000000000006</v>
      </c>
      <c r="W172" s="14">
        <f t="shared" ref="W172:W192" si="26">SUM(S172:U172)</f>
        <v>48.400000000000006</v>
      </c>
      <c r="X172" s="5"/>
    </row>
    <row r="173" spans="1:24" ht="9" customHeight="1" x14ac:dyDescent="0.15">
      <c r="A173" s="1">
        <v>1993</v>
      </c>
      <c r="B173" s="8">
        <f>(K80*($E80/365))+(K81*($E81/365))</f>
        <v>38.082191780821915</v>
      </c>
      <c r="C173" s="8">
        <f>(L80*($E80/365))+(L81*($E81/365))</f>
        <v>35.543378995433784</v>
      </c>
      <c r="D173" s="8">
        <f>(M80*($E80/365))+(M81*($E81/365))</f>
        <v>17.656012176560122</v>
      </c>
      <c r="E173" s="39">
        <f t="shared" si="24"/>
        <v>91.281582952815825</v>
      </c>
      <c r="G173" s="1">
        <v>1993</v>
      </c>
      <c r="H173" s="779">
        <f>(O80/$R80*100*($E80/365))+(O81/$R81*100*($E81/365))</f>
        <v>41.434169541481062</v>
      </c>
      <c r="I173" s="779"/>
      <c r="J173" s="779">
        <f>(P80/$R80*100*($E80/365))+(P81/$R81*100*($E81/365))</f>
        <v>34.730214020162776</v>
      </c>
      <c r="K173" s="779"/>
      <c r="L173" s="779">
        <f>(Q80/$R80*100*($E80/365))+(Q81/$R81*100*($E81/365))</f>
        <v>23.835616438356162</v>
      </c>
      <c r="M173" s="779"/>
      <c r="N173" s="810">
        <f t="shared" si="25"/>
        <v>100</v>
      </c>
      <c r="O173" s="810"/>
      <c r="R173" s="1">
        <v>1993</v>
      </c>
      <c r="S173" s="8">
        <f>(O80*($E80/365))+(O81*($E81/365))</f>
        <v>33.893150684931506</v>
      </c>
      <c r="T173" s="8">
        <f>(P80*($E80/365))+(P81*($E81/365))</f>
        <v>28.409315068493147</v>
      </c>
      <c r="U173" s="8">
        <f>(Q80*($E80/365))+(Q81*($E81/365))</f>
        <v>11.536438356164384</v>
      </c>
      <c r="W173" s="14">
        <f t="shared" si="26"/>
        <v>73.838904109589038</v>
      </c>
      <c r="X173" s="5"/>
    </row>
    <row r="174" spans="1:24" ht="9" customHeight="1" x14ac:dyDescent="0.15">
      <c r="A174" s="1">
        <v>1994</v>
      </c>
      <c r="B174" s="8">
        <f>(K82*($E82/365))+(K83*($E83/365))</f>
        <v>48.275862068965516</v>
      </c>
      <c r="C174" s="8">
        <f>(L82*($E82/365))+(L83*($E83/365))</f>
        <v>48.275862068965516</v>
      </c>
      <c r="D174" s="8">
        <f>(M82*($E82/365))+(M83*($E83/365))</f>
        <v>0</v>
      </c>
      <c r="E174" s="39">
        <f t="shared" si="24"/>
        <v>96.551724137931032</v>
      </c>
      <c r="G174" s="1">
        <v>1994</v>
      </c>
      <c r="H174" s="779">
        <f>(O82/$R82*100*($E82/365))+(O83/$R83*100*($E83/365))</f>
        <v>54.400977995110026</v>
      </c>
      <c r="I174" s="779"/>
      <c r="J174" s="779">
        <f>(P82/$R82*100*($E82/365))+(P83/$R83*100*($E83/365))</f>
        <v>45.599022004889974</v>
      </c>
      <c r="K174" s="779"/>
      <c r="L174" s="779">
        <f>(Q82/$R82*100*($E82/365))+(Q83/$R83*100*($E83/365))</f>
        <v>0</v>
      </c>
      <c r="M174" s="779"/>
      <c r="N174" s="810">
        <f t="shared" si="25"/>
        <v>100</v>
      </c>
      <c r="O174" s="810"/>
      <c r="R174" s="1">
        <v>1994</v>
      </c>
      <c r="S174" s="8">
        <f>(O82*($E82/365))+(O83*($E83/365))</f>
        <v>44.5</v>
      </c>
      <c r="T174" s="8">
        <f>(P82*($E82/365))+(P83*($E83/365))</f>
        <v>37.299999999999997</v>
      </c>
      <c r="U174" s="8">
        <f>(Q82*($E82/365))+(Q83*($E83/365))</f>
        <v>0</v>
      </c>
      <c r="W174" s="14">
        <f t="shared" si="26"/>
        <v>81.8</v>
      </c>
      <c r="X174" s="5"/>
    </row>
    <row r="175" spans="1:24" ht="9" customHeight="1" x14ac:dyDescent="0.15">
      <c r="A175" s="1">
        <v>1995</v>
      </c>
      <c r="B175" s="8">
        <f>(K84*($E84/365))+(K85*($E85/365))+(K86*($E86/365))</f>
        <v>54.737836561171463</v>
      </c>
      <c r="C175" s="8">
        <f>(L84*($E84/365))+(L85*($E85/365))+(L86*($E86/365))</f>
        <v>41.294284364666979</v>
      </c>
      <c r="D175" s="8">
        <f>(M84*($E84/365))+(M85*($E85/365))+(M86*($E86/365))</f>
        <v>0</v>
      </c>
      <c r="E175" s="39">
        <f t="shared" si="24"/>
        <v>96.032120925838441</v>
      </c>
      <c r="G175" s="1">
        <v>1995</v>
      </c>
      <c r="H175" s="779">
        <f>(O84/$R84*100*($E84/365))+(O85/$R85*100*($E85/365))+(O86/$R86*100*($E86/365))</f>
        <v>54.400977995110026</v>
      </c>
      <c r="I175" s="779"/>
      <c r="J175" s="779">
        <f>(P84/$R84*100*($E84/365))+(P85/$R85*100*($E85/365))+(P86/$R86*100*($E86/365))</f>
        <v>45.599022004889974</v>
      </c>
      <c r="K175" s="779"/>
      <c r="L175" s="779">
        <f>(Q84/$R84*100*($E84/365))+(Q85/$R85*100*($E85/365))+(Q86/$R86*100*($E86/365))</f>
        <v>0</v>
      </c>
      <c r="M175" s="779"/>
      <c r="N175" s="810">
        <f t="shared" si="25"/>
        <v>100</v>
      </c>
      <c r="O175" s="810"/>
      <c r="R175" s="1">
        <v>1995</v>
      </c>
      <c r="S175" s="8">
        <f>(O84*($E84/365))+(O85*($E85/365))+(O86*($E86/365))</f>
        <v>44.500000000000007</v>
      </c>
      <c r="T175" s="8">
        <f>(P84*($E84/365))+(P85*($E85/365))+(P86*($E86/365))</f>
        <v>37.299999999999997</v>
      </c>
      <c r="U175" s="8">
        <f>(Q84*($E84/365))+(Q85*($E85/365))+(Q86*($E86/365))</f>
        <v>0</v>
      </c>
      <c r="W175" s="14">
        <f t="shared" si="26"/>
        <v>81.800000000000011</v>
      </c>
      <c r="X175" s="5"/>
    </row>
    <row r="176" spans="1:24" ht="9" customHeight="1" x14ac:dyDescent="0.15">
      <c r="A176" s="1">
        <v>1996</v>
      </c>
      <c r="B176" s="8">
        <f>(K87*($E87/366))+(K88*($E88/366))</f>
        <v>58.620689655172406</v>
      </c>
      <c r="C176" s="8">
        <f>(L87*($E87/366))+(L88*($E88/366))</f>
        <v>34.482758620689658</v>
      </c>
      <c r="D176" s="8">
        <f>(M87*($E87/366))+(M88*($E88/366))</f>
        <v>0</v>
      </c>
      <c r="E176" s="39">
        <f t="shared" si="24"/>
        <v>93.103448275862064</v>
      </c>
      <c r="G176" s="1">
        <v>1996</v>
      </c>
      <c r="H176" s="779">
        <f>(O87/$R87*100*($E87/366))+(O88/$R88*100*($E88/366))</f>
        <v>54.400977995110026</v>
      </c>
      <c r="I176" s="779"/>
      <c r="J176" s="779">
        <f>(P87/$R87*100*($E87/366))+(P88/$R88*100*($E88/366))</f>
        <v>45.599022004889974</v>
      </c>
      <c r="K176" s="779"/>
      <c r="L176" s="779">
        <f>(Q87/$R87*100*($E87/366))+(Q88/$R88*100*($E88/366))</f>
        <v>0</v>
      </c>
      <c r="M176" s="779"/>
      <c r="N176" s="810">
        <f t="shared" si="25"/>
        <v>100</v>
      </c>
      <c r="O176" s="810"/>
      <c r="R176" s="1">
        <v>1996</v>
      </c>
      <c r="S176" s="8">
        <f>(O87*($E87/366))+(O88*($E88/366))</f>
        <v>44.5</v>
      </c>
      <c r="T176" s="8">
        <f>(P87*($E87/366))+(P88*($E88/366))</f>
        <v>37.299999999999997</v>
      </c>
      <c r="U176" s="8">
        <f>(Q87*($E87/366))+(Q88*($E88/366))</f>
        <v>0</v>
      </c>
      <c r="W176" s="14">
        <f t="shared" si="26"/>
        <v>81.8</v>
      </c>
      <c r="X176" s="5"/>
    </row>
    <row r="177" spans="1:24" ht="9" customHeight="1" x14ac:dyDescent="0.15">
      <c r="A177" s="1">
        <v>1997</v>
      </c>
      <c r="B177" s="8">
        <f>(K89*($E89/365))+(K90*($E90/365))</f>
        <v>24.733112895606986</v>
      </c>
      <c r="C177" s="8">
        <f>(L89*($E89/365))+(L90*($E90/365))</f>
        <v>14.548889938592348</v>
      </c>
      <c r="D177" s="8">
        <f>(M89*($E89/365))+(M90*($E90/365))</f>
        <v>57.80821917808219</v>
      </c>
      <c r="E177" s="39">
        <f t="shared" si="24"/>
        <v>97.090222012281515</v>
      </c>
      <c r="G177" s="1">
        <v>1997</v>
      </c>
      <c r="H177" s="779">
        <f>(O89/$R89*100*($E89/365))+(O90/$R90*100*($E90/365))</f>
        <v>22.952741400676558</v>
      </c>
      <c r="I177" s="779"/>
      <c r="J177" s="779">
        <f>(P89/$R89*100*($E89/365))+(P90/$R90*100*($E90/365))</f>
        <v>19.239039421241248</v>
      </c>
      <c r="K177" s="779"/>
      <c r="L177" s="779">
        <f>(Q89/$R89*100*($E89/365))+(Q90/$R90*100*($E90/365))</f>
        <v>57.80821917808219</v>
      </c>
      <c r="M177" s="779"/>
      <c r="N177" s="810">
        <f t="shared" si="25"/>
        <v>100</v>
      </c>
      <c r="O177" s="810"/>
      <c r="R177" s="1">
        <v>1997</v>
      </c>
      <c r="S177" s="8">
        <f>(O89*($E89/365))+(O90*($E90/365))</f>
        <v>18.775342465753425</v>
      </c>
      <c r="T177" s="8">
        <f>(P89*($E89/365))+(P90*($E90/365))</f>
        <v>15.737534246575342</v>
      </c>
      <c r="U177" s="8">
        <f>(Q89*($E89/365))+(Q90*($E90/365))</f>
        <v>31.100821917808215</v>
      </c>
      <c r="W177" s="14">
        <f t="shared" si="26"/>
        <v>65.61369863013698</v>
      </c>
      <c r="X177" s="5"/>
    </row>
    <row r="178" spans="1:24" ht="9" customHeight="1" x14ac:dyDescent="0.15">
      <c r="A178" s="1">
        <v>1998</v>
      </c>
      <c r="B178" s="8">
        <f>(K91*($E91/365))+(K92*($E92/365))</f>
        <v>0</v>
      </c>
      <c r="C178" s="8">
        <f>(L91*($E91/365))+(L92*($E92/365))</f>
        <v>0</v>
      </c>
      <c r="D178" s="8">
        <f>(M91*($E91/365))+(M92*($E92/365))</f>
        <v>100</v>
      </c>
      <c r="E178" s="39">
        <f t="shared" si="24"/>
        <v>100</v>
      </c>
      <c r="G178" s="1">
        <v>1998</v>
      </c>
      <c r="H178" s="779">
        <f>(O91/$R91*100*($E91/365))+(O92/$R92*100*($E92/365))</f>
        <v>0</v>
      </c>
      <c r="I178" s="779"/>
      <c r="J178" s="779">
        <f>(P91/$R91*100*($E91/365))+(P92/$R92*100*($E92/365))</f>
        <v>0</v>
      </c>
      <c r="K178" s="779"/>
      <c r="L178" s="779">
        <f>(Q91/$R91*100*($E91/365))+(Q92/$R92*100*($E92/365))</f>
        <v>100</v>
      </c>
      <c r="M178" s="779"/>
      <c r="N178" s="810">
        <f t="shared" si="25"/>
        <v>100</v>
      </c>
      <c r="O178" s="810"/>
      <c r="R178" s="1">
        <v>1998</v>
      </c>
      <c r="S178" s="8">
        <f>(O91*($E91/365))+(O92*($E92/365))</f>
        <v>0</v>
      </c>
      <c r="T178" s="8">
        <f>(P91*($E91/365))+(P92*($E92/365))</f>
        <v>0</v>
      </c>
      <c r="U178" s="8">
        <f>(Q91*($E91/365))+(Q92*($E92/365))</f>
        <v>53.8</v>
      </c>
      <c r="W178" s="14">
        <f t="shared" si="26"/>
        <v>53.8</v>
      </c>
      <c r="X178" s="5"/>
    </row>
    <row r="179" spans="1:24" ht="9" customHeight="1" x14ac:dyDescent="0.15">
      <c r="A179" s="1">
        <v>1999</v>
      </c>
      <c r="B179" s="8">
        <f>(K93*($E93/365))+(K94*($E94/365))</f>
        <v>0</v>
      </c>
      <c r="C179" s="8">
        <f>(L93*($E93/365))+(L94*($E94/365))</f>
        <v>0</v>
      </c>
      <c r="D179" s="8">
        <f>(M93*($E93/365))+(M94*($E94/365))</f>
        <v>100</v>
      </c>
      <c r="E179" s="39">
        <f t="shared" si="24"/>
        <v>100</v>
      </c>
      <c r="G179" s="1">
        <v>1999</v>
      </c>
      <c r="H179" s="779">
        <f>(O93/$R93*100*($E93/365))+(O94/$R94*100*($E94/365))</f>
        <v>0</v>
      </c>
      <c r="I179" s="779"/>
      <c r="J179" s="779">
        <f>(P93/$R93*100*($E93/365))+(P94/$R94*100*($E94/365))</f>
        <v>0</v>
      </c>
      <c r="K179" s="779"/>
      <c r="L179" s="779">
        <f>(Q93/$R93*100*($E93/365))+(Q94/$R94*100*($E94/365))</f>
        <v>100</v>
      </c>
      <c r="M179" s="779"/>
      <c r="N179" s="810">
        <f t="shared" si="25"/>
        <v>100</v>
      </c>
      <c r="O179" s="810"/>
      <c r="R179" s="1">
        <v>1999</v>
      </c>
      <c r="S179" s="8">
        <f>(O93*($E93/365))+(O94*($E94/365))</f>
        <v>0</v>
      </c>
      <c r="T179" s="8">
        <f>(P93*($E93/365))+(P94*($E94/365))</f>
        <v>0</v>
      </c>
      <c r="U179" s="8">
        <f>(Q93*($E93/365))+(Q94*($E94/365))</f>
        <v>53.8</v>
      </c>
      <c r="W179" s="14">
        <f t="shared" si="26"/>
        <v>53.8</v>
      </c>
      <c r="X179" s="5"/>
    </row>
    <row r="180" spans="1:24" ht="9" customHeight="1" x14ac:dyDescent="0.15">
      <c r="A180" s="1">
        <v>2000</v>
      </c>
      <c r="B180" s="8">
        <f>(K95*($E95/366))+(K96*($E96/366))</f>
        <v>0</v>
      </c>
      <c r="C180" s="8">
        <f>(L95*($E95/366))+(L96*($E96/366))</f>
        <v>0</v>
      </c>
      <c r="D180" s="8">
        <f>(M95*($E95/366))+(M96*($E96/366))</f>
        <v>100</v>
      </c>
      <c r="E180" s="39">
        <f t="shared" si="24"/>
        <v>100</v>
      </c>
      <c r="G180" s="1">
        <v>2000</v>
      </c>
      <c r="H180" s="779">
        <f>(O95/$R95*100*($E95/366))+(O96/$R96*100*($E96/366))</f>
        <v>0</v>
      </c>
      <c r="I180" s="779"/>
      <c r="J180" s="779">
        <f>(P95/$R95*100*($E95/366))+(P96/$R96*100*($E96/366))</f>
        <v>0</v>
      </c>
      <c r="K180" s="779"/>
      <c r="L180" s="779">
        <f>(Q95/$R95*100*($E95/366))+(Q96/$R96*100*($E96/366))</f>
        <v>100</v>
      </c>
      <c r="M180" s="779"/>
      <c r="N180" s="810">
        <f t="shared" si="25"/>
        <v>100</v>
      </c>
      <c r="O180" s="810"/>
      <c r="R180" s="1">
        <v>2000</v>
      </c>
      <c r="S180" s="8">
        <f>(O95*($E95/366))+(O96*($E96/366))</f>
        <v>0</v>
      </c>
      <c r="T180" s="8">
        <f>(P95*($E95/366))+(P96*($E96/366))</f>
        <v>0</v>
      </c>
      <c r="U180" s="8">
        <f>(Q95*($E95/366))+(Q96*($E96/366))</f>
        <v>53.8</v>
      </c>
      <c r="W180" s="14">
        <f t="shared" si="26"/>
        <v>53.8</v>
      </c>
      <c r="X180" s="5"/>
    </row>
    <row r="181" spans="1:24" ht="9" customHeight="1" x14ac:dyDescent="0.15">
      <c r="A181" s="1">
        <v>2001</v>
      </c>
      <c r="B181" s="8">
        <f>(K97*($E97/365))+(K98*($E98/365))</f>
        <v>0</v>
      </c>
      <c r="C181" s="8">
        <f>(L97*($E97/365))+(L98*($E98/365))</f>
        <v>0</v>
      </c>
      <c r="D181" s="8">
        <f>(M97*($E97/365))+(M98*($E98/365))</f>
        <v>100</v>
      </c>
      <c r="E181" s="39">
        <f t="shared" si="24"/>
        <v>100</v>
      </c>
      <c r="G181" s="1">
        <v>2001</v>
      </c>
      <c r="H181" s="779">
        <f>(O97/$R97*100*($E97/365))+(O98/$R98*100*($E98/365))</f>
        <v>0</v>
      </c>
      <c r="I181" s="779"/>
      <c r="J181" s="779">
        <f>(P97/$R97*100*($E97/365))+(P98/$R98*100*($E98/365))</f>
        <v>0</v>
      </c>
      <c r="K181" s="779"/>
      <c r="L181" s="779">
        <f>(Q97/$R97*100*($E97/365))+(Q98/$R98*100*($E98/365))</f>
        <v>100</v>
      </c>
      <c r="M181" s="779"/>
      <c r="N181" s="810">
        <f t="shared" si="25"/>
        <v>100</v>
      </c>
      <c r="O181" s="810"/>
      <c r="R181" s="1">
        <v>2001</v>
      </c>
      <c r="S181" s="8">
        <f>(O97*($E97/365))+(O98*($E98/365))</f>
        <v>0</v>
      </c>
      <c r="T181" s="8">
        <f>(P97*($E97/365))+(P98*($E98/365))</f>
        <v>0</v>
      </c>
      <c r="U181" s="8">
        <f>(Q97*($E97/365))+(Q98*($E98/365))</f>
        <v>53.8</v>
      </c>
      <c r="W181" s="14">
        <f t="shared" si="26"/>
        <v>53.8</v>
      </c>
      <c r="X181" s="5"/>
    </row>
    <row r="182" spans="1:24" ht="9" customHeight="1" x14ac:dyDescent="0.15">
      <c r="A182" s="1">
        <v>2002</v>
      </c>
      <c r="B182" s="8">
        <f>(K99*($E99/365))+(K100*($E100/365))+(K101*($E101/365))</f>
        <v>43.831465338314651</v>
      </c>
      <c r="C182" s="8">
        <f>(L99*($E99/365))+(L100*($E100/365))+(L101*($E101/365))</f>
        <v>5.0486601171532675</v>
      </c>
      <c r="D182" s="8">
        <f>(M99*($E99/365))+(M100*($E100/365))+(M101*($E101/365))</f>
        <v>34.520547945205479</v>
      </c>
      <c r="E182" s="39">
        <f t="shared" si="24"/>
        <v>83.400673400673398</v>
      </c>
      <c r="G182" s="1">
        <v>2002</v>
      </c>
      <c r="H182" s="779">
        <f>(O99/$R99*100*($E99/365))+(O100/$R100*100*($E100/365))+(O101/$R101*100*($E101/365))</f>
        <v>56.370284201448086</v>
      </c>
      <c r="I182" s="779"/>
      <c r="J182" s="779">
        <f>(P99/$R99*100*($E99/365))+(P100/$R100*100*($E100/365))+(P101/$R101*100*($E101/365))</f>
        <v>9.1091678533464364</v>
      </c>
      <c r="K182" s="779"/>
      <c r="L182" s="779">
        <f>(Q99/$R99*100*($E99/365))+(Q100/$R100*100*($E100/365))+(Q101/$R101*100*($E101/365))</f>
        <v>34.520547945205479</v>
      </c>
      <c r="M182" s="779"/>
      <c r="N182" s="810">
        <f t="shared" si="25"/>
        <v>100</v>
      </c>
      <c r="O182" s="810"/>
      <c r="R182" s="1">
        <v>2002</v>
      </c>
      <c r="S182" s="8">
        <f>(O99*($E99/365))+(O100*($E100/365))+(O101*($E101/365))</f>
        <v>36.83041095890411</v>
      </c>
      <c r="T182" s="8">
        <f>(P99*($E99/365))+(P100*($E100/365))+(P101*($E101/365))</f>
        <v>4.9115068493150691</v>
      </c>
      <c r="U182" s="8">
        <f>(Q99*($E99/365))+(Q100*($E100/365))+(Q101*($E101/365))</f>
        <v>18.572054794520547</v>
      </c>
      <c r="W182" s="14">
        <f t="shared" si="26"/>
        <v>60.313972602739724</v>
      </c>
      <c r="X182" s="5"/>
    </row>
    <row r="183" spans="1:24" ht="9" customHeight="1" x14ac:dyDescent="0.15">
      <c r="A183" s="1">
        <v>2003</v>
      </c>
      <c r="B183" s="8">
        <f>(K102*($E102/365))+(K103*($E103/365))</f>
        <v>66.666666666666657</v>
      </c>
      <c r="C183" s="8">
        <f>(L102*($E102/365))+(L103*($E103/365))</f>
        <v>7.4074074074074066</v>
      </c>
      <c r="D183" s="8">
        <f>(M102*($E102/365))+(M103*($E103/365))</f>
        <v>0</v>
      </c>
      <c r="E183" s="39">
        <f t="shared" si="24"/>
        <v>74.074074074074062</v>
      </c>
      <c r="G183" s="1">
        <v>2003</v>
      </c>
      <c r="H183" s="779">
        <f>(O102/$R102*100*($E102/365))+(O103/$R103*100*($E103/365))</f>
        <v>92.679355783308921</v>
      </c>
      <c r="I183" s="779"/>
      <c r="J183" s="779">
        <f>(P102/$R102*100*($E102/365))+(P103/$R103*100*($E103/365))</f>
        <v>7.3206442166910692</v>
      </c>
      <c r="K183" s="779"/>
      <c r="L183" s="779">
        <f>(Q102/$R102*100*($E102/365))+(Q103/$R103*100*($E103/365))</f>
        <v>0</v>
      </c>
      <c r="M183" s="779"/>
      <c r="N183" s="810">
        <f t="shared" si="25"/>
        <v>99.999999999999986</v>
      </c>
      <c r="O183" s="810"/>
      <c r="R183" s="1">
        <v>2003</v>
      </c>
      <c r="S183" s="8">
        <f>(O102*($E102/365))+(O103*($E103/365))</f>
        <v>63.3</v>
      </c>
      <c r="T183" s="8">
        <f>(P102*($E102/365))+(P103*($E103/365))</f>
        <v>5</v>
      </c>
      <c r="U183" s="8">
        <f>(Q102*($E102/365))+(Q103*($E103/365))</f>
        <v>0</v>
      </c>
      <c r="W183" s="14">
        <f t="shared" si="26"/>
        <v>68.3</v>
      </c>
      <c r="X183" s="5"/>
    </row>
    <row r="184" spans="1:24" ht="9" customHeight="1" x14ac:dyDescent="0.15">
      <c r="A184" s="1">
        <v>2004</v>
      </c>
      <c r="B184" s="8">
        <f>(K104*($E104/366))+(K105*($E105/366))</f>
        <v>86.938127974616592</v>
      </c>
      <c r="C184" s="8">
        <f>(L104*($E104/366))+(L105*($E105/366))</f>
        <v>4.2540689817263049</v>
      </c>
      <c r="D184" s="8">
        <f>(M104*($E104/366))+(M105*($E105/366))</f>
        <v>0</v>
      </c>
      <c r="E184" s="39">
        <f t="shared" si="24"/>
        <v>91.192196956342897</v>
      </c>
      <c r="G184" s="1">
        <v>2004</v>
      </c>
      <c r="H184" s="779">
        <f>(O104/$R104*100*($E104/366))+(O105/$R105*100*($E105/366))</f>
        <v>92.679355783308921</v>
      </c>
      <c r="I184" s="779"/>
      <c r="J184" s="779">
        <f>(P104/$R104*100*($E104/366))+(P105/$R105*100*($E105/366))</f>
        <v>7.3206442166910684</v>
      </c>
      <c r="K184" s="779"/>
      <c r="L184" s="779">
        <f>(Q104/$R104*100*($E104/366))+(Q105/$R105*100*($E105/366))</f>
        <v>0</v>
      </c>
      <c r="M184" s="779"/>
      <c r="N184" s="810">
        <f t="shared" si="25"/>
        <v>99.999999999999986</v>
      </c>
      <c r="O184" s="810"/>
      <c r="R184" s="1">
        <v>2004</v>
      </c>
      <c r="S184" s="8">
        <f>(O104*($E104/366))+(O105*($E105/366))</f>
        <v>63.3</v>
      </c>
      <c r="T184" s="8">
        <f>(P104*($E104/366))+(P105*($E105/366))</f>
        <v>5</v>
      </c>
      <c r="U184" s="8">
        <f>(Q104*($E104/366))+(Q105*($E105/366))</f>
        <v>0</v>
      </c>
      <c r="W184" s="14">
        <f t="shared" si="26"/>
        <v>68.3</v>
      </c>
      <c r="X184" s="5"/>
    </row>
    <row r="185" spans="1:24" ht="9" customHeight="1" x14ac:dyDescent="0.15">
      <c r="A185" s="1">
        <v>2005</v>
      </c>
      <c r="B185" s="8">
        <f>(K106*($E106/365))+(K107*($E107/365))</f>
        <v>89.748121961997342</v>
      </c>
      <c r="C185" s="8">
        <f>(L106*($E106/365))+(L107*($E107/365))</f>
        <v>3.225806451612903</v>
      </c>
      <c r="D185" s="8">
        <f>(M106*($E106/365))+(M107*($E107/365))</f>
        <v>0</v>
      </c>
      <c r="E185" s="39">
        <f t="shared" si="24"/>
        <v>92.973928413610238</v>
      </c>
      <c r="G185" s="1">
        <v>2005</v>
      </c>
      <c r="H185" s="779">
        <f>(O106/$R106*100*($E106/365))+(O107/$R107*100*($E107/365))</f>
        <v>92.679355783308921</v>
      </c>
      <c r="I185" s="779"/>
      <c r="J185" s="779">
        <f>(P106/$R106*100*($E106/365))+(P107/$R107*100*($E107/365))</f>
        <v>7.3206442166910701</v>
      </c>
      <c r="K185" s="779"/>
      <c r="L185" s="779">
        <f>(Q106/$R106*100*($E106/365))+(Q107/$R107*100*($E107/365))</f>
        <v>0</v>
      </c>
      <c r="M185" s="779"/>
      <c r="N185" s="810">
        <f t="shared" si="25"/>
        <v>99.999999999999986</v>
      </c>
      <c r="O185" s="810"/>
      <c r="R185" s="1">
        <v>2005</v>
      </c>
      <c r="S185" s="8">
        <f>(O106*($E106/365))+(O107*($E107/365))</f>
        <v>63.3</v>
      </c>
      <c r="T185" s="8">
        <f>(P106*($E106/365))+(P107*($E107/365))</f>
        <v>5</v>
      </c>
      <c r="U185" s="8">
        <f>(Q106*($E106/365))+(Q107*($E107/365))</f>
        <v>0</v>
      </c>
      <c r="W185" s="14">
        <f t="shared" si="26"/>
        <v>68.3</v>
      </c>
      <c r="X185" s="5"/>
    </row>
    <row r="186" spans="1:24" ht="9" customHeight="1" x14ac:dyDescent="0.15">
      <c r="A186" s="1">
        <v>2006</v>
      </c>
      <c r="B186" s="8">
        <f>(K108*($E108/365))+(K109*($E109/365))</f>
        <v>87.096774193548384</v>
      </c>
      <c r="C186" s="8">
        <f>(L108*($E108/365))+(L109*($E109/365))</f>
        <v>3.225806451612903</v>
      </c>
      <c r="D186" s="8">
        <f>(M108*($E108/365))+(M109*($E109/365))</f>
        <v>0</v>
      </c>
      <c r="E186" s="39">
        <f t="shared" si="24"/>
        <v>90.322580645161281</v>
      </c>
      <c r="G186" s="1">
        <v>2006</v>
      </c>
      <c r="H186" s="779">
        <f>(O108/$R108*100*($E108/365))+(O109/$R109*100*($E109/365))</f>
        <v>92.679355783308921</v>
      </c>
      <c r="I186" s="779"/>
      <c r="J186" s="779">
        <f>(P108/$R108*100*($E108/365))+(P109/$R109*100*($E109/365))</f>
        <v>7.3206442166910692</v>
      </c>
      <c r="K186" s="779"/>
      <c r="L186" s="779">
        <f>(Q108/$R108*100*($E108/365))+(Q109/$R109*100*($E109/365))</f>
        <v>0</v>
      </c>
      <c r="M186" s="779"/>
      <c r="N186" s="810">
        <f t="shared" si="25"/>
        <v>99.999999999999986</v>
      </c>
      <c r="O186" s="810"/>
      <c r="R186" s="1">
        <v>2006</v>
      </c>
      <c r="S186" s="8">
        <f>(O108*($E108/365))+(O109*($E109/365))</f>
        <v>63.3</v>
      </c>
      <c r="T186" s="8">
        <f>(P108*($E108/365))+(P109*($E109/365))</f>
        <v>5</v>
      </c>
      <c r="U186" s="8">
        <f>(Q108*($E108/365))+(Q109*($E109/365))</f>
        <v>0</v>
      </c>
      <c r="W186" s="14">
        <f t="shared" si="26"/>
        <v>68.3</v>
      </c>
      <c r="X186" s="5"/>
    </row>
    <row r="187" spans="1:24" ht="9" customHeight="1" x14ac:dyDescent="0.15">
      <c r="A187" s="1">
        <v>2007</v>
      </c>
      <c r="B187" s="8">
        <f>(K110*($E110/365))+(K111*($E111/365))+(K112*($E112/365))</f>
        <v>79.540433053468846</v>
      </c>
      <c r="C187" s="8">
        <f>(L110*($E110/365))+(L111*($E111/365))+(L112*($E112/365))</f>
        <v>5.1148917366327886</v>
      </c>
      <c r="D187" s="8">
        <f>(M110*($E110/365))+(M111*($E111/365))+(M112*($E112/365))</f>
        <v>0</v>
      </c>
      <c r="E187" s="39">
        <f t="shared" si="24"/>
        <v>84.655324790101631</v>
      </c>
      <c r="G187" s="1">
        <v>2007</v>
      </c>
      <c r="H187" s="779">
        <f>(O110/$R110*100*($E110/365))+(O111/$R111*100*($E111/365))+(O112/$R112*100*($E112/365))</f>
        <v>93.727988921851164</v>
      </c>
      <c r="I187" s="779"/>
      <c r="J187" s="779">
        <f>(P110/$R110*100*($E110/365))+(P111/$R111*100*($E111/365))+(P112/$R112*100*($E112/365))</f>
        <v>6.272011078148843</v>
      </c>
      <c r="K187" s="779"/>
      <c r="L187" s="779">
        <f>(Q110/$R110*100*($E110/365))+(Q111/$R111*100*($E111/365))+(Q112/$R112*100*($E112/365))</f>
        <v>0</v>
      </c>
      <c r="M187" s="779"/>
      <c r="N187" s="810">
        <f t="shared" si="25"/>
        <v>100</v>
      </c>
      <c r="O187" s="810"/>
      <c r="R187" s="1">
        <v>2007</v>
      </c>
      <c r="S187" s="8">
        <f>(O110*($E110/365))+(O111*($E111/365))+(O112*($E112/365))</f>
        <v>58.359726027397265</v>
      </c>
      <c r="T187" s="8">
        <f>(P110*($E110/365))+(P111*($E111/365))+(P112*($E112/365))</f>
        <v>3.9172602739726026</v>
      </c>
      <c r="U187" s="8">
        <f>(Q110*($E110/365))+(Q111*($E111/365))+(Q112*($E112/365))</f>
        <v>0</v>
      </c>
      <c r="W187" s="14">
        <f t="shared" si="26"/>
        <v>62.276986301369867</v>
      </c>
      <c r="X187" s="5"/>
    </row>
    <row r="188" spans="1:24" ht="9" customHeight="1" x14ac:dyDescent="0.15">
      <c r="A188" s="1">
        <v>2008</v>
      </c>
      <c r="B188" s="8">
        <f>(K113*($E113/366))+(K114*($E114/366))</f>
        <v>75</v>
      </c>
      <c r="C188" s="8">
        <f>(L113*($E113/366))+(L114*($E114/366))</f>
        <v>6.25</v>
      </c>
      <c r="D188" s="8">
        <f>(M113*($E113/366))+(M114*($E114/366))</f>
        <v>0</v>
      </c>
      <c r="E188" s="39">
        <f t="shared" si="24"/>
        <v>81.25</v>
      </c>
      <c r="G188" s="1">
        <v>2008</v>
      </c>
      <c r="H188" s="779">
        <f>(O113/$R113*100*($E113/366))+(O114/$R114*100*($E114/366))</f>
        <v>93.436960276338525</v>
      </c>
      <c r="I188" s="779"/>
      <c r="J188" s="779">
        <f>(P113/$R113*100*($E113/366))+(P114/$R114*100*($E114/366))</f>
        <v>6.5630397236614844</v>
      </c>
      <c r="K188" s="779"/>
      <c r="L188" s="779">
        <f>(Q113/$R113*100*($E113/366))+(Q114/$R114*100*($E114/366))</f>
        <v>0</v>
      </c>
      <c r="M188" s="779"/>
      <c r="N188" s="810">
        <f t="shared" si="25"/>
        <v>100.00000000000001</v>
      </c>
      <c r="O188" s="810"/>
      <c r="R188" s="1">
        <v>2008</v>
      </c>
      <c r="S188" s="8">
        <f>(O113*($E113/366))+(O114*($E114/366))</f>
        <v>54.1</v>
      </c>
      <c r="T188" s="8">
        <f>(P113*($E113/366))+(P114*($E114/366))</f>
        <v>3.8</v>
      </c>
      <c r="U188" s="8">
        <f>(Q113*($E113/366))+(Q114*($E114/366))</f>
        <v>0</v>
      </c>
      <c r="W188" s="14">
        <f t="shared" si="26"/>
        <v>57.9</v>
      </c>
      <c r="X188" s="5"/>
    </row>
    <row r="189" spans="1:24" ht="9" customHeight="1" x14ac:dyDescent="0.15">
      <c r="A189" s="1">
        <v>2009</v>
      </c>
      <c r="B189" s="8">
        <f>(K115*($E115/365))+(K116*($E116/365))+(K117*($E117/365))</f>
        <v>82.841935620679408</v>
      </c>
      <c r="C189" s="8">
        <f>(L115*($E115/365))+(L116*($E116/365))+(L117*($E117/365))</f>
        <v>5.5707409135247454</v>
      </c>
      <c r="D189" s="8">
        <f>(M115*($E115/365))+(M116*($E116/365))+(M117*($E117/365))</f>
        <v>0</v>
      </c>
      <c r="E189" s="39">
        <f t="shared" si="24"/>
        <v>88.412676534204152</v>
      </c>
      <c r="G189" s="1">
        <v>2009</v>
      </c>
      <c r="H189" s="779">
        <f>(O115/$R115*100*($E115/365))+(O116/$R116*100*($E116/365))+(O117/$R117*100*($E117/365))</f>
        <v>93.43696027633851</v>
      </c>
      <c r="I189" s="779"/>
      <c r="J189" s="779">
        <f>(P115/$R115*100*($E115/365))+(P116/$R116*100*($E116/365))+(P117/$R117*100*($E117/365))</f>
        <v>6.5630397236614844</v>
      </c>
      <c r="K189" s="779"/>
      <c r="L189" s="779">
        <f>(Q115/$R115*100*($E115/365))+(Q116/$R116*100*($E116/365))+(Q117/$R117*100*($E117/365))</f>
        <v>0</v>
      </c>
      <c r="M189" s="779"/>
      <c r="N189" s="810">
        <f t="shared" si="25"/>
        <v>100</v>
      </c>
      <c r="O189" s="810"/>
      <c r="R189" s="1">
        <v>2009</v>
      </c>
      <c r="S189" s="8">
        <f>(O115*($E115/365))+(O116*($E116/365))+(O117*($E117/365))</f>
        <v>54.099999999999994</v>
      </c>
      <c r="T189" s="8">
        <f>(P115*($E115/365))+(P116*($E116/365))+(P117*($E117/365))</f>
        <v>3.8</v>
      </c>
      <c r="U189" s="8">
        <f>(Q115*($E115/365))+(Q116*($E116/365))+(Q117*($E117/365))</f>
        <v>0</v>
      </c>
      <c r="W189" s="14">
        <f t="shared" si="26"/>
        <v>57.899999999999991</v>
      </c>
      <c r="X189" s="5"/>
    </row>
    <row r="190" spans="1:24" ht="9" customHeight="1" x14ac:dyDescent="0.15">
      <c r="A190" s="1">
        <v>2010</v>
      </c>
      <c r="B190" s="8">
        <f>(K118*($E118/365))+(K119*($E119/365))</f>
        <v>81.144164759725399</v>
      </c>
      <c r="C190" s="8">
        <f>(L118*($E118/365))+(L119*($E119/365))</f>
        <v>4.5710165825522706</v>
      </c>
      <c r="D190" s="8">
        <f>(M118*($E118/365))+(M119*($E119/365))</f>
        <v>0</v>
      </c>
      <c r="E190" s="39">
        <f t="shared" si="24"/>
        <v>85.715181342277674</v>
      </c>
      <c r="G190" s="1">
        <v>2010</v>
      </c>
      <c r="H190" s="779">
        <f>(O118/$R118*100*($E118/365))+(O119/$R119*100*($E119/365))</f>
        <v>94.300044952326871</v>
      </c>
      <c r="I190" s="779"/>
      <c r="J190" s="779">
        <f>(P118/$R118*100*($E118/365))+(P119/$R119*100*($E119/365))</f>
        <v>5.6999550476731251</v>
      </c>
      <c r="K190" s="779"/>
      <c r="L190" s="779">
        <f>(Q118/$R118*100*($E118/365))+(Q119/$R119*100*($E119/365))</f>
        <v>0</v>
      </c>
      <c r="M190" s="779"/>
      <c r="N190" s="810">
        <f t="shared" si="25"/>
        <v>100</v>
      </c>
      <c r="O190" s="810"/>
      <c r="R190" s="1">
        <v>2010</v>
      </c>
      <c r="S190" s="8">
        <f>(O118*($E118/365))+(O119*($E119/365))</f>
        <v>54.1</v>
      </c>
      <c r="T190" s="8">
        <f>(P118*($E118/365))+(P119*($E119/365))</f>
        <v>3.3002739726027395</v>
      </c>
      <c r="U190" s="8">
        <f>(Q118*($E118/365))+(Q119*($E119/365))</f>
        <v>0</v>
      </c>
      <c r="W190" s="14">
        <f t="shared" si="26"/>
        <v>57.40027397260274</v>
      </c>
      <c r="X190" s="5"/>
    </row>
    <row r="191" spans="1:24" ht="9" customHeight="1" x14ac:dyDescent="0.15">
      <c r="A191" s="1">
        <v>2011</v>
      </c>
      <c r="B191" s="8">
        <f>(K120*($E120/365))+(K121*($E121/365))</f>
        <v>95.652173913043484</v>
      </c>
      <c r="C191" s="8">
        <f>(L120*($E120/365))+(L121*($E121/365))</f>
        <v>0</v>
      </c>
      <c r="D191" s="8">
        <f>(M120*($E120/365))+(M121*($E121/365))</f>
        <v>0</v>
      </c>
      <c r="E191" s="39">
        <f t="shared" si="24"/>
        <v>95.652173913043484</v>
      </c>
      <c r="G191" s="1">
        <v>2011</v>
      </c>
      <c r="H191" s="779">
        <f>(O120/$R120*100*($E120/365))+(O121/$R121*100*($E121/365))</f>
        <v>100</v>
      </c>
      <c r="I191" s="779"/>
      <c r="J191" s="779">
        <f>(P120/$R120*100*($E120/365))+(P121/$R121*100*($E121/365))</f>
        <v>0</v>
      </c>
      <c r="K191" s="779"/>
      <c r="L191" s="779">
        <f>(Q120/$R120*100*($E120/365))+(Q121/$R121*100*($E121/365))</f>
        <v>0</v>
      </c>
      <c r="M191" s="779"/>
      <c r="N191" s="810">
        <f t="shared" si="25"/>
        <v>100</v>
      </c>
      <c r="O191" s="810"/>
      <c r="R191" s="1">
        <v>2011</v>
      </c>
      <c r="S191" s="8">
        <f>(O120*($E120/365))+(O121*($E121/365))</f>
        <v>54.1</v>
      </c>
      <c r="T191" s="8">
        <f>(P120*($E120/365))+(P121*($E121/365))</f>
        <v>0</v>
      </c>
      <c r="U191" s="8">
        <f>(Q120*($E120/365))+(Q121*($E121/365))</f>
        <v>0</v>
      </c>
      <c r="W191" s="14">
        <f t="shared" si="26"/>
        <v>54.1</v>
      </c>
      <c r="X191" s="5"/>
    </row>
    <row r="192" spans="1:24" ht="9" customHeight="1" x14ac:dyDescent="0.15">
      <c r="A192" s="1">
        <v>2012</v>
      </c>
      <c r="B192" s="8">
        <f>(K122*($E122/366))+(K123*($E123/366))+(K124*($E124/366))</f>
        <v>35.542884295557144</v>
      </c>
      <c r="C192" s="8">
        <f>(L122*($E122/366))+(L123*($E123/366))+(L124*($E124/366))</f>
        <v>0</v>
      </c>
      <c r="D192" s="8">
        <f>(M122*($E122/366))+(M123*($E123/366))+(M124*($E124/366))</f>
        <v>62.841530054644814</v>
      </c>
      <c r="E192" s="39">
        <f t="shared" si="24"/>
        <v>98.384414350201951</v>
      </c>
      <c r="G192" s="1">
        <v>2012</v>
      </c>
      <c r="H192" s="779">
        <f>(O122/$R122*100*($E122/366))+(O123/$R123*100*($E123/366))+(O124/$R124*100*($E124/366))</f>
        <v>37.158469945355193</v>
      </c>
      <c r="I192" s="779"/>
      <c r="J192" s="779">
        <f>(P122/$R122*100*($E122/366))+(P123/$R123*100*($E123/366))+(P124/$R124*100*($E124/366))</f>
        <v>0</v>
      </c>
      <c r="K192" s="779"/>
      <c r="L192" s="779">
        <f>(Q122/$R122*100*($E122/366))+(Q123/$R123*100*($E123/366))+(Q124/$R124*100*($E124/366))</f>
        <v>62.841530054644814</v>
      </c>
      <c r="M192" s="779"/>
      <c r="N192" s="810">
        <f>SUM(H192:M192)</f>
        <v>100</v>
      </c>
      <c r="O192" s="810"/>
      <c r="R192" s="1">
        <v>2012</v>
      </c>
      <c r="S192" s="8">
        <f>(O122*($E122/366))+(O123*($E123/366))+(O124*($E124/366))</f>
        <v>20.10273224043716</v>
      </c>
      <c r="T192" s="8">
        <f>(P122*($E122/366))+(P123*($E123/366))+(P124*($E124/366))</f>
        <v>0</v>
      </c>
      <c r="U192" s="8">
        <f>(Q122*($E122/366))+(Q123*($E123/366))+(Q124*($E124/366))</f>
        <v>32.168579234972682</v>
      </c>
      <c r="W192" s="14">
        <f t="shared" si="26"/>
        <v>52.271311475409846</v>
      </c>
      <c r="X192" s="5"/>
    </row>
    <row r="193" spans="1:23" x14ac:dyDescent="0.15">
      <c r="A193" s="1">
        <v>2013</v>
      </c>
      <c r="B193" s="8">
        <f>(K125*($E125/365))+(K126*($E126/365))</f>
        <v>0</v>
      </c>
      <c r="C193" s="8">
        <f>(L125*($E125/365))+(L126*($E126/365))</f>
        <v>0</v>
      </c>
      <c r="D193" s="8">
        <f>(M125*($E125/365))+(M126*($E126/365))</f>
        <v>100</v>
      </c>
      <c r="E193" s="296">
        <f t="shared" si="24"/>
        <v>100</v>
      </c>
      <c r="G193" s="1">
        <v>2013</v>
      </c>
      <c r="H193" s="779">
        <f>(O125/$R125*100*($E125/365))+(O126/$R126*100*($E126/365))</f>
        <v>0</v>
      </c>
      <c r="I193" s="779"/>
      <c r="J193" s="779">
        <f>(P125/$R125*100*($E125/365))+(P126/$R126*100*($E126/365))</f>
        <v>0</v>
      </c>
      <c r="K193" s="779"/>
      <c r="L193" s="779">
        <f>(Q125/$R125*100*($E125/365))+(Q126/$R126*100*($E126/365))</f>
        <v>100</v>
      </c>
      <c r="M193" s="779"/>
      <c r="N193" s="810">
        <f>SUM(H193:M193)</f>
        <v>100</v>
      </c>
      <c r="O193" s="810"/>
      <c r="R193" s="1">
        <v>2013</v>
      </c>
      <c r="S193" s="8">
        <f>(O125*($E125/365))+(O126*($E126/365))</f>
        <v>0</v>
      </c>
      <c r="T193" s="8">
        <f>(P125*($E125/365))+(P126*($E126/365))</f>
        <v>0</v>
      </c>
      <c r="U193" s="8">
        <f>(Q125*($E125/365))+(Q126*($E126/365))</f>
        <v>53.5</v>
      </c>
      <c r="W193" s="14">
        <f>SUM(S193:U193)</f>
        <v>53.5</v>
      </c>
    </row>
    <row r="194" spans="1:23" x14ac:dyDescent="0.15">
      <c r="A194" s="1">
        <v>2014</v>
      </c>
      <c r="B194" s="8">
        <f>(K127*($E127/365))+(K128*($E128/365))+(K129*($E129/365))</f>
        <v>0</v>
      </c>
      <c r="C194" s="8">
        <f>(L127*($E127/365))+(L128*($E128/365))+(L129*($E129/365))</f>
        <v>0</v>
      </c>
      <c r="D194" s="8">
        <f>(M127*($E127/365))+(M128*($E128/365))+(M129*($E129/365))</f>
        <v>100</v>
      </c>
      <c r="E194" s="530">
        <f>SUM(B194:D194)</f>
        <v>100</v>
      </c>
      <c r="G194" s="1">
        <v>2014</v>
      </c>
      <c r="H194" s="779">
        <f>(O127/$R127*100*($E127/365))+(O128/$R128*100*($E128/365))+(O129/$R129*100*($E129/365))</f>
        <v>0</v>
      </c>
      <c r="I194" s="779"/>
      <c r="J194" s="779">
        <f>(P127/$R127*100*($E127/365))+(P128/$R128*100*($E128/365))+(P129/$R129*100*($E129/365))</f>
        <v>0</v>
      </c>
      <c r="K194" s="779"/>
      <c r="L194" s="779">
        <f>(Q127/$R127*100*($E127/365))+(Q128/$R128*100*($E128/365))+(Q129/$R129*100*($E129/365))</f>
        <v>100</v>
      </c>
      <c r="M194" s="779"/>
      <c r="N194" s="810">
        <f>SUM(H194:M194)</f>
        <v>100</v>
      </c>
      <c r="O194" s="810"/>
      <c r="R194" s="1">
        <v>2014</v>
      </c>
      <c r="S194" s="8">
        <f>(O127*($E127/365))+(O128*($E128/365))+(O129*($E129/365))</f>
        <v>0</v>
      </c>
      <c r="T194" s="8">
        <f>(P127*($E127/365))+(P128*($E128/365))+(P129*($E129/365))</f>
        <v>0</v>
      </c>
      <c r="U194" s="8">
        <f>(Q127*($E127/365))+(Q128*($E128/365))+(Q129*($E129/365))</f>
        <v>51.004657534246576</v>
      </c>
      <c r="W194" s="14">
        <f>SUM(S194:U194)</f>
        <v>51.004657534246576</v>
      </c>
    </row>
    <row r="195" spans="1:23" s="723" customFormat="1" x14ac:dyDescent="0.15">
      <c r="A195" s="723">
        <v>2015</v>
      </c>
      <c r="B195" s="717">
        <f>(K130*($E130/365))+(K131*($E131/365))</f>
        <v>0</v>
      </c>
      <c r="C195" s="717">
        <f>(L130*($E130/365))+(L131*($E131/365))</f>
        <v>0</v>
      </c>
      <c r="D195" s="717">
        <f>(M130*($E130/365))+(M131*($E131/365))</f>
        <v>100</v>
      </c>
      <c r="E195" s="718">
        <f>SUM(B195:D195)</f>
        <v>100</v>
      </c>
      <c r="G195" s="723">
        <v>2015</v>
      </c>
      <c r="H195" s="779">
        <f>(O130/$R130*100*($E130/365))+(O131/$R131*100*($E131/365))</f>
        <v>0</v>
      </c>
      <c r="I195" s="779"/>
      <c r="J195" s="779">
        <f>(P130/$R130*100*($E130/365))+(P131/$R131*100*($E131/365))</f>
        <v>0</v>
      </c>
      <c r="K195" s="779"/>
      <c r="L195" s="779">
        <f>(Q130/$R130*100*($E130/365))+(Q131/$R131*100*($E131/365))</f>
        <v>100</v>
      </c>
      <c r="M195" s="779"/>
      <c r="N195" s="810">
        <f>SUM(H195:M195)</f>
        <v>100</v>
      </c>
      <c r="O195" s="810"/>
      <c r="R195" s="723">
        <v>2015</v>
      </c>
      <c r="S195" s="717">
        <f>(O130*($E130/365))+(O131*($E131/365))</f>
        <v>0</v>
      </c>
      <c r="T195" s="717">
        <f>(P130*($E130/365))+(P131*($E131/365))</f>
        <v>0</v>
      </c>
      <c r="U195" s="717">
        <f>(Q130*($E130/365))+(Q131*($E131/365))</f>
        <v>50.2</v>
      </c>
      <c r="W195" s="722">
        <f>SUM(S195:U195)</f>
        <v>50.2</v>
      </c>
    </row>
    <row r="196" spans="1:23" s="723" customFormat="1" x14ac:dyDescent="0.15"/>
  </sheetData>
  <mergeCells count="380">
    <mergeCell ref="AT4:AW4"/>
    <mergeCell ref="AX4:BA4"/>
    <mergeCell ref="C7:D7"/>
    <mergeCell ref="C6:D6"/>
    <mergeCell ref="N189:O189"/>
    <mergeCell ref="N190:O190"/>
    <mergeCell ref="N177:O177"/>
    <mergeCell ref="N178:O178"/>
    <mergeCell ref="N179:O179"/>
    <mergeCell ref="N180:O180"/>
    <mergeCell ref="N165:O165"/>
    <mergeCell ref="N166:O166"/>
    <mergeCell ref="N167:O167"/>
    <mergeCell ref="N168:O168"/>
    <mergeCell ref="N169:O169"/>
    <mergeCell ref="N170:O170"/>
    <mergeCell ref="N159:O159"/>
    <mergeCell ref="N160:O160"/>
    <mergeCell ref="N161:O161"/>
    <mergeCell ref="N162:O162"/>
    <mergeCell ref="N163:O163"/>
    <mergeCell ref="N164:O164"/>
    <mergeCell ref="N153:O153"/>
    <mergeCell ref="N154:O154"/>
    <mergeCell ref="N191:O191"/>
    <mergeCell ref="N192:O192"/>
    <mergeCell ref="N183:O183"/>
    <mergeCell ref="N184:O184"/>
    <mergeCell ref="N185:O185"/>
    <mergeCell ref="N186:O186"/>
    <mergeCell ref="N188:O188"/>
    <mergeCell ref="N187:O187"/>
    <mergeCell ref="N171:O171"/>
    <mergeCell ref="N181:O181"/>
    <mergeCell ref="N182:O182"/>
    <mergeCell ref="N172:O172"/>
    <mergeCell ref="N173:O173"/>
    <mergeCell ref="N174:O174"/>
    <mergeCell ref="N175:O175"/>
    <mergeCell ref="N176:O176"/>
    <mergeCell ref="N155:O155"/>
    <mergeCell ref="N156:O156"/>
    <mergeCell ref="N157:O157"/>
    <mergeCell ref="N158:O158"/>
    <mergeCell ref="N147:O147"/>
    <mergeCell ref="N148:O148"/>
    <mergeCell ref="N149:O149"/>
    <mergeCell ref="N150:O150"/>
    <mergeCell ref="N151:O151"/>
    <mergeCell ref="N152:O152"/>
    <mergeCell ref="N141:O141"/>
    <mergeCell ref="N142:O142"/>
    <mergeCell ref="N143:O143"/>
    <mergeCell ref="N144:O144"/>
    <mergeCell ref="N145:O145"/>
    <mergeCell ref="N146:O146"/>
    <mergeCell ref="L187:M187"/>
    <mergeCell ref="L188:M188"/>
    <mergeCell ref="L189:M189"/>
    <mergeCell ref="L175:M175"/>
    <mergeCell ref="L176:M176"/>
    <mergeCell ref="L177:M177"/>
    <mergeCell ref="L178:M178"/>
    <mergeCell ref="L179:M179"/>
    <mergeCell ref="L180:M180"/>
    <mergeCell ref="L169:M169"/>
    <mergeCell ref="L170:M170"/>
    <mergeCell ref="L171:M171"/>
    <mergeCell ref="L172:M172"/>
    <mergeCell ref="L173:M173"/>
    <mergeCell ref="L174:M174"/>
    <mergeCell ref="L163:M163"/>
    <mergeCell ref="L164:M164"/>
    <mergeCell ref="L165:M165"/>
    <mergeCell ref="L190:M190"/>
    <mergeCell ref="L191:M191"/>
    <mergeCell ref="L192:M192"/>
    <mergeCell ref="L181:M181"/>
    <mergeCell ref="L182:M182"/>
    <mergeCell ref="L183:M183"/>
    <mergeCell ref="L184:M184"/>
    <mergeCell ref="L185:M185"/>
    <mergeCell ref="L186:M186"/>
    <mergeCell ref="L166:M166"/>
    <mergeCell ref="L167:M167"/>
    <mergeCell ref="L168:M168"/>
    <mergeCell ref="L157:M157"/>
    <mergeCell ref="L158:M158"/>
    <mergeCell ref="L159:M159"/>
    <mergeCell ref="L160:M160"/>
    <mergeCell ref="L161:M161"/>
    <mergeCell ref="L162:M162"/>
    <mergeCell ref="L152:M152"/>
    <mergeCell ref="L153:M153"/>
    <mergeCell ref="L154:M154"/>
    <mergeCell ref="L155:M155"/>
    <mergeCell ref="L156:M156"/>
    <mergeCell ref="L145:M145"/>
    <mergeCell ref="L146:M146"/>
    <mergeCell ref="L147:M147"/>
    <mergeCell ref="L148:M148"/>
    <mergeCell ref="L149:M149"/>
    <mergeCell ref="L150:M150"/>
    <mergeCell ref="J188:K188"/>
    <mergeCell ref="J189:K189"/>
    <mergeCell ref="J190:K190"/>
    <mergeCell ref="J191:K191"/>
    <mergeCell ref="J192:K192"/>
    <mergeCell ref="L140:M140"/>
    <mergeCell ref="L141:M141"/>
    <mergeCell ref="L142:M142"/>
    <mergeCell ref="L143:M143"/>
    <mergeCell ref="L144:M144"/>
    <mergeCell ref="J182:K182"/>
    <mergeCell ref="J183:K183"/>
    <mergeCell ref="J184:K184"/>
    <mergeCell ref="J185:K185"/>
    <mergeCell ref="J186:K186"/>
    <mergeCell ref="J187:K187"/>
    <mergeCell ref="J176:K176"/>
    <mergeCell ref="J177:K177"/>
    <mergeCell ref="J178:K178"/>
    <mergeCell ref="J179:K179"/>
    <mergeCell ref="J180:K180"/>
    <mergeCell ref="J181:K181"/>
    <mergeCell ref="J170:K170"/>
    <mergeCell ref="J171:K171"/>
    <mergeCell ref="J172:K172"/>
    <mergeCell ref="J159:K159"/>
    <mergeCell ref="J160:K160"/>
    <mergeCell ref="J161:K161"/>
    <mergeCell ref="J158:K158"/>
    <mergeCell ref="J173:K173"/>
    <mergeCell ref="J174:K174"/>
    <mergeCell ref="J175:K175"/>
    <mergeCell ref="J164:K164"/>
    <mergeCell ref="J165:K165"/>
    <mergeCell ref="J166:K166"/>
    <mergeCell ref="J167:K167"/>
    <mergeCell ref="J168:K168"/>
    <mergeCell ref="J169:K169"/>
    <mergeCell ref="H162:I162"/>
    <mergeCell ref="H163:I163"/>
    <mergeCell ref="H164:I164"/>
    <mergeCell ref="H153:I153"/>
    <mergeCell ref="H154:I154"/>
    <mergeCell ref="J162:K162"/>
    <mergeCell ref="J163:K163"/>
    <mergeCell ref="J152:K152"/>
    <mergeCell ref="J153:K153"/>
    <mergeCell ref="J154:K154"/>
    <mergeCell ref="J155:K155"/>
    <mergeCell ref="J156:K156"/>
    <mergeCell ref="J157:K157"/>
    <mergeCell ref="H155:I155"/>
    <mergeCell ref="H156:I156"/>
    <mergeCell ref="H157:I157"/>
    <mergeCell ref="H158:I158"/>
    <mergeCell ref="H152:I152"/>
    <mergeCell ref="H189:I189"/>
    <mergeCell ref="H190:I190"/>
    <mergeCell ref="H191:I191"/>
    <mergeCell ref="H176:I176"/>
    <mergeCell ref="H165:I165"/>
    <mergeCell ref="H166:I166"/>
    <mergeCell ref="H167:I167"/>
    <mergeCell ref="H168:I168"/>
    <mergeCell ref="H169:I169"/>
    <mergeCell ref="H170:I170"/>
    <mergeCell ref="H182:I182"/>
    <mergeCell ref="H171:I171"/>
    <mergeCell ref="H172:I172"/>
    <mergeCell ref="H173:I173"/>
    <mergeCell ref="H174:I174"/>
    <mergeCell ref="H175:I175"/>
    <mergeCell ref="H192:I192"/>
    <mergeCell ref="J140:K140"/>
    <mergeCell ref="J141:K141"/>
    <mergeCell ref="J142:K142"/>
    <mergeCell ref="J143:K143"/>
    <mergeCell ref="J144:K144"/>
    <mergeCell ref="J145:K145"/>
    <mergeCell ref="H183:I183"/>
    <mergeCell ref="H184:I184"/>
    <mergeCell ref="H185:I185"/>
    <mergeCell ref="H186:I186"/>
    <mergeCell ref="H187:I187"/>
    <mergeCell ref="H188:I188"/>
    <mergeCell ref="H177:I177"/>
    <mergeCell ref="H178:I178"/>
    <mergeCell ref="H179:I179"/>
    <mergeCell ref="H180:I180"/>
    <mergeCell ref="H181:I181"/>
    <mergeCell ref="H159:I159"/>
    <mergeCell ref="H160:I160"/>
    <mergeCell ref="H161:I161"/>
    <mergeCell ref="H147:I147"/>
    <mergeCell ref="H148:I148"/>
    <mergeCell ref="H149:I149"/>
    <mergeCell ref="R136:W136"/>
    <mergeCell ref="H138:I138"/>
    <mergeCell ref="J138:K138"/>
    <mergeCell ref="L138:M138"/>
    <mergeCell ref="N138:O138"/>
    <mergeCell ref="H140:I140"/>
    <mergeCell ref="N140:O140"/>
    <mergeCell ref="H139:I139"/>
    <mergeCell ref="J139:K139"/>
    <mergeCell ref="L139:M139"/>
    <mergeCell ref="J146:K146"/>
    <mergeCell ref="J147:K147"/>
    <mergeCell ref="J148:K148"/>
    <mergeCell ref="J149:K149"/>
    <mergeCell ref="J150:K150"/>
    <mergeCell ref="J151:K151"/>
    <mergeCell ref="H150:I150"/>
    <mergeCell ref="H151:I151"/>
    <mergeCell ref="G3:M3"/>
    <mergeCell ref="L151:M151"/>
    <mergeCell ref="H145:I145"/>
    <mergeCell ref="H146:I146"/>
    <mergeCell ref="O3:Q3"/>
    <mergeCell ref="C9:D9"/>
    <mergeCell ref="C10:D10"/>
    <mergeCell ref="A4:A5"/>
    <mergeCell ref="B4:B5"/>
    <mergeCell ref="C4:D5"/>
    <mergeCell ref="E4:E5"/>
    <mergeCell ref="F4:F5"/>
    <mergeCell ref="G4:J4"/>
    <mergeCell ref="Z4:AC4"/>
    <mergeCell ref="AD4:AG4"/>
    <mergeCell ref="AH4:AK4"/>
    <mergeCell ref="AL4:AO4"/>
    <mergeCell ref="U4:U5"/>
    <mergeCell ref="V4:Y4"/>
    <mergeCell ref="C19:D19"/>
    <mergeCell ref="C20:D20"/>
    <mergeCell ref="AP4:AS4"/>
    <mergeCell ref="C8:D8"/>
    <mergeCell ref="K4:N4"/>
    <mergeCell ref="O4:R4"/>
    <mergeCell ref="S4:S5"/>
    <mergeCell ref="T4:T5"/>
    <mergeCell ref="C11:D11"/>
    <mergeCell ref="C12:D12"/>
    <mergeCell ref="C13:D13"/>
    <mergeCell ref="C14:D14"/>
    <mergeCell ref="C15:D15"/>
    <mergeCell ref="C16:D16"/>
    <mergeCell ref="C17:D17"/>
    <mergeCell ref="C18:D18"/>
    <mergeCell ref="C21:D21"/>
    <mergeCell ref="C22:D22"/>
    <mergeCell ref="C23:D23"/>
    <mergeCell ref="C24:D24"/>
    <mergeCell ref="C27:D27"/>
    <mergeCell ref="C28:D28"/>
    <mergeCell ref="C25:D25"/>
    <mergeCell ref="C26:D26"/>
    <mergeCell ref="C29:D29"/>
    <mergeCell ref="C30:D30"/>
    <mergeCell ref="C33:D33"/>
    <mergeCell ref="C34:D34"/>
    <mergeCell ref="C31:D31"/>
    <mergeCell ref="C32:D32"/>
    <mergeCell ref="C35:D35"/>
    <mergeCell ref="C36:D36"/>
    <mergeCell ref="C39:D39"/>
    <mergeCell ref="C40:D40"/>
    <mergeCell ref="C37:D37"/>
    <mergeCell ref="C38:D38"/>
    <mergeCell ref="C41:D41"/>
    <mergeCell ref="C42:D42"/>
    <mergeCell ref="C45:D45"/>
    <mergeCell ref="C46:D46"/>
    <mergeCell ref="C43:D43"/>
    <mergeCell ref="C44:D44"/>
    <mergeCell ref="C47:D47"/>
    <mergeCell ref="C48:D48"/>
    <mergeCell ref="C51:D51"/>
    <mergeCell ref="C52:D52"/>
    <mergeCell ref="C49:D49"/>
    <mergeCell ref="C50:D50"/>
    <mergeCell ref="C53:D53"/>
    <mergeCell ref="C54:D54"/>
    <mergeCell ref="C57:D57"/>
    <mergeCell ref="C58:D58"/>
    <mergeCell ref="C55:D55"/>
    <mergeCell ref="C56:D56"/>
    <mergeCell ref="C59:D59"/>
    <mergeCell ref="C60:D60"/>
    <mergeCell ref="C63:D63"/>
    <mergeCell ref="C64:D64"/>
    <mergeCell ref="C61:D61"/>
    <mergeCell ref="C62:D62"/>
    <mergeCell ref="C65:D65"/>
    <mergeCell ref="C66:D66"/>
    <mergeCell ref="C69:D69"/>
    <mergeCell ref="C70:D70"/>
    <mergeCell ref="C67:D67"/>
    <mergeCell ref="C68:D68"/>
    <mergeCell ref="C71:D71"/>
    <mergeCell ref="C72:D72"/>
    <mergeCell ref="C75:D75"/>
    <mergeCell ref="C76:D76"/>
    <mergeCell ref="C73:D73"/>
    <mergeCell ref="C74:D74"/>
    <mergeCell ref="C77:D77"/>
    <mergeCell ref="C78:D78"/>
    <mergeCell ref="C81:D81"/>
    <mergeCell ref="C82:D82"/>
    <mergeCell ref="C79:D79"/>
    <mergeCell ref="C80:D80"/>
    <mergeCell ref="C83:D83"/>
    <mergeCell ref="C84:D84"/>
    <mergeCell ref="C88:D88"/>
    <mergeCell ref="C89:D89"/>
    <mergeCell ref="C86:D86"/>
    <mergeCell ref="C87:D87"/>
    <mergeCell ref="C85:D85"/>
    <mergeCell ref="C90:D90"/>
    <mergeCell ref="C91:D91"/>
    <mergeCell ref="C94:D94"/>
    <mergeCell ref="C95:D95"/>
    <mergeCell ref="C92:D92"/>
    <mergeCell ref="C93:D93"/>
    <mergeCell ref="C96:D96"/>
    <mergeCell ref="C97:D97"/>
    <mergeCell ref="C101:D101"/>
    <mergeCell ref="C102:D102"/>
    <mergeCell ref="C98:D98"/>
    <mergeCell ref="C99:D99"/>
    <mergeCell ref="C100:D100"/>
    <mergeCell ref="C103:D103"/>
    <mergeCell ref="C104:D104"/>
    <mergeCell ref="C107:D107"/>
    <mergeCell ref="C108:D108"/>
    <mergeCell ref="C105:D105"/>
    <mergeCell ref="C106:D106"/>
    <mergeCell ref="C109:D109"/>
    <mergeCell ref="C110:D110"/>
    <mergeCell ref="C120:D120"/>
    <mergeCell ref="C121:D121"/>
    <mergeCell ref="C112:D112"/>
    <mergeCell ref="C113:D113"/>
    <mergeCell ref="C111:D111"/>
    <mergeCell ref="C122:D122"/>
    <mergeCell ref="C124:D124"/>
    <mergeCell ref="C114:D114"/>
    <mergeCell ref="C115:D115"/>
    <mergeCell ref="C116:D116"/>
    <mergeCell ref="C117:D117"/>
    <mergeCell ref="C118:D118"/>
    <mergeCell ref="C119:D119"/>
    <mergeCell ref="C123:D123"/>
    <mergeCell ref="C130:D130"/>
    <mergeCell ref="C131:D131"/>
    <mergeCell ref="H195:I195"/>
    <mergeCell ref="J195:K195"/>
    <mergeCell ref="L195:M195"/>
    <mergeCell ref="N195:O195"/>
    <mergeCell ref="N194:O194"/>
    <mergeCell ref="N193:O193"/>
    <mergeCell ref="C125:D125"/>
    <mergeCell ref="C126:D126"/>
    <mergeCell ref="L193:M193"/>
    <mergeCell ref="H193:I193"/>
    <mergeCell ref="J193:K193"/>
    <mergeCell ref="N139:O139"/>
    <mergeCell ref="H141:I141"/>
    <mergeCell ref="H142:I142"/>
    <mergeCell ref="C128:D128"/>
    <mergeCell ref="C127:D127"/>
    <mergeCell ref="C129:D129"/>
    <mergeCell ref="H194:I194"/>
    <mergeCell ref="J194:K194"/>
    <mergeCell ref="L194:M194"/>
    <mergeCell ref="H143:I143"/>
    <mergeCell ref="H144:I144"/>
  </mergeCells>
  <phoneticPr fontId="0" type="noConversion"/>
  <pageMargins left="0.78740157499999996" right="0.78740157499999996" top="0.984251969" bottom="0.984251969" header="0.4921259845" footer="0.4921259845"/>
  <pageSetup paperSize="9" orientation="portrait" r:id="rId1"/>
  <headerFooter alignWithMargins="0"/>
  <ignoredErrors>
    <ignoredError sqref="N74" formulaRange="1"/>
  </ignoredErrors>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88"/>
  <sheetViews>
    <sheetView zoomScale="120" zoomScaleNormal="120" workbookViewId="0">
      <pane xSplit="1" ySplit="5" topLeftCell="K92" activePane="bottomRight" state="frozen"/>
      <selection pane="topRight" activeCell="B1" sqref="B1"/>
      <selection pane="bottomLeft" activeCell="A6" sqref="A6"/>
      <selection pane="bottomRight" activeCell="S119" sqref="S119"/>
    </sheetView>
  </sheetViews>
  <sheetFormatPr baseColWidth="10" defaultColWidth="10.7109375" defaultRowHeight="9" x14ac:dyDescent="0.15"/>
  <cols>
    <col min="1" max="1" width="5.85546875" style="1" customWidth="1"/>
    <col min="2" max="6" width="7.85546875" style="1" customWidth="1"/>
    <col min="7" max="18" width="4.5703125" style="1" customWidth="1"/>
    <col min="19" max="21" width="7.85546875" style="1" customWidth="1"/>
    <col min="22" max="53" width="5.7109375" style="1" customWidth="1"/>
    <col min="54" max="16384" width="10.7109375" style="1"/>
  </cols>
  <sheetData>
    <row r="1" spans="1:53" s="2" customFormat="1" ht="15" customHeight="1" x14ac:dyDescent="0.2">
      <c r="B1" s="22" t="s">
        <v>14</v>
      </c>
    </row>
    <row r="2" spans="1:53" s="2" customFormat="1" ht="15" customHeight="1" x14ac:dyDescent="0.2">
      <c r="B2" s="22" t="s">
        <v>55</v>
      </c>
    </row>
    <row r="3" spans="1:53" s="2" customFormat="1" x14ac:dyDescent="0.15">
      <c r="G3" s="814"/>
      <c r="H3" s="814"/>
      <c r="I3" s="814"/>
      <c r="J3" s="814"/>
      <c r="K3" s="814"/>
      <c r="L3" s="814"/>
      <c r="M3" s="814"/>
      <c r="O3" s="814"/>
      <c r="P3" s="814"/>
      <c r="Q3" s="814"/>
      <c r="R3" s="6"/>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1" t="s">
        <v>23</v>
      </c>
      <c r="AU5" s="351" t="s">
        <v>24</v>
      </c>
      <c r="AV5" s="351" t="s">
        <v>25</v>
      </c>
      <c r="AW5" s="353" t="s">
        <v>1217</v>
      </c>
      <c r="AX5" s="351" t="s">
        <v>23</v>
      </c>
      <c r="AY5" s="351" t="s">
        <v>24</v>
      </c>
      <c r="AZ5" s="351" t="s">
        <v>25</v>
      </c>
      <c r="BA5" s="354" t="s">
        <v>1217</v>
      </c>
    </row>
    <row r="6" spans="1:53" s="257" customFormat="1" x14ac:dyDescent="0.15">
      <c r="A6" s="263">
        <v>1959</v>
      </c>
      <c r="B6" s="252"/>
      <c r="C6" s="798" t="s">
        <v>534</v>
      </c>
      <c r="D6" s="798"/>
      <c r="E6" s="257">
        <v>0</v>
      </c>
      <c r="G6" s="265">
        <v>2</v>
      </c>
      <c r="H6" s="257">
        <v>15</v>
      </c>
      <c r="J6" s="272">
        <v>17</v>
      </c>
      <c r="K6" s="248">
        <f>G6/J6*100</f>
        <v>11.76470588235294</v>
      </c>
      <c r="L6" s="248">
        <f>H6/J6*100</f>
        <v>88.235294117647058</v>
      </c>
      <c r="M6" s="248">
        <f>I6/J6*100</f>
        <v>0</v>
      </c>
      <c r="N6" s="267">
        <f>SUM(K6:M6)</f>
        <v>100</v>
      </c>
      <c r="O6" s="247">
        <v>3.4</v>
      </c>
      <c r="P6" s="248">
        <v>54.4</v>
      </c>
      <c r="Q6" s="248"/>
      <c r="R6" s="249">
        <f>SUM(O6:Q6)</f>
        <v>57.8</v>
      </c>
      <c r="S6" s="254">
        <v>3</v>
      </c>
      <c r="T6" s="251"/>
      <c r="U6" s="252"/>
      <c r="V6" s="256" t="s">
        <v>129</v>
      </c>
      <c r="W6" s="257" t="s">
        <v>17</v>
      </c>
      <c r="X6" s="257" t="s">
        <v>18</v>
      </c>
      <c r="Y6" s="257">
        <v>43.7</v>
      </c>
      <c r="Z6" s="256" t="s">
        <v>130</v>
      </c>
      <c r="AA6" s="257" t="s">
        <v>82</v>
      </c>
      <c r="AB6" s="257" t="s">
        <v>18</v>
      </c>
      <c r="AC6" s="257">
        <v>10.7</v>
      </c>
      <c r="AD6" s="256" t="s">
        <v>131</v>
      </c>
      <c r="AE6" s="257" t="s">
        <v>76</v>
      </c>
      <c r="AF6" s="257" t="s">
        <v>11</v>
      </c>
      <c r="AG6" s="258">
        <v>3.4</v>
      </c>
      <c r="AL6" s="256"/>
      <c r="AO6" s="258"/>
      <c r="AP6" s="256"/>
      <c r="AS6" s="258"/>
      <c r="AW6" s="258"/>
      <c r="BA6" s="259"/>
    </row>
    <row r="7" spans="1:53" s="257" customFormat="1" x14ac:dyDescent="0.15">
      <c r="A7" s="263">
        <v>1959</v>
      </c>
      <c r="B7" s="252"/>
      <c r="C7" s="798" t="s">
        <v>534</v>
      </c>
      <c r="D7" s="798"/>
      <c r="E7" s="257">
        <v>365</v>
      </c>
      <c r="G7" s="265">
        <v>2</v>
      </c>
      <c r="H7" s="257">
        <v>15</v>
      </c>
      <c r="J7" s="272">
        <v>17</v>
      </c>
      <c r="K7" s="248">
        <f>G7/J7*100</f>
        <v>11.76470588235294</v>
      </c>
      <c r="L7" s="248">
        <f>H7/J7*100</f>
        <v>88.235294117647058</v>
      </c>
      <c r="M7" s="248">
        <f>I7/J7*100</f>
        <v>0</v>
      </c>
      <c r="N7" s="267">
        <f>SUM(K7:M7)</f>
        <v>100</v>
      </c>
      <c r="O7" s="247">
        <v>3.4</v>
      </c>
      <c r="P7" s="248">
        <v>54.4</v>
      </c>
      <c r="Q7" s="248"/>
      <c r="R7" s="249">
        <f>SUM(O7:Q7)</f>
        <v>57.8</v>
      </c>
      <c r="S7" s="254">
        <v>3</v>
      </c>
      <c r="T7" s="251"/>
      <c r="U7" s="252"/>
      <c r="V7" s="256" t="s">
        <v>129</v>
      </c>
      <c r="W7" s="257" t="s">
        <v>17</v>
      </c>
      <c r="X7" s="257" t="s">
        <v>18</v>
      </c>
      <c r="Y7" s="257">
        <v>43.7</v>
      </c>
      <c r="Z7" s="256" t="s">
        <v>130</v>
      </c>
      <c r="AA7" s="257" t="s">
        <v>82</v>
      </c>
      <c r="AB7" s="257" t="s">
        <v>18</v>
      </c>
      <c r="AC7" s="257">
        <v>10.7</v>
      </c>
      <c r="AD7" s="256" t="s">
        <v>131</v>
      </c>
      <c r="AE7" s="257" t="s">
        <v>76</v>
      </c>
      <c r="AF7" s="257" t="s">
        <v>11</v>
      </c>
      <c r="AG7" s="258">
        <v>3.4</v>
      </c>
      <c r="AL7" s="256"/>
      <c r="AO7" s="258"/>
      <c r="AP7" s="256"/>
      <c r="AS7" s="258"/>
      <c r="AW7" s="258"/>
      <c r="BA7" s="259"/>
    </row>
    <row r="8" spans="1:53" s="73" customFormat="1" x14ac:dyDescent="0.15">
      <c r="A8" s="102">
        <v>1960</v>
      </c>
      <c r="B8" s="85"/>
      <c r="C8" s="786" t="s">
        <v>534</v>
      </c>
      <c r="D8" s="786"/>
      <c r="E8" s="73">
        <v>182</v>
      </c>
      <c r="G8" s="123">
        <v>2</v>
      </c>
      <c r="H8" s="73">
        <v>15</v>
      </c>
      <c r="J8" s="134">
        <v>17</v>
      </c>
      <c r="K8" s="92">
        <f>G8/J8*100</f>
        <v>11.76470588235294</v>
      </c>
      <c r="L8" s="92">
        <f t="shared" ref="L8:L69" si="0">H8/J8*100</f>
        <v>88.235294117647058</v>
      </c>
      <c r="M8" s="92">
        <f t="shared" ref="M8:M69" si="1">I8/J8*100</f>
        <v>0</v>
      </c>
      <c r="N8" s="125">
        <f>SUM(K8:M8)</f>
        <v>100</v>
      </c>
      <c r="O8" s="91">
        <v>3.4</v>
      </c>
      <c r="P8" s="92">
        <v>54.4</v>
      </c>
      <c r="Q8" s="92"/>
      <c r="R8" s="93">
        <f>SUM(O8:Q8)</f>
        <v>57.8</v>
      </c>
      <c r="S8" s="97">
        <v>3</v>
      </c>
      <c r="T8" s="95"/>
      <c r="U8" s="85"/>
      <c r="V8" s="82" t="s">
        <v>129</v>
      </c>
      <c r="W8" s="73" t="s">
        <v>17</v>
      </c>
      <c r="X8" s="73" t="s">
        <v>18</v>
      </c>
      <c r="Y8" s="73">
        <v>43.7</v>
      </c>
      <c r="Z8" s="82" t="s">
        <v>130</v>
      </c>
      <c r="AA8" s="73" t="s">
        <v>82</v>
      </c>
      <c r="AB8" s="73" t="s">
        <v>18</v>
      </c>
      <c r="AC8" s="73">
        <v>10.7</v>
      </c>
      <c r="AD8" s="82" t="s">
        <v>131</v>
      </c>
      <c r="AE8" s="73" t="s">
        <v>76</v>
      </c>
      <c r="AF8" s="73" t="s">
        <v>11</v>
      </c>
      <c r="AG8" s="83">
        <v>3.4</v>
      </c>
      <c r="AL8" s="82"/>
      <c r="AO8" s="83"/>
      <c r="AP8" s="82"/>
      <c r="AS8" s="83"/>
      <c r="AW8" s="83"/>
      <c r="BA8" s="84"/>
    </row>
    <row r="9" spans="1:53" s="334" customFormat="1" x14ac:dyDescent="0.15">
      <c r="A9" s="386">
        <v>1960</v>
      </c>
      <c r="B9" s="355">
        <v>22098</v>
      </c>
      <c r="C9" s="785" t="s">
        <v>535</v>
      </c>
      <c r="D9" s="785"/>
      <c r="E9" s="334">
        <v>184</v>
      </c>
      <c r="F9" s="334">
        <v>4</v>
      </c>
      <c r="G9" s="419"/>
      <c r="H9" s="334">
        <v>18</v>
      </c>
      <c r="J9" s="435">
        <v>18</v>
      </c>
      <c r="K9" s="384">
        <f t="shared" ref="K9:K69" si="2">G9/J9*100</f>
        <v>0</v>
      </c>
      <c r="L9" s="384">
        <f t="shared" si="0"/>
        <v>100</v>
      </c>
      <c r="M9" s="384">
        <f t="shared" si="1"/>
        <v>0</v>
      </c>
      <c r="N9" s="421">
        <f t="shared" ref="N9:N72" si="3">SUM(K9:M9)</f>
        <v>100</v>
      </c>
      <c r="O9" s="383"/>
      <c r="P9" s="384">
        <v>54.4</v>
      </c>
      <c r="Q9" s="384"/>
      <c r="R9" s="385">
        <f t="shared" ref="R9:R72" si="4">SUM(O9:Q9)</f>
        <v>54.4</v>
      </c>
      <c r="S9" s="388">
        <v>1</v>
      </c>
      <c r="T9" s="342"/>
      <c r="U9" s="355">
        <v>22098</v>
      </c>
      <c r="V9" s="343" t="s">
        <v>129</v>
      </c>
      <c r="W9" s="334" t="s">
        <v>17</v>
      </c>
      <c r="X9" s="334" t="s">
        <v>18</v>
      </c>
      <c r="Y9" s="334">
        <v>43.7</v>
      </c>
      <c r="Z9" s="343" t="s">
        <v>130</v>
      </c>
      <c r="AA9" s="334" t="s">
        <v>82</v>
      </c>
      <c r="AB9" s="334" t="s">
        <v>18</v>
      </c>
      <c r="AC9" s="334">
        <v>10.7</v>
      </c>
      <c r="AD9" s="343"/>
      <c r="AG9" s="344"/>
      <c r="AL9" s="343"/>
      <c r="AO9" s="344"/>
      <c r="AP9" s="343"/>
      <c r="AS9" s="344"/>
      <c r="AW9" s="344"/>
      <c r="BA9" s="345"/>
    </row>
    <row r="10" spans="1:53" s="334" customFormat="1" x14ac:dyDescent="0.15">
      <c r="A10" s="386">
        <v>1961</v>
      </c>
      <c r="B10" s="355"/>
      <c r="C10" s="785" t="s">
        <v>535</v>
      </c>
      <c r="D10" s="785"/>
      <c r="E10" s="334">
        <v>317</v>
      </c>
      <c r="G10" s="419"/>
      <c r="H10" s="334">
        <v>18</v>
      </c>
      <c r="J10" s="435">
        <v>18</v>
      </c>
      <c r="K10" s="384">
        <f t="shared" si="2"/>
        <v>0</v>
      </c>
      <c r="L10" s="384">
        <f t="shared" si="0"/>
        <v>100</v>
      </c>
      <c r="M10" s="384">
        <f t="shared" si="1"/>
        <v>0</v>
      </c>
      <c r="N10" s="421">
        <f t="shared" si="3"/>
        <v>100</v>
      </c>
      <c r="O10" s="383"/>
      <c r="P10" s="384">
        <v>54.4</v>
      </c>
      <c r="Q10" s="384"/>
      <c r="R10" s="385">
        <f t="shared" si="4"/>
        <v>54.4</v>
      </c>
      <c r="S10" s="388">
        <v>1</v>
      </c>
      <c r="T10" s="342"/>
      <c r="U10" s="355"/>
      <c r="V10" s="343" t="s">
        <v>129</v>
      </c>
      <c r="W10" s="334" t="s">
        <v>17</v>
      </c>
      <c r="X10" s="334" t="s">
        <v>18</v>
      </c>
      <c r="Y10" s="334">
        <v>43.7</v>
      </c>
      <c r="Z10" s="343" t="s">
        <v>130</v>
      </c>
      <c r="AA10" s="334" t="s">
        <v>82</v>
      </c>
      <c r="AB10" s="334" t="s">
        <v>18</v>
      </c>
      <c r="AC10" s="334">
        <v>10.7</v>
      </c>
      <c r="AD10" s="343"/>
      <c r="AG10" s="344"/>
      <c r="AL10" s="343"/>
      <c r="AO10" s="344"/>
      <c r="AP10" s="343"/>
      <c r="AS10" s="344"/>
      <c r="AW10" s="344"/>
      <c r="BA10" s="345"/>
    </row>
    <row r="11" spans="1:53" s="73" customFormat="1" x14ac:dyDescent="0.15">
      <c r="A11" s="102">
        <v>1961</v>
      </c>
      <c r="B11" s="85">
        <v>22599</v>
      </c>
      <c r="C11" s="786" t="s">
        <v>536</v>
      </c>
      <c r="D11" s="786"/>
      <c r="E11" s="73">
        <v>48</v>
      </c>
      <c r="F11" s="73">
        <v>1</v>
      </c>
      <c r="G11" s="123">
        <v>5</v>
      </c>
      <c r="H11" s="73">
        <v>16</v>
      </c>
      <c r="J11" s="134">
        <v>21</v>
      </c>
      <c r="K11" s="92">
        <f t="shared" si="2"/>
        <v>23.809523809523807</v>
      </c>
      <c r="L11" s="92">
        <f t="shared" si="0"/>
        <v>76.19047619047619</v>
      </c>
      <c r="M11" s="92">
        <f t="shared" si="1"/>
        <v>0</v>
      </c>
      <c r="N11" s="125">
        <f t="shared" si="3"/>
        <v>100</v>
      </c>
      <c r="O11" s="91">
        <v>13.4</v>
      </c>
      <c r="P11" s="92">
        <v>48.5</v>
      </c>
      <c r="Q11" s="92"/>
      <c r="R11" s="93">
        <f t="shared" si="4"/>
        <v>61.9</v>
      </c>
      <c r="S11" s="97">
        <v>2</v>
      </c>
      <c r="T11" s="95">
        <v>22541</v>
      </c>
      <c r="U11" s="85">
        <v>22599</v>
      </c>
      <c r="V11" s="82" t="s">
        <v>129</v>
      </c>
      <c r="W11" s="73" t="s">
        <v>17</v>
      </c>
      <c r="X11" s="73" t="s">
        <v>18</v>
      </c>
      <c r="Y11" s="73">
        <v>38.5</v>
      </c>
      <c r="Z11" s="82" t="s">
        <v>130</v>
      </c>
      <c r="AA11" s="73" t="s">
        <v>82</v>
      </c>
      <c r="AB11" s="73" t="s">
        <v>18</v>
      </c>
      <c r="AC11" s="73">
        <v>10</v>
      </c>
      <c r="AD11" s="82" t="s">
        <v>132</v>
      </c>
      <c r="AE11" s="73" t="s">
        <v>22</v>
      </c>
      <c r="AF11" s="73" t="s">
        <v>11</v>
      </c>
      <c r="AG11" s="83">
        <v>13.4</v>
      </c>
      <c r="AL11" s="82"/>
      <c r="AO11" s="83"/>
      <c r="AP11" s="82"/>
      <c r="AS11" s="83"/>
      <c r="AW11" s="83"/>
      <c r="BA11" s="84"/>
    </row>
    <row r="12" spans="1:53" s="73" customFormat="1" x14ac:dyDescent="0.15">
      <c r="A12" s="102">
        <v>1962</v>
      </c>
      <c r="B12" s="85"/>
      <c r="C12" s="786" t="s">
        <v>536</v>
      </c>
      <c r="D12" s="786"/>
      <c r="E12" s="73">
        <v>322</v>
      </c>
      <c r="G12" s="123">
        <v>5</v>
      </c>
      <c r="H12" s="73">
        <v>16</v>
      </c>
      <c r="J12" s="134">
        <v>21</v>
      </c>
      <c r="K12" s="92">
        <f t="shared" si="2"/>
        <v>23.809523809523807</v>
      </c>
      <c r="L12" s="92">
        <f t="shared" si="0"/>
        <v>76.19047619047619</v>
      </c>
      <c r="M12" s="92">
        <f t="shared" si="1"/>
        <v>0</v>
      </c>
      <c r="N12" s="125">
        <f t="shared" si="3"/>
        <v>100</v>
      </c>
      <c r="O12" s="91">
        <v>13.4</v>
      </c>
      <c r="P12" s="92">
        <v>48.5</v>
      </c>
      <c r="Q12" s="92"/>
      <c r="R12" s="93">
        <f t="shared" si="4"/>
        <v>61.9</v>
      </c>
      <c r="S12" s="97">
        <v>2</v>
      </c>
      <c r="T12" s="95"/>
      <c r="U12" s="85"/>
      <c r="V12" s="82" t="s">
        <v>129</v>
      </c>
      <c r="W12" s="73" t="s">
        <v>17</v>
      </c>
      <c r="X12" s="73" t="s">
        <v>18</v>
      </c>
      <c r="Y12" s="73">
        <v>38.5</v>
      </c>
      <c r="Z12" s="82" t="s">
        <v>130</v>
      </c>
      <c r="AA12" s="73" t="s">
        <v>82</v>
      </c>
      <c r="AB12" s="73" t="s">
        <v>18</v>
      </c>
      <c r="AC12" s="73">
        <v>10</v>
      </c>
      <c r="AD12" s="82" t="s">
        <v>132</v>
      </c>
      <c r="AE12" s="73" t="s">
        <v>22</v>
      </c>
      <c r="AF12" s="73" t="s">
        <v>11</v>
      </c>
      <c r="AG12" s="83">
        <v>13.4</v>
      </c>
      <c r="AL12" s="82"/>
      <c r="AO12" s="83"/>
      <c r="AP12" s="82"/>
      <c r="AS12" s="83"/>
      <c r="AW12" s="83"/>
      <c r="BA12" s="84"/>
    </row>
    <row r="13" spans="1:53" s="334" customFormat="1" x14ac:dyDescent="0.15">
      <c r="A13" s="386">
        <v>1962</v>
      </c>
      <c r="B13" s="355">
        <v>22969</v>
      </c>
      <c r="C13" s="785" t="s">
        <v>537</v>
      </c>
      <c r="D13" s="785"/>
      <c r="E13" s="334">
        <v>25</v>
      </c>
      <c r="F13" s="334">
        <v>4</v>
      </c>
      <c r="G13" s="419"/>
      <c r="H13" s="334">
        <v>16</v>
      </c>
      <c r="J13" s="435">
        <v>16</v>
      </c>
      <c r="K13" s="384">
        <f t="shared" si="2"/>
        <v>0</v>
      </c>
      <c r="L13" s="384">
        <f t="shared" si="0"/>
        <v>100</v>
      </c>
      <c r="M13" s="384">
        <f t="shared" si="1"/>
        <v>0</v>
      </c>
      <c r="N13" s="421">
        <f t="shared" si="3"/>
        <v>100</v>
      </c>
      <c r="O13" s="383"/>
      <c r="P13" s="384">
        <v>48.5</v>
      </c>
      <c r="Q13" s="384"/>
      <c r="R13" s="385">
        <f t="shared" si="4"/>
        <v>48.5</v>
      </c>
      <c r="S13" s="388">
        <v>6</v>
      </c>
      <c r="T13" s="342"/>
      <c r="U13" s="355">
        <v>22969</v>
      </c>
      <c r="V13" s="343" t="s">
        <v>129</v>
      </c>
      <c r="W13" s="334" t="s">
        <v>17</v>
      </c>
      <c r="X13" s="334" t="s">
        <v>18</v>
      </c>
      <c r="Y13" s="334">
        <v>38.5</v>
      </c>
      <c r="Z13" s="343" t="s">
        <v>130</v>
      </c>
      <c r="AA13" s="334" t="s">
        <v>82</v>
      </c>
      <c r="AB13" s="334" t="s">
        <v>18</v>
      </c>
      <c r="AC13" s="334">
        <v>10</v>
      </c>
      <c r="AD13" s="343"/>
      <c r="AG13" s="344"/>
      <c r="AL13" s="343"/>
      <c r="AO13" s="344"/>
      <c r="AP13" s="343"/>
      <c r="AS13" s="344"/>
      <c r="AW13" s="344"/>
      <c r="BA13" s="345"/>
    </row>
    <row r="14" spans="1:53" s="73" customFormat="1" x14ac:dyDescent="0.15">
      <c r="A14" s="102">
        <v>1962</v>
      </c>
      <c r="B14" s="85">
        <v>22994</v>
      </c>
      <c r="C14" s="786" t="s">
        <v>538</v>
      </c>
      <c r="D14" s="786"/>
      <c r="E14" s="73">
        <v>18</v>
      </c>
      <c r="F14" s="73">
        <v>7</v>
      </c>
      <c r="G14" s="123">
        <v>5</v>
      </c>
      <c r="H14" s="73">
        <v>16</v>
      </c>
      <c r="J14" s="134">
        <v>21</v>
      </c>
      <c r="K14" s="92">
        <f t="shared" si="2"/>
        <v>23.809523809523807</v>
      </c>
      <c r="L14" s="92">
        <f t="shared" si="0"/>
        <v>76.19047619047619</v>
      </c>
      <c r="M14" s="92">
        <f t="shared" si="1"/>
        <v>0</v>
      </c>
      <c r="N14" s="125">
        <f t="shared" si="3"/>
        <v>100</v>
      </c>
      <c r="O14" s="91">
        <v>13.4</v>
      </c>
      <c r="P14" s="92">
        <v>48.5</v>
      </c>
      <c r="Q14" s="92"/>
      <c r="R14" s="93">
        <f t="shared" si="4"/>
        <v>61.9</v>
      </c>
      <c r="S14" s="97">
        <v>2</v>
      </c>
      <c r="T14" s="95"/>
      <c r="U14" s="85">
        <v>22994</v>
      </c>
      <c r="V14" s="82" t="s">
        <v>129</v>
      </c>
      <c r="W14" s="73" t="s">
        <v>17</v>
      </c>
      <c r="X14" s="73" t="s">
        <v>18</v>
      </c>
      <c r="Y14" s="73">
        <v>38.5</v>
      </c>
      <c r="Z14" s="82" t="s">
        <v>130</v>
      </c>
      <c r="AA14" s="73" t="s">
        <v>82</v>
      </c>
      <c r="AB14" s="73" t="s">
        <v>18</v>
      </c>
      <c r="AC14" s="73">
        <v>10</v>
      </c>
      <c r="AD14" s="82" t="s">
        <v>132</v>
      </c>
      <c r="AE14" s="73" t="s">
        <v>22</v>
      </c>
      <c r="AF14" s="73" t="s">
        <v>11</v>
      </c>
      <c r="AG14" s="83">
        <v>13.4</v>
      </c>
      <c r="AL14" s="82"/>
      <c r="AO14" s="83"/>
      <c r="AP14" s="82"/>
      <c r="AS14" s="83"/>
      <c r="AW14" s="83"/>
      <c r="BA14" s="84"/>
    </row>
    <row r="15" spans="1:53" s="73" customFormat="1" x14ac:dyDescent="0.15">
      <c r="A15" s="102">
        <v>1962.6</v>
      </c>
      <c r="B15" s="85"/>
      <c r="C15" s="786" t="s">
        <v>538</v>
      </c>
      <c r="D15" s="786"/>
      <c r="E15" s="73">
        <v>288</v>
      </c>
      <c r="G15" s="123">
        <v>5</v>
      </c>
      <c r="H15" s="73">
        <v>16</v>
      </c>
      <c r="J15" s="134">
        <v>21</v>
      </c>
      <c r="K15" s="92">
        <f t="shared" si="2"/>
        <v>23.809523809523807</v>
      </c>
      <c r="L15" s="92">
        <f t="shared" si="0"/>
        <v>76.19047619047619</v>
      </c>
      <c r="M15" s="92">
        <f t="shared" si="1"/>
        <v>0</v>
      </c>
      <c r="N15" s="125">
        <f t="shared" si="3"/>
        <v>100</v>
      </c>
      <c r="O15" s="91">
        <v>13.4</v>
      </c>
      <c r="P15" s="92">
        <v>48.5</v>
      </c>
      <c r="Q15" s="92"/>
      <c r="R15" s="93">
        <f t="shared" si="4"/>
        <v>61.9</v>
      </c>
      <c r="S15" s="97">
        <v>2</v>
      </c>
      <c r="T15" s="95"/>
      <c r="U15" s="85"/>
      <c r="V15" s="82" t="s">
        <v>129</v>
      </c>
      <c r="W15" s="73" t="s">
        <v>17</v>
      </c>
      <c r="X15" s="73" t="s">
        <v>18</v>
      </c>
      <c r="Y15" s="73">
        <v>38.5</v>
      </c>
      <c r="Z15" s="82" t="s">
        <v>130</v>
      </c>
      <c r="AA15" s="73" t="s">
        <v>82</v>
      </c>
      <c r="AB15" s="73" t="s">
        <v>18</v>
      </c>
      <c r="AC15" s="73">
        <v>10</v>
      </c>
      <c r="AD15" s="82" t="s">
        <v>132</v>
      </c>
      <c r="AE15" s="73" t="s">
        <v>22</v>
      </c>
      <c r="AF15" s="73" t="s">
        <v>11</v>
      </c>
      <c r="AG15" s="83">
        <v>13.4</v>
      </c>
      <c r="AL15" s="82"/>
      <c r="AO15" s="83"/>
      <c r="AP15" s="82"/>
      <c r="AS15" s="83"/>
      <c r="AW15" s="83"/>
      <c r="BA15" s="84"/>
    </row>
    <row r="16" spans="1:53" s="334" customFormat="1" x14ac:dyDescent="0.15">
      <c r="A16" s="386">
        <v>1963.05714285714</v>
      </c>
      <c r="B16" s="355">
        <v>23300</v>
      </c>
      <c r="C16" s="785" t="s">
        <v>539</v>
      </c>
      <c r="D16" s="785"/>
      <c r="E16" s="334">
        <v>77</v>
      </c>
      <c r="F16" s="334">
        <v>2</v>
      </c>
      <c r="G16" s="419">
        <v>5</v>
      </c>
      <c r="H16" s="334">
        <v>15</v>
      </c>
      <c r="J16" s="435">
        <v>20</v>
      </c>
      <c r="K16" s="384">
        <f t="shared" si="2"/>
        <v>25</v>
      </c>
      <c r="L16" s="384">
        <f t="shared" si="0"/>
        <v>75</v>
      </c>
      <c r="M16" s="384">
        <f t="shared" si="1"/>
        <v>0</v>
      </c>
      <c r="N16" s="421">
        <f t="shared" si="3"/>
        <v>100</v>
      </c>
      <c r="O16" s="383">
        <v>13.4</v>
      </c>
      <c r="P16" s="384">
        <v>48.5</v>
      </c>
      <c r="Q16" s="384"/>
      <c r="R16" s="385">
        <f t="shared" si="4"/>
        <v>61.9</v>
      </c>
      <c r="S16" s="388">
        <v>2</v>
      </c>
      <c r="T16" s="342"/>
      <c r="U16" s="355">
        <v>23300</v>
      </c>
      <c r="V16" s="343" t="s">
        <v>129</v>
      </c>
      <c r="W16" s="334" t="s">
        <v>17</v>
      </c>
      <c r="X16" s="334" t="s">
        <v>18</v>
      </c>
      <c r="Y16" s="334">
        <v>38.5</v>
      </c>
      <c r="Z16" s="343" t="s">
        <v>130</v>
      </c>
      <c r="AA16" s="334" t="s">
        <v>82</v>
      </c>
      <c r="AB16" s="334" t="s">
        <v>18</v>
      </c>
      <c r="AC16" s="334">
        <v>10</v>
      </c>
      <c r="AD16" s="343" t="s">
        <v>132</v>
      </c>
      <c r="AE16" s="334" t="s">
        <v>22</v>
      </c>
      <c r="AF16" s="334" t="s">
        <v>11</v>
      </c>
      <c r="AG16" s="344">
        <v>13.4</v>
      </c>
      <c r="AL16" s="343"/>
      <c r="AO16" s="344"/>
      <c r="AP16" s="343"/>
      <c r="AS16" s="344"/>
      <c r="AW16" s="344"/>
      <c r="BA16" s="345"/>
    </row>
    <row r="17" spans="1:53" s="334" customFormat="1" x14ac:dyDescent="0.15">
      <c r="A17" s="386">
        <v>1963.5142857142901</v>
      </c>
      <c r="B17" s="355"/>
      <c r="C17" s="785" t="s">
        <v>539</v>
      </c>
      <c r="D17" s="785"/>
      <c r="E17" s="334">
        <v>0</v>
      </c>
      <c r="G17" s="419">
        <v>5</v>
      </c>
      <c r="H17" s="334">
        <v>15</v>
      </c>
      <c r="J17" s="435">
        <v>20</v>
      </c>
      <c r="K17" s="384">
        <f t="shared" si="2"/>
        <v>25</v>
      </c>
      <c r="L17" s="384">
        <f t="shared" si="0"/>
        <v>75</v>
      </c>
      <c r="M17" s="384">
        <f t="shared" si="1"/>
        <v>0</v>
      </c>
      <c r="N17" s="421">
        <f t="shared" si="3"/>
        <v>100</v>
      </c>
      <c r="O17" s="383">
        <v>13.4</v>
      </c>
      <c r="P17" s="384">
        <v>48.5</v>
      </c>
      <c r="Q17" s="384"/>
      <c r="R17" s="385">
        <f t="shared" si="4"/>
        <v>61.9</v>
      </c>
      <c r="S17" s="388">
        <v>2</v>
      </c>
      <c r="T17" s="342"/>
      <c r="U17" s="355"/>
      <c r="V17" s="343" t="s">
        <v>129</v>
      </c>
      <c r="W17" s="334" t="s">
        <v>17</v>
      </c>
      <c r="X17" s="334" t="s">
        <v>18</v>
      </c>
      <c r="Y17" s="334">
        <v>38.5</v>
      </c>
      <c r="Z17" s="343" t="s">
        <v>130</v>
      </c>
      <c r="AA17" s="334" t="s">
        <v>82</v>
      </c>
      <c r="AB17" s="334" t="s">
        <v>18</v>
      </c>
      <c r="AC17" s="334">
        <v>10</v>
      </c>
      <c r="AD17" s="343" t="s">
        <v>132</v>
      </c>
      <c r="AE17" s="334" t="s">
        <v>22</v>
      </c>
      <c r="AF17" s="334" t="s">
        <v>11</v>
      </c>
      <c r="AG17" s="344">
        <v>13.4</v>
      </c>
      <c r="AL17" s="343"/>
      <c r="AO17" s="344"/>
      <c r="AP17" s="343"/>
      <c r="AS17" s="344"/>
      <c r="AW17" s="344"/>
      <c r="BA17" s="345"/>
    </row>
    <row r="18" spans="1:53" s="334" customFormat="1" x14ac:dyDescent="0.15">
      <c r="A18" s="386">
        <v>1963.9714285714299</v>
      </c>
      <c r="B18" s="355"/>
      <c r="C18" s="785" t="s">
        <v>539</v>
      </c>
      <c r="D18" s="785"/>
      <c r="E18" s="334">
        <v>366</v>
      </c>
      <c r="G18" s="419">
        <v>5</v>
      </c>
      <c r="H18" s="334">
        <v>15</v>
      </c>
      <c r="J18" s="435">
        <v>20</v>
      </c>
      <c r="K18" s="384">
        <f t="shared" si="2"/>
        <v>25</v>
      </c>
      <c r="L18" s="384">
        <f t="shared" si="0"/>
        <v>75</v>
      </c>
      <c r="M18" s="384">
        <f t="shared" si="1"/>
        <v>0</v>
      </c>
      <c r="N18" s="421">
        <f t="shared" si="3"/>
        <v>100</v>
      </c>
      <c r="O18" s="383">
        <v>13.4</v>
      </c>
      <c r="P18" s="384">
        <v>48.5</v>
      </c>
      <c r="Q18" s="384"/>
      <c r="R18" s="385">
        <f t="shared" si="4"/>
        <v>61.9</v>
      </c>
      <c r="S18" s="388">
        <v>2</v>
      </c>
      <c r="T18" s="342"/>
      <c r="U18" s="355"/>
      <c r="V18" s="343" t="s">
        <v>129</v>
      </c>
      <c r="W18" s="334" t="s">
        <v>17</v>
      </c>
      <c r="X18" s="334" t="s">
        <v>18</v>
      </c>
      <c r="Y18" s="334">
        <v>38.5</v>
      </c>
      <c r="Z18" s="343" t="s">
        <v>130</v>
      </c>
      <c r="AA18" s="334" t="s">
        <v>82</v>
      </c>
      <c r="AB18" s="334" t="s">
        <v>18</v>
      </c>
      <c r="AC18" s="334">
        <v>10</v>
      </c>
      <c r="AD18" s="343" t="s">
        <v>132</v>
      </c>
      <c r="AE18" s="334" t="s">
        <v>22</v>
      </c>
      <c r="AF18" s="334" t="s">
        <v>11</v>
      </c>
      <c r="AG18" s="344">
        <v>13.4</v>
      </c>
      <c r="AL18" s="343"/>
      <c r="AO18" s="344"/>
      <c r="AP18" s="343"/>
      <c r="AS18" s="344"/>
      <c r="AW18" s="344"/>
      <c r="BA18" s="345"/>
    </row>
    <row r="19" spans="1:53" s="334" customFormat="1" x14ac:dyDescent="0.15">
      <c r="A19" s="386">
        <v>1965</v>
      </c>
      <c r="B19" s="355"/>
      <c r="C19" s="785" t="s">
        <v>539</v>
      </c>
      <c r="D19" s="785"/>
      <c r="E19" s="334">
        <v>298</v>
      </c>
      <c r="G19" s="419">
        <v>5</v>
      </c>
      <c r="H19" s="334">
        <v>15</v>
      </c>
      <c r="J19" s="435">
        <v>20</v>
      </c>
      <c r="K19" s="384">
        <f t="shared" si="2"/>
        <v>25</v>
      </c>
      <c r="L19" s="384">
        <f t="shared" si="0"/>
        <v>75</v>
      </c>
      <c r="M19" s="384">
        <f t="shared" si="1"/>
        <v>0</v>
      </c>
      <c r="N19" s="421">
        <f t="shared" si="3"/>
        <v>100</v>
      </c>
      <c r="O19" s="383">
        <v>13.4</v>
      </c>
      <c r="P19" s="384">
        <v>48.5</v>
      </c>
      <c r="Q19" s="384"/>
      <c r="R19" s="385">
        <f t="shared" si="4"/>
        <v>61.9</v>
      </c>
      <c r="S19" s="388">
        <v>2</v>
      </c>
      <c r="T19" s="342"/>
      <c r="U19" s="355"/>
      <c r="V19" s="343" t="s">
        <v>129</v>
      </c>
      <c r="W19" s="334" t="s">
        <v>17</v>
      </c>
      <c r="X19" s="334" t="s">
        <v>18</v>
      </c>
      <c r="Y19" s="334">
        <v>38.5</v>
      </c>
      <c r="Z19" s="343" t="s">
        <v>130</v>
      </c>
      <c r="AA19" s="334" t="s">
        <v>82</v>
      </c>
      <c r="AB19" s="334" t="s">
        <v>18</v>
      </c>
      <c r="AC19" s="334">
        <v>10</v>
      </c>
      <c r="AD19" s="343" t="s">
        <v>132</v>
      </c>
      <c r="AE19" s="334" t="s">
        <v>22</v>
      </c>
      <c r="AF19" s="334" t="s">
        <v>11</v>
      </c>
      <c r="AG19" s="344">
        <v>13.4</v>
      </c>
      <c r="AL19" s="343"/>
      <c r="AO19" s="344"/>
      <c r="AP19" s="343"/>
      <c r="AS19" s="344"/>
      <c r="AW19" s="344"/>
      <c r="BA19" s="345"/>
    </row>
    <row r="20" spans="1:53" s="73" customFormat="1" x14ac:dyDescent="0.15">
      <c r="A20" s="102">
        <v>1964.88571428572</v>
      </c>
      <c r="B20" s="85">
        <v>24041</v>
      </c>
      <c r="C20" s="786" t="s">
        <v>540</v>
      </c>
      <c r="D20" s="786"/>
      <c r="E20" s="73">
        <v>67</v>
      </c>
      <c r="F20" s="73">
        <v>1</v>
      </c>
      <c r="G20" s="123">
        <v>4</v>
      </c>
      <c r="H20" s="73">
        <v>17</v>
      </c>
      <c r="J20" s="134">
        <v>21</v>
      </c>
      <c r="K20" s="92">
        <f t="shared" si="2"/>
        <v>19.047619047619047</v>
      </c>
      <c r="L20" s="92">
        <f t="shared" si="0"/>
        <v>80.952380952380949</v>
      </c>
      <c r="M20" s="92">
        <f t="shared" si="1"/>
        <v>0</v>
      </c>
      <c r="N20" s="125">
        <f t="shared" si="3"/>
        <v>100</v>
      </c>
      <c r="O20" s="91">
        <v>9.9</v>
      </c>
      <c r="P20" s="92">
        <v>49.4</v>
      </c>
      <c r="Q20" s="92"/>
      <c r="R20" s="93">
        <f t="shared" si="4"/>
        <v>59.3</v>
      </c>
      <c r="S20" s="97">
        <v>2</v>
      </c>
      <c r="T20" s="95">
        <v>24004</v>
      </c>
      <c r="U20" s="85">
        <v>24041</v>
      </c>
      <c r="V20" s="82" t="s">
        <v>129</v>
      </c>
      <c r="W20" s="73" t="s">
        <v>17</v>
      </c>
      <c r="X20" s="73" t="s">
        <v>18</v>
      </c>
      <c r="Y20" s="73">
        <v>39.5</v>
      </c>
      <c r="Z20" s="82" t="s">
        <v>130</v>
      </c>
      <c r="AA20" s="73" t="s">
        <v>82</v>
      </c>
      <c r="AB20" s="73" t="s">
        <v>18</v>
      </c>
      <c r="AC20" s="73">
        <v>9.9</v>
      </c>
      <c r="AD20" s="82" t="s">
        <v>132</v>
      </c>
      <c r="AE20" s="73" t="s">
        <v>22</v>
      </c>
      <c r="AF20" s="73" t="s">
        <v>11</v>
      </c>
      <c r="AG20" s="83">
        <v>9.9</v>
      </c>
      <c r="AL20" s="82"/>
      <c r="AO20" s="83"/>
      <c r="AP20" s="82"/>
      <c r="AS20" s="83"/>
      <c r="AW20" s="83"/>
      <c r="BA20" s="84"/>
    </row>
    <row r="21" spans="1:53" s="73" customFormat="1" x14ac:dyDescent="0.15">
      <c r="A21" s="102">
        <v>1966</v>
      </c>
      <c r="B21" s="85"/>
      <c r="C21" s="786" t="s">
        <v>540</v>
      </c>
      <c r="D21" s="786"/>
      <c r="E21" s="73">
        <v>300</v>
      </c>
      <c r="G21" s="123">
        <v>4</v>
      </c>
      <c r="H21" s="73">
        <v>17</v>
      </c>
      <c r="J21" s="134">
        <v>21</v>
      </c>
      <c r="K21" s="92">
        <f t="shared" si="2"/>
        <v>19.047619047619047</v>
      </c>
      <c r="L21" s="92">
        <f t="shared" si="0"/>
        <v>80.952380952380949</v>
      </c>
      <c r="M21" s="92">
        <f t="shared" si="1"/>
        <v>0</v>
      </c>
      <c r="N21" s="125">
        <f t="shared" si="3"/>
        <v>100</v>
      </c>
      <c r="O21" s="91">
        <v>9.9</v>
      </c>
      <c r="P21" s="92">
        <v>49.4</v>
      </c>
      <c r="Q21" s="92"/>
      <c r="R21" s="93">
        <f t="shared" si="4"/>
        <v>59.3</v>
      </c>
      <c r="S21" s="97">
        <v>2</v>
      </c>
      <c r="T21" s="95"/>
      <c r="U21" s="85"/>
      <c r="V21" s="82" t="s">
        <v>129</v>
      </c>
      <c r="W21" s="73" t="s">
        <v>17</v>
      </c>
      <c r="X21" s="73" t="s">
        <v>18</v>
      </c>
      <c r="Y21" s="73">
        <v>39.5</v>
      </c>
      <c r="Z21" s="82" t="s">
        <v>130</v>
      </c>
      <c r="AA21" s="73" t="s">
        <v>82</v>
      </c>
      <c r="AB21" s="73" t="s">
        <v>18</v>
      </c>
      <c r="AC21" s="73">
        <v>9.9</v>
      </c>
      <c r="AD21" s="82" t="s">
        <v>132</v>
      </c>
      <c r="AE21" s="73" t="s">
        <v>22</v>
      </c>
      <c r="AF21" s="73" t="s">
        <v>11</v>
      </c>
      <c r="AG21" s="83">
        <v>9.9</v>
      </c>
      <c r="AL21" s="82"/>
      <c r="AO21" s="83"/>
      <c r="AP21" s="82"/>
      <c r="AS21" s="83"/>
      <c r="AW21" s="83"/>
      <c r="BA21" s="84"/>
    </row>
    <row r="22" spans="1:53" s="334" customFormat="1" x14ac:dyDescent="0.15">
      <c r="A22" s="386">
        <v>1965.8</v>
      </c>
      <c r="B22" s="355">
        <v>24408</v>
      </c>
      <c r="C22" s="785" t="s">
        <v>541</v>
      </c>
      <c r="D22" s="785"/>
      <c r="E22" s="334">
        <v>34</v>
      </c>
      <c r="F22" s="334">
        <v>4</v>
      </c>
      <c r="G22" s="419"/>
      <c r="H22" s="334">
        <v>18</v>
      </c>
      <c r="J22" s="435">
        <v>18</v>
      </c>
      <c r="K22" s="384">
        <f t="shared" si="2"/>
        <v>0</v>
      </c>
      <c r="L22" s="384">
        <f t="shared" si="0"/>
        <v>100</v>
      </c>
      <c r="M22" s="384">
        <f t="shared" si="1"/>
        <v>0</v>
      </c>
      <c r="N22" s="421">
        <f t="shared" si="3"/>
        <v>100</v>
      </c>
      <c r="O22" s="383"/>
      <c r="P22" s="384">
        <v>49.4</v>
      </c>
      <c r="Q22" s="384"/>
      <c r="R22" s="385">
        <f t="shared" si="4"/>
        <v>49.4</v>
      </c>
      <c r="S22" s="388">
        <v>6</v>
      </c>
      <c r="T22" s="342"/>
      <c r="U22" s="355">
        <v>24408</v>
      </c>
      <c r="V22" s="343" t="s">
        <v>129</v>
      </c>
      <c r="W22" s="334" t="s">
        <v>17</v>
      </c>
      <c r="X22" s="334" t="s">
        <v>18</v>
      </c>
      <c r="Y22" s="334">
        <v>39.5</v>
      </c>
      <c r="Z22" s="343" t="s">
        <v>130</v>
      </c>
      <c r="AA22" s="334" t="s">
        <v>82</v>
      </c>
      <c r="AB22" s="334" t="s">
        <v>18</v>
      </c>
      <c r="AC22" s="334">
        <v>9.9</v>
      </c>
      <c r="AD22" s="343"/>
      <c r="AG22" s="344"/>
      <c r="AL22" s="343"/>
      <c r="AO22" s="344"/>
      <c r="AP22" s="343"/>
      <c r="AS22" s="344"/>
      <c r="AW22" s="344"/>
      <c r="BA22" s="345"/>
    </row>
    <row r="23" spans="1:53" s="73" customFormat="1" x14ac:dyDescent="0.15">
      <c r="A23" s="102">
        <v>1965.8</v>
      </c>
      <c r="B23" s="85">
        <v>24442</v>
      </c>
      <c r="C23" s="786" t="s">
        <v>542</v>
      </c>
      <c r="D23" s="786"/>
      <c r="E23" s="73">
        <v>31</v>
      </c>
      <c r="F23" s="73">
        <v>2</v>
      </c>
      <c r="G23" s="123"/>
      <c r="H23" s="73">
        <v>11</v>
      </c>
      <c r="I23" s="73">
        <v>9</v>
      </c>
      <c r="J23" s="134">
        <v>20</v>
      </c>
      <c r="K23" s="92">
        <f t="shared" si="2"/>
        <v>0</v>
      </c>
      <c r="L23" s="92">
        <f t="shared" si="0"/>
        <v>55.000000000000007</v>
      </c>
      <c r="M23" s="92">
        <f t="shared" si="1"/>
        <v>45</v>
      </c>
      <c r="N23" s="125">
        <f t="shared" si="3"/>
        <v>100</v>
      </c>
      <c r="O23" s="91"/>
      <c r="P23" s="92">
        <v>49.4</v>
      </c>
      <c r="Q23" s="92">
        <v>40.700000000000003</v>
      </c>
      <c r="R23" s="93">
        <f t="shared" si="4"/>
        <v>90.1</v>
      </c>
      <c r="S23" s="97">
        <v>2</v>
      </c>
      <c r="T23" s="95"/>
      <c r="U23" s="85">
        <v>24442</v>
      </c>
      <c r="V23" s="82" t="s">
        <v>129</v>
      </c>
      <c r="W23" s="73" t="s">
        <v>17</v>
      </c>
      <c r="X23" s="73" t="s">
        <v>18</v>
      </c>
      <c r="Y23" s="73">
        <v>39.5</v>
      </c>
      <c r="Z23" s="82" t="s">
        <v>130</v>
      </c>
      <c r="AA23" s="73" t="s">
        <v>82</v>
      </c>
      <c r="AB23" s="73" t="s">
        <v>18</v>
      </c>
      <c r="AC23" s="73">
        <v>9.9</v>
      </c>
      <c r="AD23" s="82" t="s">
        <v>133</v>
      </c>
      <c r="AE23" s="73" t="s">
        <v>20</v>
      </c>
      <c r="AF23" s="73" t="s">
        <v>12</v>
      </c>
      <c r="AG23" s="83">
        <v>40.700000000000003</v>
      </c>
      <c r="AL23" s="82"/>
      <c r="AO23" s="83"/>
      <c r="AP23" s="82"/>
      <c r="AS23" s="83"/>
      <c r="AW23" s="83"/>
      <c r="BA23" s="84"/>
    </row>
    <row r="24" spans="1:53" s="73" customFormat="1" x14ac:dyDescent="0.15">
      <c r="A24" s="102">
        <v>1967</v>
      </c>
      <c r="B24" s="85"/>
      <c r="C24" s="786" t="s">
        <v>542</v>
      </c>
      <c r="D24" s="786"/>
      <c r="E24" s="73">
        <v>0</v>
      </c>
      <c r="G24" s="123"/>
      <c r="H24" s="73">
        <v>11</v>
      </c>
      <c r="I24" s="73">
        <v>9</v>
      </c>
      <c r="J24" s="134">
        <v>20</v>
      </c>
      <c r="K24" s="92">
        <f t="shared" si="2"/>
        <v>0</v>
      </c>
      <c r="L24" s="92">
        <f t="shared" si="0"/>
        <v>55.000000000000007</v>
      </c>
      <c r="M24" s="92">
        <f t="shared" si="1"/>
        <v>45</v>
      </c>
      <c r="N24" s="125">
        <f t="shared" si="3"/>
        <v>100</v>
      </c>
      <c r="O24" s="91"/>
      <c r="P24" s="92">
        <v>49.4</v>
      </c>
      <c r="Q24" s="92">
        <v>40.700000000000003</v>
      </c>
      <c r="R24" s="93">
        <f t="shared" si="4"/>
        <v>90.1</v>
      </c>
      <c r="S24" s="97">
        <v>2</v>
      </c>
      <c r="T24" s="95"/>
      <c r="U24" s="85"/>
      <c r="V24" s="82" t="s">
        <v>129</v>
      </c>
      <c r="W24" s="73" t="s">
        <v>17</v>
      </c>
      <c r="X24" s="73" t="s">
        <v>18</v>
      </c>
      <c r="Y24" s="73">
        <v>39.5</v>
      </c>
      <c r="Z24" s="82" t="s">
        <v>130</v>
      </c>
      <c r="AA24" s="73" t="s">
        <v>82</v>
      </c>
      <c r="AB24" s="73" t="s">
        <v>18</v>
      </c>
      <c r="AC24" s="73">
        <v>9.9</v>
      </c>
      <c r="AD24" s="82" t="s">
        <v>133</v>
      </c>
      <c r="AE24" s="73" t="s">
        <v>20</v>
      </c>
      <c r="AF24" s="73" t="s">
        <v>12</v>
      </c>
      <c r="AG24" s="83">
        <v>40.700000000000003</v>
      </c>
      <c r="AL24" s="82"/>
      <c r="AO24" s="83"/>
      <c r="AP24" s="82"/>
      <c r="AS24" s="83"/>
      <c r="AW24" s="83"/>
      <c r="BA24" s="84"/>
    </row>
    <row r="25" spans="1:53" s="73" customFormat="1" x14ac:dyDescent="0.15">
      <c r="A25" s="102">
        <v>1966.7142857142901</v>
      </c>
      <c r="B25" s="85"/>
      <c r="C25" s="786" t="s">
        <v>542</v>
      </c>
      <c r="D25" s="786"/>
      <c r="E25" s="73">
        <v>365</v>
      </c>
      <c r="G25" s="123"/>
      <c r="H25" s="73">
        <v>11</v>
      </c>
      <c r="I25" s="73">
        <v>9</v>
      </c>
      <c r="J25" s="134">
        <v>20</v>
      </c>
      <c r="K25" s="92">
        <f t="shared" si="2"/>
        <v>0</v>
      </c>
      <c r="L25" s="92">
        <f t="shared" si="0"/>
        <v>55.000000000000007</v>
      </c>
      <c r="M25" s="92">
        <f t="shared" si="1"/>
        <v>45</v>
      </c>
      <c r="N25" s="125">
        <f t="shared" si="3"/>
        <v>100</v>
      </c>
      <c r="O25" s="91"/>
      <c r="P25" s="92">
        <v>49.4</v>
      </c>
      <c r="Q25" s="92">
        <v>40.700000000000003</v>
      </c>
      <c r="R25" s="93">
        <f t="shared" si="4"/>
        <v>90.1</v>
      </c>
      <c r="S25" s="97">
        <v>2</v>
      </c>
      <c r="T25" s="95"/>
      <c r="U25" s="85"/>
      <c r="V25" s="82" t="s">
        <v>129</v>
      </c>
      <c r="W25" s="73" t="s">
        <v>17</v>
      </c>
      <c r="X25" s="73" t="s">
        <v>18</v>
      </c>
      <c r="Y25" s="73">
        <v>39.5</v>
      </c>
      <c r="Z25" s="82" t="s">
        <v>130</v>
      </c>
      <c r="AA25" s="73" t="s">
        <v>82</v>
      </c>
      <c r="AB25" s="73" t="s">
        <v>18</v>
      </c>
      <c r="AC25" s="73">
        <v>9.9</v>
      </c>
      <c r="AD25" s="82" t="s">
        <v>133</v>
      </c>
      <c r="AE25" s="73" t="s">
        <v>20</v>
      </c>
      <c r="AF25" s="73" t="s">
        <v>12</v>
      </c>
      <c r="AG25" s="83">
        <v>40.700000000000003</v>
      </c>
      <c r="AL25" s="82"/>
      <c r="AO25" s="83"/>
      <c r="AP25" s="82"/>
      <c r="AS25" s="83"/>
      <c r="AW25" s="83"/>
      <c r="BA25" s="84"/>
    </row>
    <row r="26" spans="1:53" s="73" customFormat="1" x14ac:dyDescent="0.15">
      <c r="A26" s="102">
        <v>1968</v>
      </c>
      <c r="B26" s="85"/>
      <c r="C26" s="786" t="s">
        <v>542</v>
      </c>
      <c r="D26" s="786"/>
      <c r="E26" s="73">
        <v>0</v>
      </c>
      <c r="G26" s="123"/>
      <c r="H26" s="73">
        <v>11</v>
      </c>
      <c r="I26" s="73">
        <v>9</v>
      </c>
      <c r="J26" s="134">
        <v>20</v>
      </c>
      <c r="K26" s="92">
        <f t="shared" si="2"/>
        <v>0</v>
      </c>
      <c r="L26" s="92">
        <f t="shared" si="0"/>
        <v>55.000000000000007</v>
      </c>
      <c r="M26" s="92">
        <f t="shared" si="1"/>
        <v>45</v>
      </c>
      <c r="N26" s="125">
        <f t="shared" si="3"/>
        <v>100</v>
      </c>
      <c r="O26" s="91"/>
      <c r="P26" s="92">
        <v>49.4</v>
      </c>
      <c r="Q26" s="92">
        <v>40.700000000000003</v>
      </c>
      <c r="R26" s="93">
        <f t="shared" si="4"/>
        <v>90.1</v>
      </c>
      <c r="S26" s="97">
        <v>2</v>
      </c>
      <c r="T26" s="95"/>
      <c r="U26" s="85"/>
      <c r="V26" s="82" t="s">
        <v>129</v>
      </c>
      <c r="W26" s="73" t="s">
        <v>17</v>
      </c>
      <c r="X26" s="73" t="s">
        <v>18</v>
      </c>
      <c r="Y26" s="73">
        <v>39.5</v>
      </c>
      <c r="Z26" s="82" t="s">
        <v>130</v>
      </c>
      <c r="AA26" s="73" t="s">
        <v>82</v>
      </c>
      <c r="AB26" s="73" t="s">
        <v>18</v>
      </c>
      <c r="AC26" s="73">
        <v>9.9</v>
      </c>
      <c r="AD26" s="82" t="s">
        <v>133</v>
      </c>
      <c r="AE26" s="73" t="s">
        <v>20</v>
      </c>
      <c r="AF26" s="73" t="s">
        <v>12</v>
      </c>
      <c r="AG26" s="83">
        <v>40.700000000000003</v>
      </c>
      <c r="AL26" s="82"/>
      <c r="AO26" s="83"/>
      <c r="AP26" s="82"/>
      <c r="AS26" s="83"/>
      <c r="AW26" s="83"/>
      <c r="BA26" s="84"/>
    </row>
    <row r="27" spans="1:53" s="73" customFormat="1" x14ac:dyDescent="0.15">
      <c r="A27" s="102">
        <v>1967.62857142857</v>
      </c>
      <c r="B27" s="85"/>
      <c r="C27" s="786" t="s">
        <v>542</v>
      </c>
      <c r="D27" s="786"/>
      <c r="E27" s="73">
        <v>366</v>
      </c>
      <c r="G27" s="123"/>
      <c r="H27" s="73">
        <v>11</v>
      </c>
      <c r="I27" s="73">
        <v>9</v>
      </c>
      <c r="J27" s="134">
        <v>20</v>
      </c>
      <c r="K27" s="92">
        <f t="shared" si="2"/>
        <v>0</v>
      </c>
      <c r="L27" s="92">
        <f t="shared" si="0"/>
        <v>55.000000000000007</v>
      </c>
      <c r="M27" s="92">
        <f t="shared" si="1"/>
        <v>45</v>
      </c>
      <c r="N27" s="125">
        <f t="shared" si="3"/>
        <v>100</v>
      </c>
      <c r="O27" s="91"/>
      <c r="P27" s="92">
        <v>49.4</v>
      </c>
      <c r="Q27" s="92">
        <v>40.700000000000003</v>
      </c>
      <c r="R27" s="93">
        <f t="shared" si="4"/>
        <v>90.1</v>
      </c>
      <c r="S27" s="97">
        <v>2</v>
      </c>
      <c r="T27" s="95"/>
      <c r="U27" s="85"/>
      <c r="V27" s="82" t="s">
        <v>129</v>
      </c>
      <c r="W27" s="73" t="s">
        <v>17</v>
      </c>
      <c r="X27" s="73" t="s">
        <v>18</v>
      </c>
      <c r="Y27" s="73">
        <v>39.5</v>
      </c>
      <c r="Z27" s="82" t="s">
        <v>130</v>
      </c>
      <c r="AA27" s="73" t="s">
        <v>82</v>
      </c>
      <c r="AB27" s="73" t="s">
        <v>18</v>
      </c>
      <c r="AC27" s="73">
        <v>9.9</v>
      </c>
      <c r="AD27" s="82" t="s">
        <v>133</v>
      </c>
      <c r="AE27" s="73" t="s">
        <v>20</v>
      </c>
      <c r="AF27" s="73" t="s">
        <v>12</v>
      </c>
      <c r="AG27" s="83">
        <v>40.700000000000003</v>
      </c>
      <c r="AL27" s="82"/>
      <c r="AO27" s="83"/>
      <c r="AP27" s="82"/>
      <c r="AS27" s="83"/>
      <c r="AW27" s="83"/>
      <c r="BA27" s="84"/>
    </row>
    <row r="28" spans="1:53" s="73" customFormat="1" x14ac:dyDescent="0.15">
      <c r="A28" s="102">
        <v>1969</v>
      </c>
      <c r="B28" s="85"/>
      <c r="C28" s="786" t="s">
        <v>542</v>
      </c>
      <c r="D28" s="786"/>
      <c r="E28" s="73">
        <v>294</v>
      </c>
      <c r="G28" s="123"/>
      <c r="H28" s="73">
        <v>11</v>
      </c>
      <c r="I28" s="73">
        <v>9</v>
      </c>
      <c r="J28" s="134">
        <v>20</v>
      </c>
      <c r="K28" s="92">
        <f t="shared" si="2"/>
        <v>0</v>
      </c>
      <c r="L28" s="92">
        <f t="shared" si="0"/>
        <v>55.000000000000007</v>
      </c>
      <c r="M28" s="92">
        <f t="shared" si="1"/>
        <v>45</v>
      </c>
      <c r="N28" s="125">
        <f t="shared" si="3"/>
        <v>100</v>
      </c>
      <c r="O28" s="91"/>
      <c r="P28" s="92">
        <v>49.4</v>
      </c>
      <c r="Q28" s="92">
        <v>40.700000000000003</v>
      </c>
      <c r="R28" s="93">
        <f t="shared" si="4"/>
        <v>90.1</v>
      </c>
      <c r="S28" s="97">
        <v>2</v>
      </c>
      <c r="T28" s="95"/>
      <c r="U28" s="85"/>
      <c r="V28" s="82" t="s">
        <v>129</v>
      </c>
      <c r="W28" s="73" t="s">
        <v>17</v>
      </c>
      <c r="X28" s="73" t="s">
        <v>18</v>
      </c>
      <c r="Y28" s="73">
        <v>39.5</v>
      </c>
      <c r="Z28" s="82" t="s">
        <v>130</v>
      </c>
      <c r="AA28" s="73" t="s">
        <v>82</v>
      </c>
      <c r="AB28" s="73" t="s">
        <v>18</v>
      </c>
      <c r="AC28" s="73">
        <v>9.9</v>
      </c>
      <c r="AD28" s="82" t="s">
        <v>133</v>
      </c>
      <c r="AE28" s="73" t="s">
        <v>20</v>
      </c>
      <c r="AF28" s="73" t="s">
        <v>12</v>
      </c>
      <c r="AG28" s="83">
        <v>40.700000000000003</v>
      </c>
      <c r="AL28" s="82"/>
      <c r="AO28" s="83"/>
      <c r="AP28" s="82"/>
      <c r="AS28" s="83"/>
      <c r="AW28" s="83"/>
      <c r="BA28" s="84"/>
    </row>
    <row r="29" spans="1:53" s="334" customFormat="1" x14ac:dyDescent="0.15">
      <c r="A29" s="386">
        <v>1968.5428571428599</v>
      </c>
      <c r="B29" s="355">
        <v>25498</v>
      </c>
      <c r="C29" s="785" t="s">
        <v>543</v>
      </c>
      <c r="D29" s="785"/>
      <c r="E29" s="334">
        <v>71</v>
      </c>
      <c r="F29" s="334">
        <v>1</v>
      </c>
      <c r="G29" s="419">
        <v>3</v>
      </c>
      <c r="I29" s="334">
        <v>12</v>
      </c>
      <c r="J29" s="435">
        <v>16</v>
      </c>
      <c r="K29" s="384">
        <f t="shared" si="2"/>
        <v>18.75</v>
      </c>
      <c r="L29" s="384">
        <f t="shared" si="0"/>
        <v>0</v>
      </c>
      <c r="M29" s="384">
        <f t="shared" si="1"/>
        <v>75</v>
      </c>
      <c r="N29" s="421">
        <f t="shared" si="3"/>
        <v>93.75</v>
      </c>
      <c r="O29" s="383">
        <v>6</v>
      </c>
      <c r="P29" s="384"/>
      <c r="Q29" s="384">
        <v>45.2</v>
      </c>
      <c r="R29" s="385">
        <f t="shared" si="4"/>
        <v>51.2</v>
      </c>
      <c r="S29" s="388">
        <v>2</v>
      </c>
      <c r="T29" s="342">
        <v>25474</v>
      </c>
      <c r="U29" s="355">
        <v>25498</v>
      </c>
      <c r="V29" s="343" t="s">
        <v>133</v>
      </c>
      <c r="W29" s="334" t="s">
        <v>20</v>
      </c>
      <c r="X29" s="334" t="s">
        <v>12</v>
      </c>
      <c r="Y29" s="344">
        <v>45.2</v>
      </c>
      <c r="Z29" s="343" t="s">
        <v>132</v>
      </c>
      <c r="AA29" s="334" t="s">
        <v>22</v>
      </c>
      <c r="AB29" s="334" t="s">
        <v>11</v>
      </c>
      <c r="AC29" s="344">
        <v>6</v>
      </c>
      <c r="AD29" s="343"/>
      <c r="AG29" s="344"/>
      <c r="AL29" s="343"/>
      <c r="AO29" s="344"/>
      <c r="AP29" s="343"/>
      <c r="AS29" s="344"/>
      <c r="AW29" s="344"/>
      <c r="BA29" s="345"/>
    </row>
    <row r="30" spans="1:53" s="334" customFormat="1" x14ac:dyDescent="0.15">
      <c r="A30" s="386">
        <v>1970</v>
      </c>
      <c r="B30" s="355"/>
      <c r="C30" s="785" t="s">
        <v>543</v>
      </c>
      <c r="D30" s="785"/>
      <c r="E30" s="334">
        <v>0</v>
      </c>
      <c r="G30" s="419">
        <v>3</v>
      </c>
      <c r="I30" s="334">
        <v>12</v>
      </c>
      <c r="J30" s="435">
        <v>16</v>
      </c>
      <c r="K30" s="384">
        <f t="shared" si="2"/>
        <v>18.75</v>
      </c>
      <c r="L30" s="384">
        <f t="shared" si="0"/>
        <v>0</v>
      </c>
      <c r="M30" s="384">
        <f t="shared" si="1"/>
        <v>75</v>
      </c>
      <c r="N30" s="421">
        <f t="shared" si="3"/>
        <v>93.75</v>
      </c>
      <c r="O30" s="383">
        <v>6</v>
      </c>
      <c r="P30" s="384"/>
      <c r="Q30" s="384">
        <v>45.2</v>
      </c>
      <c r="R30" s="385">
        <f t="shared" si="4"/>
        <v>51.2</v>
      </c>
      <c r="S30" s="388">
        <v>2</v>
      </c>
      <c r="T30" s="342"/>
      <c r="U30" s="355"/>
      <c r="V30" s="343" t="s">
        <v>133</v>
      </c>
      <c r="W30" s="334" t="s">
        <v>20</v>
      </c>
      <c r="X30" s="334" t="s">
        <v>12</v>
      </c>
      <c r="Y30" s="344">
        <v>45.2</v>
      </c>
      <c r="Z30" s="343" t="s">
        <v>132</v>
      </c>
      <c r="AA30" s="334" t="s">
        <v>22</v>
      </c>
      <c r="AB30" s="334" t="s">
        <v>11</v>
      </c>
      <c r="AC30" s="344">
        <v>6</v>
      </c>
      <c r="AD30" s="343"/>
      <c r="AG30" s="344"/>
      <c r="AL30" s="343"/>
      <c r="AO30" s="344"/>
      <c r="AP30" s="343"/>
      <c r="AS30" s="344"/>
      <c r="AW30" s="344"/>
      <c r="BA30" s="345"/>
    </row>
    <row r="31" spans="1:53" s="334" customFormat="1" x14ac:dyDescent="0.15">
      <c r="A31" s="386">
        <v>1970</v>
      </c>
      <c r="B31" s="355"/>
      <c r="C31" s="785" t="s">
        <v>543</v>
      </c>
      <c r="D31" s="785"/>
      <c r="E31" s="334">
        <v>365</v>
      </c>
      <c r="G31" s="419">
        <v>3</v>
      </c>
      <c r="I31" s="334">
        <v>12</v>
      </c>
      <c r="J31" s="435">
        <v>16</v>
      </c>
      <c r="K31" s="384">
        <f t="shared" si="2"/>
        <v>18.75</v>
      </c>
      <c r="L31" s="384">
        <f t="shared" si="0"/>
        <v>0</v>
      </c>
      <c r="M31" s="384">
        <f t="shared" si="1"/>
        <v>75</v>
      </c>
      <c r="N31" s="421">
        <f t="shared" si="3"/>
        <v>93.75</v>
      </c>
      <c r="O31" s="383">
        <v>6</v>
      </c>
      <c r="P31" s="384"/>
      <c r="Q31" s="384">
        <v>45.2</v>
      </c>
      <c r="R31" s="385">
        <f t="shared" si="4"/>
        <v>51.2</v>
      </c>
      <c r="S31" s="388">
        <v>2</v>
      </c>
      <c r="T31" s="342"/>
      <c r="U31" s="355"/>
      <c r="V31" s="343" t="s">
        <v>133</v>
      </c>
      <c r="W31" s="334" t="s">
        <v>20</v>
      </c>
      <c r="X31" s="334" t="s">
        <v>12</v>
      </c>
      <c r="Y31" s="344">
        <v>45.2</v>
      </c>
      <c r="Z31" s="343" t="s">
        <v>132</v>
      </c>
      <c r="AA31" s="334" t="s">
        <v>22</v>
      </c>
      <c r="AB31" s="334" t="s">
        <v>11</v>
      </c>
      <c r="AC31" s="344">
        <v>6</v>
      </c>
      <c r="AD31" s="343"/>
      <c r="AG31" s="344"/>
      <c r="AL31" s="343"/>
      <c r="AO31" s="344"/>
      <c r="AP31" s="343"/>
      <c r="AS31" s="344"/>
      <c r="AW31" s="344"/>
      <c r="BA31" s="345"/>
    </row>
    <row r="32" spans="1:53" s="334" customFormat="1" x14ac:dyDescent="0.15">
      <c r="A32" s="386">
        <v>1971</v>
      </c>
      <c r="B32" s="355"/>
      <c r="C32" s="785" t="s">
        <v>543</v>
      </c>
      <c r="D32" s="785"/>
      <c r="E32" s="334">
        <v>0</v>
      </c>
      <c r="G32" s="419">
        <v>3</v>
      </c>
      <c r="I32" s="334">
        <v>12</v>
      </c>
      <c r="J32" s="435">
        <v>16</v>
      </c>
      <c r="K32" s="384">
        <f t="shared" si="2"/>
        <v>18.75</v>
      </c>
      <c r="L32" s="384">
        <f t="shared" si="0"/>
        <v>0</v>
      </c>
      <c r="M32" s="384">
        <f t="shared" si="1"/>
        <v>75</v>
      </c>
      <c r="N32" s="421">
        <f t="shared" si="3"/>
        <v>93.75</v>
      </c>
      <c r="O32" s="383">
        <v>6</v>
      </c>
      <c r="P32" s="384"/>
      <c r="Q32" s="384">
        <v>45.2</v>
      </c>
      <c r="R32" s="385">
        <f t="shared" si="4"/>
        <v>51.2</v>
      </c>
      <c r="S32" s="388">
        <v>2</v>
      </c>
      <c r="T32" s="342"/>
      <c r="U32" s="355"/>
      <c r="V32" s="343" t="s">
        <v>133</v>
      </c>
      <c r="W32" s="334" t="s">
        <v>20</v>
      </c>
      <c r="X32" s="334" t="s">
        <v>12</v>
      </c>
      <c r="Y32" s="344">
        <v>45.2</v>
      </c>
      <c r="Z32" s="343" t="s">
        <v>132</v>
      </c>
      <c r="AA32" s="334" t="s">
        <v>22</v>
      </c>
      <c r="AB32" s="334" t="s">
        <v>11</v>
      </c>
      <c r="AC32" s="344">
        <v>6</v>
      </c>
      <c r="AD32" s="343"/>
      <c r="AG32" s="344"/>
      <c r="AL32" s="343"/>
      <c r="AO32" s="344"/>
      <c r="AP32" s="343"/>
      <c r="AS32" s="344"/>
      <c r="AW32" s="344"/>
      <c r="BA32" s="345"/>
    </row>
    <row r="33" spans="1:53" s="334" customFormat="1" x14ac:dyDescent="0.15">
      <c r="A33" s="386">
        <v>1971</v>
      </c>
      <c r="B33" s="355"/>
      <c r="C33" s="785" t="s">
        <v>543</v>
      </c>
      <c r="D33" s="785"/>
      <c r="E33" s="334">
        <v>365</v>
      </c>
      <c r="G33" s="419">
        <v>3</v>
      </c>
      <c r="I33" s="334">
        <v>12</v>
      </c>
      <c r="J33" s="435">
        <v>16</v>
      </c>
      <c r="K33" s="384">
        <f t="shared" si="2"/>
        <v>18.75</v>
      </c>
      <c r="L33" s="384">
        <f t="shared" si="0"/>
        <v>0</v>
      </c>
      <c r="M33" s="384">
        <f t="shared" si="1"/>
        <v>75</v>
      </c>
      <c r="N33" s="421">
        <f t="shared" si="3"/>
        <v>93.75</v>
      </c>
      <c r="O33" s="383">
        <v>6</v>
      </c>
      <c r="P33" s="384"/>
      <c r="Q33" s="384">
        <v>45.2</v>
      </c>
      <c r="R33" s="385">
        <f t="shared" si="4"/>
        <v>51.2</v>
      </c>
      <c r="S33" s="388">
        <v>2</v>
      </c>
      <c r="T33" s="342"/>
      <c r="U33" s="355"/>
      <c r="V33" s="343" t="s">
        <v>133</v>
      </c>
      <c r="W33" s="334" t="s">
        <v>20</v>
      </c>
      <c r="X33" s="334" t="s">
        <v>12</v>
      </c>
      <c r="Y33" s="344">
        <v>45.2</v>
      </c>
      <c r="Z33" s="343" t="s">
        <v>132</v>
      </c>
      <c r="AA33" s="334" t="s">
        <v>22</v>
      </c>
      <c r="AB33" s="334" t="s">
        <v>11</v>
      </c>
      <c r="AC33" s="344">
        <v>6</v>
      </c>
      <c r="AD33" s="343"/>
      <c r="AG33" s="344"/>
      <c r="AL33" s="343"/>
      <c r="AO33" s="344"/>
      <c r="AP33" s="343"/>
      <c r="AS33" s="344"/>
      <c r="AW33" s="344"/>
      <c r="BA33" s="345"/>
    </row>
    <row r="34" spans="1:53" s="334" customFormat="1" x14ac:dyDescent="0.15">
      <c r="A34" s="386">
        <v>1972</v>
      </c>
      <c r="B34" s="355"/>
      <c r="C34" s="785" t="s">
        <v>543</v>
      </c>
      <c r="D34" s="785"/>
      <c r="E34" s="334">
        <v>137</v>
      </c>
      <c r="G34" s="419">
        <v>3</v>
      </c>
      <c r="I34" s="334">
        <v>12</v>
      </c>
      <c r="J34" s="435">
        <v>16</v>
      </c>
      <c r="K34" s="384">
        <f t="shared" si="2"/>
        <v>18.75</v>
      </c>
      <c r="L34" s="384">
        <f t="shared" si="0"/>
        <v>0</v>
      </c>
      <c r="M34" s="384">
        <f t="shared" si="1"/>
        <v>75</v>
      </c>
      <c r="N34" s="421">
        <f t="shared" si="3"/>
        <v>93.75</v>
      </c>
      <c r="O34" s="383">
        <v>6</v>
      </c>
      <c r="P34" s="384"/>
      <c r="Q34" s="384">
        <v>45.2</v>
      </c>
      <c r="R34" s="385">
        <f t="shared" si="4"/>
        <v>51.2</v>
      </c>
      <c r="S34" s="388">
        <v>2</v>
      </c>
      <c r="T34" s="342"/>
      <c r="U34" s="355"/>
      <c r="V34" s="343" t="s">
        <v>133</v>
      </c>
      <c r="W34" s="334" t="s">
        <v>20</v>
      </c>
      <c r="X34" s="334" t="s">
        <v>12</v>
      </c>
      <c r="Y34" s="344">
        <v>45.2</v>
      </c>
      <c r="Z34" s="343" t="s">
        <v>132</v>
      </c>
      <c r="AA34" s="334" t="s">
        <v>22</v>
      </c>
      <c r="AB34" s="334" t="s">
        <v>11</v>
      </c>
      <c r="AC34" s="344">
        <v>6</v>
      </c>
      <c r="AD34" s="343"/>
      <c r="AG34" s="344"/>
      <c r="AL34" s="343"/>
      <c r="AO34" s="344"/>
      <c r="AP34" s="343"/>
      <c r="AS34" s="344"/>
      <c r="AW34" s="344"/>
      <c r="BA34" s="345"/>
    </row>
    <row r="35" spans="1:53" s="73" customFormat="1" x14ac:dyDescent="0.15">
      <c r="A35" s="102">
        <v>1972</v>
      </c>
      <c r="B35" s="85">
        <v>26436</v>
      </c>
      <c r="C35" s="786" t="s">
        <v>544</v>
      </c>
      <c r="D35" s="786"/>
      <c r="E35" s="73">
        <v>212</v>
      </c>
      <c r="F35" s="73">
        <v>5</v>
      </c>
      <c r="G35" s="123">
        <v>3</v>
      </c>
      <c r="I35" s="73">
        <v>13</v>
      </c>
      <c r="J35" s="134">
        <v>16</v>
      </c>
      <c r="K35" s="92">
        <f>G35/J35*100</f>
        <v>18.75</v>
      </c>
      <c r="L35" s="92">
        <f>H35/J35*100</f>
        <v>0</v>
      </c>
      <c r="M35" s="92">
        <f>I35/J35*100</f>
        <v>81.25</v>
      </c>
      <c r="N35" s="125">
        <f t="shared" si="3"/>
        <v>100</v>
      </c>
      <c r="O35" s="91">
        <v>6</v>
      </c>
      <c r="P35" s="92"/>
      <c r="Q35" s="92">
        <v>45.2</v>
      </c>
      <c r="R35" s="93">
        <f t="shared" si="4"/>
        <v>51.2</v>
      </c>
      <c r="S35" s="97">
        <v>2</v>
      </c>
      <c r="T35" s="95"/>
      <c r="U35" s="85">
        <v>26436</v>
      </c>
      <c r="V35" s="82" t="s">
        <v>133</v>
      </c>
      <c r="W35" s="73" t="s">
        <v>20</v>
      </c>
      <c r="X35" s="73" t="s">
        <v>12</v>
      </c>
      <c r="Y35" s="83">
        <v>45.2</v>
      </c>
      <c r="Z35" s="82" t="s">
        <v>132</v>
      </c>
      <c r="AA35" s="73" t="s">
        <v>22</v>
      </c>
      <c r="AB35" s="73" t="s">
        <v>11</v>
      </c>
      <c r="AC35" s="83">
        <v>6</v>
      </c>
      <c r="AD35" s="82"/>
      <c r="AG35" s="83"/>
      <c r="AL35" s="82"/>
      <c r="AO35" s="83"/>
      <c r="AP35" s="82"/>
      <c r="AS35" s="83"/>
      <c r="AW35" s="83"/>
      <c r="BA35" s="84"/>
    </row>
    <row r="36" spans="1:53" s="334" customFormat="1" x14ac:dyDescent="0.15">
      <c r="A36" s="386">
        <v>1972</v>
      </c>
      <c r="B36" s="355">
        <v>26648</v>
      </c>
      <c r="C36" s="785" t="s">
        <v>545</v>
      </c>
      <c r="D36" s="785"/>
      <c r="E36" s="334">
        <v>17</v>
      </c>
      <c r="F36" s="334">
        <v>1</v>
      </c>
      <c r="G36" s="419">
        <v>5</v>
      </c>
      <c r="I36" s="334">
        <v>13</v>
      </c>
      <c r="J36" s="435">
        <v>18</v>
      </c>
      <c r="K36" s="384">
        <f t="shared" si="2"/>
        <v>27.777777777777779</v>
      </c>
      <c r="L36" s="384">
        <f t="shared" si="0"/>
        <v>0</v>
      </c>
      <c r="M36" s="384">
        <f t="shared" si="1"/>
        <v>72.222222222222214</v>
      </c>
      <c r="N36" s="421">
        <f t="shared" si="3"/>
        <v>100</v>
      </c>
      <c r="O36" s="383">
        <v>8.3000000000000007</v>
      </c>
      <c r="P36" s="384"/>
      <c r="Q36" s="384">
        <v>46.4</v>
      </c>
      <c r="R36" s="385">
        <f t="shared" si="4"/>
        <v>54.7</v>
      </c>
      <c r="S36" s="388">
        <v>2</v>
      </c>
      <c r="T36" s="342">
        <v>26622</v>
      </c>
      <c r="U36" s="355">
        <v>26648</v>
      </c>
      <c r="V36" s="343" t="s">
        <v>133</v>
      </c>
      <c r="W36" s="334" t="s">
        <v>20</v>
      </c>
      <c r="X36" s="334" t="s">
        <v>12</v>
      </c>
      <c r="Y36" s="334">
        <v>46.4</v>
      </c>
      <c r="Z36" s="343" t="s">
        <v>132</v>
      </c>
      <c r="AA36" s="334" t="s">
        <v>22</v>
      </c>
      <c r="AB36" s="334" t="s">
        <v>11</v>
      </c>
      <c r="AC36" s="334">
        <v>8.3000000000000007</v>
      </c>
      <c r="AD36" s="343"/>
      <c r="AG36" s="344"/>
      <c r="AL36" s="343"/>
      <c r="AO36" s="344"/>
      <c r="AP36" s="343"/>
      <c r="AS36" s="344"/>
      <c r="AW36" s="344"/>
      <c r="BA36" s="345"/>
    </row>
    <row r="37" spans="1:53" s="334" customFormat="1" x14ac:dyDescent="0.15">
      <c r="A37" s="386">
        <v>1973</v>
      </c>
      <c r="B37" s="355"/>
      <c r="C37" s="785" t="s">
        <v>545</v>
      </c>
      <c r="D37" s="785"/>
      <c r="E37" s="334">
        <v>0</v>
      </c>
      <c r="G37" s="419">
        <v>5</v>
      </c>
      <c r="I37" s="334">
        <v>13</v>
      </c>
      <c r="J37" s="435">
        <v>18</v>
      </c>
      <c r="K37" s="384">
        <f t="shared" si="2"/>
        <v>27.777777777777779</v>
      </c>
      <c r="L37" s="384">
        <f t="shared" si="0"/>
        <v>0</v>
      </c>
      <c r="M37" s="384">
        <f t="shared" si="1"/>
        <v>72.222222222222214</v>
      </c>
      <c r="N37" s="421">
        <f t="shared" si="3"/>
        <v>100</v>
      </c>
      <c r="O37" s="383">
        <v>8.3000000000000007</v>
      </c>
      <c r="P37" s="384"/>
      <c r="Q37" s="384">
        <v>46.4</v>
      </c>
      <c r="R37" s="385">
        <f t="shared" si="4"/>
        <v>54.7</v>
      </c>
      <c r="S37" s="388">
        <v>2</v>
      </c>
      <c r="T37" s="342"/>
      <c r="U37" s="355"/>
      <c r="V37" s="343" t="s">
        <v>133</v>
      </c>
      <c r="W37" s="334" t="s">
        <v>20</v>
      </c>
      <c r="X37" s="334" t="s">
        <v>12</v>
      </c>
      <c r="Y37" s="334">
        <v>46.4</v>
      </c>
      <c r="Z37" s="343" t="s">
        <v>132</v>
      </c>
      <c r="AA37" s="334" t="s">
        <v>22</v>
      </c>
      <c r="AB37" s="334" t="s">
        <v>11</v>
      </c>
      <c r="AC37" s="334">
        <v>8.3000000000000007</v>
      </c>
      <c r="AD37" s="343"/>
      <c r="AG37" s="344"/>
      <c r="AL37" s="343"/>
      <c r="AO37" s="344"/>
      <c r="AP37" s="343"/>
      <c r="AS37" s="344"/>
      <c r="AW37" s="344"/>
      <c r="BA37" s="345"/>
    </row>
    <row r="38" spans="1:53" s="334" customFormat="1" x14ac:dyDescent="0.15">
      <c r="A38" s="386">
        <v>1973</v>
      </c>
      <c r="B38" s="355"/>
      <c r="C38" s="785" t="s">
        <v>545</v>
      </c>
      <c r="D38" s="785"/>
      <c r="E38" s="334">
        <v>365</v>
      </c>
      <c r="G38" s="419">
        <v>5</v>
      </c>
      <c r="I38" s="334">
        <v>13</v>
      </c>
      <c r="J38" s="435">
        <v>18</v>
      </c>
      <c r="K38" s="384">
        <f t="shared" si="2"/>
        <v>27.777777777777779</v>
      </c>
      <c r="L38" s="384">
        <f t="shared" si="0"/>
        <v>0</v>
      </c>
      <c r="M38" s="384">
        <f t="shared" si="1"/>
        <v>72.222222222222214</v>
      </c>
      <c r="N38" s="421">
        <f t="shared" si="3"/>
        <v>100</v>
      </c>
      <c r="O38" s="383">
        <v>8.3000000000000007</v>
      </c>
      <c r="P38" s="384"/>
      <c r="Q38" s="384">
        <v>46.4</v>
      </c>
      <c r="R38" s="385">
        <f t="shared" si="4"/>
        <v>54.7</v>
      </c>
      <c r="S38" s="388">
        <v>2</v>
      </c>
      <c r="T38" s="342"/>
      <c r="U38" s="355"/>
      <c r="V38" s="343" t="s">
        <v>133</v>
      </c>
      <c r="W38" s="334" t="s">
        <v>20</v>
      </c>
      <c r="X38" s="334" t="s">
        <v>12</v>
      </c>
      <c r="Y38" s="334">
        <v>46.4</v>
      </c>
      <c r="Z38" s="343" t="s">
        <v>132</v>
      </c>
      <c r="AA38" s="334" t="s">
        <v>22</v>
      </c>
      <c r="AB38" s="334" t="s">
        <v>11</v>
      </c>
      <c r="AC38" s="334">
        <v>8.3000000000000007</v>
      </c>
      <c r="AD38" s="343"/>
      <c r="AG38" s="344"/>
      <c r="AL38" s="343"/>
      <c r="AO38" s="344"/>
      <c r="AP38" s="343"/>
      <c r="AS38" s="344"/>
      <c r="AW38" s="344"/>
      <c r="BA38" s="345"/>
    </row>
    <row r="39" spans="1:53" s="334" customFormat="1" x14ac:dyDescent="0.15">
      <c r="A39" s="386">
        <v>1974</v>
      </c>
      <c r="B39" s="355"/>
      <c r="C39" s="785" t="s">
        <v>545</v>
      </c>
      <c r="D39" s="785"/>
      <c r="E39" s="334">
        <v>135</v>
      </c>
      <c r="G39" s="419">
        <v>5</v>
      </c>
      <c r="I39" s="334">
        <v>13</v>
      </c>
      <c r="J39" s="435">
        <v>18</v>
      </c>
      <c r="K39" s="384">
        <f t="shared" si="2"/>
        <v>27.777777777777779</v>
      </c>
      <c r="L39" s="384">
        <f t="shared" si="0"/>
        <v>0</v>
      </c>
      <c r="M39" s="384">
        <f t="shared" si="1"/>
        <v>72.222222222222214</v>
      </c>
      <c r="N39" s="421">
        <f t="shared" si="3"/>
        <v>100</v>
      </c>
      <c r="O39" s="383">
        <v>8.3000000000000007</v>
      </c>
      <c r="P39" s="384"/>
      <c r="Q39" s="384">
        <v>46.4</v>
      </c>
      <c r="R39" s="385">
        <f t="shared" si="4"/>
        <v>54.7</v>
      </c>
      <c r="S39" s="388">
        <v>2</v>
      </c>
      <c r="T39" s="342"/>
      <c r="U39" s="355"/>
      <c r="V39" s="343" t="s">
        <v>133</v>
      </c>
      <c r="W39" s="334" t="s">
        <v>20</v>
      </c>
      <c r="X39" s="334" t="s">
        <v>12</v>
      </c>
      <c r="Y39" s="334">
        <v>46.4</v>
      </c>
      <c r="Z39" s="343" t="s">
        <v>132</v>
      </c>
      <c r="AA39" s="334" t="s">
        <v>22</v>
      </c>
      <c r="AB39" s="334" t="s">
        <v>11</v>
      </c>
      <c r="AC39" s="334">
        <v>8.3000000000000007</v>
      </c>
      <c r="AD39" s="343"/>
      <c r="AG39" s="344"/>
      <c r="AL39" s="343"/>
      <c r="AO39" s="344"/>
      <c r="AP39" s="343"/>
      <c r="AS39" s="344"/>
      <c r="AW39" s="344"/>
      <c r="BA39" s="345"/>
    </row>
    <row r="40" spans="1:53" s="73" customFormat="1" x14ac:dyDescent="0.15">
      <c r="A40" s="102">
        <v>1974</v>
      </c>
      <c r="B40" s="85">
        <v>27165</v>
      </c>
      <c r="C40" s="786" t="s">
        <v>546</v>
      </c>
      <c r="D40" s="786"/>
      <c r="E40" s="73">
        <v>230</v>
      </c>
      <c r="F40" s="73">
        <v>2</v>
      </c>
      <c r="G40" s="123">
        <v>4</v>
      </c>
      <c r="I40" s="73">
        <v>12</v>
      </c>
      <c r="J40" s="134">
        <v>16</v>
      </c>
      <c r="K40" s="92">
        <f t="shared" si="2"/>
        <v>25</v>
      </c>
      <c r="L40" s="92">
        <f t="shared" si="0"/>
        <v>0</v>
      </c>
      <c r="M40" s="92">
        <f t="shared" si="1"/>
        <v>75</v>
      </c>
      <c r="N40" s="125">
        <f t="shared" si="3"/>
        <v>100</v>
      </c>
      <c r="O40" s="91">
        <v>8.3000000000000007</v>
      </c>
      <c r="P40" s="92"/>
      <c r="Q40" s="92">
        <v>46.4</v>
      </c>
      <c r="R40" s="93">
        <f t="shared" si="4"/>
        <v>54.7</v>
      </c>
      <c r="S40" s="97">
        <v>2</v>
      </c>
      <c r="T40" s="95"/>
      <c r="U40" s="85">
        <v>27165</v>
      </c>
      <c r="V40" s="82" t="s">
        <v>133</v>
      </c>
      <c r="W40" s="73" t="s">
        <v>20</v>
      </c>
      <c r="X40" s="73" t="s">
        <v>12</v>
      </c>
      <c r="Y40" s="73">
        <v>46.4</v>
      </c>
      <c r="Z40" s="82" t="s">
        <v>132</v>
      </c>
      <c r="AA40" s="73" t="s">
        <v>22</v>
      </c>
      <c r="AB40" s="73" t="s">
        <v>11</v>
      </c>
      <c r="AC40" s="73">
        <v>8.3000000000000007</v>
      </c>
      <c r="AD40" s="82"/>
      <c r="AG40" s="83"/>
      <c r="AL40" s="82"/>
      <c r="AO40" s="83"/>
      <c r="AP40" s="82"/>
      <c r="AS40" s="83"/>
      <c r="AW40" s="83"/>
      <c r="BA40" s="84"/>
    </row>
    <row r="41" spans="1:53" s="73" customFormat="1" x14ac:dyDescent="0.15">
      <c r="A41" s="102">
        <v>1975</v>
      </c>
      <c r="B41" s="85"/>
      <c r="C41" s="786" t="s">
        <v>546</v>
      </c>
      <c r="D41" s="786"/>
      <c r="E41" s="73">
        <v>0</v>
      </c>
      <c r="G41" s="123">
        <v>4</v>
      </c>
      <c r="I41" s="73">
        <v>12</v>
      </c>
      <c r="J41" s="134">
        <v>16</v>
      </c>
      <c r="K41" s="92">
        <f t="shared" si="2"/>
        <v>25</v>
      </c>
      <c r="L41" s="92">
        <f t="shared" si="0"/>
        <v>0</v>
      </c>
      <c r="M41" s="92">
        <f t="shared" si="1"/>
        <v>75</v>
      </c>
      <c r="N41" s="125">
        <f t="shared" si="3"/>
        <v>100</v>
      </c>
      <c r="O41" s="91">
        <v>8.3000000000000007</v>
      </c>
      <c r="P41" s="92"/>
      <c r="Q41" s="92">
        <v>46.4</v>
      </c>
      <c r="R41" s="93">
        <f t="shared" si="4"/>
        <v>54.7</v>
      </c>
      <c r="S41" s="97">
        <v>2</v>
      </c>
      <c r="T41" s="95"/>
      <c r="U41" s="85"/>
      <c r="V41" s="82" t="s">
        <v>133</v>
      </c>
      <c r="W41" s="73" t="s">
        <v>20</v>
      </c>
      <c r="X41" s="73" t="s">
        <v>12</v>
      </c>
      <c r="Y41" s="73">
        <v>46.4</v>
      </c>
      <c r="Z41" s="82" t="s">
        <v>132</v>
      </c>
      <c r="AA41" s="73" t="s">
        <v>22</v>
      </c>
      <c r="AB41" s="73" t="s">
        <v>11</v>
      </c>
      <c r="AC41" s="73">
        <v>8.3000000000000007</v>
      </c>
      <c r="AD41" s="82"/>
      <c r="AG41" s="83"/>
      <c r="AL41" s="82"/>
      <c r="AO41" s="83"/>
      <c r="AP41" s="82"/>
      <c r="AS41" s="83"/>
      <c r="AW41" s="83"/>
      <c r="BA41" s="84"/>
    </row>
    <row r="42" spans="1:53" s="73" customFormat="1" x14ac:dyDescent="0.15">
      <c r="A42" s="102">
        <v>1975</v>
      </c>
      <c r="B42" s="85"/>
      <c r="C42" s="786" t="s">
        <v>546</v>
      </c>
      <c r="D42" s="786"/>
      <c r="E42" s="73">
        <v>365</v>
      </c>
      <c r="G42" s="123">
        <v>4</v>
      </c>
      <c r="I42" s="73">
        <v>12</v>
      </c>
      <c r="J42" s="134">
        <v>16</v>
      </c>
      <c r="K42" s="92">
        <f t="shared" si="2"/>
        <v>25</v>
      </c>
      <c r="L42" s="92">
        <f t="shared" si="0"/>
        <v>0</v>
      </c>
      <c r="M42" s="92">
        <f t="shared" si="1"/>
        <v>75</v>
      </c>
      <c r="N42" s="125">
        <f t="shared" si="3"/>
        <v>100</v>
      </c>
      <c r="O42" s="91">
        <v>8.3000000000000007</v>
      </c>
      <c r="P42" s="92"/>
      <c r="Q42" s="92">
        <v>46.4</v>
      </c>
      <c r="R42" s="93">
        <f t="shared" si="4"/>
        <v>54.7</v>
      </c>
      <c r="S42" s="97">
        <v>2</v>
      </c>
      <c r="T42" s="95"/>
      <c r="U42" s="85"/>
      <c r="V42" s="82" t="s">
        <v>133</v>
      </c>
      <c r="W42" s="73" t="s">
        <v>20</v>
      </c>
      <c r="X42" s="73" t="s">
        <v>12</v>
      </c>
      <c r="Y42" s="73">
        <v>46.4</v>
      </c>
      <c r="Z42" s="82" t="s">
        <v>132</v>
      </c>
      <c r="AA42" s="73" t="s">
        <v>22</v>
      </c>
      <c r="AB42" s="73" t="s">
        <v>11</v>
      </c>
      <c r="AC42" s="73">
        <v>8.3000000000000007</v>
      </c>
      <c r="AD42" s="82"/>
      <c r="AG42" s="83"/>
      <c r="AL42" s="82"/>
      <c r="AO42" s="83"/>
      <c r="AP42" s="82"/>
      <c r="AS42" s="83"/>
      <c r="AW42" s="83"/>
      <c r="BA42" s="84"/>
    </row>
    <row r="43" spans="1:53" s="73" customFormat="1" x14ac:dyDescent="0.15">
      <c r="A43" s="102">
        <v>1976</v>
      </c>
      <c r="B43" s="85"/>
      <c r="C43" s="786" t="s">
        <v>546</v>
      </c>
      <c r="D43" s="786"/>
      <c r="E43" s="73">
        <v>349</v>
      </c>
      <c r="G43" s="123">
        <v>4</v>
      </c>
      <c r="I43" s="73">
        <v>12</v>
      </c>
      <c r="J43" s="134">
        <v>16</v>
      </c>
      <c r="K43" s="92">
        <f t="shared" si="2"/>
        <v>25</v>
      </c>
      <c r="L43" s="92">
        <f t="shared" si="0"/>
        <v>0</v>
      </c>
      <c r="M43" s="92">
        <f t="shared" si="1"/>
        <v>75</v>
      </c>
      <c r="N43" s="125">
        <f t="shared" si="3"/>
        <v>100</v>
      </c>
      <c r="O43" s="91">
        <v>8.3000000000000007</v>
      </c>
      <c r="P43" s="92"/>
      <c r="Q43" s="92">
        <v>46.4</v>
      </c>
      <c r="R43" s="93">
        <f t="shared" si="4"/>
        <v>54.7</v>
      </c>
      <c r="S43" s="97">
        <v>2</v>
      </c>
      <c r="T43" s="95"/>
      <c r="U43" s="85"/>
      <c r="V43" s="82" t="s">
        <v>133</v>
      </c>
      <c r="W43" s="73" t="s">
        <v>20</v>
      </c>
      <c r="X43" s="73" t="s">
        <v>12</v>
      </c>
      <c r="Y43" s="73">
        <v>46.4</v>
      </c>
      <c r="Z43" s="82" t="s">
        <v>132</v>
      </c>
      <c r="AA43" s="73" t="s">
        <v>22</v>
      </c>
      <c r="AB43" s="73" t="s">
        <v>11</v>
      </c>
      <c r="AC43" s="73">
        <v>8.3000000000000007</v>
      </c>
      <c r="AD43" s="82"/>
      <c r="AG43" s="83"/>
      <c r="AL43" s="82"/>
      <c r="AO43" s="83"/>
      <c r="AP43" s="82"/>
      <c r="AS43" s="83"/>
      <c r="AW43" s="83"/>
      <c r="BA43" s="84"/>
    </row>
    <row r="44" spans="1:53" s="334" customFormat="1" x14ac:dyDescent="0.15">
      <c r="A44" s="386">
        <v>1976</v>
      </c>
      <c r="B44" s="355">
        <v>28109</v>
      </c>
      <c r="C44" s="785" t="s">
        <v>547</v>
      </c>
      <c r="D44" s="785"/>
      <c r="E44" s="334">
        <v>17</v>
      </c>
      <c r="F44" s="334">
        <v>1</v>
      </c>
      <c r="G44" s="419">
        <v>4</v>
      </c>
      <c r="I44" s="334">
        <v>12</v>
      </c>
      <c r="J44" s="435">
        <v>16</v>
      </c>
      <c r="K44" s="384">
        <f t="shared" si="2"/>
        <v>25</v>
      </c>
      <c r="L44" s="384">
        <f t="shared" si="0"/>
        <v>0</v>
      </c>
      <c r="M44" s="384">
        <f t="shared" si="1"/>
        <v>75</v>
      </c>
      <c r="N44" s="421">
        <f t="shared" si="3"/>
        <v>100</v>
      </c>
      <c r="O44" s="383">
        <v>7.9</v>
      </c>
      <c r="P44" s="384"/>
      <c r="Q44" s="384">
        <v>43.1</v>
      </c>
      <c r="R44" s="385">
        <f t="shared" si="4"/>
        <v>51</v>
      </c>
      <c r="S44" s="388">
        <v>2</v>
      </c>
      <c r="T44" s="342">
        <v>28063</v>
      </c>
      <c r="U44" s="355">
        <v>28109</v>
      </c>
      <c r="V44" s="343" t="s">
        <v>133</v>
      </c>
      <c r="W44" s="334" t="s">
        <v>20</v>
      </c>
      <c r="X44" s="334" t="s">
        <v>12</v>
      </c>
      <c r="Y44" s="334">
        <v>43.1</v>
      </c>
      <c r="Z44" s="343" t="s">
        <v>132</v>
      </c>
      <c r="AA44" s="334" t="s">
        <v>22</v>
      </c>
      <c r="AB44" s="334" t="s">
        <v>11</v>
      </c>
      <c r="AC44" s="334">
        <v>7.9</v>
      </c>
      <c r="AD44" s="343"/>
      <c r="AG44" s="344"/>
      <c r="AL44" s="343"/>
      <c r="AO44" s="344"/>
      <c r="AP44" s="343"/>
      <c r="AS44" s="344"/>
      <c r="AW44" s="344"/>
      <c r="BA44" s="345"/>
    </row>
    <row r="45" spans="1:53" s="334" customFormat="1" x14ac:dyDescent="0.15">
      <c r="A45" s="386">
        <v>1977</v>
      </c>
      <c r="B45" s="355"/>
      <c r="C45" s="785" t="s">
        <v>547</v>
      </c>
      <c r="D45" s="785"/>
      <c r="E45" s="334">
        <v>0</v>
      </c>
      <c r="G45" s="419">
        <v>4</v>
      </c>
      <c r="I45" s="334">
        <v>12</v>
      </c>
      <c r="J45" s="435">
        <v>16</v>
      </c>
      <c r="K45" s="384">
        <f t="shared" si="2"/>
        <v>25</v>
      </c>
      <c r="L45" s="384">
        <f t="shared" si="0"/>
        <v>0</v>
      </c>
      <c r="M45" s="384">
        <f t="shared" si="1"/>
        <v>75</v>
      </c>
      <c r="N45" s="421">
        <f t="shared" si="3"/>
        <v>100</v>
      </c>
      <c r="O45" s="383">
        <v>7.9</v>
      </c>
      <c r="P45" s="384"/>
      <c r="Q45" s="384">
        <v>43.1</v>
      </c>
      <c r="R45" s="385">
        <f t="shared" si="4"/>
        <v>51</v>
      </c>
      <c r="S45" s="388">
        <v>2</v>
      </c>
      <c r="T45" s="342"/>
      <c r="U45" s="355"/>
      <c r="V45" s="343" t="s">
        <v>133</v>
      </c>
      <c r="W45" s="334" t="s">
        <v>20</v>
      </c>
      <c r="X45" s="334" t="s">
        <v>12</v>
      </c>
      <c r="Y45" s="334">
        <v>43.1</v>
      </c>
      <c r="Z45" s="343" t="s">
        <v>132</v>
      </c>
      <c r="AA45" s="334" t="s">
        <v>22</v>
      </c>
      <c r="AB45" s="334" t="s">
        <v>11</v>
      </c>
      <c r="AC45" s="334">
        <v>7.9</v>
      </c>
      <c r="AD45" s="343"/>
      <c r="AG45" s="344"/>
      <c r="AL45" s="343"/>
      <c r="AO45" s="344"/>
      <c r="AP45" s="343"/>
      <c r="AS45" s="344"/>
      <c r="AW45" s="344"/>
      <c r="BA45" s="345"/>
    </row>
    <row r="46" spans="1:53" s="334" customFormat="1" x14ac:dyDescent="0.15">
      <c r="A46" s="386">
        <v>1977</v>
      </c>
      <c r="B46" s="355"/>
      <c r="C46" s="785" t="s">
        <v>547</v>
      </c>
      <c r="D46" s="785"/>
      <c r="E46" s="334">
        <v>365</v>
      </c>
      <c r="G46" s="419">
        <v>4</v>
      </c>
      <c r="I46" s="334">
        <v>12</v>
      </c>
      <c r="J46" s="435">
        <v>16</v>
      </c>
      <c r="K46" s="384">
        <f t="shared" si="2"/>
        <v>25</v>
      </c>
      <c r="L46" s="384">
        <f t="shared" si="0"/>
        <v>0</v>
      </c>
      <c r="M46" s="384">
        <f t="shared" si="1"/>
        <v>75</v>
      </c>
      <c r="N46" s="421">
        <f t="shared" si="3"/>
        <v>100</v>
      </c>
      <c r="O46" s="383">
        <v>7.9</v>
      </c>
      <c r="P46" s="384"/>
      <c r="Q46" s="384">
        <v>43.1</v>
      </c>
      <c r="R46" s="385">
        <f t="shared" si="4"/>
        <v>51</v>
      </c>
      <c r="S46" s="388">
        <v>2</v>
      </c>
      <c r="T46" s="342"/>
      <c r="U46" s="355"/>
      <c r="V46" s="343" t="s">
        <v>133</v>
      </c>
      <c r="W46" s="334" t="s">
        <v>20</v>
      </c>
      <c r="X46" s="334" t="s">
        <v>12</v>
      </c>
      <c r="Y46" s="334">
        <v>43.1</v>
      </c>
      <c r="Z46" s="343" t="s">
        <v>132</v>
      </c>
      <c r="AA46" s="334" t="s">
        <v>22</v>
      </c>
      <c r="AB46" s="334" t="s">
        <v>11</v>
      </c>
      <c r="AC46" s="334">
        <v>7.9</v>
      </c>
      <c r="AD46" s="343"/>
      <c r="AG46" s="344"/>
      <c r="AL46" s="343"/>
      <c r="AO46" s="344"/>
      <c r="AP46" s="343"/>
      <c r="AS46" s="344"/>
      <c r="AW46" s="344"/>
      <c r="BA46" s="345"/>
    </row>
    <row r="47" spans="1:53" s="334" customFormat="1" x14ac:dyDescent="0.15">
      <c r="A47" s="386">
        <v>1978</v>
      </c>
      <c r="B47" s="355"/>
      <c r="C47" s="785" t="s">
        <v>547</v>
      </c>
      <c r="D47" s="785"/>
      <c r="E47" s="334">
        <v>0</v>
      </c>
      <c r="G47" s="419">
        <v>4</v>
      </c>
      <c r="I47" s="334">
        <v>12</v>
      </c>
      <c r="J47" s="435">
        <v>16</v>
      </c>
      <c r="K47" s="384">
        <f t="shared" si="2"/>
        <v>25</v>
      </c>
      <c r="L47" s="384">
        <f t="shared" si="0"/>
        <v>0</v>
      </c>
      <c r="M47" s="384">
        <f t="shared" si="1"/>
        <v>75</v>
      </c>
      <c r="N47" s="421">
        <f t="shared" si="3"/>
        <v>100</v>
      </c>
      <c r="O47" s="383">
        <v>7.9</v>
      </c>
      <c r="P47" s="384"/>
      <c r="Q47" s="384">
        <v>43.1</v>
      </c>
      <c r="R47" s="385">
        <f t="shared" si="4"/>
        <v>51</v>
      </c>
      <c r="S47" s="388">
        <v>2</v>
      </c>
      <c r="T47" s="342"/>
      <c r="U47" s="355"/>
      <c r="V47" s="343" t="s">
        <v>133</v>
      </c>
      <c r="W47" s="334" t="s">
        <v>20</v>
      </c>
      <c r="X47" s="334" t="s">
        <v>12</v>
      </c>
      <c r="Y47" s="334">
        <v>43.1</v>
      </c>
      <c r="Z47" s="343" t="s">
        <v>132</v>
      </c>
      <c r="AA47" s="334" t="s">
        <v>22</v>
      </c>
      <c r="AB47" s="334" t="s">
        <v>11</v>
      </c>
      <c r="AC47" s="334">
        <v>7.9</v>
      </c>
      <c r="AD47" s="343"/>
      <c r="AG47" s="344"/>
      <c r="AL47" s="343"/>
      <c r="AO47" s="344"/>
      <c r="AP47" s="343"/>
      <c r="AS47" s="344"/>
      <c r="AW47" s="344"/>
      <c r="BA47" s="345"/>
    </row>
    <row r="48" spans="1:53" s="334" customFormat="1" x14ac:dyDescent="0.15">
      <c r="A48" s="386">
        <v>1978</v>
      </c>
      <c r="B48" s="355"/>
      <c r="C48" s="785" t="s">
        <v>547</v>
      </c>
      <c r="D48" s="785"/>
      <c r="E48" s="334">
        <v>365</v>
      </c>
      <c r="G48" s="419">
        <v>4</v>
      </c>
      <c r="I48" s="334">
        <v>12</v>
      </c>
      <c r="J48" s="435">
        <v>16</v>
      </c>
      <c r="K48" s="384">
        <f t="shared" si="2"/>
        <v>25</v>
      </c>
      <c r="L48" s="384">
        <f t="shared" si="0"/>
        <v>0</v>
      </c>
      <c r="M48" s="384">
        <f t="shared" si="1"/>
        <v>75</v>
      </c>
      <c r="N48" s="421">
        <f t="shared" si="3"/>
        <v>100</v>
      </c>
      <c r="O48" s="383">
        <v>7.9</v>
      </c>
      <c r="P48" s="384"/>
      <c r="Q48" s="384">
        <v>43.1</v>
      </c>
      <c r="R48" s="385">
        <f t="shared" si="4"/>
        <v>51</v>
      </c>
      <c r="S48" s="388">
        <v>2</v>
      </c>
      <c r="T48" s="342"/>
      <c r="U48" s="355"/>
      <c r="V48" s="343" t="s">
        <v>133</v>
      </c>
      <c r="W48" s="334" t="s">
        <v>20</v>
      </c>
      <c r="X48" s="334" t="s">
        <v>12</v>
      </c>
      <c r="Y48" s="334">
        <v>43.1</v>
      </c>
      <c r="Z48" s="343" t="s">
        <v>132</v>
      </c>
      <c r="AA48" s="334" t="s">
        <v>22</v>
      </c>
      <c r="AB48" s="334" t="s">
        <v>11</v>
      </c>
      <c r="AC48" s="334">
        <v>7.9</v>
      </c>
      <c r="AD48" s="343"/>
      <c r="AG48" s="344"/>
      <c r="AL48" s="343"/>
      <c r="AO48" s="344"/>
      <c r="AP48" s="343"/>
      <c r="AS48" s="344"/>
      <c r="AW48" s="344"/>
      <c r="BA48" s="345"/>
    </row>
    <row r="49" spans="1:53" s="334" customFormat="1" x14ac:dyDescent="0.15">
      <c r="A49" s="386">
        <v>1979</v>
      </c>
      <c r="B49" s="355"/>
      <c r="C49" s="785" t="s">
        <v>547</v>
      </c>
      <c r="D49" s="785"/>
      <c r="E49" s="334">
        <v>0</v>
      </c>
      <c r="G49" s="419">
        <v>4</v>
      </c>
      <c r="I49" s="334">
        <v>12</v>
      </c>
      <c r="J49" s="435">
        <v>16</v>
      </c>
      <c r="K49" s="384">
        <f t="shared" si="2"/>
        <v>25</v>
      </c>
      <c r="L49" s="384">
        <f t="shared" si="0"/>
        <v>0</v>
      </c>
      <c r="M49" s="384">
        <f t="shared" si="1"/>
        <v>75</v>
      </c>
      <c r="N49" s="421">
        <f t="shared" si="3"/>
        <v>100</v>
      </c>
      <c r="O49" s="383">
        <v>7.9</v>
      </c>
      <c r="P49" s="384"/>
      <c r="Q49" s="384">
        <v>43.1</v>
      </c>
      <c r="R49" s="385">
        <f t="shared" si="4"/>
        <v>51</v>
      </c>
      <c r="S49" s="388">
        <v>2</v>
      </c>
      <c r="T49" s="342"/>
      <c r="U49" s="355"/>
      <c r="V49" s="343" t="s">
        <v>133</v>
      </c>
      <c r="W49" s="334" t="s">
        <v>20</v>
      </c>
      <c r="X49" s="334" t="s">
        <v>12</v>
      </c>
      <c r="Y49" s="334">
        <v>43.1</v>
      </c>
      <c r="Z49" s="343" t="s">
        <v>132</v>
      </c>
      <c r="AA49" s="334" t="s">
        <v>22</v>
      </c>
      <c r="AB49" s="334" t="s">
        <v>11</v>
      </c>
      <c r="AC49" s="334">
        <v>7.9</v>
      </c>
      <c r="AD49" s="343"/>
      <c r="AG49" s="344"/>
      <c r="AL49" s="343"/>
      <c r="AO49" s="344"/>
      <c r="AP49" s="343"/>
      <c r="AS49" s="344"/>
      <c r="AW49" s="344"/>
      <c r="BA49" s="345"/>
    </row>
    <row r="50" spans="1:53" s="334" customFormat="1" x14ac:dyDescent="0.15">
      <c r="A50" s="386">
        <v>1979</v>
      </c>
      <c r="B50" s="355"/>
      <c r="C50" s="785" t="s">
        <v>547</v>
      </c>
      <c r="D50" s="785"/>
      <c r="E50" s="334">
        <v>365</v>
      </c>
      <c r="G50" s="419">
        <v>4</v>
      </c>
      <c r="I50" s="334">
        <v>12</v>
      </c>
      <c r="J50" s="435">
        <v>16</v>
      </c>
      <c r="K50" s="384">
        <f t="shared" si="2"/>
        <v>25</v>
      </c>
      <c r="L50" s="384">
        <f t="shared" si="0"/>
        <v>0</v>
      </c>
      <c r="M50" s="384">
        <f t="shared" si="1"/>
        <v>75</v>
      </c>
      <c r="N50" s="421">
        <f t="shared" si="3"/>
        <v>100</v>
      </c>
      <c r="O50" s="383">
        <v>7.9</v>
      </c>
      <c r="P50" s="384"/>
      <c r="Q50" s="384">
        <v>43.1</v>
      </c>
      <c r="R50" s="385">
        <f t="shared" si="4"/>
        <v>51</v>
      </c>
      <c r="S50" s="388">
        <v>2</v>
      </c>
      <c r="T50" s="342"/>
      <c r="U50" s="355"/>
      <c r="V50" s="343" t="s">
        <v>133</v>
      </c>
      <c r="W50" s="334" t="s">
        <v>20</v>
      </c>
      <c r="X50" s="334" t="s">
        <v>12</v>
      </c>
      <c r="Y50" s="334">
        <v>43.1</v>
      </c>
      <c r="Z50" s="343" t="s">
        <v>132</v>
      </c>
      <c r="AA50" s="334" t="s">
        <v>22</v>
      </c>
      <c r="AB50" s="334" t="s">
        <v>11</v>
      </c>
      <c r="AC50" s="334">
        <v>7.9</v>
      </c>
      <c r="AD50" s="343"/>
      <c r="AG50" s="344"/>
      <c r="AL50" s="343"/>
      <c r="AO50" s="344"/>
      <c r="AP50" s="343"/>
      <c r="AS50" s="344"/>
      <c r="AW50" s="344"/>
      <c r="BA50" s="345"/>
    </row>
    <row r="51" spans="1:53" s="334" customFormat="1" x14ac:dyDescent="0.15">
      <c r="A51" s="386">
        <v>1980</v>
      </c>
      <c r="B51" s="355"/>
      <c r="C51" s="785" t="s">
        <v>547</v>
      </c>
      <c r="D51" s="785"/>
      <c r="E51" s="334">
        <v>308</v>
      </c>
      <c r="G51" s="419">
        <v>4</v>
      </c>
      <c r="I51" s="334">
        <v>12</v>
      </c>
      <c r="J51" s="435">
        <v>16</v>
      </c>
      <c r="K51" s="384">
        <f t="shared" si="2"/>
        <v>25</v>
      </c>
      <c r="L51" s="384">
        <f t="shared" si="0"/>
        <v>0</v>
      </c>
      <c r="M51" s="384">
        <f t="shared" si="1"/>
        <v>75</v>
      </c>
      <c r="N51" s="421">
        <f t="shared" si="3"/>
        <v>100</v>
      </c>
      <c r="O51" s="383">
        <v>7.9</v>
      </c>
      <c r="P51" s="384"/>
      <c r="Q51" s="384">
        <v>43.1</v>
      </c>
      <c r="R51" s="385">
        <f t="shared" si="4"/>
        <v>51</v>
      </c>
      <c r="S51" s="388">
        <v>2</v>
      </c>
      <c r="T51" s="342"/>
      <c r="U51" s="355"/>
      <c r="V51" s="343" t="s">
        <v>133</v>
      </c>
      <c r="W51" s="334" t="s">
        <v>20</v>
      </c>
      <c r="X51" s="334" t="s">
        <v>12</v>
      </c>
      <c r="Y51" s="334">
        <v>43.1</v>
      </c>
      <c r="Z51" s="343" t="s">
        <v>132</v>
      </c>
      <c r="AA51" s="334" t="s">
        <v>22</v>
      </c>
      <c r="AB51" s="334" t="s">
        <v>11</v>
      </c>
      <c r="AC51" s="334">
        <v>7.9</v>
      </c>
      <c r="AD51" s="343"/>
      <c r="AG51" s="344"/>
      <c r="AL51" s="343"/>
      <c r="AO51" s="344"/>
      <c r="AP51" s="343"/>
      <c r="AS51" s="344"/>
      <c r="AW51" s="344"/>
      <c r="BA51" s="345"/>
    </row>
    <row r="52" spans="1:53" s="73" customFormat="1" x14ac:dyDescent="0.15">
      <c r="A52" s="102">
        <v>1980</v>
      </c>
      <c r="B52" s="85">
        <v>29529</v>
      </c>
      <c r="C52" s="786" t="s">
        <v>548</v>
      </c>
      <c r="D52" s="786"/>
      <c r="E52" s="73">
        <v>58</v>
      </c>
      <c r="F52" s="73">
        <v>1</v>
      </c>
      <c r="G52" s="123">
        <v>4</v>
      </c>
      <c r="I52" s="73">
        <v>13</v>
      </c>
      <c r="J52" s="134">
        <v>17</v>
      </c>
      <c r="K52" s="92">
        <f t="shared" si="2"/>
        <v>23.52941176470588</v>
      </c>
      <c r="L52" s="92">
        <f t="shared" si="0"/>
        <v>0</v>
      </c>
      <c r="M52" s="92">
        <f t="shared" si="1"/>
        <v>76.470588235294116</v>
      </c>
      <c r="N52" s="125">
        <f t="shared" si="3"/>
        <v>100</v>
      </c>
      <c r="O52" s="91">
        <v>10.7</v>
      </c>
      <c r="P52" s="92"/>
      <c r="Q52" s="92">
        <v>43.9</v>
      </c>
      <c r="R52" s="93">
        <f t="shared" si="4"/>
        <v>54.599999999999994</v>
      </c>
      <c r="S52" s="97">
        <v>2</v>
      </c>
      <c r="T52" s="95">
        <v>29503</v>
      </c>
      <c r="U52" s="85">
        <v>29529</v>
      </c>
      <c r="V52" s="82" t="s">
        <v>133</v>
      </c>
      <c r="W52" s="73" t="s">
        <v>20</v>
      </c>
      <c r="X52" s="73" t="s">
        <v>12</v>
      </c>
      <c r="Y52" s="73">
        <v>43.9</v>
      </c>
      <c r="Z52" s="82" t="s">
        <v>132</v>
      </c>
      <c r="AA52" s="73" t="s">
        <v>22</v>
      </c>
      <c r="AB52" s="73" t="s">
        <v>11</v>
      </c>
      <c r="AC52" s="73">
        <v>10.7</v>
      </c>
      <c r="AD52" s="82"/>
      <c r="AG52" s="83"/>
      <c r="AL52" s="82"/>
      <c r="AO52" s="83"/>
      <c r="AP52" s="82"/>
      <c r="AS52" s="83"/>
      <c r="AW52" s="83"/>
      <c r="BA52" s="84"/>
    </row>
    <row r="53" spans="1:53" s="73" customFormat="1" x14ac:dyDescent="0.15">
      <c r="A53" s="102">
        <v>1981</v>
      </c>
      <c r="B53" s="85"/>
      <c r="C53" s="786" t="s">
        <v>548</v>
      </c>
      <c r="D53" s="786"/>
      <c r="E53" s="73">
        <v>0</v>
      </c>
      <c r="G53" s="123">
        <v>4</v>
      </c>
      <c r="I53" s="73">
        <v>13</v>
      </c>
      <c r="J53" s="134">
        <v>17</v>
      </c>
      <c r="K53" s="92">
        <f t="shared" si="2"/>
        <v>23.52941176470588</v>
      </c>
      <c r="L53" s="92">
        <f t="shared" si="0"/>
        <v>0</v>
      </c>
      <c r="M53" s="92">
        <f t="shared" si="1"/>
        <v>76.470588235294116</v>
      </c>
      <c r="N53" s="125">
        <f t="shared" si="3"/>
        <v>100</v>
      </c>
      <c r="O53" s="91">
        <v>10.7</v>
      </c>
      <c r="P53" s="92"/>
      <c r="Q53" s="92">
        <v>43.9</v>
      </c>
      <c r="R53" s="93">
        <f t="shared" si="4"/>
        <v>54.599999999999994</v>
      </c>
      <c r="S53" s="97">
        <v>2</v>
      </c>
      <c r="T53" s="95"/>
      <c r="U53" s="85"/>
      <c r="V53" s="82" t="s">
        <v>133</v>
      </c>
      <c r="W53" s="73" t="s">
        <v>20</v>
      </c>
      <c r="X53" s="73" t="s">
        <v>12</v>
      </c>
      <c r="Y53" s="73">
        <v>43.9</v>
      </c>
      <c r="Z53" s="82" t="s">
        <v>132</v>
      </c>
      <c r="AA53" s="73" t="s">
        <v>22</v>
      </c>
      <c r="AB53" s="73" t="s">
        <v>11</v>
      </c>
      <c r="AC53" s="73">
        <v>10.7</v>
      </c>
      <c r="AD53" s="82"/>
      <c r="AG53" s="83"/>
      <c r="AL53" s="82"/>
      <c r="AO53" s="83"/>
      <c r="AP53" s="82"/>
      <c r="AS53" s="83"/>
      <c r="AW53" s="83"/>
      <c r="BA53" s="84"/>
    </row>
    <row r="54" spans="1:53" s="73" customFormat="1" x14ac:dyDescent="0.15">
      <c r="A54" s="102">
        <v>1981</v>
      </c>
      <c r="B54" s="85"/>
      <c r="C54" s="786" t="s">
        <v>548</v>
      </c>
      <c r="D54" s="786"/>
      <c r="E54" s="73">
        <v>365</v>
      </c>
      <c r="G54" s="123">
        <v>4</v>
      </c>
      <c r="I54" s="73">
        <v>13</v>
      </c>
      <c r="J54" s="134">
        <v>17</v>
      </c>
      <c r="K54" s="92">
        <f t="shared" si="2"/>
        <v>23.52941176470588</v>
      </c>
      <c r="L54" s="92">
        <f t="shared" si="0"/>
        <v>0</v>
      </c>
      <c r="M54" s="92">
        <f t="shared" si="1"/>
        <v>76.470588235294116</v>
      </c>
      <c r="N54" s="125">
        <f t="shared" si="3"/>
        <v>100</v>
      </c>
      <c r="O54" s="91">
        <v>10.7</v>
      </c>
      <c r="P54" s="92"/>
      <c r="Q54" s="92">
        <v>43.9</v>
      </c>
      <c r="R54" s="93">
        <f t="shared" si="4"/>
        <v>54.599999999999994</v>
      </c>
      <c r="S54" s="97">
        <v>2</v>
      </c>
      <c r="T54" s="95"/>
      <c r="U54" s="85"/>
      <c r="V54" s="82" t="s">
        <v>133</v>
      </c>
      <c r="W54" s="73" t="s">
        <v>20</v>
      </c>
      <c r="X54" s="73" t="s">
        <v>12</v>
      </c>
      <c r="Y54" s="73">
        <v>43.9</v>
      </c>
      <c r="Z54" s="82" t="s">
        <v>132</v>
      </c>
      <c r="AA54" s="73" t="s">
        <v>22</v>
      </c>
      <c r="AB54" s="73" t="s">
        <v>11</v>
      </c>
      <c r="AC54" s="73">
        <v>10.7</v>
      </c>
      <c r="AD54" s="82"/>
      <c r="AG54" s="83"/>
      <c r="AL54" s="82"/>
      <c r="AO54" s="83"/>
      <c r="AP54" s="82"/>
      <c r="AS54" s="83"/>
      <c r="AW54" s="83"/>
      <c r="BA54" s="84"/>
    </row>
    <row r="55" spans="1:53" s="73" customFormat="1" x14ac:dyDescent="0.15">
      <c r="A55" s="102">
        <v>1982</v>
      </c>
      <c r="B55" s="85"/>
      <c r="C55" s="786" t="s">
        <v>548</v>
      </c>
      <c r="D55" s="786"/>
      <c r="E55" s="73">
        <v>259</v>
      </c>
      <c r="G55" s="123">
        <v>4</v>
      </c>
      <c r="I55" s="73">
        <v>13</v>
      </c>
      <c r="J55" s="134">
        <v>17</v>
      </c>
      <c r="K55" s="92">
        <f t="shared" si="2"/>
        <v>23.52941176470588</v>
      </c>
      <c r="L55" s="92">
        <f t="shared" si="0"/>
        <v>0</v>
      </c>
      <c r="M55" s="92">
        <f t="shared" si="1"/>
        <v>76.470588235294116</v>
      </c>
      <c r="N55" s="125">
        <f t="shared" si="3"/>
        <v>100</v>
      </c>
      <c r="O55" s="91">
        <v>10.7</v>
      </c>
      <c r="P55" s="92"/>
      <c r="Q55" s="92">
        <v>43.9</v>
      </c>
      <c r="R55" s="93">
        <f t="shared" si="4"/>
        <v>54.599999999999994</v>
      </c>
      <c r="S55" s="97">
        <v>2</v>
      </c>
      <c r="T55" s="95"/>
      <c r="U55" s="85"/>
      <c r="V55" s="82" t="s">
        <v>133</v>
      </c>
      <c r="W55" s="73" t="s">
        <v>20</v>
      </c>
      <c r="X55" s="73" t="s">
        <v>12</v>
      </c>
      <c r="Y55" s="73">
        <v>43.9</v>
      </c>
      <c r="Z55" s="82" t="s">
        <v>132</v>
      </c>
      <c r="AA55" s="73" t="s">
        <v>22</v>
      </c>
      <c r="AB55" s="73" t="s">
        <v>11</v>
      </c>
      <c r="AC55" s="73">
        <v>10.7</v>
      </c>
      <c r="AD55" s="82"/>
      <c r="AG55" s="83"/>
      <c r="AL55" s="82"/>
      <c r="AO55" s="83"/>
      <c r="AP55" s="82"/>
      <c r="AS55" s="83"/>
      <c r="AW55" s="83"/>
      <c r="BA55" s="84"/>
    </row>
    <row r="56" spans="1:53" s="334" customFormat="1" x14ac:dyDescent="0.15">
      <c r="A56" s="386">
        <v>1982</v>
      </c>
      <c r="B56" s="355">
        <v>30211</v>
      </c>
      <c r="C56" s="785" t="s">
        <v>549</v>
      </c>
      <c r="D56" s="785"/>
      <c r="E56" s="334">
        <v>17</v>
      </c>
      <c r="F56" s="334">
        <v>4</v>
      </c>
      <c r="G56" s="419"/>
      <c r="I56" s="334">
        <v>13</v>
      </c>
      <c r="J56" s="435">
        <v>13</v>
      </c>
      <c r="K56" s="384">
        <f t="shared" si="2"/>
        <v>0</v>
      </c>
      <c r="L56" s="384">
        <f t="shared" si="0"/>
        <v>0</v>
      </c>
      <c r="M56" s="384">
        <f t="shared" si="1"/>
        <v>100</v>
      </c>
      <c r="N56" s="421">
        <f t="shared" si="3"/>
        <v>100</v>
      </c>
      <c r="O56" s="383"/>
      <c r="P56" s="384"/>
      <c r="Q56" s="384">
        <v>43.9</v>
      </c>
      <c r="R56" s="385">
        <f t="shared" si="4"/>
        <v>43.9</v>
      </c>
      <c r="S56" s="388">
        <v>6</v>
      </c>
      <c r="T56" s="342"/>
      <c r="U56" s="355">
        <v>30211</v>
      </c>
      <c r="V56" s="343" t="s">
        <v>133</v>
      </c>
      <c r="W56" s="334" t="s">
        <v>20</v>
      </c>
      <c r="X56" s="334" t="s">
        <v>12</v>
      </c>
      <c r="Y56" s="334">
        <v>43.9</v>
      </c>
      <c r="Z56" s="343"/>
      <c r="AD56" s="343"/>
      <c r="AG56" s="344"/>
      <c r="AL56" s="343"/>
      <c r="AO56" s="344"/>
      <c r="AP56" s="343"/>
      <c r="AS56" s="344"/>
      <c r="AW56" s="344"/>
      <c r="BA56" s="345"/>
    </row>
    <row r="57" spans="1:53" s="73" customFormat="1" x14ac:dyDescent="0.15">
      <c r="A57" s="102">
        <v>1982</v>
      </c>
      <c r="B57" s="85">
        <v>30228</v>
      </c>
      <c r="C57" s="786" t="s">
        <v>550</v>
      </c>
      <c r="D57" s="786"/>
      <c r="E57" s="73">
        <v>89</v>
      </c>
      <c r="F57" s="73">
        <v>5</v>
      </c>
      <c r="G57" s="123">
        <v>4</v>
      </c>
      <c r="H57" s="73">
        <v>13</v>
      </c>
      <c r="J57" s="134">
        <v>17</v>
      </c>
      <c r="K57" s="92">
        <f t="shared" si="2"/>
        <v>23.52941176470588</v>
      </c>
      <c r="L57" s="92">
        <f t="shared" si="0"/>
        <v>76.470588235294116</v>
      </c>
      <c r="M57" s="92">
        <f t="shared" si="1"/>
        <v>0</v>
      </c>
      <c r="N57" s="125">
        <f t="shared" si="3"/>
        <v>100</v>
      </c>
      <c r="O57" s="91">
        <v>10.7</v>
      </c>
      <c r="P57" s="92">
        <v>45.5</v>
      </c>
      <c r="Q57" s="92"/>
      <c r="R57" s="93">
        <f t="shared" si="4"/>
        <v>56.2</v>
      </c>
      <c r="S57" s="97">
        <v>6</v>
      </c>
      <c r="T57" s="95"/>
      <c r="U57" s="85">
        <v>30228</v>
      </c>
      <c r="V57" s="82" t="s">
        <v>129</v>
      </c>
      <c r="W57" s="73" t="s">
        <v>17</v>
      </c>
      <c r="X57" s="73" t="s">
        <v>18</v>
      </c>
      <c r="Y57" s="73">
        <v>35</v>
      </c>
      <c r="Z57" s="82" t="s">
        <v>130</v>
      </c>
      <c r="AA57" s="73" t="s">
        <v>82</v>
      </c>
      <c r="AB57" s="73" t="s">
        <v>18</v>
      </c>
      <c r="AC57" s="73">
        <v>10.5</v>
      </c>
      <c r="AD57" s="82" t="s">
        <v>132</v>
      </c>
      <c r="AE57" s="73" t="s">
        <v>22</v>
      </c>
      <c r="AF57" s="73" t="s">
        <v>11</v>
      </c>
      <c r="AG57" s="83">
        <v>10.7</v>
      </c>
      <c r="AL57" s="82"/>
      <c r="AO57" s="83"/>
      <c r="AP57" s="82"/>
      <c r="AS57" s="83"/>
      <c r="AW57" s="83"/>
      <c r="BA57" s="84"/>
    </row>
    <row r="58" spans="1:53" s="73" customFormat="1" x14ac:dyDescent="0.15">
      <c r="A58" s="102">
        <v>1983</v>
      </c>
      <c r="B58" s="85"/>
      <c r="C58" s="786" t="s">
        <v>550</v>
      </c>
      <c r="D58" s="786"/>
      <c r="E58" s="73">
        <v>88</v>
      </c>
      <c r="G58" s="123">
        <v>4</v>
      </c>
      <c r="H58" s="73">
        <v>13</v>
      </c>
      <c r="J58" s="134">
        <v>17</v>
      </c>
      <c r="K58" s="92">
        <f t="shared" si="2"/>
        <v>23.52941176470588</v>
      </c>
      <c r="L58" s="92">
        <f t="shared" si="0"/>
        <v>76.470588235294116</v>
      </c>
      <c r="M58" s="92">
        <f t="shared" si="1"/>
        <v>0</v>
      </c>
      <c r="N58" s="125">
        <f t="shared" si="3"/>
        <v>100</v>
      </c>
      <c r="O58" s="91">
        <v>10.7</v>
      </c>
      <c r="P58" s="92">
        <v>45.5</v>
      </c>
      <c r="Q58" s="92"/>
      <c r="R58" s="93">
        <f t="shared" si="4"/>
        <v>56.2</v>
      </c>
      <c r="S58" s="97">
        <v>6</v>
      </c>
      <c r="T58" s="95"/>
      <c r="U58" s="85"/>
      <c r="V58" s="82" t="s">
        <v>129</v>
      </c>
      <c r="W58" s="73" t="s">
        <v>17</v>
      </c>
      <c r="X58" s="73" t="s">
        <v>18</v>
      </c>
      <c r="Y58" s="73">
        <v>35</v>
      </c>
      <c r="Z58" s="82" t="s">
        <v>130</v>
      </c>
      <c r="AA58" s="73" t="s">
        <v>82</v>
      </c>
      <c r="AB58" s="73" t="s">
        <v>18</v>
      </c>
      <c r="AC58" s="73">
        <v>10.5</v>
      </c>
      <c r="AD58" s="82" t="s">
        <v>132</v>
      </c>
      <c r="AE58" s="73" t="s">
        <v>22</v>
      </c>
      <c r="AF58" s="73" t="s">
        <v>11</v>
      </c>
      <c r="AG58" s="83">
        <v>10.7</v>
      </c>
      <c r="AL58" s="82"/>
      <c r="AO58" s="83"/>
      <c r="AP58" s="82"/>
      <c r="AS58" s="83"/>
      <c r="AW58" s="83"/>
      <c r="BA58" s="84"/>
    </row>
    <row r="59" spans="1:53" s="334" customFormat="1" x14ac:dyDescent="0.15">
      <c r="A59" s="386">
        <v>1983</v>
      </c>
      <c r="B59" s="355">
        <v>30405</v>
      </c>
      <c r="C59" s="785" t="s">
        <v>551</v>
      </c>
      <c r="D59" s="785"/>
      <c r="E59" s="334">
        <v>277</v>
      </c>
      <c r="F59" s="334">
        <v>1</v>
      </c>
      <c r="G59" s="419">
        <v>3</v>
      </c>
      <c r="H59" s="334">
        <v>14</v>
      </c>
      <c r="J59" s="435">
        <v>17</v>
      </c>
      <c r="K59" s="384">
        <f t="shared" si="2"/>
        <v>17.647058823529413</v>
      </c>
      <c r="L59" s="384">
        <f t="shared" si="0"/>
        <v>82.35294117647058</v>
      </c>
      <c r="M59" s="384">
        <f t="shared" si="1"/>
        <v>0</v>
      </c>
      <c r="N59" s="421">
        <f t="shared" si="3"/>
        <v>100</v>
      </c>
      <c r="O59" s="383">
        <v>6.8</v>
      </c>
      <c r="P59" s="384">
        <v>49</v>
      </c>
      <c r="Q59" s="384"/>
      <c r="R59" s="385">
        <f t="shared" si="4"/>
        <v>55.8</v>
      </c>
      <c r="S59" s="388">
        <v>2</v>
      </c>
      <c r="T59" s="342">
        <v>30381</v>
      </c>
      <c r="U59" s="355">
        <v>30405</v>
      </c>
      <c r="V59" s="343" t="s">
        <v>129</v>
      </c>
      <c r="W59" s="334" t="s">
        <v>17</v>
      </c>
      <c r="X59" s="334" t="s">
        <v>18</v>
      </c>
      <c r="Y59" s="334">
        <v>38.4</v>
      </c>
      <c r="Z59" s="343" t="s">
        <v>130</v>
      </c>
      <c r="AA59" s="334" t="s">
        <v>82</v>
      </c>
      <c r="AB59" s="334" t="s">
        <v>18</v>
      </c>
      <c r="AC59" s="334">
        <v>10.6</v>
      </c>
      <c r="AD59" s="343" t="s">
        <v>132</v>
      </c>
      <c r="AE59" s="334" t="s">
        <v>22</v>
      </c>
      <c r="AF59" s="334" t="s">
        <v>11</v>
      </c>
      <c r="AG59" s="344">
        <v>6.8</v>
      </c>
      <c r="AL59" s="343"/>
      <c r="AO59" s="344"/>
      <c r="AP59" s="343"/>
      <c r="AS59" s="344"/>
      <c r="AW59" s="344"/>
      <c r="BA59" s="345"/>
    </row>
    <row r="60" spans="1:53" s="334" customFormat="1" x14ac:dyDescent="0.15">
      <c r="A60" s="386">
        <v>1984</v>
      </c>
      <c r="B60" s="355"/>
      <c r="C60" s="785" t="s">
        <v>551</v>
      </c>
      <c r="D60" s="785"/>
      <c r="E60" s="334">
        <v>0</v>
      </c>
      <c r="G60" s="419">
        <v>3</v>
      </c>
      <c r="H60" s="334">
        <v>14</v>
      </c>
      <c r="J60" s="435">
        <v>17</v>
      </c>
      <c r="K60" s="384">
        <f t="shared" si="2"/>
        <v>17.647058823529413</v>
      </c>
      <c r="L60" s="384">
        <f t="shared" si="0"/>
        <v>82.35294117647058</v>
      </c>
      <c r="M60" s="384">
        <f t="shared" si="1"/>
        <v>0</v>
      </c>
      <c r="N60" s="421">
        <f t="shared" si="3"/>
        <v>100</v>
      </c>
      <c r="O60" s="383">
        <v>6.8</v>
      </c>
      <c r="P60" s="384">
        <v>49</v>
      </c>
      <c r="Q60" s="384"/>
      <c r="R60" s="385">
        <f t="shared" si="4"/>
        <v>55.8</v>
      </c>
      <c r="S60" s="388">
        <v>2</v>
      </c>
      <c r="T60" s="342"/>
      <c r="U60" s="355"/>
      <c r="V60" s="343" t="s">
        <v>129</v>
      </c>
      <c r="W60" s="334" t="s">
        <v>17</v>
      </c>
      <c r="X60" s="334" t="s">
        <v>18</v>
      </c>
      <c r="Y60" s="334">
        <v>38.4</v>
      </c>
      <c r="Z60" s="343" t="s">
        <v>130</v>
      </c>
      <c r="AA60" s="334" t="s">
        <v>82</v>
      </c>
      <c r="AB60" s="334" t="s">
        <v>18</v>
      </c>
      <c r="AC60" s="334">
        <v>10.6</v>
      </c>
      <c r="AD60" s="343" t="s">
        <v>132</v>
      </c>
      <c r="AE60" s="334" t="s">
        <v>22</v>
      </c>
      <c r="AF60" s="334" t="s">
        <v>11</v>
      </c>
      <c r="AG60" s="344">
        <v>6.8</v>
      </c>
      <c r="AL60" s="343"/>
      <c r="AO60" s="344"/>
      <c r="AP60" s="343"/>
      <c r="AS60" s="344"/>
      <c r="AW60" s="344"/>
      <c r="BA60" s="345"/>
    </row>
    <row r="61" spans="1:53" s="334" customFormat="1" x14ac:dyDescent="0.15">
      <c r="A61" s="386">
        <v>1984</v>
      </c>
      <c r="B61" s="355"/>
      <c r="C61" s="785" t="s">
        <v>551</v>
      </c>
      <c r="D61" s="785"/>
      <c r="E61" s="334">
        <v>366</v>
      </c>
      <c r="G61" s="419">
        <v>3</v>
      </c>
      <c r="H61" s="334">
        <v>14</v>
      </c>
      <c r="J61" s="435">
        <v>17</v>
      </c>
      <c r="K61" s="384">
        <f t="shared" si="2"/>
        <v>17.647058823529413</v>
      </c>
      <c r="L61" s="384">
        <f t="shared" si="0"/>
        <v>82.35294117647058</v>
      </c>
      <c r="M61" s="384">
        <f t="shared" si="1"/>
        <v>0</v>
      </c>
      <c r="N61" s="421">
        <f t="shared" si="3"/>
        <v>100</v>
      </c>
      <c r="O61" s="383">
        <v>6.8</v>
      </c>
      <c r="P61" s="384">
        <v>49</v>
      </c>
      <c r="Q61" s="384"/>
      <c r="R61" s="385">
        <f t="shared" si="4"/>
        <v>55.8</v>
      </c>
      <c r="S61" s="388">
        <v>2</v>
      </c>
      <c r="T61" s="342"/>
      <c r="U61" s="355"/>
      <c r="V61" s="343" t="s">
        <v>129</v>
      </c>
      <c r="W61" s="334" t="s">
        <v>17</v>
      </c>
      <c r="X61" s="334" t="s">
        <v>18</v>
      </c>
      <c r="Y61" s="334">
        <v>38.4</v>
      </c>
      <c r="Z61" s="343" t="s">
        <v>130</v>
      </c>
      <c r="AA61" s="334" t="s">
        <v>82</v>
      </c>
      <c r="AB61" s="334" t="s">
        <v>18</v>
      </c>
      <c r="AC61" s="334">
        <v>10.6</v>
      </c>
      <c r="AD61" s="343" t="s">
        <v>132</v>
      </c>
      <c r="AE61" s="334" t="s">
        <v>22</v>
      </c>
      <c r="AF61" s="334" t="s">
        <v>11</v>
      </c>
      <c r="AG61" s="344">
        <v>6.8</v>
      </c>
      <c r="AL61" s="343"/>
      <c r="AO61" s="344"/>
      <c r="AP61" s="343"/>
      <c r="AS61" s="344"/>
      <c r="AW61" s="344"/>
      <c r="BA61" s="345"/>
    </row>
    <row r="62" spans="1:53" s="334" customFormat="1" x14ac:dyDescent="0.15">
      <c r="A62" s="386">
        <v>1985</v>
      </c>
      <c r="B62" s="355"/>
      <c r="C62" s="785" t="s">
        <v>551</v>
      </c>
      <c r="D62" s="785"/>
      <c r="E62" s="334">
        <v>0</v>
      </c>
      <c r="G62" s="419">
        <v>3</v>
      </c>
      <c r="H62" s="334">
        <v>14</v>
      </c>
      <c r="J62" s="435">
        <v>17</v>
      </c>
      <c r="K62" s="384">
        <f t="shared" si="2"/>
        <v>17.647058823529413</v>
      </c>
      <c r="L62" s="384">
        <f t="shared" si="0"/>
        <v>82.35294117647058</v>
      </c>
      <c r="M62" s="384">
        <f t="shared" si="1"/>
        <v>0</v>
      </c>
      <c r="N62" s="421">
        <f t="shared" si="3"/>
        <v>100</v>
      </c>
      <c r="O62" s="383">
        <v>6.8</v>
      </c>
      <c r="P62" s="384">
        <v>49</v>
      </c>
      <c r="Q62" s="384"/>
      <c r="R62" s="385">
        <f t="shared" si="4"/>
        <v>55.8</v>
      </c>
      <c r="S62" s="388">
        <v>2</v>
      </c>
      <c r="T62" s="342"/>
      <c r="U62" s="355"/>
      <c r="V62" s="343" t="s">
        <v>129</v>
      </c>
      <c r="W62" s="334" t="s">
        <v>17</v>
      </c>
      <c r="X62" s="334" t="s">
        <v>18</v>
      </c>
      <c r="Y62" s="334">
        <v>38.4</v>
      </c>
      <c r="Z62" s="343" t="s">
        <v>130</v>
      </c>
      <c r="AA62" s="334" t="s">
        <v>82</v>
      </c>
      <c r="AB62" s="334" t="s">
        <v>18</v>
      </c>
      <c r="AC62" s="334">
        <v>10.6</v>
      </c>
      <c r="AD62" s="343" t="s">
        <v>132</v>
      </c>
      <c r="AE62" s="334" t="s">
        <v>22</v>
      </c>
      <c r="AF62" s="334" t="s">
        <v>11</v>
      </c>
      <c r="AG62" s="344">
        <v>6.8</v>
      </c>
      <c r="AL62" s="343"/>
      <c r="AO62" s="344"/>
      <c r="AP62" s="343"/>
      <c r="AS62" s="344"/>
      <c r="AW62" s="344"/>
      <c r="BA62" s="345"/>
    </row>
    <row r="63" spans="1:53" s="334" customFormat="1" x14ac:dyDescent="0.15">
      <c r="A63" s="386">
        <v>1985</v>
      </c>
      <c r="B63" s="355"/>
      <c r="C63" s="785" t="s">
        <v>551</v>
      </c>
      <c r="D63" s="785"/>
      <c r="E63" s="334">
        <v>365</v>
      </c>
      <c r="G63" s="419">
        <v>3</v>
      </c>
      <c r="H63" s="334">
        <v>14</v>
      </c>
      <c r="J63" s="435">
        <v>17</v>
      </c>
      <c r="K63" s="384">
        <f t="shared" si="2"/>
        <v>17.647058823529413</v>
      </c>
      <c r="L63" s="384">
        <f t="shared" si="0"/>
        <v>82.35294117647058</v>
      </c>
      <c r="M63" s="384">
        <f t="shared" si="1"/>
        <v>0</v>
      </c>
      <c r="N63" s="421">
        <f t="shared" si="3"/>
        <v>100</v>
      </c>
      <c r="O63" s="383">
        <v>6.8</v>
      </c>
      <c r="P63" s="384">
        <v>49</v>
      </c>
      <c r="Q63" s="384"/>
      <c r="R63" s="385">
        <f t="shared" si="4"/>
        <v>55.8</v>
      </c>
      <c r="S63" s="388">
        <v>2</v>
      </c>
      <c r="T63" s="342"/>
      <c r="U63" s="355"/>
      <c r="V63" s="343" t="s">
        <v>129</v>
      </c>
      <c r="W63" s="334" t="s">
        <v>17</v>
      </c>
      <c r="X63" s="334" t="s">
        <v>18</v>
      </c>
      <c r="Y63" s="334">
        <v>38.4</v>
      </c>
      <c r="Z63" s="343" t="s">
        <v>130</v>
      </c>
      <c r="AA63" s="334" t="s">
        <v>82</v>
      </c>
      <c r="AB63" s="334" t="s">
        <v>18</v>
      </c>
      <c r="AC63" s="334">
        <v>10.6</v>
      </c>
      <c r="AD63" s="343" t="s">
        <v>132</v>
      </c>
      <c r="AE63" s="334" t="s">
        <v>22</v>
      </c>
      <c r="AF63" s="334" t="s">
        <v>11</v>
      </c>
      <c r="AG63" s="344">
        <v>6.8</v>
      </c>
      <c r="AL63" s="343"/>
      <c r="AO63" s="344"/>
      <c r="AP63" s="343"/>
      <c r="AS63" s="344"/>
      <c r="AW63" s="344"/>
      <c r="BA63" s="345"/>
    </row>
    <row r="64" spans="1:53" s="334" customFormat="1" x14ac:dyDescent="0.15">
      <c r="A64" s="386">
        <v>1986</v>
      </c>
      <c r="B64" s="355"/>
      <c r="C64" s="785" t="s">
        <v>551</v>
      </c>
      <c r="D64" s="785"/>
      <c r="E64" s="334">
        <v>0</v>
      </c>
      <c r="G64" s="419">
        <v>3</v>
      </c>
      <c r="H64" s="334">
        <v>14</v>
      </c>
      <c r="J64" s="435">
        <v>17</v>
      </c>
      <c r="K64" s="384">
        <f t="shared" si="2"/>
        <v>17.647058823529413</v>
      </c>
      <c r="L64" s="384">
        <f t="shared" si="0"/>
        <v>82.35294117647058</v>
      </c>
      <c r="M64" s="384">
        <f t="shared" si="1"/>
        <v>0</v>
      </c>
      <c r="N64" s="421">
        <f t="shared" si="3"/>
        <v>100</v>
      </c>
      <c r="O64" s="383">
        <v>6.8</v>
      </c>
      <c r="P64" s="384">
        <v>49</v>
      </c>
      <c r="Q64" s="384"/>
      <c r="R64" s="385">
        <f t="shared" si="4"/>
        <v>55.8</v>
      </c>
      <c r="S64" s="388">
        <v>2</v>
      </c>
      <c r="T64" s="342"/>
      <c r="U64" s="355"/>
      <c r="V64" s="343" t="s">
        <v>129</v>
      </c>
      <c r="W64" s="334" t="s">
        <v>17</v>
      </c>
      <c r="X64" s="334" t="s">
        <v>18</v>
      </c>
      <c r="Y64" s="334">
        <v>38.4</v>
      </c>
      <c r="Z64" s="343" t="s">
        <v>130</v>
      </c>
      <c r="AA64" s="334" t="s">
        <v>82</v>
      </c>
      <c r="AB64" s="334" t="s">
        <v>18</v>
      </c>
      <c r="AC64" s="334">
        <v>10.6</v>
      </c>
      <c r="AD64" s="343" t="s">
        <v>132</v>
      </c>
      <c r="AE64" s="334" t="s">
        <v>22</v>
      </c>
      <c r="AF64" s="334" t="s">
        <v>11</v>
      </c>
      <c r="AG64" s="344">
        <v>6.8</v>
      </c>
      <c r="AL64" s="343"/>
      <c r="AO64" s="344"/>
      <c r="AP64" s="343"/>
      <c r="AS64" s="344"/>
      <c r="AW64" s="344"/>
      <c r="BA64" s="345"/>
    </row>
    <row r="65" spans="1:53" s="334" customFormat="1" x14ac:dyDescent="0.15">
      <c r="A65" s="386">
        <v>1986</v>
      </c>
      <c r="B65" s="355"/>
      <c r="C65" s="785" t="s">
        <v>551</v>
      </c>
      <c r="D65" s="785"/>
      <c r="E65" s="334">
        <v>365</v>
      </c>
      <c r="G65" s="419">
        <v>3</v>
      </c>
      <c r="H65" s="334">
        <v>14</v>
      </c>
      <c r="J65" s="435">
        <v>17</v>
      </c>
      <c r="K65" s="384">
        <f t="shared" si="2"/>
        <v>17.647058823529413</v>
      </c>
      <c r="L65" s="384">
        <f t="shared" si="0"/>
        <v>82.35294117647058</v>
      </c>
      <c r="M65" s="384">
        <f t="shared" si="1"/>
        <v>0</v>
      </c>
      <c r="N65" s="421">
        <f t="shared" si="3"/>
        <v>100</v>
      </c>
      <c r="O65" s="383">
        <v>6.8</v>
      </c>
      <c r="P65" s="384">
        <v>49</v>
      </c>
      <c r="Q65" s="384"/>
      <c r="R65" s="385">
        <f t="shared" si="4"/>
        <v>55.8</v>
      </c>
      <c r="S65" s="388">
        <v>2</v>
      </c>
      <c r="T65" s="342"/>
      <c r="U65" s="355"/>
      <c r="V65" s="343" t="s">
        <v>129</v>
      </c>
      <c r="W65" s="334" t="s">
        <v>17</v>
      </c>
      <c r="X65" s="334" t="s">
        <v>18</v>
      </c>
      <c r="Y65" s="334">
        <v>38.4</v>
      </c>
      <c r="Z65" s="343" t="s">
        <v>130</v>
      </c>
      <c r="AA65" s="334" t="s">
        <v>82</v>
      </c>
      <c r="AB65" s="334" t="s">
        <v>18</v>
      </c>
      <c r="AC65" s="334">
        <v>10.6</v>
      </c>
      <c r="AD65" s="343" t="s">
        <v>132</v>
      </c>
      <c r="AE65" s="334" t="s">
        <v>22</v>
      </c>
      <c r="AF65" s="334" t="s">
        <v>11</v>
      </c>
      <c r="AG65" s="344">
        <v>6.8</v>
      </c>
      <c r="AL65" s="343"/>
      <c r="AO65" s="344"/>
      <c r="AP65" s="343"/>
      <c r="AS65" s="344"/>
      <c r="AW65" s="344"/>
      <c r="BA65" s="345"/>
    </row>
    <row r="66" spans="1:53" s="334" customFormat="1" x14ac:dyDescent="0.15">
      <c r="A66" s="386">
        <v>1987</v>
      </c>
      <c r="B66" s="355"/>
      <c r="C66" s="785" t="s">
        <v>551</v>
      </c>
      <c r="D66" s="785"/>
      <c r="E66" s="334">
        <v>69</v>
      </c>
      <c r="G66" s="419">
        <v>3</v>
      </c>
      <c r="H66" s="334">
        <v>14</v>
      </c>
      <c r="J66" s="435">
        <v>17</v>
      </c>
      <c r="K66" s="384">
        <f t="shared" si="2"/>
        <v>17.647058823529413</v>
      </c>
      <c r="L66" s="384">
        <f t="shared" si="0"/>
        <v>82.35294117647058</v>
      </c>
      <c r="M66" s="384">
        <f t="shared" si="1"/>
        <v>0</v>
      </c>
      <c r="N66" s="421">
        <f t="shared" si="3"/>
        <v>100</v>
      </c>
      <c r="O66" s="383">
        <v>6.8</v>
      </c>
      <c r="P66" s="384">
        <v>49</v>
      </c>
      <c r="Q66" s="384"/>
      <c r="R66" s="385">
        <f t="shared" si="4"/>
        <v>55.8</v>
      </c>
      <c r="S66" s="388">
        <v>2</v>
      </c>
      <c r="T66" s="342"/>
      <c r="U66" s="355"/>
      <c r="V66" s="343" t="s">
        <v>129</v>
      </c>
      <c r="W66" s="334" t="s">
        <v>17</v>
      </c>
      <c r="X66" s="334" t="s">
        <v>18</v>
      </c>
      <c r="Y66" s="334">
        <v>38.4</v>
      </c>
      <c r="Z66" s="343" t="s">
        <v>130</v>
      </c>
      <c r="AA66" s="334" t="s">
        <v>82</v>
      </c>
      <c r="AB66" s="334" t="s">
        <v>18</v>
      </c>
      <c r="AC66" s="334">
        <v>10.6</v>
      </c>
      <c r="AD66" s="343" t="s">
        <v>132</v>
      </c>
      <c r="AE66" s="334" t="s">
        <v>22</v>
      </c>
      <c r="AF66" s="334" t="s">
        <v>11</v>
      </c>
      <c r="AG66" s="344">
        <v>6.8</v>
      </c>
      <c r="AL66" s="343"/>
      <c r="AO66" s="344"/>
      <c r="AP66" s="343"/>
      <c r="AS66" s="344"/>
      <c r="AW66" s="344"/>
      <c r="BA66" s="345"/>
    </row>
    <row r="67" spans="1:53" s="73" customFormat="1" x14ac:dyDescent="0.15">
      <c r="A67" s="102">
        <v>1987</v>
      </c>
      <c r="B67" s="85">
        <v>31847</v>
      </c>
      <c r="C67" s="786" t="s">
        <v>552</v>
      </c>
      <c r="D67" s="786"/>
      <c r="E67" s="73">
        <v>296</v>
      </c>
      <c r="F67" s="73">
        <v>1</v>
      </c>
      <c r="G67" s="123">
        <v>4</v>
      </c>
      <c r="H67" s="73">
        <v>15</v>
      </c>
      <c r="J67" s="134">
        <v>19</v>
      </c>
      <c r="K67" s="92">
        <f t="shared" si="2"/>
        <v>21.052631578947366</v>
      </c>
      <c r="L67" s="92">
        <f t="shared" si="0"/>
        <v>78.94736842105263</v>
      </c>
      <c r="M67" s="92">
        <f t="shared" si="1"/>
        <v>0</v>
      </c>
      <c r="N67" s="125">
        <f t="shared" si="3"/>
        <v>100</v>
      </c>
      <c r="O67" s="91">
        <v>9.3000000000000007</v>
      </c>
      <c r="P67" s="92">
        <v>44.9</v>
      </c>
      <c r="Q67" s="92"/>
      <c r="R67" s="93">
        <f t="shared" si="4"/>
        <v>54.2</v>
      </c>
      <c r="S67" s="97">
        <v>2</v>
      </c>
      <c r="T67" s="95">
        <v>31802</v>
      </c>
      <c r="U67" s="85">
        <v>31847</v>
      </c>
      <c r="V67" s="82" t="s">
        <v>129</v>
      </c>
      <c r="W67" s="73" t="s">
        <v>17</v>
      </c>
      <c r="X67" s="73" t="s">
        <v>18</v>
      </c>
      <c r="Y67" s="73">
        <v>35</v>
      </c>
      <c r="Z67" s="82" t="s">
        <v>130</v>
      </c>
      <c r="AA67" s="73" t="s">
        <v>82</v>
      </c>
      <c r="AB67" s="73" t="s">
        <v>18</v>
      </c>
      <c r="AC67" s="73">
        <v>9.9</v>
      </c>
      <c r="AD67" s="82" t="s">
        <v>132</v>
      </c>
      <c r="AE67" s="73" t="s">
        <v>22</v>
      </c>
      <c r="AF67" s="73" t="s">
        <v>11</v>
      </c>
      <c r="AG67" s="83">
        <v>9.3000000000000007</v>
      </c>
      <c r="AL67" s="82"/>
      <c r="AO67" s="83"/>
      <c r="AP67" s="82"/>
      <c r="AS67" s="83"/>
      <c r="AW67" s="83"/>
      <c r="BA67" s="84"/>
    </row>
    <row r="68" spans="1:53" s="73" customFormat="1" x14ac:dyDescent="0.15">
      <c r="A68" s="102">
        <v>1988</v>
      </c>
      <c r="B68" s="85"/>
      <c r="C68" s="786" t="s">
        <v>552</v>
      </c>
      <c r="D68" s="786"/>
      <c r="E68" s="73">
        <v>0</v>
      </c>
      <c r="G68" s="123">
        <v>4</v>
      </c>
      <c r="H68" s="73">
        <v>15</v>
      </c>
      <c r="J68" s="134">
        <v>19</v>
      </c>
      <c r="K68" s="92">
        <f t="shared" si="2"/>
        <v>21.052631578947366</v>
      </c>
      <c r="L68" s="92">
        <f t="shared" si="0"/>
        <v>78.94736842105263</v>
      </c>
      <c r="M68" s="92">
        <f t="shared" si="1"/>
        <v>0</v>
      </c>
      <c r="N68" s="125">
        <f t="shared" si="3"/>
        <v>100</v>
      </c>
      <c r="O68" s="91">
        <v>9.3000000000000007</v>
      </c>
      <c r="P68" s="92">
        <v>44.9</v>
      </c>
      <c r="Q68" s="92"/>
      <c r="R68" s="93">
        <f t="shared" si="4"/>
        <v>54.2</v>
      </c>
      <c r="S68" s="97">
        <v>2</v>
      </c>
      <c r="T68" s="95"/>
      <c r="U68" s="85"/>
      <c r="V68" s="82" t="s">
        <v>129</v>
      </c>
      <c r="W68" s="73" t="s">
        <v>17</v>
      </c>
      <c r="X68" s="73" t="s">
        <v>18</v>
      </c>
      <c r="Y68" s="73">
        <v>35</v>
      </c>
      <c r="Z68" s="82" t="s">
        <v>130</v>
      </c>
      <c r="AA68" s="73" t="s">
        <v>82</v>
      </c>
      <c r="AB68" s="73" t="s">
        <v>18</v>
      </c>
      <c r="AC68" s="73">
        <v>9.9</v>
      </c>
      <c r="AD68" s="82" t="s">
        <v>132</v>
      </c>
      <c r="AE68" s="73" t="s">
        <v>22</v>
      </c>
      <c r="AF68" s="73" t="s">
        <v>11</v>
      </c>
      <c r="AG68" s="83">
        <v>9.3000000000000007</v>
      </c>
      <c r="AL68" s="82"/>
      <c r="AO68" s="83"/>
      <c r="AP68" s="82"/>
      <c r="AS68" s="83"/>
      <c r="AW68" s="83"/>
      <c r="BA68" s="84"/>
    </row>
    <row r="69" spans="1:53" s="73" customFormat="1" x14ac:dyDescent="0.15">
      <c r="A69" s="102">
        <v>1988</v>
      </c>
      <c r="B69" s="85"/>
      <c r="C69" s="786" t="s">
        <v>552</v>
      </c>
      <c r="D69" s="786"/>
      <c r="E69" s="73">
        <v>366</v>
      </c>
      <c r="G69" s="123">
        <v>4</v>
      </c>
      <c r="H69" s="73">
        <v>15</v>
      </c>
      <c r="J69" s="134">
        <v>19</v>
      </c>
      <c r="K69" s="92">
        <f t="shared" si="2"/>
        <v>21.052631578947366</v>
      </c>
      <c r="L69" s="92">
        <f t="shared" si="0"/>
        <v>78.94736842105263</v>
      </c>
      <c r="M69" s="92">
        <f t="shared" si="1"/>
        <v>0</v>
      </c>
      <c r="N69" s="125">
        <f t="shared" si="3"/>
        <v>100</v>
      </c>
      <c r="O69" s="91">
        <v>9.3000000000000007</v>
      </c>
      <c r="P69" s="92">
        <v>44.9</v>
      </c>
      <c r="Q69" s="92"/>
      <c r="R69" s="93">
        <f t="shared" si="4"/>
        <v>54.2</v>
      </c>
      <c r="S69" s="97">
        <v>2</v>
      </c>
      <c r="T69" s="95"/>
      <c r="U69" s="85"/>
      <c r="V69" s="82" t="s">
        <v>129</v>
      </c>
      <c r="W69" s="73" t="s">
        <v>17</v>
      </c>
      <c r="X69" s="73" t="s">
        <v>18</v>
      </c>
      <c r="Y69" s="73">
        <v>35</v>
      </c>
      <c r="Z69" s="82" t="s">
        <v>130</v>
      </c>
      <c r="AA69" s="73" t="s">
        <v>82</v>
      </c>
      <c r="AB69" s="73" t="s">
        <v>18</v>
      </c>
      <c r="AC69" s="73">
        <v>9.9</v>
      </c>
      <c r="AD69" s="82" t="s">
        <v>132</v>
      </c>
      <c r="AE69" s="73" t="s">
        <v>22</v>
      </c>
      <c r="AF69" s="73" t="s">
        <v>11</v>
      </c>
      <c r="AG69" s="83">
        <v>9.3000000000000007</v>
      </c>
      <c r="AL69" s="82"/>
      <c r="AO69" s="83"/>
      <c r="AP69" s="82"/>
      <c r="AS69" s="83"/>
      <c r="AW69" s="83"/>
      <c r="BA69" s="84"/>
    </row>
    <row r="70" spans="1:53" s="73" customFormat="1" x14ac:dyDescent="0.15">
      <c r="A70" s="73">
        <v>1989</v>
      </c>
      <c r="B70" s="85"/>
      <c r="C70" s="786" t="s">
        <v>552</v>
      </c>
      <c r="D70" s="786"/>
      <c r="E70" s="73">
        <v>181</v>
      </c>
      <c r="G70" s="123">
        <v>4</v>
      </c>
      <c r="H70" s="73">
        <v>15</v>
      </c>
      <c r="J70" s="134">
        <v>19</v>
      </c>
      <c r="K70" s="92">
        <f t="shared" ref="K70:K77" si="5">G70/J70*100</f>
        <v>21.052631578947366</v>
      </c>
      <c r="L70" s="92">
        <f t="shared" ref="L70:L77" si="6">H70/J70*100</f>
        <v>78.94736842105263</v>
      </c>
      <c r="M70" s="92">
        <f t="shared" ref="M70:M77" si="7">I70/J70*100</f>
        <v>0</v>
      </c>
      <c r="N70" s="125">
        <f t="shared" si="3"/>
        <v>100</v>
      </c>
      <c r="O70" s="91">
        <v>9.3000000000000007</v>
      </c>
      <c r="P70" s="92">
        <v>44.9</v>
      </c>
      <c r="Q70" s="92"/>
      <c r="R70" s="93">
        <f t="shared" si="4"/>
        <v>54.2</v>
      </c>
      <c r="S70" s="97">
        <v>2</v>
      </c>
      <c r="T70" s="95"/>
      <c r="U70" s="85"/>
      <c r="V70" s="82" t="s">
        <v>129</v>
      </c>
      <c r="W70" s="73" t="s">
        <v>17</v>
      </c>
      <c r="X70" s="73" t="s">
        <v>18</v>
      </c>
      <c r="Y70" s="73">
        <v>35</v>
      </c>
      <c r="Z70" s="82" t="s">
        <v>130</v>
      </c>
      <c r="AA70" s="73" t="s">
        <v>82</v>
      </c>
      <c r="AB70" s="73" t="s">
        <v>18</v>
      </c>
      <c r="AC70" s="73">
        <v>9.9</v>
      </c>
      <c r="AD70" s="82" t="s">
        <v>132</v>
      </c>
      <c r="AE70" s="73" t="s">
        <v>22</v>
      </c>
      <c r="AF70" s="73" t="s">
        <v>11</v>
      </c>
      <c r="AG70" s="83">
        <v>9.3000000000000007</v>
      </c>
      <c r="AL70" s="82"/>
      <c r="AO70" s="83"/>
      <c r="AP70" s="82"/>
      <c r="AS70" s="83"/>
      <c r="AW70" s="83"/>
      <c r="BA70" s="84"/>
    </row>
    <row r="71" spans="1:53" s="136" customFormat="1" x14ac:dyDescent="0.15">
      <c r="A71" s="136">
        <v>1989</v>
      </c>
      <c r="B71" s="159">
        <v>32690</v>
      </c>
      <c r="C71" s="821" t="s">
        <v>552</v>
      </c>
      <c r="D71" s="821"/>
      <c r="E71" s="136">
        <v>184</v>
      </c>
      <c r="F71" s="160">
        <v>0</v>
      </c>
      <c r="G71" s="138">
        <v>4</v>
      </c>
      <c r="H71" s="136">
        <v>16</v>
      </c>
      <c r="J71" s="139">
        <v>20</v>
      </c>
      <c r="K71" s="140">
        <f t="shared" si="5"/>
        <v>20</v>
      </c>
      <c r="L71" s="140">
        <f t="shared" si="6"/>
        <v>80</v>
      </c>
      <c r="M71" s="140">
        <f t="shared" si="7"/>
        <v>0</v>
      </c>
      <c r="N71" s="141">
        <f t="shared" si="3"/>
        <v>100</v>
      </c>
      <c r="O71" s="142">
        <v>9.3000000000000007</v>
      </c>
      <c r="P71" s="140">
        <v>44.9</v>
      </c>
      <c r="Q71" s="140"/>
      <c r="R71" s="143">
        <f t="shared" si="4"/>
        <v>54.2</v>
      </c>
      <c r="S71" s="144">
        <v>2</v>
      </c>
      <c r="T71" s="145"/>
      <c r="U71" s="137"/>
      <c r="V71" s="146" t="s">
        <v>129</v>
      </c>
      <c r="W71" s="136" t="s">
        <v>17</v>
      </c>
      <c r="X71" s="136" t="s">
        <v>18</v>
      </c>
      <c r="Y71" s="136">
        <v>35</v>
      </c>
      <c r="Z71" s="146" t="s">
        <v>130</v>
      </c>
      <c r="AA71" s="136" t="s">
        <v>82</v>
      </c>
      <c r="AB71" s="136" t="s">
        <v>18</v>
      </c>
      <c r="AC71" s="136">
        <v>9.9</v>
      </c>
      <c r="AD71" s="146" t="s">
        <v>132</v>
      </c>
      <c r="AE71" s="136" t="s">
        <v>22</v>
      </c>
      <c r="AF71" s="136" t="s">
        <v>11</v>
      </c>
      <c r="AG71" s="147">
        <v>9.3000000000000007</v>
      </c>
      <c r="AL71" s="146"/>
      <c r="AO71" s="147"/>
      <c r="AP71" s="146"/>
      <c r="AS71" s="147"/>
      <c r="AW71" s="147"/>
      <c r="BA71" s="148"/>
    </row>
    <row r="72" spans="1:53" s="73" customFormat="1" x14ac:dyDescent="0.15">
      <c r="A72" s="73">
        <v>1990</v>
      </c>
      <c r="C72" s="786" t="s">
        <v>552</v>
      </c>
      <c r="D72" s="786"/>
      <c r="E72" s="73">
        <v>275</v>
      </c>
      <c r="G72" s="123">
        <v>4</v>
      </c>
      <c r="H72" s="73">
        <v>16</v>
      </c>
      <c r="J72" s="134">
        <v>20</v>
      </c>
      <c r="K72" s="92">
        <f t="shared" si="5"/>
        <v>20</v>
      </c>
      <c r="L72" s="92">
        <f t="shared" si="6"/>
        <v>80</v>
      </c>
      <c r="M72" s="92">
        <f t="shared" si="7"/>
        <v>0</v>
      </c>
      <c r="N72" s="125">
        <f t="shared" si="3"/>
        <v>100</v>
      </c>
      <c r="O72" s="91">
        <v>9.3000000000000007</v>
      </c>
      <c r="P72" s="92">
        <v>44.9</v>
      </c>
      <c r="Q72" s="92"/>
      <c r="R72" s="93">
        <f t="shared" si="4"/>
        <v>54.2</v>
      </c>
      <c r="S72" s="97">
        <v>2</v>
      </c>
      <c r="T72" s="95"/>
      <c r="U72" s="85"/>
      <c r="V72" s="82" t="s">
        <v>129</v>
      </c>
      <c r="W72" s="73" t="s">
        <v>17</v>
      </c>
      <c r="X72" s="73" t="s">
        <v>18</v>
      </c>
      <c r="Y72" s="83">
        <v>35</v>
      </c>
      <c r="Z72" s="73" t="s">
        <v>130</v>
      </c>
      <c r="AA72" s="73" t="s">
        <v>82</v>
      </c>
      <c r="AB72" s="73" t="s">
        <v>18</v>
      </c>
      <c r="AC72" s="73">
        <v>9.9</v>
      </c>
      <c r="AD72" s="82" t="s">
        <v>132</v>
      </c>
      <c r="AE72" s="73" t="s">
        <v>22</v>
      </c>
      <c r="AF72" s="73" t="s">
        <v>11</v>
      </c>
      <c r="AG72" s="83">
        <v>9.3000000000000007</v>
      </c>
      <c r="AL72" s="82"/>
      <c r="AO72" s="83"/>
      <c r="AP72" s="82"/>
      <c r="AS72" s="83"/>
      <c r="AW72" s="83"/>
      <c r="BA72" s="84"/>
    </row>
    <row r="73" spans="1:53" s="334" customFormat="1" x14ac:dyDescent="0.15">
      <c r="A73" s="334">
        <v>1990</v>
      </c>
      <c r="B73" s="355">
        <v>33149</v>
      </c>
      <c r="C73" s="812" t="s">
        <v>553</v>
      </c>
      <c r="D73" s="812"/>
      <c r="E73" s="334">
        <f>365-E72</f>
        <v>90</v>
      </c>
      <c r="F73" s="334" t="s">
        <v>348</v>
      </c>
      <c r="G73" s="419">
        <v>5</v>
      </c>
      <c r="H73" s="334">
        <v>20</v>
      </c>
      <c r="J73" s="435">
        <v>25</v>
      </c>
      <c r="K73" s="384">
        <f t="shared" si="5"/>
        <v>20</v>
      </c>
      <c r="L73" s="384">
        <f t="shared" si="6"/>
        <v>80</v>
      </c>
      <c r="M73" s="384">
        <f t="shared" si="7"/>
        <v>0</v>
      </c>
      <c r="N73" s="421">
        <f t="shared" ref="N73:N118" si="8">SUM(K73:M73)</f>
        <v>100</v>
      </c>
      <c r="O73" s="383">
        <v>9.3000000000000007</v>
      </c>
      <c r="P73" s="384">
        <v>44.9</v>
      </c>
      <c r="Q73" s="384"/>
      <c r="R73" s="385">
        <f t="shared" ref="R73:R119" si="9">SUM(O73:Q73)</f>
        <v>54.2</v>
      </c>
      <c r="S73" s="388">
        <v>2</v>
      </c>
      <c r="T73" s="342"/>
      <c r="U73" s="355">
        <v>33149</v>
      </c>
      <c r="V73" s="343" t="s">
        <v>129</v>
      </c>
      <c r="W73" s="334" t="s">
        <v>17</v>
      </c>
      <c r="X73" s="334" t="s">
        <v>18</v>
      </c>
      <c r="Y73" s="344">
        <v>35</v>
      </c>
      <c r="Z73" s="334" t="s">
        <v>130</v>
      </c>
      <c r="AA73" s="334" t="s">
        <v>82</v>
      </c>
      <c r="AB73" s="334" t="s">
        <v>18</v>
      </c>
      <c r="AC73" s="334">
        <v>9.9</v>
      </c>
      <c r="AD73" s="343" t="s">
        <v>132</v>
      </c>
      <c r="AE73" s="334" t="s">
        <v>22</v>
      </c>
      <c r="AF73" s="334" t="s">
        <v>11</v>
      </c>
      <c r="AG73" s="344">
        <v>9.3000000000000007</v>
      </c>
      <c r="AL73" s="343"/>
      <c r="AO73" s="344"/>
      <c r="AP73" s="343"/>
      <c r="AS73" s="344"/>
      <c r="AW73" s="344"/>
      <c r="BA73" s="345"/>
    </row>
    <row r="74" spans="1:53" s="334" customFormat="1" x14ac:dyDescent="0.15">
      <c r="A74" s="334">
        <v>1991</v>
      </c>
      <c r="C74" s="812" t="s">
        <v>553</v>
      </c>
      <c r="D74" s="812"/>
      <c r="E74" s="334">
        <v>17</v>
      </c>
      <c r="G74" s="419">
        <v>5</v>
      </c>
      <c r="H74" s="334">
        <v>20</v>
      </c>
      <c r="J74" s="435">
        <v>25</v>
      </c>
      <c r="K74" s="384">
        <f t="shared" si="5"/>
        <v>20</v>
      </c>
      <c r="L74" s="384">
        <f t="shared" si="6"/>
        <v>80</v>
      </c>
      <c r="M74" s="384">
        <f t="shared" si="7"/>
        <v>0</v>
      </c>
      <c r="N74" s="421">
        <f t="shared" si="8"/>
        <v>100</v>
      </c>
      <c r="O74" s="383">
        <v>9.3000000000000007</v>
      </c>
      <c r="P74" s="384">
        <v>44.9</v>
      </c>
      <c r="Q74" s="384"/>
      <c r="R74" s="385">
        <f t="shared" si="9"/>
        <v>54.2</v>
      </c>
      <c r="S74" s="388">
        <v>2</v>
      </c>
      <c r="T74" s="342">
        <v>33209</v>
      </c>
      <c r="U74" s="355"/>
      <c r="V74" s="343" t="s">
        <v>129</v>
      </c>
      <c r="W74" s="334" t="s">
        <v>17</v>
      </c>
      <c r="X74" s="334" t="s">
        <v>18</v>
      </c>
      <c r="Y74" s="344">
        <v>35</v>
      </c>
      <c r="Z74" s="334" t="s">
        <v>130</v>
      </c>
      <c r="AA74" s="334" t="s">
        <v>82</v>
      </c>
      <c r="AB74" s="334" t="s">
        <v>18</v>
      </c>
      <c r="AC74" s="334">
        <v>9.9</v>
      </c>
      <c r="AD74" s="343" t="s">
        <v>132</v>
      </c>
      <c r="AE74" s="334" t="s">
        <v>22</v>
      </c>
      <c r="AF74" s="334" t="s">
        <v>11</v>
      </c>
      <c r="AG74" s="344">
        <v>9.3000000000000007</v>
      </c>
      <c r="AL74" s="343"/>
      <c r="AO74" s="344"/>
      <c r="AP74" s="343"/>
      <c r="AS74" s="344"/>
      <c r="AW74" s="344"/>
      <c r="BA74" s="345"/>
    </row>
    <row r="75" spans="1:53" s="73" customFormat="1" x14ac:dyDescent="0.15">
      <c r="A75" s="73">
        <v>1991</v>
      </c>
      <c r="B75" s="85">
        <v>33256</v>
      </c>
      <c r="C75" s="811" t="s">
        <v>554</v>
      </c>
      <c r="D75" s="811"/>
      <c r="E75" s="73">
        <f>365-E74</f>
        <v>348</v>
      </c>
      <c r="F75" s="73">
        <v>1</v>
      </c>
      <c r="G75" s="123">
        <v>5</v>
      </c>
      <c r="H75" s="73">
        <v>15</v>
      </c>
      <c r="J75" s="134">
        <v>20</v>
      </c>
      <c r="K75" s="92">
        <f t="shared" si="5"/>
        <v>25</v>
      </c>
      <c r="L75" s="92">
        <f t="shared" si="6"/>
        <v>75</v>
      </c>
      <c r="M75" s="92">
        <f t="shared" si="7"/>
        <v>0</v>
      </c>
      <c r="N75" s="125">
        <f t="shared" si="8"/>
        <v>100</v>
      </c>
      <c r="O75" s="91">
        <v>11.9</v>
      </c>
      <c r="P75" s="92">
        <v>48.2</v>
      </c>
      <c r="Q75" s="92"/>
      <c r="R75" s="93">
        <f t="shared" si="9"/>
        <v>60.1</v>
      </c>
      <c r="S75" s="97">
        <v>2</v>
      </c>
      <c r="T75" s="95"/>
      <c r="U75" s="85">
        <v>33256</v>
      </c>
      <c r="V75" s="82" t="s">
        <v>129</v>
      </c>
      <c r="W75" s="73" t="s">
        <v>17</v>
      </c>
      <c r="X75" s="73" t="s">
        <v>18</v>
      </c>
      <c r="Y75" s="83">
        <v>40.5</v>
      </c>
      <c r="Z75" s="73" t="s">
        <v>130</v>
      </c>
      <c r="AA75" s="73" t="s">
        <v>82</v>
      </c>
      <c r="AB75" s="73" t="s">
        <v>18</v>
      </c>
      <c r="AC75" s="73">
        <v>7.7</v>
      </c>
      <c r="AD75" s="82" t="s">
        <v>132</v>
      </c>
      <c r="AE75" s="73" t="s">
        <v>22</v>
      </c>
      <c r="AF75" s="73" t="s">
        <v>11</v>
      </c>
      <c r="AG75" s="83">
        <v>11.9</v>
      </c>
      <c r="AL75" s="82"/>
      <c r="AO75" s="83"/>
      <c r="AP75" s="82"/>
      <c r="AS75" s="83"/>
      <c r="AW75" s="83"/>
      <c r="BA75" s="84"/>
    </row>
    <row r="76" spans="1:53" s="73" customFormat="1" x14ac:dyDescent="0.15">
      <c r="A76" s="73">
        <v>1992</v>
      </c>
      <c r="C76" s="811" t="s">
        <v>554</v>
      </c>
      <c r="D76" s="811"/>
      <c r="E76" s="73">
        <v>0</v>
      </c>
      <c r="G76" s="123">
        <v>5</v>
      </c>
      <c r="H76" s="73">
        <v>15</v>
      </c>
      <c r="J76" s="134">
        <v>20</v>
      </c>
      <c r="K76" s="92">
        <f t="shared" si="5"/>
        <v>25</v>
      </c>
      <c r="L76" s="92">
        <f t="shared" si="6"/>
        <v>75</v>
      </c>
      <c r="M76" s="92">
        <f t="shared" si="7"/>
        <v>0</v>
      </c>
      <c r="N76" s="125">
        <f t="shared" si="8"/>
        <v>100</v>
      </c>
      <c r="O76" s="91">
        <v>11.9</v>
      </c>
      <c r="P76" s="92">
        <v>48.2</v>
      </c>
      <c r="Q76" s="92"/>
      <c r="R76" s="93">
        <f t="shared" si="9"/>
        <v>60.1</v>
      </c>
      <c r="S76" s="97">
        <v>2</v>
      </c>
      <c r="T76" s="95"/>
      <c r="U76" s="85"/>
      <c r="V76" s="82" t="s">
        <v>129</v>
      </c>
      <c r="W76" s="73" t="s">
        <v>17</v>
      </c>
      <c r="X76" s="73" t="s">
        <v>18</v>
      </c>
      <c r="Y76" s="83">
        <v>40.5</v>
      </c>
      <c r="Z76" s="73" t="s">
        <v>130</v>
      </c>
      <c r="AA76" s="73" t="s">
        <v>82</v>
      </c>
      <c r="AB76" s="73" t="s">
        <v>18</v>
      </c>
      <c r="AC76" s="73">
        <v>7.7</v>
      </c>
      <c r="AD76" s="82" t="s">
        <v>132</v>
      </c>
      <c r="AE76" s="73" t="s">
        <v>22</v>
      </c>
      <c r="AF76" s="73" t="s">
        <v>11</v>
      </c>
      <c r="AG76" s="83">
        <v>11.9</v>
      </c>
      <c r="AL76" s="82"/>
      <c r="AO76" s="83"/>
      <c r="AP76" s="82"/>
      <c r="AS76" s="83"/>
      <c r="AW76" s="83"/>
      <c r="BA76" s="84"/>
    </row>
    <row r="77" spans="1:53" s="73" customFormat="1" x14ac:dyDescent="0.15">
      <c r="A77" s="73">
        <v>1992</v>
      </c>
      <c r="C77" s="811" t="s">
        <v>554</v>
      </c>
      <c r="D77" s="811"/>
      <c r="E77" s="73">
        <v>366</v>
      </c>
      <c r="G77" s="123">
        <v>5</v>
      </c>
      <c r="H77" s="73">
        <v>15</v>
      </c>
      <c r="J77" s="134">
        <v>20</v>
      </c>
      <c r="K77" s="92">
        <f t="shared" si="5"/>
        <v>25</v>
      </c>
      <c r="L77" s="92">
        <f t="shared" si="6"/>
        <v>75</v>
      </c>
      <c r="M77" s="92">
        <f t="shared" si="7"/>
        <v>0</v>
      </c>
      <c r="N77" s="125">
        <f t="shared" si="8"/>
        <v>100</v>
      </c>
      <c r="O77" s="91">
        <v>11.9</v>
      </c>
      <c r="P77" s="92">
        <v>48.2</v>
      </c>
      <c r="Q77" s="92"/>
      <c r="R77" s="93">
        <f t="shared" si="9"/>
        <v>60.1</v>
      </c>
      <c r="S77" s="97">
        <v>2</v>
      </c>
      <c r="T77" s="95"/>
      <c r="U77" s="85"/>
      <c r="V77" s="82" t="s">
        <v>129</v>
      </c>
      <c r="W77" s="73" t="s">
        <v>17</v>
      </c>
      <c r="X77" s="73" t="s">
        <v>18</v>
      </c>
      <c r="Y77" s="83">
        <v>40.5</v>
      </c>
      <c r="Z77" s="73" t="s">
        <v>130</v>
      </c>
      <c r="AA77" s="73" t="s">
        <v>82</v>
      </c>
      <c r="AB77" s="73" t="s">
        <v>18</v>
      </c>
      <c r="AC77" s="73">
        <v>7.7</v>
      </c>
      <c r="AD77" s="82" t="s">
        <v>132</v>
      </c>
      <c r="AE77" s="73" t="s">
        <v>22</v>
      </c>
      <c r="AF77" s="73" t="s">
        <v>11</v>
      </c>
      <c r="AG77" s="83">
        <v>11.9</v>
      </c>
      <c r="AL77" s="82"/>
      <c r="AO77" s="83"/>
      <c r="AP77" s="82"/>
      <c r="AS77" s="83"/>
      <c r="AW77" s="83"/>
      <c r="BA77" s="84"/>
    </row>
    <row r="78" spans="1:53" s="73" customFormat="1" x14ac:dyDescent="0.15">
      <c r="A78" s="73">
        <v>1993</v>
      </c>
      <c r="C78" s="811" t="s">
        <v>554</v>
      </c>
      <c r="D78" s="811"/>
      <c r="E78" s="73">
        <v>0</v>
      </c>
      <c r="G78" s="123">
        <v>5</v>
      </c>
      <c r="H78" s="73">
        <v>15</v>
      </c>
      <c r="J78" s="134">
        <v>20</v>
      </c>
      <c r="K78" s="92">
        <f t="shared" ref="K78:K101" si="10">G78/J78*100</f>
        <v>25</v>
      </c>
      <c r="L78" s="92">
        <f t="shared" ref="L78:L101" si="11">H78/J78*100</f>
        <v>75</v>
      </c>
      <c r="M78" s="92">
        <f t="shared" ref="M78:M101" si="12">I78/J78*100</f>
        <v>0</v>
      </c>
      <c r="N78" s="125">
        <f t="shared" si="8"/>
        <v>100</v>
      </c>
      <c r="O78" s="91">
        <v>11.9</v>
      </c>
      <c r="P78" s="92">
        <v>48.2</v>
      </c>
      <c r="Q78" s="92"/>
      <c r="R78" s="93">
        <f t="shared" si="9"/>
        <v>60.1</v>
      </c>
      <c r="S78" s="97">
        <v>2</v>
      </c>
      <c r="T78" s="95"/>
      <c r="U78" s="85"/>
      <c r="V78" s="82" t="s">
        <v>129</v>
      </c>
      <c r="W78" s="73" t="s">
        <v>17</v>
      </c>
      <c r="X78" s="73" t="s">
        <v>18</v>
      </c>
      <c r="Y78" s="83">
        <v>40.5</v>
      </c>
      <c r="Z78" s="73" t="s">
        <v>130</v>
      </c>
      <c r="AA78" s="73" t="s">
        <v>82</v>
      </c>
      <c r="AB78" s="73" t="s">
        <v>18</v>
      </c>
      <c r="AC78" s="73">
        <v>7.7</v>
      </c>
      <c r="AD78" s="82" t="s">
        <v>132</v>
      </c>
      <c r="AE78" s="73" t="s">
        <v>22</v>
      </c>
      <c r="AF78" s="73" t="s">
        <v>11</v>
      </c>
      <c r="AG78" s="83">
        <v>11.9</v>
      </c>
      <c r="AL78" s="82"/>
      <c r="AO78" s="83"/>
      <c r="AP78" s="82"/>
      <c r="AS78" s="83"/>
      <c r="AW78" s="83"/>
      <c r="BA78" s="84"/>
    </row>
    <row r="79" spans="1:53" s="73" customFormat="1" x14ac:dyDescent="0.15">
      <c r="A79" s="73">
        <v>1993</v>
      </c>
      <c r="C79" s="811" t="s">
        <v>554</v>
      </c>
      <c r="D79" s="811"/>
      <c r="E79" s="73">
        <f>365-E78</f>
        <v>365</v>
      </c>
      <c r="G79" s="123">
        <v>5</v>
      </c>
      <c r="H79" s="73">
        <v>15</v>
      </c>
      <c r="J79" s="134">
        <v>20</v>
      </c>
      <c r="K79" s="92">
        <f t="shared" si="10"/>
        <v>25</v>
      </c>
      <c r="L79" s="92">
        <f t="shared" si="11"/>
        <v>75</v>
      </c>
      <c r="M79" s="92">
        <f t="shared" si="12"/>
        <v>0</v>
      </c>
      <c r="N79" s="125">
        <f t="shared" si="8"/>
        <v>100</v>
      </c>
      <c r="O79" s="91">
        <v>11.9</v>
      </c>
      <c r="P79" s="92">
        <v>48.2</v>
      </c>
      <c r="Q79" s="92"/>
      <c r="R79" s="93">
        <f t="shared" si="9"/>
        <v>60.1</v>
      </c>
      <c r="S79" s="97">
        <v>2</v>
      </c>
      <c r="T79" s="95"/>
      <c r="U79" s="85"/>
      <c r="V79" s="82" t="s">
        <v>129</v>
      </c>
      <c r="W79" s="73" t="s">
        <v>17</v>
      </c>
      <c r="X79" s="73" t="s">
        <v>18</v>
      </c>
      <c r="Y79" s="83">
        <v>40.5</v>
      </c>
      <c r="Z79" s="73" t="s">
        <v>130</v>
      </c>
      <c r="AA79" s="73" t="s">
        <v>82</v>
      </c>
      <c r="AB79" s="73" t="s">
        <v>18</v>
      </c>
      <c r="AC79" s="73">
        <v>7.7</v>
      </c>
      <c r="AD79" s="82" t="s">
        <v>132</v>
      </c>
      <c r="AE79" s="73" t="s">
        <v>22</v>
      </c>
      <c r="AF79" s="73" t="s">
        <v>11</v>
      </c>
      <c r="AG79" s="83">
        <v>11.9</v>
      </c>
      <c r="AL79" s="82"/>
      <c r="AO79" s="83"/>
      <c r="AP79" s="82"/>
      <c r="AS79" s="83"/>
      <c r="AW79" s="83"/>
      <c r="BA79" s="84"/>
    </row>
    <row r="80" spans="1:53" s="73" customFormat="1" x14ac:dyDescent="0.15">
      <c r="A80" s="73">
        <v>1994</v>
      </c>
      <c r="C80" s="811" t="s">
        <v>554</v>
      </c>
      <c r="D80" s="811"/>
      <c r="E80" s="73">
        <v>320</v>
      </c>
      <c r="G80" s="123">
        <v>5</v>
      </c>
      <c r="H80" s="73">
        <v>15</v>
      </c>
      <c r="J80" s="134">
        <v>20</v>
      </c>
      <c r="K80" s="92">
        <f t="shared" si="10"/>
        <v>25</v>
      </c>
      <c r="L80" s="92">
        <f t="shared" si="11"/>
        <v>75</v>
      </c>
      <c r="M80" s="92">
        <f t="shared" si="12"/>
        <v>0</v>
      </c>
      <c r="N80" s="125">
        <f t="shared" si="8"/>
        <v>100</v>
      </c>
      <c r="O80" s="91">
        <v>11.9</v>
      </c>
      <c r="P80" s="92">
        <v>48.2</v>
      </c>
      <c r="Q80" s="92"/>
      <c r="R80" s="93">
        <f t="shared" si="9"/>
        <v>60.1</v>
      </c>
      <c r="S80" s="97">
        <v>2</v>
      </c>
      <c r="T80" s="95"/>
      <c r="U80" s="85"/>
      <c r="V80" s="82" t="s">
        <v>129</v>
      </c>
      <c r="W80" s="73" t="s">
        <v>17</v>
      </c>
      <c r="X80" s="73" t="s">
        <v>18</v>
      </c>
      <c r="Y80" s="83">
        <v>40.5</v>
      </c>
      <c r="Z80" s="73" t="s">
        <v>130</v>
      </c>
      <c r="AA80" s="73" t="s">
        <v>82</v>
      </c>
      <c r="AB80" s="73" t="s">
        <v>18</v>
      </c>
      <c r="AC80" s="73">
        <v>7.7</v>
      </c>
      <c r="AD80" s="82" t="s">
        <v>132</v>
      </c>
      <c r="AE80" s="73" t="s">
        <v>22</v>
      </c>
      <c r="AF80" s="73" t="s">
        <v>11</v>
      </c>
      <c r="AG80" s="83">
        <v>11.9</v>
      </c>
      <c r="AL80" s="82"/>
      <c r="AO80" s="83"/>
      <c r="AP80" s="82"/>
      <c r="AS80" s="83"/>
      <c r="AW80" s="83"/>
      <c r="BA80" s="84"/>
    </row>
    <row r="81" spans="1:53" s="334" customFormat="1" x14ac:dyDescent="0.15">
      <c r="A81" s="334">
        <v>1994</v>
      </c>
      <c r="B81" s="355">
        <v>34655</v>
      </c>
      <c r="C81" s="812" t="s">
        <v>555</v>
      </c>
      <c r="D81" s="812"/>
      <c r="E81" s="334">
        <f>365-E80</f>
        <v>45</v>
      </c>
      <c r="F81" s="334">
        <v>1</v>
      </c>
      <c r="G81" s="419">
        <v>3</v>
      </c>
      <c r="H81" s="334">
        <v>15</v>
      </c>
      <c r="J81" s="435">
        <v>18</v>
      </c>
      <c r="K81" s="384">
        <f t="shared" si="10"/>
        <v>16.666666666666664</v>
      </c>
      <c r="L81" s="384">
        <f t="shared" si="11"/>
        <v>83.333333333333343</v>
      </c>
      <c r="M81" s="384">
        <f t="shared" si="12"/>
        <v>0</v>
      </c>
      <c r="N81" s="421">
        <f t="shared" si="8"/>
        <v>100</v>
      </c>
      <c r="O81" s="383">
        <v>7</v>
      </c>
      <c r="P81" s="384">
        <v>43.7</v>
      </c>
      <c r="Q81" s="384"/>
      <c r="R81" s="385">
        <f t="shared" si="9"/>
        <v>50.7</v>
      </c>
      <c r="S81" s="388">
        <v>2</v>
      </c>
      <c r="T81" s="342">
        <v>34623</v>
      </c>
      <c r="U81" s="355">
        <v>34655</v>
      </c>
      <c r="V81" s="343" t="s">
        <v>129</v>
      </c>
      <c r="W81" s="334" t="s">
        <v>17</v>
      </c>
      <c r="X81" s="334" t="s">
        <v>18</v>
      </c>
      <c r="Y81" s="344">
        <v>36.299999999999997</v>
      </c>
      <c r="Z81" s="334" t="s">
        <v>130</v>
      </c>
      <c r="AA81" s="334" t="s">
        <v>82</v>
      </c>
      <c r="AB81" s="334" t="s">
        <v>18</v>
      </c>
      <c r="AC81" s="334">
        <v>7.4</v>
      </c>
      <c r="AD81" s="343" t="s">
        <v>132</v>
      </c>
      <c r="AE81" s="334" t="s">
        <v>22</v>
      </c>
      <c r="AF81" s="334" t="s">
        <v>11</v>
      </c>
      <c r="AG81" s="344">
        <v>7</v>
      </c>
      <c r="AL81" s="343"/>
      <c r="AO81" s="344"/>
      <c r="AP81" s="343"/>
      <c r="AS81" s="344"/>
      <c r="AW81" s="344"/>
      <c r="BA81" s="345"/>
    </row>
    <row r="82" spans="1:53" s="334" customFormat="1" x14ac:dyDescent="0.15">
      <c r="A82" s="334">
        <v>1995</v>
      </c>
      <c r="C82" s="812" t="s">
        <v>555</v>
      </c>
      <c r="D82" s="812"/>
      <c r="E82" s="334">
        <v>0</v>
      </c>
      <c r="G82" s="419">
        <v>3</v>
      </c>
      <c r="H82" s="334">
        <v>15</v>
      </c>
      <c r="J82" s="435">
        <v>18</v>
      </c>
      <c r="K82" s="384">
        <f t="shared" si="10"/>
        <v>16.666666666666664</v>
      </c>
      <c r="L82" s="384">
        <f t="shared" si="11"/>
        <v>83.333333333333343</v>
      </c>
      <c r="M82" s="384">
        <f t="shared" si="12"/>
        <v>0</v>
      </c>
      <c r="N82" s="421">
        <f t="shared" si="8"/>
        <v>100</v>
      </c>
      <c r="O82" s="383">
        <v>7</v>
      </c>
      <c r="P82" s="384">
        <v>43.7</v>
      </c>
      <c r="Q82" s="384"/>
      <c r="R82" s="385">
        <f t="shared" si="9"/>
        <v>50.7</v>
      </c>
      <c r="S82" s="388">
        <v>2</v>
      </c>
      <c r="T82" s="342"/>
      <c r="U82" s="355"/>
      <c r="V82" s="343" t="s">
        <v>129</v>
      </c>
      <c r="W82" s="334" t="s">
        <v>17</v>
      </c>
      <c r="X82" s="334" t="s">
        <v>18</v>
      </c>
      <c r="Y82" s="344">
        <v>36.299999999999997</v>
      </c>
      <c r="Z82" s="334" t="s">
        <v>130</v>
      </c>
      <c r="AA82" s="334" t="s">
        <v>82</v>
      </c>
      <c r="AB82" s="334" t="s">
        <v>18</v>
      </c>
      <c r="AC82" s="334">
        <v>7.4</v>
      </c>
      <c r="AD82" s="343" t="s">
        <v>132</v>
      </c>
      <c r="AE82" s="334" t="s">
        <v>22</v>
      </c>
      <c r="AF82" s="334" t="s">
        <v>11</v>
      </c>
      <c r="AG82" s="344">
        <v>7</v>
      </c>
      <c r="AL82" s="343"/>
      <c r="AO82" s="344"/>
      <c r="AP82" s="343"/>
      <c r="AS82" s="344"/>
      <c r="AW82" s="344"/>
      <c r="BA82" s="345"/>
    </row>
    <row r="83" spans="1:53" s="334" customFormat="1" x14ac:dyDescent="0.15">
      <c r="A83" s="334">
        <v>1995</v>
      </c>
      <c r="C83" s="812" t="s">
        <v>555</v>
      </c>
      <c r="D83" s="812"/>
      <c r="E83" s="334">
        <f>365-E82</f>
        <v>365</v>
      </c>
      <c r="G83" s="419">
        <v>3</v>
      </c>
      <c r="H83" s="334">
        <v>15</v>
      </c>
      <c r="J83" s="435">
        <v>18</v>
      </c>
      <c r="K83" s="384">
        <f t="shared" si="10"/>
        <v>16.666666666666664</v>
      </c>
      <c r="L83" s="384">
        <f t="shared" si="11"/>
        <v>83.333333333333343</v>
      </c>
      <c r="M83" s="384">
        <f t="shared" si="12"/>
        <v>0</v>
      </c>
      <c r="N83" s="421">
        <f t="shared" si="8"/>
        <v>100</v>
      </c>
      <c r="O83" s="383">
        <v>7</v>
      </c>
      <c r="P83" s="384">
        <v>43.7</v>
      </c>
      <c r="Q83" s="384"/>
      <c r="R83" s="385">
        <f t="shared" si="9"/>
        <v>50.7</v>
      </c>
      <c r="S83" s="388">
        <v>2</v>
      </c>
      <c r="T83" s="342"/>
      <c r="U83" s="355"/>
      <c r="V83" s="343" t="s">
        <v>129</v>
      </c>
      <c r="W83" s="334" t="s">
        <v>17</v>
      </c>
      <c r="X83" s="334" t="s">
        <v>18</v>
      </c>
      <c r="Y83" s="344">
        <v>36.299999999999997</v>
      </c>
      <c r="Z83" s="334" t="s">
        <v>130</v>
      </c>
      <c r="AA83" s="334" t="s">
        <v>82</v>
      </c>
      <c r="AB83" s="334" t="s">
        <v>18</v>
      </c>
      <c r="AC83" s="334">
        <v>7.4</v>
      </c>
      <c r="AD83" s="343" t="s">
        <v>132</v>
      </c>
      <c r="AE83" s="334" t="s">
        <v>22</v>
      </c>
      <c r="AF83" s="334" t="s">
        <v>11</v>
      </c>
      <c r="AG83" s="344">
        <v>7</v>
      </c>
      <c r="AL83" s="343"/>
      <c r="AO83" s="344"/>
      <c r="AP83" s="343"/>
      <c r="AS83" s="344"/>
      <c r="AW83" s="344"/>
      <c r="BA83" s="345"/>
    </row>
    <row r="84" spans="1:53" s="334" customFormat="1" x14ac:dyDescent="0.15">
      <c r="A84" s="334">
        <v>1996</v>
      </c>
      <c r="C84" s="812" t="s">
        <v>555</v>
      </c>
      <c r="D84" s="812"/>
      <c r="E84" s="334">
        <v>0</v>
      </c>
      <c r="G84" s="419">
        <v>3</v>
      </c>
      <c r="H84" s="334">
        <v>15</v>
      </c>
      <c r="J84" s="435">
        <v>18</v>
      </c>
      <c r="K84" s="384">
        <f t="shared" si="10"/>
        <v>16.666666666666664</v>
      </c>
      <c r="L84" s="384">
        <f t="shared" si="11"/>
        <v>83.333333333333343</v>
      </c>
      <c r="M84" s="384">
        <f t="shared" si="12"/>
        <v>0</v>
      </c>
      <c r="N84" s="421">
        <f t="shared" si="8"/>
        <v>100</v>
      </c>
      <c r="O84" s="383">
        <v>7</v>
      </c>
      <c r="P84" s="384">
        <v>43.7</v>
      </c>
      <c r="Q84" s="384"/>
      <c r="R84" s="385">
        <f t="shared" si="9"/>
        <v>50.7</v>
      </c>
      <c r="S84" s="388">
        <v>2</v>
      </c>
      <c r="T84" s="342"/>
      <c r="U84" s="355"/>
      <c r="V84" s="343" t="s">
        <v>129</v>
      </c>
      <c r="W84" s="334" t="s">
        <v>17</v>
      </c>
      <c r="X84" s="334" t="s">
        <v>18</v>
      </c>
      <c r="Y84" s="344">
        <v>36.299999999999997</v>
      </c>
      <c r="Z84" s="334" t="s">
        <v>130</v>
      </c>
      <c r="AA84" s="334" t="s">
        <v>82</v>
      </c>
      <c r="AB84" s="334" t="s">
        <v>18</v>
      </c>
      <c r="AC84" s="334">
        <v>7.4</v>
      </c>
      <c r="AD84" s="343" t="s">
        <v>132</v>
      </c>
      <c r="AE84" s="334" t="s">
        <v>22</v>
      </c>
      <c r="AF84" s="334" t="s">
        <v>11</v>
      </c>
      <c r="AG84" s="344">
        <v>7</v>
      </c>
      <c r="AL84" s="343"/>
      <c r="AO84" s="344"/>
      <c r="AP84" s="343"/>
      <c r="AS84" s="344"/>
      <c r="AW84" s="344"/>
      <c r="BA84" s="345"/>
    </row>
    <row r="85" spans="1:53" s="334" customFormat="1" x14ac:dyDescent="0.15">
      <c r="A85" s="334">
        <v>1996</v>
      </c>
      <c r="C85" s="812" t="s">
        <v>555</v>
      </c>
      <c r="D85" s="812"/>
      <c r="E85" s="334">
        <v>366</v>
      </c>
      <c r="G85" s="419">
        <v>3</v>
      </c>
      <c r="H85" s="334">
        <v>15</v>
      </c>
      <c r="J85" s="435">
        <v>18</v>
      </c>
      <c r="K85" s="384">
        <f t="shared" si="10"/>
        <v>16.666666666666664</v>
      </c>
      <c r="L85" s="384">
        <f t="shared" si="11"/>
        <v>83.333333333333343</v>
      </c>
      <c r="M85" s="384">
        <f t="shared" si="12"/>
        <v>0</v>
      </c>
      <c r="N85" s="421">
        <f t="shared" si="8"/>
        <v>100</v>
      </c>
      <c r="O85" s="383">
        <v>7</v>
      </c>
      <c r="P85" s="384">
        <v>43.7</v>
      </c>
      <c r="Q85" s="384"/>
      <c r="R85" s="385">
        <f t="shared" si="9"/>
        <v>50.7</v>
      </c>
      <c r="S85" s="388">
        <v>2</v>
      </c>
      <c r="T85" s="342"/>
      <c r="U85" s="355"/>
      <c r="V85" s="343" t="s">
        <v>129</v>
      </c>
      <c r="W85" s="334" t="s">
        <v>17</v>
      </c>
      <c r="X85" s="334" t="s">
        <v>18</v>
      </c>
      <c r="Y85" s="344">
        <v>36.299999999999997</v>
      </c>
      <c r="Z85" s="334" t="s">
        <v>130</v>
      </c>
      <c r="AA85" s="334" t="s">
        <v>82</v>
      </c>
      <c r="AB85" s="334" t="s">
        <v>18</v>
      </c>
      <c r="AC85" s="334">
        <v>7.4</v>
      </c>
      <c r="AD85" s="343" t="s">
        <v>132</v>
      </c>
      <c r="AE85" s="334" t="s">
        <v>22</v>
      </c>
      <c r="AF85" s="334" t="s">
        <v>11</v>
      </c>
      <c r="AG85" s="344">
        <v>7</v>
      </c>
      <c r="AL85" s="343"/>
      <c r="AO85" s="344"/>
      <c r="AP85" s="343"/>
      <c r="AS85" s="344"/>
      <c r="AW85" s="344"/>
      <c r="BA85" s="345"/>
    </row>
    <row r="86" spans="1:53" s="334" customFormat="1" x14ac:dyDescent="0.15">
      <c r="A86" s="334">
        <v>1997</v>
      </c>
      <c r="C86" s="812" t="s">
        <v>555</v>
      </c>
      <c r="D86" s="812"/>
      <c r="E86" s="334">
        <v>364</v>
      </c>
      <c r="G86" s="419">
        <v>3</v>
      </c>
      <c r="H86" s="334">
        <v>15</v>
      </c>
      <c r="J86" s="435">
        <v>18</v>
      </c>
      <c r="K86" s="384">
        <f t="shared" si="10"/>
        <v>16.666666666666664</v>
      </c>
      <c r="L86" s="384">
        <f t="shared" si="11"/>
        <v>83.333333333333343</v>
      </c>
      <c r="M86" s="384">
        <f t="shared" si="12"/>
        <v>0</v>
      </c>
      <c r="N86" s="421">
        <f t="shared" si="8"/>
        <v>100</v>
      </c>
      <c r="O86" s="383">
        <v>7</v>
      </c>
      <c r="P86" s="384">
        <v>43.7</v>
      </c>
      <c r="Q86" s="384"/>
      <c r="R86" s="385">
        <f t="shared" si="9"/>
        <v>50.7</v>
      </c>
      <c r="S86" s="388">
        <v>2</v>
      </c>
      <c r="T86" s="342"/>
      <c r="U86" s="355"/>
      <c r="V86" s="343" t="s">
        <v>129</v>
      </c>
      <c r="W86" s="334" t="s">
        <v>17</v>
      </c>
      <c r="X86" s="334" t="s">
        <v>18</v>
      </c>
      <c r="Y86" s="344">
        <v>36.299999999999997</v>
      </c>
      <c r="Z86" s="334" t="s">
        <v>130</v>
      </c>
      <c r="AA86" s="334" t="s">
        <v>82</v>
      </c>
      <c r="AB86" s="334" t="s">
        <v>18</v>
      </c>
      <c r="AC86" s="334">
        <v>7.4</v>
      </c>
      <c r="AD86" s="343" t="s">
        <v>132</v>
      </c>
      <c r="AE86" s="334" t="s">
        <v>22</v>
      </c>
      <c r="AF86" s="334" t="s">
        <v>11</v>
      </c>
      <c r="AG86" s="344">
        <v>7</v>
      </c>
      <c r="AL86" s="343"/>
      <c r="AO86" s="344"/>
      <c r="AP86" s="343"/>
      <c r="AS86" s="344"/>
      <c r="AW86" s="344"/>
      <c r="BA86" s="345"/>
    </row>
    <row r="87" spans="1:53" s="334" customFormat="1" x14ac:dyDescent="0.15">
      <c r="A87" s="334">
        <v>1997</v>
      </c>
      <c r="B87" s="445">
        <v>35795</v>
      </c>
      <c r="C87" s="812" t="s">
        <v>555</v>
      </c>
      <c r="D87" s="812"/>
      <c r="E87" s="334">
        <f>365-E86</f>
        <v>1</v>
      </c>
      <c r="F87" s="441">
        <v>0</v>
      </c>
      <c r="G87" s="419">
        <v>3</v>
      </c>
      <c r="H87" s="334">
        <v>14</v>
      </c>
      <c r="J87" s="435">
        <v>17</v>
      </c>
      <c r="K87" s="384">
        <f t="shared" si="10"/>
        <v>17.647058823529413</v>
      </c>
      <c r="L87" s="384">
        <f t="shared" si="11"/>
        <v>82.35294117647058</v>
      </c>
      <c r="M87" s="384">
        <f t="shared" si="12"/>
        <v>0</v>
      </c>
      <c r="N87" s="421">
        <f t="shared" si="8"/>
        <v>100</v>
      </c>
      <c r="O87" s="383">
        <v>7</v>
      </c>
      <c r="P87" s="384">
        <v>43.7</v>
      </c>
      <c r="Q87" s="384"/>
      <c r="R87" s="385">
        <f t="shared" si="9"/>
        <v>50.7</v>
      </c>
      <c r="S87" s="388">
        <v>2</v>
      </c>
      <c r="T87" s="342"/>
      <c r="U87" s="355"/>
      <c r="V87" s="343" t="s">
        <v>129</v>
      </c>
      <c r="W87" s="334" t="s">
        <v>17</v>
      </c>
      <c r="X87" s="334" t="s">
        <v>18</v>
      </c>
      <c r="Y87" s="344">
        <v>36.299999999999997</v>
      </c>
      <c r="Z87" s="334" t="s">
        <v>130</v>
      </c>
      <c r="AA87" s="334" t="s">
        <v>82</v>
      </c>
      <c r="AB87" s="334" t="s">
        <v>18</v>
      </c>
      <c r="AC87" s="334">
        <v>7.4</v>
      </c>
      <c r="AD87" s="343" t="s">
        <v>132</v>
      </c>
      <c r="AE87" s="334" t="s">
        <v>22</v>
      </c>
      <c r="AF87" s="334" t="s">
        <v>11</v>
      </c>
      <c r="AG87" s="344">
        <v>7</v>
      </c>
      <c r="AL87" s="343"/>
      <c r="AO87" s="344"/>
      <c r="AP87" s="343"/>
      <c r="AS87" s="344"/>
      <c r="AW87" s="344"/>
      <c r="BA87" s="345"/>
    </row>
    <row r="88" spans="1:53" s="334" customFormat="1" x14ac:dyDescent="0.15">
      <c r="A88" s="334">
        <v>1998</v>
      </c>
      <c r="C88" s="812" t="s">
        <v>555</v>
      </c>
      <c r="D88" s="812"/>
      <c r="E88" s="334">
        <v>299</v>
      </c>
      <c r="G88" s="419">
        <v>3</v>
      </c>
      <c r="H88" s="334">
        <v>14</v>
      </c>
      <c r="J88" s="435">
        <v>17</v>
      </c>
      <c r="K88" s="384">
        <f t="shared" si="10"/>
        <v>17.647058823529413</v>
      </c>
      <c r="L88" s="384">
        <f t="shared" si="11"/>
        <v>82.35294117647058</v>
      </c>
      <c r="M88" s="384">
        <f t="shared" si="12"/>
        <v>0</v>
      </c>
      <c r="N88" s="421">
        <f t="shared" si="8"/>
        <v>100</v>
      </c>
      <c r="O88" s="383">
        <v>7</v>
      </c>
      <c r="P88" s="384">
        <v>43.7</v>
      </c>
      <c r="Q88" s="384"/>
      <c r="R88" s="385">
        <f t="shared" si="9"/>
        <v>50.7</v>
      </c>
      <c r="S88" s="388">
        <v>2</v>
      </c>
      <c r="T88" s="342"/>
      <c r="U88" s="355"/>
      <c r="V88" s="343" t="s">
        <v>129</v>
      </c>
      <c r="W88" s="334" t="s">
        <v>17</v>
      </c>
      <c r="X88" s="334" t="s">
        <v>18</v>
      </c>
      <c r="Y88" s="344">
        <v>36.299999999999997</v>
      </c>
      <c r="Z88" s="334" t="s">
        <v>130</v>
      </c>
      <c r="AA88" s="334" t="s">
        <v>82</v>
      </c>
      <c r="AB88" s="334" t="s">
        <v>18</v>
      </c>
      <c r="AC88" s="334">
        <v>7.4</v>
      </c>
      <c r="AD88" s="343" t="s">
        <v>132</v>
      </c>
      <c r="AE88" s="334" t="s">
        <v>22</v>
      </c>
      <c r="AF88" s="334" t="s">
        <v>11</v>
      </c>
      <c r="AG88" s="344">
        <v>7</v>
      </c>
      <c r="AL88" s="343"/>
      <c r="AO88" s="344"/>
      <c r="AP88" s="343"/>
      <c r="AS88" s="344"/>
      <c r="AW88" s="344"/>
      <c r="BA88" s="345"/>
    </row>
    <row r="89" spans="1:53" s="73" customFormat="1" x14ac:dyDescent="0.15">
      <c r="A89" s="73">
        <v>1998</v>
      </c>
      <c r="B89" s="85">
        <v>36095</v>
      </c>
      <c r="C89" s="811" t="s">
        <v>556</v>
      </c>
      <c r="D89" s="811"/>
      <c r="E89" s="73">
        <f>365-E88</f>
        <v>66</v>
      </c>
      <c r="F89" s="73">
        <v>1</v>
      </c>
      <c r="G89" s="123"/>
      <c r="I89" s="73">
        <v>16</v>
      </c>
      <c r="J89" s="134">
        <v>16</v>
      </c>
      <c r="K89" s="92">
        <f t="shared" si="10"/>
        <v>0</v>
      </c>
      <c r="L89" s="92">
        <f t="shared" si="11"/>
        <v>0</v>
      </c>
      <c r="M89" s="92">
        <f t="shared" si="12"/>
        <v>100</v>
      </c>
      <c r="N89" s="125">
        <f t="shared" si="8"/>
        <v>100</v>
      </c>
      <c r="O89" s="91"/>
      <c r="P89" s="92"/>
      <c r="Q89" s="92">
        <v>51.5</v>
      </c>
      <c r="R89" s="93">
        <f t="shared" si="9"/>
        <v>51.5</v>
      </c>
      <c r="S89" s="97">
        <v>2</v>
      </c>
      <c r="T89" s="95">
        <v>36065</v>
      </c>
      <c r="U89" s="85">
        <v>36095</v>
      </c>
      <c r="V89" s="82" t="s">
        <v>133</v>
      </c>
      <c r="W89" s="73" t="s">
        <v>20</v>
      </c>
      <c r="X89" s="73" t="s">
        <v>12</v>
      </c>
      <c r="Y89" s="83">
        <v>44.5</v>
      </c>
      <c r="Z89" s="73" t="s">
        <v>557</v>
      </c>
      <c r="AA89" s="73" t="s">
        <v>221</v>
      </c>
      <c r="AB89" s="73" t="s">
        <v>12</v>
      </c>
      <c r="AC89" s="73">
        <v>7</v>
      </c>
      <c r="AD89" s="82"/>
      <c r="AG89" s="83"/>
      <c r="AL89" s="82"/>
      <c r="AO89" s="83"/>
      <c r="AP89" s="82"/>
      <c r="AS89" s="83"/>
      <c r="AW89" s="83"/>
      <c r="BA89" s="84"/>
    </row>
    <row r="90" spans="1:53" s="73" customFormat="1" x14ac:dyDescent="0.15">
      <c r="A90" s="73">
        <v>1999</v>
      </c>
      <c r="C90" s="811" t="s">
        <v>556</v>
      </c>
      <c r="D90" s="811"/>
      <c r="E90" s="73">
        <v>211</v>
      </c>
      <c r="G90" s="123"/>
      <c r="I90" s="73">
        <v>16</v>
      </c>
      <c r="J90" s="134">
        <v>16</v>
      </c>
      <c r="K90" s="92">
        <f t="shared" si="10"/>
        <v>0</v>
      </c>
      <c r="L90" s="92">
        <f t="shared" si="11"/>
        <v>0</v>
      </c>
      <c r="M90" s="92">
        <f t="shared" si="12"/>
        <v>100</v>
      </c>
      <c r="N90" s="125">
        <f t="shared" si="8"/>
        <v>100</v>
      </c>
      <c r="O90" s="91"/>
      <c r="P90" s="92"/>
      <c r="Q90" s="92">
        <v>51.5</v>
      </c>
      <c r="R90" s="93">
        <f t="shared" si="9"/>
        <v>51.5</v>
      </c>
      <c r="S90" s="97">
        <v>2</v>
      </c>
      <c r="T90" s="95"/>
      <c r="U90" s="85"/>
      <c r="V90" s="82" t="s">
        <v>133</v>
      </c>
      <c r="W90" s="73" t="s">
        <v>20</v>
      </c>
      <c r="X90" s="73" t="s">
        <v>12</v>
      </c>
      <c r="Y90" s="83">
        <v>44.5</v>
      </c>
      <c r="Z90" s="73" t="s">
        <v>557</v>
      </c>
      <c r="AA90" s="73" t="s">
        <v>221</v>
      </c>
      <c r="AB90" s="73" t="s">
        <v>12</v>
      </c>
      <c r="AC90" s="73">
        <v>7</v>
      </c>
      <c r="AD90" s="82"/>
      <c r="AG90" s="83"/>
      <c r="AL90" s="82"/>
      <c r="AO90" s="83"/>
      <c r="AP90" s="82"/>
      <c r="AS90" s="83"/>
      <c r="AW90" s="83"/>
      <c r="BA90" s="84"/>
    </row>
    <row r="91" spans="1:53" s="73" customFormat="1" x14ac:dyDescent="0.15">
      <c r="A91" s="73">
        <v>1999</v>
      </c>
      <c r="B91" s="149">
        <v>36372</v>
      </c>
      <c r="C91" s="811" t="s">
        <v>556</v>
      </c>
      <c r="D91" s="811"/>
      <c r="E91" s="73">
        <f>365-E90</f>
        <v>154</v>
      </c>
      <c r="F91" s="150">
        <v>0</v>
      </c>
      <c r="G91" s="123"/>
      <c r="I91" s="73">
        <v>15</v>
      </c>
      <c r="J91" s="134">
        <v>15</v>
      </c>
      <c r="K91" s="92">
        <f t="shared" si="10"/>
        <v>0</v>
      </c>
      <c r="L91" s="92">
        <f t="shared" si="11"/>
        <v>0</v>
      </c>
      <c r="M91" s="92">
        <f t="shared" si="12"/>
        <v>100</v>
      </c>
      <c r="N91" s="125">
        <f t="shared" si="8"/>
        <v>100</v>
      </c>
      <c r="O91" s="91"/>
      <c r="P91" s="92"/>
      <c r="Q91" s="92">
        <v>51.5</v>
      </c>
      <c r="R91" s="93">
        <f t="shared" si="9"/>
        <v>51.5</v>
      </c>
      <c r="S91" s="97">
        <v>2</v>
      </c>
      <c r="T91" s="95"/>
      <c r="U91" s="85"/>
      <c r="V91" s="82" t="s">
        <v>133</v>
      </c>
      <c r="W91" s="73" t="s">
        <v>20</v>
      </c>
      <c r="X91" s="73" t="s">
        <v>12</v>
      </c>
      <c r="Y91" s="83">
        <v>44.5</v>
      </c>
      <c r="Z91" s="73" t="s">
        <v>557</v>
      </c>
      <c r="AA91" s="73" t="s">
        <v>221</v>
      </c>
      <c r="AB91" s="73" t="s">
        <v>12</v>
      </c>
      <c r="AC91" s="73">
        <v>7</v>
      </c>
      <c r="AD91" s="82"/>
      <c r="AG91" s="83"/>
      <c r="AL91" s="82"/>
      <c r="AO91" s="83"/>
      <c r="AP91" s="82"/>
      <c r="AS91" s="83"/>
      <c r="AW91" s="83"/>
      <c r="BA91" s="84"/>
    </row>
    <row r="92" spans="1:53" s="73" customFormat="1" x14ac:dyDescent="0.15">
      <c r="A92" s="73">
        <v>2000</v>
      </c>
      <c r="C92" s="811" t="s">
        <v>556</v>
      </c>
      <c r="D92" s="811"/>
      <c r="E92" s="73">
        <v>0</v>
      </c>
      <c r="G92" s="123"/>
      <c r="I92" s="73">
        <v>15</v>
      </c>
      <c r="J92" s="134">
        <v>15</v>
      </c>
      <c r="K92" s="92">
        <f t="shared" si="10"/>
        <v>0</v>
      </c>
      <c r="L92" s="92">
        <f t="shared" si="11"/>
        <v>0</v>
      </c>
      <c r="M92" s="92">
        <f t="shared" si="12"/>
        <v>100</v>
      </c>
      <c r="N92" s="125">
        <f t="shared" si="8"/>
        <v>100</v>
      </c>
      <c r="O92" s="91"/>
      <c r="P92" s="92"/>
      <c r="Q92" s="92">
        <v>51.5</v>
      </c>
      <c r="R92" s="93">
        <f t="shared" si="9"/>
        <v>51.5</v>
      </c>
      <c r="S92" s="97">
        <v>2</v>
      </c>
      <c r="T92" s="95"/>
      <c r="U92" s="85"/>
      <c r="V92" s="82" t="s">
        <v>133</v>
      </c>
      <c r="W92" s="73" t="s">
        <v>20</v>
      </c>
      <c r="X92" s="73" t="s">
        <v>12</v>
      </c>
      <c r="Y92" s="83">
        <v>44.5</v>
      </c>
      <c r="Z92" s="73" t="s">
        <v>557</v>
      </c>
      <c r="AA92" s="73" t="s">
        <v>221</v>
      </c>
      <c r="AB92" s="73" t="s">
        <v>12</v>
      </c>
      <c r="AC92" s="73">
        <v>7</v>
      </c>
      <c r="AD92" s="82"/>
      <c r="AG92" s="83"/>
      <c r="AL92" s="82"/>
      <c r="AO92" s="83"/>
      <c r="AP92" s="82"/>
      <c r="AS92" s="83"/>
      <c r="AW92" s="83"/>
      <c r="BA92" s="84"/>
    </row>
    <row r="93" spans="1:53" s="73" customFormat="1" x14ac:dyDescent="0.15">
      <c r="A93" s="73">
        <v>2000</v>
      </c>
      <c r="C93" s="811" t="s">
        <v>556</v>
      </c>
      <c r="D93" s="811"/>
      <c r="E93" s="73">
        <v>366</v>
      </c>
      <c r="G93" s="123"/>
      <c r="I93" s="73">
        <v>15</v>
      </c>
      <c r="J93" s="134">
        <v>15</v>
      </c>
      <c r="K93" s="92">
        <f t="shared" si="10"/>
        <v>0</v>
      </c>
      <c r="L93" s="92">
        <f t="shared" si="11"/>
        <v>0</v>
      </c>
      <c r="M93" s="92">
        <f t="shared" si="12"/>
        <v>100</v>
      </c>
      <c r="N93" s="125">
        <f t="shared" si="8"/>
        <v>100</v>
      </c>
      <c r="O93" s="91"/>
      <c r="P93" s="92"/>
      <c r="Q93" s="92">
        <v>51.5</v>
      </c>
      <c r="R93" s="93">
        <f t="shared" si="9"/>
        <v>51.5</v>
      </c>
      <c r="S93" s="97">
        <v>2</v>
      </c>
      <c r="T93" s="95"/>
      <c r="U93" s="85"/>
      <c r="V93" s="82" t="s">
        <v>133</v>
      </c>
      <c r="W93" s="73" t="s">
        <v>20</v>
      </c>
      <c r="X93" s="73" t="s">
        <v>12</v>
      </c>
      <c r="Y93" s="83">
        <v>44.5</v>
      </c>
      <c r="Z93" s="73" t="s">
        <v>557</v>
      </c>
      <c r="AA93" s="73" t="s">
        <v>221</v>
      </c>
      <c r="AB93" s="73" t="s">
        <v>12</v>
      </c>
      <c r="AC93" s="73">
        <v>7</v>
      </c>
      <c r="AD93" s="82"/>
      <c r="AG93" s="83"/>
      <c r="AL93" s="82"/>
      <c r="AO93" s="83"/>
      <c r="AP93" s="82"/>
      <c r="AS93" s="83"/>
      <c r="AW93" s="83"/>
      <c r="BA93" s="84"/>
    </row>
    <row r="94" spans="1:53" s="73" customFormat="1" x14ac:dyDescent="0.15">
      <c r="A94" s="73">
        <v>2001</v>
      </c>
      <c r="C94" s="811" t="s">
        <v>556</v>
      </c>
      <c r="D94" s="811"/>
      <c r="E94" s="73">
        <v>0</v>
      </c>
      <c r="G94" s="123"/>
      <c r="I94" s="73">
        <v>15</v>
      </c>
      <c r="J94" s="134">
        <v>15</v>
      </c>
      <c r="K94" s="92">
        <f t="shared" si="10"/>
        <v>0</v>
      </c>
      <c r="L94" s="92">
        <f t="shared" si="11"/>
        <v>0</v>
      </c>
      <c r="M94" s="92">
        <f t="shared" si="12"/>
        <v>100</v>
      </c>
      <c r="N94" s="125">
        <f t="shared" si="8"/>
        <v>100</v>
      </c>
      <c r="O94" s="91"/>
      <c r="P94" s="92"/>
      <c r="Q94" s="92">
        <v>51.5</v>
      </c>
      <c r="R94" s="93">
        <f t="shared" si="9"/>
        <v>51.5</v>
      </c>
      <c r="S94" s="97">
        <v>2</v>
      </c>
      <c r="T94" s="95"/>
      <c r="U94" s="85"/>
      <c r="V94" s="82" t="s">
        <v>133</v>
      </c>
      <c r="W94" s="73" t="s">
        <v>20</v>
      </c>
      <c r="X94" s="73" t="s">
        <v>12</v>
      </c>
      <c r="Y94" s="83">
        <v>44.5</v>
      </c>
      <c r="Z94" s="73" t="s">
        <v>557</v>
      </c>
      <c r="AA94" s="73" t="s">
        <v>221</v>
      </c>
      <c r="AB94" s="73" t="s">
        <v>12</v>
      </c>
      <c r="AC94" s="73">
        <v>7</v>
      </c>
      <c r="AD94" s="82"/>
      <c r="AG94" s="83"/>
      <c r="AL94" s="82"/>
      <c r="AO94" s="83"/>
      <c r="AP94" s="82"/>
      <c r="AS94" s="83"/>
      <c r="AW94" s="83"/>
      <c r="BA94" s="84"/>
    </row>
    <row r="95" spans="1:53" s="73" customFormat="1" x14ac:dyDescent="0.15">
      <c r="A95" s="73">
        <v>2001</v>
      </c>
      <c r="C95" s="811" t="s">
        <v>556</v>
      </c>
      <c r="D95" s="811"/>
      <c r="E95" s="73">
        <f>365-E94</f>
        <v>365</v>
      </c>
      <c r="G95" s="123"/>
      <c r="I95" s="73">
        <v>15</v>
      </c>
      <c r="J95" s="134">
        <v>15</v>
      </c>
      <c r="K95" s="92">
        <f t="shared" si="10"/>
        <v>0</v>
      </c>
      <c r="L95" s="92">
        <f t="shared" si="11"/>
        <v>0</v>
      </c>
      <c r="M95" s="92">
        <f t="shared" si="12"/>
        <v>100</v>
      </c>
      <c r="N95" s="125">
        <f t="shared" si="8"/>
        <v>100</v>
      </c>
      <c r="O95" s="91"/>
      <c r="P95" s="92"/>
      <c r="Q95" s="92">
        <v>51.5</v>
      </c>
      <c r="R95" s="93">
        <f t="shared" si="9"/>
        <v>51.5</v>
      </c>
      <c r="S95" s="97">
        <v>2</v>
      </c>
      <c r="T95" s="95"/>
      <c r="U95" s="85"/>
      <c r="V95" s="82" t="s">
        <v>133</v>
      </c>
      <c r="W95" s="73" t="s">
        <v>20</v>
      </c>
      <c r="X95" s="73" t="s">
        <v>12</v>
      </c>
      <c r="Y95" s="83">
        <v>44.5</v>
      </c>
      <c r="Z95" s="73" t="s">
        <v>557</v>
      </c>
      <c r="AA95" s="73" t="s">
        <v>221</v>
      </c>
      <c r="AB95" s="73" t="s">
        <v>12</v>
      </c>
      <c r="AC95" s="73">
        <v>7</v>
      </c>
      <c r="AD95" s="82"/>
      <c r="AG95" s="83"/>
      <c r="AL95" s="82"/>
      <c r="AO95" s="83"/>
      <c r="AP95" s="82"/>
      <c r="AS95" s="83"/>
      <c r="AW95" s="83"/>
      <c r="BA95" s="84"/>
    </row>
    <row r="96" spans="1:53" s="73" customFormat="1" x14ac:dyDescent="0.15">
      <c r="A96" s="73">
        <v>2002</v>
      </c>
      <c r="C96" s="811" t="s">
        <v>556</v>
      </c>
      <c r="D96" s="811"/>
      <c r="E96" s="73">
        <v>294</v>
      </c>
      <c r="G96" s="123"/>
      <c r="I96" s="73">
        <v>15</v>
      </c>
      <c r="J96" s="134">
        <v>15</v>
      </c>
      <c r="K96" s="92">
        <f t="shared" si="10"/>
        <v>0</v>
      </c>
      <c r="L96" s="92">
        <f t="shared" si="11"/>
        <v>0</v>
      </c>
      <c r="M96" s="92">
        <f t="shared" si="12"/>
        <v>100</v>
      </c>
      <c r="N96" s="125">
        <f t="shared" si="8"/>
        <v>100</v>
      </c>
      <c r="O96" s="91"/>
      <c r="P96" s="92"/>
      <c r="Q96" s="92">
        <v>51.5</v>
      </c>
      <c r="R96" s="93">
        <f t="shared" si="9"/>
        <v>51.5</v>
      </c>
      <c r="S96" s="97">
        <v>2</v>
      </c>
      <c r="T96" s="95"/>
      <c r="U96" s="85"/>
      <c r="V96" s="82" t="s">
        <v>133</v>
      </c>
      <c r="W96" s="73" t="s">
        <v>20</v>
      </c>
      <c r="X96" s="73" t="s">
        <v>12</v>
      </c>
      <c r="Y96" s="83">
        <v>44.5</v>
      </c>
      <c r="Z96" s="73" t="s">
        <v>557</v>
      </c>
      <c r="AA96" s="73" t="s">
        <v>221</v>
      </c>
      <c r="AB96" s="73" t="s">
        <v>12</v>
      </c>
      <c r="AC96" s="73">
        <v>7</v>
      </c>
      <c r="AD96" s="82"/>
      <c r="AG96" s="83"/>
      <c r="AL96" s="82"/>
      <c r="AO96" s="83"/>
      <c r="AP96" s="82"/>
      <c r="AS96" s="83"/>
      <c r="AW96" s="83"/>
      <c r="BA96" s="84"/>
    </row>
    <row r="97" spans="1:53" s="334" customFormat="1" x14ac:dyDescent="0.15">
      <c r="A97" s="334">
        <v>2002</v>
      </c>
      <c r="B97" s="355">
        <v>37551</v>
      </c>
      <c r="C97" s="812" t="s">
        <v>558</v>
      </c>
      <c r="D97" s="812"/>
      <c r="E97" s="334">
        <f>365-E96</f>
        <v>71</v>
      </c>
      <c r="F97" s="334">
        <v>1</v>
      </c>
      <c r="G97" s="419"/>
      <c r="I97" s="334">
        <v>14</v>
      </c>
      <c r="J97" s="435">
        <v>14</v>
      </c>
      <c r="K97" s="384">
        <f t="shared" si="10"/>
        <v>0</v>
      </c>
      <c r="L97" s="384">
        <f t="shared" si="11"/>
        <v>0</v>
      </c>
      <c r="M97" s="384">
        <f t="shared" si="12"/>
        <v>100</v>
      </c>
      <c r="N97" s="421">
        <f t="shared" si="8"/>
        <v>100</v>
      </c>
      <c r="O97" s="383"/>
      <c r="P97" s="384"/>
      <c r="Q97" s="384">
        <v>50.7</v>
      </c>
      <c r="R97" s="385">
        <f t="shared" si="9"/>
        <v>50.7</v>
      </c>
      <c r="S97" s="388">
        <v>2</v>
      </c>
      <c r="T97" s="342">
        <v>37521</v>
      </c>
      <c r="U97" s="355">
        <v>37551</v>
      </c>
      <c r="V97" s="343" t="s">
        <v>133</v>
      </c>
      <c r="W97" s="334" t="s">
        <v>20</v>
      </c>
      <c r="X97" s="334" t="s">
        <v>12</v>
      </c>
      <c r="Y97" s="344">
        <v>41.6</v>
      </c>
      <c r="Z97" s="334" t="s">
        <v>557</v>
      </c>
      <c r="AA97" s="334" t="s">
        <v>221</v>
      </c>
      <c r="AB97" s="334" t="s">
        <v>12</v>
      </c>
      <c r="AC97" s="334">
        <v>9.1</v>
      </c>
      <c r="AD97" s="343"/>
      <c r="AG97" s="344"/>
      <c r="AL97" s="343"/>
      <c r="AO97" s="344"/>
      <c r="AP97" s="343"/>
      <c r="AS97" s="344"/>
      <c r="AW97" s="344"/>
      <c r="BA97" s="345"/>
    </row>
    <row r="98" spans="1:53" s="334" customFormat="1" x14ac:dyDescent="0.15">
      <c r="A98" s="334">
        <v>2003</v>
      </c>
      <c r="C98" s="812" t="s">
        <v>558</v>
      </c>
      <c r="D98" s="812"/>
      <c r="E98" s="334">
        <v>0</v>
      </c>
      <c r="G98" s="419"/>
      <c r="I98" s="334">
        <v>14</v>
      </c>
      <c r="J98" s="435">
        <v>14</v>
      </c>
      <c r="K98" s="384">
        <f t="shared" si="10"/>
        <v>0</v>
      </c>
      <c r="L98" s="384">
        <f t="shared" si="11"/>
        <v>0</v>
      </c>
      <c r="M98" s="384">
        <f t="shared" si="12"/>
        <v>100</v>
      </c>
      <c r="N98" s="421">
        <f t="shared" si="8"/>
        <v>100</v>
      </c>
      <c r="O98" s="383"/>
      <c r="P98" s="384"/>
      <c r="Q98" s="384">
        <v>50.7</v>
      </c>
      <c r="R98" s="385">
        <f t="shared" si="9"/>
        <v>50.7</v>
      </c>
      <c r="S98" s="388">
        <v>2</v>
      </c>
      <c r="T98" s="342"/>
      <c r="U98" s="355"/>
      <c r="V98" s="343" t="s">
        <v>133</v>
      </c>
      <c r="W98" s="334" t="s">
        <v>20</v>
      </c>
      <c r="X98" s="334" t="s">
        <v>12</v>
      </c>
      <c r="Y98" s="344">
        <v>41.6</v>
      </c>
      <c r="Z98" s="334" t="s">
        <v>557</v>
      </c>
      <c r="AA98" s="334" t="s">
        <v>221</v>
      </c>
      <c r="AB98" s="334" t="s">
        <v>12</v>
      </c>
      <c r="AC98" s="334">
        <v>9.1</v>
      </c>
      <c r="AD98" s="343"/>
      <c r="AG98" s="344"/>
      <c r="AL98" s="343"/>
      <c r="AO98" s="344"/>
      <c r="AP98" s="343"/>
      <c r="AS98" s="344"/>
      <c r="AW98" s="344"/>
      <c r="BA98" s="345"/>
    </row>
    <row r="99" spans="1:53" s="334" customFormat="1" x14ac:dyDescent="0.15">
      <c r="A99" s="334">
        <v>2003</v>
      </c>
      <c r="C99" s="812" t="s">
        <v>558</v>
      </c>
      <c r="D99" s="812"/>
      <c r="E99" s="334">
        <f>365-E98</f>
        <v>365</v>
      </c>
      <c r="G99" s="419"/>
      <c r="I99" s="334">
        <v>14</v>
      </c>
      <c r="J99" s="435">
        <v>14</v>
      </c>
      <c r="K99" s="384">
        <f t="shared" si="10"/>
        <v>0</v>
      </c>
      <c r="L99" s="384">
        <f t="shared" si="11"/>
        <v>0</v>
      </c>
      <c r="M99" s="384">
        <f t="shared" si="12"/>
        <v>100</v>
      </c>
      <c r="N99" s="421">
        <f t="shared" si="8"/>
        <v>100</v>
      </c>
      <c r="O99" s="383"/>
      <c r="P99" s="384"/>
      <c r="Q99" s="384">
        <v>50.7</v>
      </c>
      <c r="R99" s="385">
        <f t="shared" si="9"/>
        <v>50.7</v>
      </c>
      <c r="S99" s="388">
        <v>2</v>
      </c>
      <c r="T99" s="342"/>
      <c r="U99" s="355"/>
      <c r="V99" s="343" t="s">
        <v>133</v>
      </c>
      <c r="W99" s="334" t="s">
        <v>20</v>
      </c>
      <c r="X99" s="334" t="s">
        <v>12</v>
      </c>
      <c r="Y99" s="344">
        <v>41.6</v>
      </c>
      <c r="Z99" s="334" t="s">
        <v>557</v>
      </c>
      <c r="AA99" s="334" t="s">
        <v>221</v>
      </c>
      <c r="AB99" s="334" t="s">
        <v>12</v>
      </c>
      <c r="AC99" s="334">
        <v>9.1</v>
      </c>
      <c r="AD99" s="343"/>
      <c r="AG99" s="344"/>
      <c r="AL99" s="343"/>
      <c r="AO99" s="344"/>
      <c r="AP99" s="343"/>
      <c r="AS99" s="344"/>
      <c r="AW99" s="344"/>
      <c r="BA99" s="345"/>
    </row>
    <row r="100" spans="1:53" s="334" customFormat="1" x14ac:dyDescent="0.15">
      <c r="A100" s="334">
        <v>2004</v>
      </c>
      <c r="C100" s="812" t="s">
        <v>558</v>
      </c>
      <c r="D100" s="812"/>
      <c r="E100" s="334">
        <v>0</v>
      </c>
      <c r="G100" s="419"/>
      <c r="I100" s="334">
        <v>14</v>
      </c>
      <c r="J100" s="435">
        <v>14</v>
      </c>
      <c r="K100" s="384">
        <f t="shared" si="10"/>
        <v>0</v>
      </c>
      <c r="L100" s="384">
        <f t="shared" si="11"/>
        <v>0</v>
      </c>
      <c r="M100" s="384">
        <f t="shared" si="12"/>
        <v>100</v>
      </c>
      <c r="N100" s="421">
        <f t="shared" si="8"/>
        <v>100</v>
      </c>
      <c r="O100" s="383"/>
      <c r="P100" s="384"/>
      <c r="Q100" s="384">
        <v>50.7</v>
      </c>
      <c r="R100" s="385">
        <f t="shared" si="9"/>
        <v>50.7</v>
      </c>
      <c r="S100" s="388">
        <v>2</v>
      </c>
      <c r="T100" s="342"/>
      <c r="U100" s="355"/>
      <c r="V100" s="343" t="s">
        <v>133</v>
      </c>
      <c r="W100" s="334" t="s">
        <v>20</v>
      </c>
      <c r="X100" s="334" t="s">
        <v>12</v>
      </c>
      <c r="Y100" s="344">
        <v>41.6</v>
      </c>
      <c r="Z100" s="334" t="s">
        <v>557</v>
      </c>
      <c r="AA100" s="334" t="s">
        <v>221</v>
      </c>
      <c r="AB100" s="334" t="s">
        <v>12</v>
      </c>
      <c r="AC100" s="334">
        <v>9.1</v>
      </c>
      <c r="AD100" s="343"/>
      <c r="AG100" s="344"/>
      <c r="AL100" s="343"/>
      <c r="AO100" s="344"/>
      <c r="AP100" s="343"/>
      <c r="AS100" s="344"/>
      <c r="AW100" s="344"/>
      <c r="BA100" s="345"/>
    </row>
    <row r="101" spans="1:53" s="334" customFormat="1" x14ac:dyDescent="0.15">
      <c r="A101" s="334">
        <v>2004</v>
      </c>
      <c r="C101" s="812" t="s">
        <v>558</v>
      </c>
      <c r="D101" s="812"/>
      <c r="E101" s="334">
        <v>366</v>
      </c>
      <c r="G101" s="419"/>
      <c r="I101" s="334">
        <v>14</v>
      </c>
      <c r="J101" s="435">
        <v>14</v>
      </c>
      <c r="K101" s="384">
        <f t="shared" si="10"/>
        <v>0</v>
      </c>
      <c r="L101" s="384">
        <f t="shared" si="11"/>
        <v>0</v>
      </c>
      <c r="M101" s="384">
        <f t="shared" si="12"/>
        <v>100</v>
      </c>
      <c r="N101" s="421">
        <f t="shared" si="8"/>
        <v>100</v>
      </c>
      <c r="O101" s="383"/>
      <c r="P101" s="384"/>
      <c r="Q101" s="384">
        <v>50.7</v>
      </c>
      <c r="R101" s="385">
        <f t="shared" si="9"/>
        <v>50.7</v>
      </c>
      <c r="S101" s="388">
        <v>2</v>
      </c>
      <c r="T101" s="342"/>
      <c r="U101" s="355"/>
      <c r="V101" s="343" t="s">
        <v>133</v>
      </c>
      <c r="W101" s="334" t="s">
        <v>20</v>
      </c>
      <c r="X101" s="334" t="s">
        <v>12</v>
      </c>
      <c r="Y101" s="344">
        <v>41.6</v>
      </c>
      <c r="Z101" s="334" t="s">
        <v>557</v>
      </c>
      <c r="AA101" s="334" t="s">
        <v>221</v>
      </c>
      <c r="AB101" s="334" t="s">
        <v>12</v>
      </c>
      <c r="AC101" s="334">
        <v>9.1</v>
      </c>
      <c r="AD101" s="343"/>
      <c r="AG101" s="344"/>
      <c r="AL101" s="343"/>
      <c r="AO101" s="344"/>
      <c r="AP101" s="343"/>
      <c r="AS101" s="344"/>
      <c r="AW101" s="344"/>
      <c r="BA101" s="345"/>
    </row>
    <row r="102" spans="1:53" s="334" customFormat="1" x14ac:dyDescent="0.15">
      <c r="A102" s="334">
        <v>2005</v>
      </c>
      <c r="C102" s="812" t="s">
        <v>558</v>
      </c>
      <c r="D102" s="812"/>
      <c r="E102" s="334">
        <v>325</v>
      </c>
      <c r="G102" s="419"/>
      <c r="I102" s="334">
        <v>14</v>
      </c>
      <c r="J102" s="435">
        <v>14</v>
      </c>
      <c r="K102" s="384">
        <f t="shared" ref="K102:K110" si="13">G102/J102*100</f>
        <v>0</v>
      </c>
      <c r="L102" s="384">
        <f t="shared" ref="L102:L110" si="14">H102/J102*100</f>
        <v>0</v>
      </c>
      <c r="M102" s="384">
        <f t="shared" ref="M102:M110" si="15">I102/J102*100</f>
        <v>100</v>
      </c>
      <c r="N102" s="421">
        <f t="shared" si="8"/>
        <v>100</v>
      </c>
      <c r="O102" s="383"/>
      <c r="P102" s="384"/>
      <c r="Q102" s="384">
        <v>50.7</v>
      </c>
      <c r="R102" s="385">
        <f t="shared" si="9"/>
        <v>50.7</v>
      </c>
      <c r="S102" s="388">
        <v>2</v>
      </c>
      <c r="T102" s="342"/>
      <c r="U102" s="355"/>
      <c r="V102" s="343" t="s">
        <v>133</v>
      </c>
      <c r="W102" s="334" t="s">
        <v>20</v>
      </c>
      <c r="X102" s="334" t="s">
        <v>12</v>
      </c>
      <c r="Y102" s="344">
        <v>41.6</v>
      </c>
      <c r="Z102" s="334" t="s">
        <v>557</v>
      </c>
      <c r="AA102" s="334" t="s">
        <v>221</v>
      </c>
      <c r="AB102" s="334" t="s">
        <v>12</v>
      </c>
      <c r="AC102" s="334">
        <v>9.1</v>
      </c>
      <c r="AD102" s="343"/>
      <c r="AG102" s="344"/>
      <c r="AL102" s="343"/>
      <c r="AO102" s="344"/>
      <c r="AP102" s="343"/>
      <c r="AS102" s="344"/>
      <c r="AW102" s="344"/>
      <c r="BA102" s="345"/>
    </row>
    <row r="103" spans="1:53" s="73" customFormat="1" x14ac:dyDescent="0.15">
      <c r="A103" s="73">
        <v>2005</v>
      </c>
      <c r="B103" s="85">
        <v>38678</v>
      </c>
      <c r="C103" s="811" t="s">
        <v>559</v>
      </c>
      <c r="D103" s="811"/>
      <c r="E103" s="73">
        <v>40</v>
      </c>
      <c r="F103" s="73">
        <v>1</v>
      </c>
      <c r="G103" s="123"/>
      <c r="H103" s="73">
        <v>8</v>
      </c>
      <c r="I103" s="73">
        <v>8</v>
      </c>
      <c r="J103" s="134">
        <v>16</v>
      </c>
      <c r="K103" s="92">
        <f t="shared" si="13"/>
        <v>0</v>
      </c>
      <c r="L103" s="92">
        <f t="shared" si="14"/>
        <v>50</v>
      </c>
      <c r="M103" s="92">
        <f t="shared" si="15"/>
        <v>50</v>
      </c>
      <c r="N103" s="125">
        <f t="shared" si="8"/>
        <v>100</v>
      </c>
      <c r="O103" s="91"/>
      <c r="P103" s="92">
        <v>36.799999999999997</v>
      </c>
      <c r="Q103" s="92">
        <v>36.200000000000003</v>
      </c>
      <c r="R103" s="93">
        <f t="shared" si="9"/>
        <v>73</v>
      </c>
      <c r="S103" s="97">
        <v>2</v>
      </c>
      <c r="T103" s="95">
        <v>38613</v>
      </c>
      <c r="U103" s="85">
        <v>38678</v>
      </c>
      <c r="V103" s="82" t="s">
        <v>129</v>
      </c>
      <c r="W103" s="73" t="s">
        <v>17</v>
      </c>
      <c r="X103" s="73" t="s">
        <v>18</v>
      </c>
      <c r="Y103" s="83">
        <v>29.3</v>
      </c>
      <c r="Z103" s="73" t="s">
        <v>130</v>
      </c>
      <c r="AA103" s="73" t="s">
        <v>82</v>
      </c>
      <c r="AB103" s="73" t="s">
        <v>18</v>
      </c>
      <c r="AC103" s="73">
        <v>7.5</v>
      </c>
      <c r="AD103" s="82" t="s">
        <v>133</v>
      </c>
      <c r="AE103" s="73" t="s">
        <v>20</v>
      </c>
      <c r="AF103" s="73" t="s">
        <v>12</v>
      </c>
      <c r="AG103" s="83">
        <v>36.200000000000003</v>
      </c>
      <c r="AL103" s="82"/>
      <c r="AO103" s="83"/>
      <c r="AP103" s="82"/>
      <c r="AS103" s="83"/>
      <c r="AW103" s="83"/>
      <c r="BA103" s="84"/>
    </row>
    <row r="104" spans="1:53" s="73" customFormat="1" x14ac:dyDescent="0.15">
      <c r="A104" s="73">
        <v>2006</v>
      </c>
      <c r="C104" s="811" t="s">
        <v>559</v>
      </c>
      <c r="D104" s="811"/>
      <c r="E104" s="73">
        <v>0</v>
      </c>
      <c r="G104" s="123"/>
      <c r="H104" s="73">
        <v>8</v>
      </c>
      <c r="I104" s="73">
        <v>8</v>
      </c>
      <c r="J104" s="134">
        <v>16</v>
      </c>
      <c r="K104" s="92">
        <f t="shared" si="13"/>
        <v>0</v>
      </c>
      <c r="L104" s="92">
        <f t="shared" si="14"/>
        <v>50</v>
      </c>
      <c r="M104" s="92">
        <f t="shared" si="15"/>
        <v>50</v>
      </c>
      <c r="N104" s="125">
        <f t="shared" si="8"/>
        <v>100</v>
      </c>
      <c r="O104" s="91"/>
      <c r="P104" s="92">
        <v>36.799999999999997</v>
      </c>
      <c r="Q104" s="92">
        <v>36.200000000000003</v>
      </c>
      <c r="R104" s="93">
        <f t="shared" si="9"/>
        <v>73</v>
      </c>
      <c r="S104" s="97">
        <v>2</v>
      </c>
      <c r="T104" s="95"/>
      <c r="U104" s="85"/>
      <c r="V104" s="82" t="s">
        <v>129</v>
      </c>
      <c r="W104" s="73" t="s">
        <v>17</v>
      </c>
      <c r="X104" s="73" t="s">
        <v>18</v>
      </c>
      <c r="Y104" s="83">
        <v>29.3</v>
      </c>
      <c r="Z104" s="73" t="s">
        <v>130</v>
      </c>
      <c r="AA104" s="73" t="s">
        <v>82</v>
      </c>
      <c r="AB104" s="73" t="s">
        <v>18</v>
      </c>
      <c r="AC104" s="73">
        <v>7.5</v>
      </c>
      <c r="AD104" s="82" t="s">
        <v>133</v>
      </c>
      <c r="AE104" s="73" t="s">
        <v>20</v>
      </c>
      <c r="AF104" s="73" t="s">
        <v>12</v>
      </c>
      <c r="AG104" s="83">
        <v>36.200000000000003</v>
      </c>
      <c r="AL104" s="82"/>
      <c r="AO104" s="83"/>
      <c r="AP104" s="82"/>
      <c r="AS104" s="83"/>
      <c r="AW104" s="83"/>
      <c r="BA104" s="84"/>
    </row>
    <row r="105" spans="1:53" s="73" customFormat="1" x14ac:dyDescent="0.15">
      <c r="A105" s="73">
        <v>2006</v>
      </c>
      <c r="C105" s="811" t="s">
        <v>559</v>
      </c>
      <c r="D105" s="811"/>
      <c r="E105" s="73">
        <v>365</v>
      </c>
      <c r="G105" s="123"/>
      <c r="H105" s="73">
        <v>8</v>
      </c>
      <c r="I105" s="73">
        <v>8</v>
      </c>
      <c r="J105" s="134">
        <v>16</v>
      </c>
      <c r="K105" s="92">
        <f t="shared" si="13"/>
        <v>0</v>
      </c>
      <c r="L105" s="92">
        <f t="shared" si="14"/>
        <v>50</v>
      </c>
      <c r="M105" s="92">
        <f t="shared" si="15"/>
        <v>50</v>
      </c>
      <c r="N105" s="125">
        <f t="shared" si="8"/>
        <v>100</v>
      </c>
      <c r="O105" s="91"/>
      <c r="P105" s="92">
        <v>36.799999999999997</v>
      </c>
      <c r="Q105" s="92">
        <v>36.200000000000003</v>
      </c>
      <c r="R105" s="93">
        <f t="shared" si="9"/>
        <v>73</v>
      </c>
      <c r="S105" s="97">
        <v>2</v>
      </c>
      <c r="T105" s="95"/>
      <c r="U105" s="85"/>
      <c r="V105" s="82" t="s">
        <v>129</v>
      </c>
      <c r="W105" s="73" t="s">
        <v>17</v>
      </c>
      <c r="X105" s="73" t="s">
        <v>18</v>
      </c>
      <c r="Y105" s="83">
        <v>29.3</v>
      </c>
      <c r="Z105" s="73" t="s">
        <v>130</v>
      </c>
      <c r="AA105" s="73" t="s">
        <v>82</v>
      </c>
      <c r="AB105" s="73" t="s">
        <v>18</v>
      </c>
      <c r="AC105" s="73">
        <v>7.5</v>
      </c>
      <c r="AD105" s="82" t="s">
        <v>133</v>
      </c>
      <c r="AE105" s="73" t="s">
        <v>20</v>
      </c>
      <c r="AF105" s="73" t="s">
        <v>12</v>
      </c>
      <c r="AG105" s="83">
        <v>36.200000000000003</v>
      </c>
      <c r="AL105" s="82"/>
      <c r="AO105" s="83"/>
      <c r="AP105" s="82"/>
      <c r="AS105" s="83"/>
      <c r="AW105" s="83"/>
      <c r="BA105" s="84"/>
    </row>
    <row r="106" spans="1:53" s="73" customFormat="1" x14ac:dyDescent="0.15">
      <c r="A106" s="73">
        <v>2007</v>
      </c>
      <c r="C106" s="811" t="s">
        <v>559</v>
      </c>
      <c r="D106" s="811"/>
      <c r="E106" s="73">
        <v>0</v>
      </c>
      <c r="G106" s="123"/>
      <c r="H106" s="73">
        <v>8</v>
      </c>
      <c r="I106" s="73">
        <v>8</v>
      </c>
      <c r="J106" s="134">
        <v>16</v>
      </c>
      <c r="K106" s="92">
        <f t="shared" si="13"/>
        <v>0</v>
      </c>
      <c r="L106" s="92">
        <f t="shared" si="14"/>
        <v>50</v>
      </c>
      <c r="M106" s="92">
        <f t="shared" si="15"/>
        <v>50</v>
      </c>
      <c r="N106" s="125">
        <f t="shared" si="8"/>
        <v>100</v>
      </c>
      <c r="O106" s="91"/>
      <c r="P106" s="92">
        <v>36.799999999999997</v>
      </c>
      <c r="Q106" s="92">
        <v>36.200000000000003</v>
      </c>
      <c r="R106" s="93">
        <f t="shared" si="9"/>
        <v>73</v>
      </c>
      <c r="S106" s="97">
        <v>2</v>
      </c>
      <c r="T106" s="95"/>
      <c r="U106" s="85"/>
      <c r="V106" s="82" t="s">
        <v>129</v>
      </c>
      <c r="W106" s="73" t="s">
        <v>17</v>
      </c>
      <c r="X106" s="73" t="s">
        <v>18</v>
      </c>
      <c r="Y106" s="83">
        <v>29.3</v>
      </c>
      <c r="Z106" s="73" t="s">
        <v>130</v>
      </c>
      <c r="AA106" s="73" t="s">
        <v>82</v>
      </c>
      <c r="AB106" s="73" t="s">
        <v>18</v>
      </c>
      <c r="AC106" s="73">
        <v>7.5</v>
      </c>
      <c r="AD106" s="82" t="s">
        <v>133</v>
      </c>
      <c r="AE106" s="73" t="s">
        <v>20</v>
      </c>
      <c r="AF106" s="73" t="s">
        <v>12</v>
      </c>
      <c r="AG106" s="83">
        <v>36.200000000000003</v>
      </c>
      <c r="AL106" s="82"/>
      <c r="AO106" s="83"/>
      <c r="AP106" s="82"/>
      <c r="AS106" s="83"/>
      <c r="AW106" s="83"/>
      <c r="BA106" s="84"/>
    </row>
    <row r="107" spans="1:53" s="73" customFormat="1" x14ac:dyDescent="0.15">
      <c r="A107" s="73">
        <v>2007</v>
      </c>
      <c r="C107" s="811" t="s">
        <v>559</v>
      </c>
      <c r="D107" s="811"/>
      <c r="E107" s="73">
        <v>365</v>
      </c>
      <c r="G107" s="123"/>
      <c r="H107" s="73">
        <v>8</v>
      </c>
      <c r="I107" s="73">
        <v>8</v>
      </c>
      <c r="J107" s="134">
        <v>16</v>
      </c>
      <c r="K107" s="92">
        <f t="shared" si="13"/>
        <v>0</v>
      </c>
      <c r="L107" s="92">
        <f t="shared" si="14"/>
        <v>50</v>
      </c>
      <c r="M107" s="92">
        <f t="shared" si="15"/>
        <v>50</v>
      </c>
      <c r="N107" s="125">
        <f t="shared" si="8"/>
        <v>100</v>
      </c>
      <c r="O107" s="91"/>
      <c r="P107" s="92">
        <v>36.799999999999997</v>
      </c>
      <c r="Q107" s="92">
        <v>36.200000000000003</v>
      </c>
      <c r="R107" s="93">
        <f t="shared" si="9"/>
        <v>73</v>
      </c>
      <c r="S107" s="97">
        <v>2</v>
      </c>
      <c r="T107" s="95"/>
      <c r="U107" s="85"/>
      <c r="V107" s="82" t="s">
        <v>129</v>
      </c>
      <c r="W107" s="73" t="s">
        <v>17</v>
      </c>
      <c r="X107" s="73" t="s">
        <v>18</v>
      </c>
      <c r="Y107" s="83">
        <v>29.3</v>
      </c>
      <c r="Z107" s="73" t="s">
        <v>130</v>
      </c>
      <c r="AA107" s="73" t="s">
        <v>82</v>
      </c>
      <c r="AB107" s="73" t="s">
        <v>18</v>
      </c>
      <c r="AC107" s="73">
        <v>7.5</v>
      </c>
      <c r="AD107" s="82" t="s">
        <v>133</v>
      </c>
      <c r="AE107" s="73" t="s">
        <v>20</v>
      </c>
      <c r="AF107" s="73" t="s">
        <v>12</v>
      </c>
      <c r="AG107" s="83">
        <v>36.200000000000003</v>
      </c>
      <c r="AL107" s="82"/>
      <c r="AO107" s="83"/>
      <c r="AP107" s="82"/>
      <c r="AS107" s="83"/>
      <c r="AW107" s="83"/>
      <c r="BA107" s="84"/>
    </row>
    <row r="108" spans="1:53" s="73" customFormat="1" x14ac:dyDescent="0.15">
      <c r="A108" s="73">
        <v>2008</v>
      </c>
      <c r="C108" s="811" t="s">
        <v>559</v>
      </c>
      <c r="D108" s="811"/>
      <c r="E108" s="73">
        <v>0</v>
      </c>
      <c r="G108" s="123"/>
      <c r="H108" s="73">
        <v>8</v>
      </c>
      <c r="I108" s="73">
        <v>8</v>
      </c>
      <c r="J108" s="134">
        <v>16</v>
      </c>
      <c r="K108" s="92">
        <f t="shared" si="13"/>
        <v>0</v>
      </c>
      <c r="L108" s="92">
        <f t="shared" si="14"/>
        <v>50</v>
      </c>
      <c r="M108" s="92">
        <f t="shared" si="15"/>
        <v>50</v>
      </c>
      <c r="N108" s="125">
        <f t="shared" si="8"/>
        <v>100</v>
      </c>
      <c r="O108" s="91"/>
      <c r="P108" s="92">
        <v>36.799999999999997</v>
      </c>
      <c r="Q108" s="92">
        <v>36.200000000000003</v>
      </c>
      <c r="R108" s="93">
        <f t="shared" si="9"/>
        <v>73</v>
      </c>
      <c r="S108" s="97">
        <v>2</v>
      </c>
      <c r="T108" s="95"/>
      <c r="U108" s="85"/>
      <c r="V108" s="82" t="s">
        <v>129</v>
      </c>
      <c r="W108" s="73" t="s">
        <v>17</v>
      </c>
      <c r="X108" s="73" t="s">
        <v>18</v>
      </c>
      <c r="Y108" s="83">
        <v>29.3</v>
      </c>
      <c r="Z108" s="73" t="s">
        <v>130</v>
      </c>
      <c r="AA108" s="73" t="s">
        <v>82</v>
      </c>
      <c r="AB108" s="73" t="s">
        <v>18</v>
      </c>
      <c r="AC108" s="73">
        <v>7.5</v>
      </c>
      <c r="AD108" s="82" t="s">
        <v>133</v>
      </c>
      <c r="AE108" s="73" t="s">
        <v>20</v>
      </c>
      <c r="AF108" s="73" t="s">
        <v>12</v>
      </c>
      <c r="AG108" s="83">
        <v>36.200000000000003</v>
      </c>
      <c r="AL108" s="82"/>
      <c r="AO108" s="83"/>
      <c r="AP108" s="82"/>
      <c r="AS108" s="83"/>
      <c r="AW108" s="83"/>
      <c r="BA108" s="84"/>
    </row>
    <row r="109" spans="1:53" s="73" customFormat="1" x14ac:dyDescent="0.15">
      <c r="A109" s="73">
        <v>2008</v>
      </c>
      <c r="C109" s="811" t="s">
        <v>559</v>
      </c>
      <c r="D109" s="811"/>
      <c r="E109" s="73">
        <v>366</v>
      </c>
      <c r="G109" s="123"/>
      <c r="H109" s="73">
        <v>8</v>
      </c>
      <c r="I109" s="73">
        <v>8</v>
      </c>
      <c r="J109" s="134">
        <v>16</v>
      </c>
      <c r="K109" s="92">
        <f t="shared" si="13"/>
        <v>0</v>
      </c>
      <c r="L109" s="92">
        <f t="shared" si="14"/>
        <v>50</v>
      </c>
      <c r="M109" s="92">
        <f t="shared" si="15"/>
        <v>50</v>
      </c>
      <c r="N109" s="125">
        <f t="shared" si="8"/>
        <v>100</v>
      </c>
      <c r="O109" s="91"/>
      <c r="P109" s="92">
        <v>36.799999999999997</v>
      </c>
      <c r="Q109" s="92">
        <v>36.200000000000003</v>
      </c>
      <c r="R109" s="93">
        <f t="shared" si="9"/>
        <v>73</v>
      </c>
      <c r="S109" s="97">
        <v>2</v>
      </c>
      <c r="T109" s="95"/>
      <c r="U109" s="85"/>
      <c r="V109" s="82" t="s">
        <v>129</v>
      </c>
      <c r="W109" s="73" t="s">
        <v>17</v>
      </c>
      <c r="X109" s="73" t="s">
        <v>18</v>
      </c>
      <c r="Y109" s="83">
        <v>29.3</v>
      </c>
      <c r="Z109" s="73" t="s">
        <v>130</v>
      </c>
      <c r="AA109" s="73" t="s">
        <v>82</v>
      </c>
      <c r="AB109" s="73" t="s">
        <v>18</v>
      </c>
      <c r="AC109" s="73">
        <v>7.5</v>
      </c>
      <c r="AD109" s="82" t="s">
        <v>133</v>
      </c>
      <c r="AE109" s="73" t="s">
        <v>20</v>
      </c>
      <c r="AF109" s="73" t="s">
        <v>12</v>
      </c>
      <c r="AG109" s="83">
        <v>36.200000000000003</v>
      </c>
      <c r="AL109" s="82"/>
      <c r="AO109" s="83"/>
      <c r="AP109" s="82"/>
      <c r="AS109" s="83"/>
      <c r="AW109" s="83"/>
      <c r="BA109" s="84"/>
    </row>
    <row r="110" spans="1:53" s="73" customFormat="1" x14ac:dyDescent="0.15">
      <c r="A110" s="73">
        <v>2009</v>
      </c>
      <c r="C110" s="811" t="s">
        <v>559</v>
      </c>
      <c r="D110" s="811"/>
      <c r="E110" s="73">
        <v>300</v>
      </c>
      <c r="G110" s="123"/>
      <c r="H110" s="73">
        <v>8</v>
      </c>
      <c r="I110" s="73">
        <v>8</v>
      </c>
      <c r="J110" s="134">
        <v>16</v>
      </c>
      <c r="K110" s="92">
        <f t="shared" si="13"/>
        <v>0</v>
      </c>
      <c r="L110" s="92">
        <f t="shared" si="14"/>
        <v>50</v>
      </c>
      <c r="M110" s="92">
        <f t="shared" si="15"/>
        <v>50</v>
      </c>
      <c r="N110" s="125">
        <f t="shared" si="8"/>
        <v>100</v>
      </c>
      <c r="O110" s="91"/>
      <c r="P110" s="92">
        <v>36.799999999999997</v>
      </c>
      <c r="Q110" s="92">
        <v>36.200000000000003</v>
      </c>
      <c r="R110" s="93">
        <f t="shared" si="9"/>
        <v>73</v>
      </c>
      <c r="S110" s="97">
        <v>2</v>
      </c>
      <c r="T110" s="95"/>
      <c r="U110" s="85"/>
      <c r="V110" s="82" t="s">
        <v>129</v>
      </c>
      <c r="W110" s="73" t="s">
        <v>17</v>
      </c>
      <c r="X110" s="73" t="s">
        <v>18</v>
      </c>
      <c r="Y110" s="83">
        <v>29.3</v>
      </c>
      <c r="Z110" s="73" t="s">
        <v>130</v>
      </c>
      <c r="AA110" s="73" t="s">
        <v>82</v>
      </c>
      <c r="AB110" s="73" t="s">
        <v>18</v>
      </c>
      <c r="AC110" s="73">
        <v>7.5</v>
      </c>
      <c r="AD110" s="82" t="s">
        <v>133</v>
      </c>
      <c r="AE110" s="73" t="s">
        <v>20</v>
      </c>
      <c r="AF110" s="73" t="s">
        <v>12</v>
      </c>
      <c r="AG110" s="83">
        <v>36.200000000000003</v>
      </c>
      <c r="AL110" s="82"/>
      <c r="AO110" s="83"/>
      <c r="AP110" s="82"/>
      <c r="AS110" s="83"/>
      <c r="AW110" s="83"/>
      <c r="BA110" s="84"/>
    </row>
    <row r="111" spans="1:53" s="334" customFormat="1" x14ac:dyDescent="0.15">
      <c r="A111" s="334">
        <v>2009</v>
      </c>
      <c r="B111" s="355">
        <v>40114</v>
      </c>
      <c r="C111" s="812" t="s">
        <v>560</v>
      </c>
      <c r="D111" s="812"/>
      <c r="E111" s="334">
        <v>65</v>
      </c>
      <c r="F111" s="334">
        <v>1</v>
      </c>
      <c r="G111" s="419">
        <v>5</v>
      </c>
      <c r="H111" s="334">
        <v>11</v>
      </c>
      <c r="J111" s="435">
        <v>16</v>
      </c>
      <c r="K111" s="384">
        <f t="shared" ref="K111:K118" si="16">G111/J111*100</f>
        <v>31.25</v>
      </c>
      <c r="L111" s="384">
        <f t="shared" ref="L111:L119" si="17">H111/J111*100</f>
        <v>68.75</v>
      </c>
      <c r="M111" s="384">
        <f t="shared" ref="M111:M119" si="18">I111/J111*100</f>
        <v>0</v>
      </c>
      <c r="N111" s="421">
        <f t="shared" si="8"/>
        <v>100</v>
      </c>
      <c r="O111" s="383">
        <v>15</v>
      </c>
      <c r="P111" s="384">
        <v>38.4</v>
      </c>
      <c r="Q111" s="384"/>
      <c r="R111" s="385">
        <f t="shared" si="9"/>
        <v>53.4</v>
      </c>
      <c r="S111" s="388">
        <v>2</v>
      </c>
      <c r="T111" s="342">
        <v>40083</v>
      </c>
      <c r="U111" s="355">
        <v>40114</v>
      </c>
      <c r="V111" s="343" t="s">
        <v>129</v>
      </c>
      <c r="W111" s="334" t="s">
        <v>17</v>
      </c>
      <c r="X111" s="334" t="s">
        <v>18</v>
      </c>
      <c r="Y111" s="344">
        <v>31.2</v>
      </c>
      <c r="Z111" s="334" t="s">
        <v>130</v>
      </c>
      <c r="AA111" s="334" t="s">
        <v>82</v>
      </c>
      <c r="AB111" s="334" t="s">
        <v>18</v>
      </c>
      <c r="AC111" s="334">
        <v>7.2</v>
      </c>
      <c r="AD111" s="343" t="s">
        <v>132</v>
      </c>
      <c r="AE111" s="334" t="s">
        <v>22</v>
      </c>
      <c r="AF111" s="334" t="s">
        <v>11</v>
      </c>
      <c r="AG111" s="344">
        <v>15</v>
      </c>
      <c r="AL111" s="343"/>
      <c r="AO111" s="344"/>
      <c r="AP111" s="343"/>
      <c r="AS111" s="344"/>
      <c r="AW111" s="344"/>
      <c r="BA111" s="345"/>
    </row>
    <row r="112" spans="1:53" s="334" customFormat="1" x14ac:dyDescent="0.15">
      <c r="A112" s="334">
        <v>2010</v>
      </c>
      <c r="C112" s="812" t="s">
        <v>560</v>
      </c>
      <c r="D112" s="812"/>
      <c r="E112" s="334">
        <v>0</v>
      </c>
      <c r="G112" s="419">
        <v>5</v>
      </c>
      <c r="H112" s="334">
        <v>11</v>
      </c>
      <c r="J112" s="435">
        <v>16</v>
      </c>
      <c r="K112" s="384">
        <f t="shared" si="16"/>
        <v>31.25</v>
      </c>
      <c r="L112" s="384">
        <f t="shared" si="17"/>
        <v>68.75</v>
      </c>
      <c r="M112" s="384">
        <f t="shared" si="18"/>
        <v>0</v>
      </c>
      <c r="N112" s="421">
        <f t="shared" si="8"/>
        <v>100</v>
      </c>
      <c r="O112" s="383">
        <v>15</v>
      </c>
      <c r="P112" s="384">
        <v>38.4</v>
      </c>
      <c r="Q112" s="384"/>
      <c r="R112" s="385">
        <f t="shared" si="9"/>
        <v>53.4</v>
      </c>
      <c r="S112" s="388">
        <v>2</v>
      </c>
      <c r="T112" s="342"/>
      <c r="U112" s="355"/>
      <c r="V112" s="343" t="s">
        <v>129</v>
      </c>
      <c r="W112" s="334" t="s">
        <v>17</v>
      </c>
      <c r="X112" s="334" t="s">
        <v>18</v>
      </c>
      <c r="Y112" s="344">
        <v>31.2</v>
      </c>
      <c r="Z112" s="334" t="s">
        <v>130</v>
      </c>
      <c r="AA112" s="334" t="s">
        <v>82</v>
      </c>
      <c r="AB112" s="334" t="s">
        <v>18</v>
      </c>
      <c r="AC112" s="334">
        <v>7.2</v>
      </c>
      <c r="AD112" s="343" t="s">
        <v>132</v>
      </c>
      <c r="AE112" s="334" t="s">
        <v>22</v>
      </c>
      <c r="AF112" s="334" t="s">
        <v>11</v>
      </c>
      <c r="AG112" s="344">
        <v>15</v>
      </c>
      <c r="AL112" s="343"/>
      <c r="AO112" s="344"/>
      <c r="AP112" s="343"/>
      <c r="AS112" s="344"/>
      <c r="AW112" s="344"/>
      <c r="BA112" s="345"/>
    </row>
    <row r="113" spans="1:53" s="334" customFormat="1" x14ac:dyDescent="0.15">
      <c r="A113" s="334">
        <v>2010</v>
      </c>
      <c r="C113" s="812" t="s">
        <v>560</v>
      </c>
      <c r="D113" s="812"/>
      <c r="E113" s="334">
        <v>365</v>
      </c>
      <c r="G113" s="419">
        <v>5</v>
      </c>
      <c r="H113" s="334">
        <v>11</v>
      </c>
      <c r="J113" s="435">
        <v>16</v>
      </c>
      <c r="K113" s="384">
        <f t="shared" si="16"/>
        <v>31.25</v>
      </c>
      <c r="L113" s="384">
        <f t="shared" si="17"/>
        <v>68.75</v>
      </c>
      <c r="M113" s="384">
        <f t="shared" si="18"/>
        <v>0</v>
      </c>
      <c r="N113" s="421">
        <f t="shared" si="8"/>
        <v>100</v>
      </c>
      <c r="O113" s="383">
        <v>15</v>
      </c>
      <c r="P113" s="384">
        <v>38.4</v>
      </c>
      <c r="Q113" s="384"/>
      <c r="R113" s="385">
        <f t="shared" si="9"/>
        <v>53.4</v>
      </c>
      <c r="S113" s="388">
        <v>2</v>
      </c>
      <c r="T113" s="342"/>
      <c r="U113" s="355"/>
      <c r="V113" s="343" t="s">
        <v>129</v>
      </c>
      <c r="W113" s="334" t="s">
        <v>17</v>
      </c>
      <c r="X113" s="334" t="s">
        <v>18</v>
      </c>
      <c r="Y113" s="344">
        <v>31.2</v>
      </c>
      <c r="Z113" s="334" t="s">
        <v>130</v>
      </c>
      <c r="AA113" s="334" t="s">
        <v>82</v>
      </c>
      <c r="AB113" s="334" t="s">
        <v>18</v>
      </c>
      <c r="AC113" s="334">
        <v>7.2</v>
      </c>
      <c r="AD113" s="343" t="s">
        <v>132</v>
      </c>
      <c r="AE113" s="334" t="s">
        <v>22</v>
      </c>
      <c r="AF113" s="334" t="s">
        <v>11</v>
      </c>
      <c r="AG113" s="344">
        <v>15</v>
      </c>
      <c r="AL113" s="343"/>
      <c r="AO113" s="344"/>
      <c r="AP113" s="343"/>
      <c r="AS113" s="344"/>
      <c r="AW113" s="344"/>
      <c r="BA113" s="345"/>
    </row>
    <row r="114" spans="1:53" s="334" customFormat="1" x14ac:dyDescent="0.15">
      <c r="A114" s="334">
        <v>2011</v>
      </c>
      <c r="C114" s="812" t="s">
        <v>560</v>
      </c>
      <c r="D114" s="812"/>
      <c r="E114" s="334">
        <v>0</v>
      </c>
      <c r="G114" s="419">
        <v>5</v>
      </c>
      <c r="H114" s="334">
        <v>11</v>
      </c>
      <c r="J114" s="435">
        <v>16</v>
      </c>
      <c r="K114" s="384">
        <f t="shared" si="16"/>
        <v>31.25</v>
      </c>
      <c r="L114" s="384">
        <f t="shared" si="17"/>
        <v>68.75</v>
      </c>
      <c r="M114" s="384">
        <f t="shared" si="18"/>
        <v>0</v>
      </c>
      <c r="N114" s="421">
        <f t="shared" si="8"/>
        <v>100</v>
      </c>
      <c r="O114" s="383">
        <v>15</v>
      </c>
      <c r="P114" s="384">
        <v>38.4</v>
      </c>
      <c r="Q114" s="384"/>
      <c r="R114" s="385">
        <f t="shared" si="9"/>
        <v>53.4</v>
      </c>
      <c r="S114" s="388">
        <v>2</v>
      </c>
      <c r="T114" s="342"/>
      <c r="U114" s="355"/>
      <c r="V114" s="343" t="s">
        <v>129</v>
      </c>
      <c r="W114" s="334" t="s">
        <v>17</v>
      </c>
      <c r="X114" s="334" t="s">
        <v>18</v>
      </c>
      <c r="Y114" s="344">
        <v>31.2</v>
      </c>
      <c r="Z114" s="334" t="s">
        <v>130</v>
      </c>
      <c r="AA114" s="334" t="s">
        <v>82</v>
      </c>
      <c r="AB114" s="334" t="s">
        <v>18</v>
      </c>
      <c r="AC114" s="334">
        <v>7.2</v>
      </c>
      <c r="AD114" s="343" t="s">
        <v>132</v>
      </c>
      <c r="AE114" s="334" t="s">
        <v>22</v>
      </c>
      <c r="AF114" s="334" t="s">
        <v>11</v>
      </c>
      <c r="AG114" s="344">
        <v>15</v>
      </c>
      <c r="AL114" s="343"/>
      <c r="AO114" s="344"/>
      <c r="AP114" s="343"/>
      <c r="AS114" s="344"/>
      <c r="AW114" s="344"/>
      <c r="BA114" s="345"/>
    </row>
    <row r="115" spans="1:53" s="334" customFormat="1" x14ac:dyDescent="0.15">
      <c r="A115" s="334">
        <v>2011</v>
      </c>
      <c r="C115" s="812" t="s">
        <v>560</v>
      </c>
      <c r="D115" s="812"/>
      <c r="E115" s="334">
        <v>365</v>
      </c>
      <c r="G115" s="419">
        <v>5</v>
      </c>
      <c r="H115" s="334">
        <v>11</v>
      </c>
      <c r="J115" s="435">
        <v>16</v>
      </c>
      <c r="K115" s="384">
        <f t="shared" si="16"/>
        <v>31.25</v>
      </c>
      <c r="L115" s="384">
        <f t="shared" si="17"/>
        <v>68.75</v>
      </c>
      <c r="M115" s="384">
        <f t="shared" si="18"/>
        <v>0</v>
      </c>
      <c r="N115" s="421">
        <f t="shared" si="8"/>
        <v>100</v>
      </c>
      <c r="O115" s="383">
        <v>15</v>
      </c>
      <c r="P115" s="384">
        <v>38.4</v>
      </c>
      <c r="Q115" s="384"/>
      <c r="R115" s="385">
        <f t="shared" si="9"/>
        <v>53.4</v>
      </c>
      <c r="S115" s="388">
        <v>2</v>
      </c>
      <c r="T115" s="342"/>
      <c r="U115" s="355"/>
      <c r="V115" s="343" t="s">
        <v>129</v>
      </c>
      <c r="W115" s="334" t="s">
        <v>17</v>
      </c>
      <c r="X115" s="334" t="s">
        <v>18</v>
      </c>
      <c r="Y115" s="344">
        <v>31.2</v>
      </c>
      <c r="Z115" s="334" t="s">
        <v>130</v>
      </c>
      <c r="AA115" s="334" t="s">
        <v>82</v>
      </c>
      <c r="AB115" s="334" t="s">
        <v>18</v>
      </c>
      <c r="AC115" s="334">
        <v>7.2</v>
      </c>
      <c r="AD115" s="343" t="s">
        <v>132</v>
      </c>
      <c r="AE115" s="334" t="s">
        <v>22</v>
      </c>
      <c r="AF115" s="334" t="s">
        <v>11</v>
      </c>
      <c r="AG115" s="344">
        <v>15</v>
      </c>
      <c r="AL115" s="343"/>
      <c r="AO115" s="344"/>
      <c r="AP115" s="343"/>
      <c r="AS115" s="344"/>
      <c r="AW115" s="344"/>
      <c r="BA115" s="345"/>
    </row>
    <row r="116" spans="1:53" s="334" customFormat="1" x14ac:dyDescent="0.15">
      <c r="A116" s="334">
        <v>2012</v>
      </c>
      <c r="C116" s="812" t="s">
        <v>560</v>
      </c>
      <c r="D116" s="812"/>
      <c r="E116" s="334">
        <v>0</v>
      </c>
      <c r="G116" s="419">
        <v>5</v>
      </c>
      <c r="H116" s="334">
        <v>11</v>
      </c>
      <c r="J116" s="435">
        <v>16</v>
      </c>
      <c r="K116" s="384">
        <f t="shared" si="16"/>
        <v>31.25</v>
      </c>
      <c r="L116" s="384">
        <f t="shared" si="17"/>
        <v>68.75</v>
      </c>
      <c r="M116" s="384">
        <f t="shared" si="18"/>
        <v>0</v>
      </c>
      <c r="N116" s="421">
        <f t="shared" si="8"/>
        <v>100</v>
      </c>
      <c r="O116" s="383">
        <v>15</v>
      </c>
      <c r="P116" s="384">
        <v>38.4</v>
      </c>
      <c r="Q116" s="384"/>
      <c r="R116" s="385">
        <f t="shared" si="9"/>
        <v>53.4</v>
      </c>
      <c r="S116" s="388">
        <v>2</v>
      </c>
      <c r="T116" s="342"/>
      <c r="U116" s="355"/>
      <c r="V116" s="343" t="s">
        <v>129</v>
      </c>
      <c r="W116" s="334" t="s">
        <v>17</v>
      </c>
      <c r="X116" s="334" t="s">
        <v>18</v>
      </c>
      <c r="Y116" s="344">
        <v>31.2</v>
      </c>
      <c r="Z116" s="334" t="s">
        <v>130</v>
      </c>
      <c r="AA116" s="334" t="s">
        <v>82</v>
      </c>
      <c r="AB116" s="334" t="s">
        <v>18</v>
      </c>
      <c r="AC116" s="334">
        <v>7.2</v>
      </c>
      <c r="AD116" s="343" t="s">
        <v>132</v>
      </c>
      <c r="AE116" s="334" t="s">
        <v>22</v>
      </c>
      <c r="AF116" s="334" t="s">
        <v>11</v>
      </c>
      <c r="AG116" s="344">
        <v>15</v>
      </c>
      <c r="AL116" s="343"/>
      <c r="AO116" s="344"/>
      <c r="AP116" s="343"/>
      <c r="AS116" s="344"/>
      <c r="AW116" s="344"/>
      <c r="BA116" s="345"/>
    </row>
    <row r="117" spans="1:53" s="334" customFormat="1" x14ac:dyDescent="0.15">
      <c r="A117" s="334">
        <v>2012</v>
      </c>
      <c r="C117" s="812" t="s">
        <v>560</v>
      </c>
      <c r="D117" s="812"/>
      <c r="E117" s="334">
        <v>366</v>
      </c>
      <c r="G117" s="419">
        <v>5</v>
      </c>
      <c r="H117" s="334">
        <v>11</v>
      </c>
      <c r="J117" s="435">
        <v>16</v>
      </c>
      <c r="K117" s="384">
        <f t="shared" si="16"/>
        <v>31.25</v>
      </c>
      <c r="L117" s="384">
        <f t="shared" si="17"/>
        <v>68.75</v>
      </c>
      <c r="M117" s="384">
        <f t="shared" si="18"/>
        <v>0</v>
      </c>
      <c r="N117" s="421">
        <f t="shared" si="8"/>
        <v>100</v>
      </c>
      <c r="O117" s="383">
        <v>15</v>
      </c>
      <c r="P117" s="384">
        <v>38.4</v>
      </c>
      <c r="Q117" s="384"/>
      <c r="R117" s="385">
        <f t="shared" si="9"/>
        <v>53.4</v>
      </c>
      <c r="S117" s="388">
        <v>2</v>
      </c>
      <c r="T117" s="342"/>
      <c r="U117" s="355"/>
      <c r="V117" s="343" t="s">
        <v>129</v>
      </c>
      <c r="W117" s="334" t="s">
        <v>17</v>
      </c>
      <c r="X117" s="334" t="s">
        <v>18</v>
      </c>
      <c r="Y117" s="344">
        <v>31.2</v>
      </c>
      <c r="Z117" s="334" t="s">
        <v>130</v>
      </c>
      <c r="AA117" s="334" t="s">
        <v>82</v>
      </c>
      <c r="AB117" s="334" t="s">
        <v>18</v>
      </c>
      <c r="AC117" s="334">
        <v>7.2</v>
      </c>
      <c r="AD117" s="343" t="s">
        <v>132</v>
      </c>
      <c r="AE117" s="334" t="s">
        <v>22</v>
      </c>
      <c r="AF117" s="334" t="s">
        <v>11</v>
      </c>
      <c r="AG117" s="344">
        <v>15</v>
      </c>
      <c r="AL117" s="343"/>
      <c r="AO117" s="344"/>
      <c r="AP117" s="343"/>
      <c r="AS117" s="344"/>
      <c r="AW117" s="344"/>
      <c r="BA117" s="345"/>
    </row>
    <row r="118" spans="1:53" s="334" customFormat="1" x14ac:dyDescent="0.15">
      <c r="A118" s="334">
        <v>2013</v>
      </c>
      <c r="C118" s="812" t="s">
        <v>560</v>
      </c>
      <c r="D118" s="812"/>
      <c r="E118" s="334">
        <v>350</v>
      </c>
      <c r="G118" s="419">
        <v>5</v>
      </c>
      <c r="H118" s="334">
        <v>11</v>
      </c>
      <c r="J118" s="435">
        <v>16</v>
      </c>
      <c r="K118" s="384">
        <f t="shared" si="16"/>
        <v>31.25</v>
      </c>
      <c r="L118" s="384">
        <f t="shared" si="17"/>
        <v>68.75</v>
      </c>
      <c r="M118" s="384">
        <f t="shared" si="18"/>
        <v>0</v>
      </c>
      <c r="N118" s="421">
        <f t="shared" si="8"/>
        <v>100</v>
      </c>
      <c r="O118" s="383">
        <v>15</v>
      </c>
      <c r="P118" s="384">
        <v>38.4</v>
      </c>
      <c r="Q118" s="384"/>
      <c r="R118" s="385">
        <f t="shared" si="9"/>
        <v>53.4</v>
      </c>
      <c r="S118" s="388">
        <v>2</v>
      </c>
      <c r="T118" s="342"/>
      <c r="U118" s="355"/>
      <c r="V118" s="343" t="s">
        <v>129</v>
      </c>
      <c r="W118" s="334" t="s">
        <v>17</v>
      </c>
      <c r="X118" s="334" t="s">
        <v>18</v>
      </c>
      <c r="Y118" s="344">
        <v>31.2</v>
      </c>
      <c r="Z118" s="334" t="s">
        <v>130</v>
      </c>
      <c r="AA118" s="334" t="s">
        <v>82</v>
      </c>
      <c r="AB118" s="334" t="s">
        <v>18</v>
      </c>
      <c r="AC118" s="334">
        <v>7.2</v>
      </c>
      <c r="AD118" s="343" t="s">
        <v>132</v>
      </c>
      <c r="AE118" s="334" t="s">
        <v>22</v>
      </c>
      <c r="AF118" s="334" t="s">
        <v>11</v>
      </c>
      <c r="AG118" s="344">
        <v>15</v>
      </c>
      <c r="AL118" s="343"/>
      <c r="AO118" s="344"/>
      <c r="AP118" s="343"/>
      <c r="AS118" s="344"/>
      <c r="AW118" s="344"/>
      <c r="BA118" s="345"/>
    </row>
    <row r="119" spans="1:53" s="321" customFormat="1" x14ac:dyDescent="0.15">
      <c r="A119" s="321">
        <v>2013</v>
      </c>
      <c r="B119" s="320">
        <v>41625</v>
      </c>
      <c r="C119" s="811" t="s">
        <v>1261</v>
      </c>
      <c r="D119" s="811"/>
      <c r="E119" s="321">
        <f>365-E118</f>
        <v>15</v>
      </c>
      <c r="F119" s="321">
        <v>1</v>
      </c>
      <c r="G119" s="123"/>
      <c r="H119" s="321">
        <v>10</v>
      </c>
      <c r="I119" s="321">
        <v>6</v>
      </c>
      <c r="J119" s="134">
        <v>16</v>
      </c>
      <c r="K119" s="92">
        <f>G119/J119*100</f>
        <v>0</v>
      </c>
      <c r="L119" s="92">
        <f t="shared" si="17"/>
        <v>62.5</v>
      </c>
      <c r="M119" s="92">
        <f t="shared" si="18"/>
        <v>37.5</v>
      </c>
      <c r="N119" s="125">
        <f>SUM(K119:M119)</f>
        <v>100</v>
      </c>
      <c r="O119" s="91">
        <v>0</v>
      </c>
      <c r="P119" s="92">
        <v>49.3</v>
      </c>
      <c r="Q119" s="92">
        <v>30.6</v>
      </c>
      <c r="R119" s="93">
        <f t="shared" si="9"/>
        <v>79.900000000000006</v>
      </c>
      <c r="S119" s="97">
        <v>2</v>
      </c>
      <c r="T119" s="95">
        <v>41539</v>
      </c>
      <c r="U119" s="320">
        <v>41625</v>
      </c>
      <c r="V119" s="82" t="s">
        <v>129</v>
      </c>
      <c r="W119" s="321" t="s">
        <v>17</v>
      </c>
      <c r="X119" s="321" t="s">
        <v>18</v>
      </c>
      <c r="Y119" s="83">
        <v>40.4</v>
      </c>
      <c r="Z119" s="321" t="s">
        <v>130</v>
      </c>
      <c r="AA119" s="321" t="s">
        <v>82</v>
      </c>
      <c r="AB119" s="321" t="s">
        <v>18</v>
      </c>
      <c r="AC119" s="321">
        <v>8.9</v>
      </c>
      <c r="AD119" s="82" t="s">
        <v>133</v>
      </c>
      <c r="AE119" s="321" t="s">
        <v>20</v>
      </c>
      <c r="AF119" s="321" t="s">
        <v>12</v>
      </c>
      <c r="AG119" s="83">
        <v>30.6</v>
      </c>
      <c r="AL119" s="82"/>
      <c r="AO119" s="83"/>
      <c r="AP119" s="82"/>
      <c r="AS119" s="83"/>
      <c r="AW119" s="83"/>
      <c r="BA119" s="84"/>
    </row>
    <row r="120" spans="1:53" s="531" customFormat="1" x14ac:dyDescent="0.15">
      <c r="A120" s="531">
        <v>2014</v>
      </c>
      <c r="B120" s="528"/>
      <c r="C120" s="811" t="s">
        <v>1261</v>
      </c>
      <c r="D120" s="811"/>
      <c r="E120" s="531">
        <v>0</v>
      </c>
      <c r="G120" s="480"/>
      <c r="H120" s="531">
        <v>10</v>
      </c>
      <c r="I120" s="531">
        <v>6</v>
      </c>
      <c r="J120" s="482">
        <v>16</v>
      </c>
      <c r="K120" s="477">
        <f>G120/J120*100</f>
        <v>0</v>
      </c>
      <c r="L120" s="477">
        <f>H120/J120*100</f>
        <v>62.5</v>
      </c>
      <c r="M120" s="477">
        <f>I120/J120*100</f>
        <v>37.5</v>
      </c>
      <c r="N120" s="481">
        <f>SUM(K120:M120)</f>
        <v>100</v>
      </c>
      <c r="O120" s="476">
        <v>0</v>
      </c>
      <c r="P120" s="477">
        <v>49.3</v>
      </c>
      <c r="Q120" s="477">
        <v>30.6</v>
      </c>
      <c r="R120" s="478">
        <f>SUM(O120:Q120)</f>
        <v>79.900000000000006</v>
      </c>
      <c r="S120" s="97">
        <v>2</v>
      </c>
      <c r="T120" s="479"/>
      <c r="U120" s="528"/>
      <c r="V120" s="472" t="s">
        <v>129</v>
      </c>
      <c r="W120" s="531" t="s">
        <v>17</v>
      </c>
      <c r="X120" s="531" t="s">
        <v>18</v>
      </c>
      <c r="Y120" s="473">
        <v>40.4</v>
      </c>
      <c r="Z120" s="531" t="s">
        <v>130</v>
      </c>
      <c r="AA120" s="531" t="s">
        <v>82</v>
      </c>
      <c r="AB120" s="531" t="s">
        <v>18</v>
      </c>
      <c r="AC120" s="531">
        <v>8.9</v>
      </c>
      <c r="AD120" s="472" t="s">
        <v>133</v>
      </c>
      <c r="AE120" s="531" t="s">
        <v>20</v>
      </c>
      <c r="AF120" s="531" t="s">
        <v>12</v>
      </c>
      <c r="AG120" s="473">
        <v>30.6</v>
      </c>
      <c r="AL120" s="472"/>
      <c r="AO120" s="473"/>
      <c r="AP120" s="472"/>
      <c r="AS120" s="473"/>
      <c r="AW120" s="473"/>
      <c r="BA120" s="474"/>
    </row>
    <row r="121" spans="1:53" s="531" customFormat="1" x14ac:dyDescent="0.15">
      <c r="A121" s="531">
        <v>2014</v>
      </c>
      <c r="B121" s="528"/>
      <c r="C121" s="811" t="s">
        <v>1261</v>
      </c>
      <c r="D121" s="811"/>
      <c r="E121" s="531">
        <v>365</v>
      </c>
      <c r="G121" s="480"/>
      <c r="H121" s="531">
        <v>10</v>
      </c>
      <c r="I121" s="531">
        <v>6</v>
      </c>
      <c r="J121" s="482">
        <v>16</v>
      </c>
      <c r="K121" s="477">
        <f>G121/J121*100</f>
        <v>0</v>
      </c>
      <c r="L121" s="477">
        <f>H121/J121*100</f>
        <v>62.5</v>
      </c>
      <c r="M121" s="477">
        <f>I121/J121*100</f>
        <v>37.5</v>
      </c>
      <c r="N121" s="481">
        <f>SUM(K121:M121)</f>
        <v>100</v>
      </c>
      <c r="O121" s="476">
        <v>0</v>
      </c>
      <c r="P121" s="477">
        <v>49.3</v>
      </c>
      <c r="Q121" s="477">
        <v>30.6</v>
      </c>
      <c r="R121" s="478">
        <f>SUM(O121:Q121)</f>
        <v>79.900000000000006</v>
      </c>
      <c r="S121" s="97">
        <v>2</v>
      </c>
      <c r="T121" s="479"/>
      <c r="U121" s="528"/>
      <c r="V121" s="472" t="s">
        <v>129</v>
      </c>
      <c r="W121" s="531" t="s">
        <v>17</v>
      </c>
      <c r="X121" s="531" t="s">
        <v>18</v>
      </c>
      <c r="Y121" s="473">
        <v>40.4</v>
      </c>
      <c r="Z121" s="531" t="s">
        <v>130</v>
      </c>
      <c r="AA121" s="531" t="s">
        <v>82</v>
      </c>
      <c r="AB121" s="531" t="s">
        <v>18</v>
      </c>
      <c r="AC121" s="531">
        <v>8.9</v>
      </c>
      <c r="AD121" s="472" t="s">
        <v>133</v>
      </c>
      <c r="AE121" s="531" t="s">
        <v>20</v>
      </c>
      <c r="AF121" s="531" t="s">
        <v>12</v>
      </c>
      <c r="AG121" s="473">
        <v>30.6</v>
      </c>
      <c r="AL121" s="472"/>
      <c r="AO121" s="473"/>
      <c r="AP121" s="472"/>
      <c r="AS121" s="473"/>
      <c r="AW121" s="473"/>
      <c r="BA121" s="474"/>
    </row>
    <row r="122" spans="1:53" s="729" customFormat="1" x14ac:dyDescent="0.15">
      <c r="A122" s="729">
        <v>2015</v>
      </c>
      <c r="B122" s="725"/>
      <c r="C122" s="811" t="s">
        <v>1261</v>
      </c>
      <c r="D122" s="811"/>
      <c r="E122" s="729">
        <v>0</v>
      </c>
      <c r="G122" s="600"/>
      <c r="H122" s="729">
        <v>10</v>
      </c>
      <c r="I122" s="729">
        <v>6</v>
      </c>
      <c r="J122" s="602">
        <v>16</v>
      </c>
      <c r="K122" s="597">
        <f t="shared" ref="K122:K123" si="19">G122/J122*100</f>
        <v>0</v>
      </c>
      <c r="L122" s="597">
        <f t="shared" ref="L122:L123" si="20">H122/J122*100</f>
        <v>62.5</v>
      </c>
      <c r="M122" s="597">
        <f t="shared" ref="M122:M123" si="21">I122/J122*100</f>
        <v>37.5</v>
      </c>
      <c r="N122" s="601">
        <f t="shared" ref="N122:N123" si="22">SUM(K122:M122)</f>
        <v>100</v>
      </c>
      <c r="O122" s="596">
        <v>0</v>
      </c>
      <c r="P122" s="597">
        <v>49.3</v>
      </c>
      <c r="Q122" s="597">
        <v>30.6</v>
      </c>
      <c r="R122" s="598">
        <f t="shared" ref="R122:R123" si="23">SUM(O122:Q122)</f>
        <v>79.900000000000006</v>
      </c>
      <c r="S122" s="97">
        <v>2</v>
      </c>
      <c r="T122" s="599"/>
      <c r="U122" s="725"/>
      <c r="V122" s="592" t="s">
        <v>129</v>
      </c>
      <c r="W122" s="729" t="s">
        <v>17</v>
      </c>
      <c r="X122" s="729" t="s">
        <v>18</v>
      </c>
      <c r="Y122" s="593">
        <v>40.4</v>
      </c>
      <c r="Z122" s="729" t="s">
        <v>130</v>
      </c>
      <c r="AA122" s="729" t="s">
        <v>82</v>
      </c>
      <c r="AB122" s="729" t="s">
        <v>18</v>
      </c>
      <c r="AC122" s="729">
        <v>8.9</v>
      </c>
      <c r="AD122" s="592" t="s">
        <v>133</v>
      </c>
      <c r="AE122" s="729" t="s">
        <v>20</v>
      </c>
      <c r="AF122" s="729" t="s">
        <v>12</v>
      </c>
      <c r="AG122" s="593">
        <v>30.6</v>
      </c>
      <c r="AL122" s="592"/>
      <c r="AO122" s="593"/>
      <c r="AP122" s="592"/>
      <c r="AS122" s="593"/>
      <c r="AW122" s="593"/>
      <c r="BA122" s="594"/>
    </row>
    <row r="123" spans="1:53" s="729" customFormat="1" x14ac:dyDescent="0.15">
      <c r="A123" s="729">
        <v>2015</v>
      </c>
      <c r="B123" s="725"/>
      <c r="C123" s="811" t="s">
        <v>1261</v>
      </c>
      <c r="D123" s="811"/>
      <c r="E123" s="729">
        <v>365</v>
      </c>
      <c r="G123" s="600"/>
      <c r="H123" s="729">
        <v>10</v>
      </c>
      <c r="I123" s="729">
        <v>6</v>
      </c>
      <c r="J123" s="602">
        <v>16</v>
      </c>
      <c r="K123" s="597">
        <f t="shared" si="19"/>
        <v>0</v>
      </c>
      <c r="L123" s="597">
        <f t="shared" si="20"/>
        <v>62.5</v>
      </c>
      <c r="M123" s="597">
        <f t="shared" si="21"/>
        <v>37.5</v>
      </c>
      <c r="N123" s="601">
        <f t="shared" si="22"/>
        <v>100</v>
      </c>
      <c r="O123" s="596">
        <v>0</v>
      </c>
      <c r="P123" s="597">
        <v>49.3</v>
      </c>
      <c r="Q123" s="597">
        <v>30.6</v>
      </c>
      <c r="R123" s="598">
        <f t="shared" si="23"/>
        <v>79.900000000000006</v>
      </c>
      <c r="S123" s="97">
        <v>2</v>
      </c>
      <c r="T123" s="599"/>
      <c r="U123" s="725"/>
      <c r="V123" s="592" t="s">
        <v>129</v>
      </c>
      <c r="W123" s="729" t="s">
        <v>17</v>
      </c>
      <c r="X123" s="729" t="s">
        <v>18</v>
      </c>
      <c r="Y123" s="593">
        <v>40.4</v>
      </c>
      <c r="Z123" s="729" t="s">
        <v>130</v>
      </c>
      <c r="AA123" s="729" t="s">
        <v>82</v>
      </c>
      <c r="AB123" s="729" t="s">
        <v>18</v>
      </c>
      <c r="AC123" s="729">
        <v>8.9</v>
      </c>
      <c r="AD123" s="592" t="s">
        <v>133</v>
      </c>
      <c r="AE123" s="729" t="s">
        <v>20</v>
      </c>
      <c r="AF123" s="729" t="s">
        <v>12</v>
      </c>
      <c r="AG123" s="593">
        <v>30.6</v>
      </c>
      <c r="AL123" s="592"/>
      <c r="AO123" s="593"/>
      <c r="AP123" s="592"/>
      <c r="AS123" s="593"/>
      <c r="AW123" s="593"/>
      <c r="BA123" s="594"/>
    </row>
    <row r="124" spans="1:53" x14ac:dyDescent="0.15">
      <c r="I124" s="2"/>
      <c r="M124" s="2"/>
      <c r="N124" s="2"/>
    </row>
    <row r="126" spans="1:53" s="2" customFormat="1" ht="18" customHeight="1" x14ac:dyDescent="0.2">
      <c r="B126" s="22" t="s">
        <v>1284</v>
      </c>
    </row>
    <row r="127" spans="1:53" s="2" customFormat="1" ht="9" customHeight="1" x14ac:dyDescent="0.15"/>
    <row r="128" spans="1:53" s="364" customFormat="1" ht="9" customHeight="1" x14ac:dyDescent="0.15">
      <c r="A128" s="362"/>
      <c r="B128" s="363" t="s">
        <v>1235</v>
      </c>
      <c r="C128" s="363"/>
      <c r="D128" s="363"/>
      <c r="E128" s="363"/>
      <c r="F128" s="363"/>
      <c r="G128" s="363" t="s">
        <v>1236</v>
      </c>
      <c r="H128" s="363"/>
      <c r="I128" s="363"/>
      <c r="J128" s="363"/>
      <c r="K128" s="363"/>
      <c r="L128" s="363"/>
      <c r="M128" s="363"/>
      <c r="N128" s="363"/>
      <c r="R128" s="802" t="s">
        <v>1237</v>
      </c>
      <c r="S128" s="802"/>
      <c r="T128" s="802"/>
      <c r="U128" s="802"/>
      <c r="V128" s="802"/>
      <c r="W128" s="802"/>
      <c r="X128" s="365"/>
      <c r="Y128" s="365"/>
      <c r="AA128" s="365"/>
      <c r="AB128" s="365"/>
      <c r="AC128" s="365"/>
      <c r="AD128" s="365"/>
    </row>
    <row r="129" spans="1:30" s="369" customFormat="1" ht="9" customHeight="1" x14ac:dyDescent="0.15">
      <c r="A129" s="366"/>
      <c r="B129" s="367" t="s">
        <v>1239</v>
      </c>
      <c r="C129" s="368"/>
      <c r="D129" s="368"/>
      <c r="E129" s="368"/>
      <c r="F129" s="368"/>
      <c r="G129" s="367" t="s">
        <v>1238</v>
      </c>
      <c r="H129" s="368"/>
      <c r="I129" s="368"/>
      <c r="J129" s="368"/>
      <c r="K129" s="368"/>
      <c r="L129" s="368"/>
      <c r="M129" s="368"/>
      <c r="N129" s="368"/>
      <c r="R129" s="370" t="s">
        <v>1240</v>
      </c>
      <c r="S129" s="371"/>
      <c r="T129" s="372"/>
      <c r="U129" s="372"/>
      <c r="V129" s="372"/>
      <c r="W129" s="370" t="s">
        <v>1241</v>
      </c>
      <c r="X129" s="372"/>
      <c r="Y129" s="372"/>
      <c r="AA129" s="372"/>
      <c r="AB129" s="372"/>
      <c r="AC129" s="372"/>
      <c r="AD129" s="372"/>
    </row>
    <row r="130" spans="1:30" s="351" customFormat="1" ht="12" customHeight="1" x14ac:dyDescent="0.15">
      <c r="A130" s="373" t="s">
        <v>3</v>
      </c>
      <c r="B130" s="374" t="s">
        <v>8</v>
      </c>
      <c r="C130" s="374" t="s">
        <v>9</v>
      </c>
      <c r="D130" s="374" t="s">
        <v>10</v>
      </c>
      <c r="E130" s="375" t="s">
        <v>1215</v>
      </c>
      <c r="F130" s="374"/>
      <c r="G130" s="351" t="s">
        <v>3</v>
      </c>
      <c r="H130" s="803" t="s">
        <v>0</v>
      </c>
      <c r="I130" s="803"/>
      <c r="J130" s="803" t="s">
        <v>1</v>
      </c>
      <c r="K130" s="803"/>
      <c r="L130" s="803" t="s">
        <v>2</v>
      </c>
      <c r="M130" s="803"/>
      <c r="N130" s="804" t="s">
        <v>1215</v>
      </c>
      <c r="O130" s="804"/>
      <c r="P130" s="376"/>
      <c r="Q130" s="376"/>
      <c r="R130" s="377" t="s">
        <v>3</v>
      </c>
      <c r="S130" s="378" t="s">
        <v>136</v>
      </c>
      <c r="T130" s="376" t="s">
        <v>134</v>
      </c>
      <c r="U130" s="374" t="s">
        <v>135</v>
      </c>
      <c r="V130" s="376"/>
      <c r="W130" s="379" t="s">
        <v>26</v>
      </c>
    </row>
    <row r="131" spans="1:30" s="273" customFormat="1" x14ac:dyDescent="0.15">
      <c r="A131" s="273">
        <v>1959</v>
      </c>
      <c r="B131" s="274">
        <f xml:space="preserve"> (K6*($E6/365))+(K7*($E7/365))</f>
        <v>11.76470588235294</v>
      </c>
      <c r="C131" s="274">
        <f xml:space="preserve"> (L6*($E6/365))+(L7*($E7/365))</f>
        <v>88.235294117647058</v>
      </c>
      <c r="D131" s="274">
        <f xml:space="preserve"> (M6*($E6/365))+(M7*($E7/365))</f>
        <v>0</v>
      </c>
      <c r="E131" s="276">
        <f>B131+C131+D131</f>
        <v>100</v>
      </c>
      <c r="G131" s="273">
        <v>1959</v>
      </c>
      <c r="H131" s="783">
        <f>(O6/$R6*100*($E6/365))+(O7/$R7*100*($E7/365))</f>
        <v>5.8823529411764701</v>
      </c>
      <c r="I131" s="783"/>
      <c r="J131" s="783">
        <f>(P6/$R6*100*($E6/365))+(P7/$R7*100*($E7/365))</f>
        <v>94.117647058823522</v>
      </c>
      <c r="K131" s="783"/>
      <c r="L131" s="783">
        <f>(Q6/$R6*100*($E6/365))+(Q7/$R7*100*($E7/365))</f>
        <v>0</v>
      </c>
      <c r="M131" s="783"/>
      <c r="N131" s="813">
        <f>H131+J131+K131</f>
        <v>99.999999999999986</v>
      </c>
      <c r="O131" s="841"/>
      <c r="R131" s="273">
        <v>1959</v>
      </c>
      <c r="S131" s="274">
        <f>(O6*($E6/365))+(O7*($E7/365))</f>
        <v>3.4</v>
      </c>
      <c r="T131" s="274">
        <f>(P6*($E6/365))+(P7*($E7/365))</f>
        <v>54.4</v>
      </c>
      <c r="U131" s="274">
        <f>(Q6*($E6/365))+(Q7*($E7/365))</f>
        <v>0</v>
      </c>
      <c r="V131" s="275"/>
      <c r="W131" s="277">
        <f>S131+T131+U131</f>
        <v>57.8</v>
      </c>
      <c r="Y131" s="274"/>
    </row>
    <row r="132" spans="1:30" x14ac:dyDescent="0.15">
      <c r="A132" s="1">
        <v>1960</v>
      </c>
      <c r="B132" s="7">
        <f>(K8*($E8/366))+(K9*($E9/366))</f>
        <v>5.8502089360334288</v>
      </c>
      <c r="C132" s="7">
        <f>(L8*($E8/366))+(L9*($E9/366))</f>
        <v>94.149791063966575</v>
      </c>
      <c r="D132" s="7">
        <f>(M8*($E8/366))+(M9*($E9/366))</f>
        <v>0</v>
      </c>
      <c r="E132" s="40">
        <f>SUM(B132:D132)</f>
        <v>100</v>
      </c>
      <c r="G132" s="1">
        <v>1960</v>
      </c>
      <c r="H132" s="779">
        <f>(O8/$R8*100*($E8/366))+(O9/$R9*100*($E9/366))</f>
        <v>2.9251044680167144</v>
      </c>
      <c r="I132" s="779"/>
      <c r="J132" s="779">
        <f>(P8/$R8*100*($E8/366))+(P9/$R9*100*($E9/366))</f>
        <v>97.074895531983287</v>
      </c>
      <c r="K132" s="779"/>
      <c r="L132" s="779">
        <f>(Q8/$R8*100*($E8/366))+(Q9/$R9*100*($E9/366))</f>
        <v>0</v>
      </c>
      <c r="M132" s="779"/>
      <c r="N132" s="810">
        <f>SUM(H132:M132)</f>
        <v>100</v>
      </c>
      <c r="O132" s="840"/>
      <c r="R132" s="1">
        <v>1960</v>
      </c>
      <c r="S132" s="7">
        <f>(O8*($E8/366))+(O9*($E9/366))</f>
        <v>1.6907103825136611</v>
      </c>
      <c r="T132" s="7">
        <f>(P8*($E8/366))+(P9*($E9/366))</f>
        <v>54.4</v>
      </c>
      <c r="U132" s="7">
        <f>(Q8*($E8/366))+(Q9*($E9/366))</f>
        <v>0</v>
      </c>
      <c r="V132" s="12"/>
      <c r="W132" s="14">
        <f>SUM(S132:U132)</f>
        <v>56.090710382513663</v>
      </c>
      <c r="Y132" s="7"/>
    </row>
    <row r="133" spans="1:30" x14ac:dyDescent="0.15">
      <c r="A133" s="1">
        <v>1961</v>
      </c>
      <c r="B133" s="7">
        <f>(K10*($E10/365))+(K11*($E11/365))</f>
        <v>3.1311154598825826</v>
      </c>
      <c r="C133" s="7">
        <f>(L10*($E10/365))+(L11*($E11/365))</f>
        <v>96.868884540117421</v>
      </c>
      <c r="D133" s="7">
        <f>(M10*($E10/365))+(M11*($E11/365))</f>
        <v>0</v>
      </c>
      <c r="E133" s="40">
        <f t="shared" ref="E133:E185" si="24">SUM(B133:D133)</f>
        <v>100</v>
      </c>
      <c r="G133" s="1">
        <v>1961</v>
      </c>
      <c r="H133" s="779">
        <f>(O10/$R10*100*($E10/365))+(O11/$R11*100*($E11/365))</f>
        <v>2.8468364795184451</v>
      </c>
      <c r="I133" s="779"/>
      <c r="J133" s="779">
        <f>(P10/$R10*100*($E10/365))+(P11/$R11*100*($E11/365))</f>
        <v>97.153163520481556</v>
      </c>
      <c r="K133" s="779"/>
      <c r="L133" s="779">
        <f>(Q10/$R10*100*($E10/365))+(Q11/$R11*100*($E11/365))</f>
        <v>0</v>
      </c>
      <c r="M133" s="779"/>
      <c r="N133" s="810">
        <f>SUM(H133:M133)</f>
        <v>100</v>
      </c>
      <c r="O133" s="840"/>
      <c r="R133" s="1">
        <v>1961</v>
      </c>
      <c r="S133" s="7">
        <f>(O10*($E10/365))+(O11*($E11/365))</f>
        <v>1.7621917808219176</v>
      </c>
      <c r="T133" s="7">
        <f>(P10*($E10/365))+(P11*($E11/365))</f>
        <v>53.62410958904109</v>
      </c>
      <c r="U133" s="7">
        <f>(Q10*($E10/365))+(Q11*($E11/365))</f>
        <v>0</v>
      </c>
      <c r="V133" s="12"/>
      <c r="W133" s="14">
        <f t="shared" ref="W133:W185" si="25">SUM(S133:U133)</f>
        <v>55.386301369863006</v>
      </c>
      <c r="Y133" s="7"/>
    </row>
    <row r="134" spans="1:30" x14ac:dyDescent="0.15">
      <c r="A134" s="1">
        <v>1962</v>
      </c>
      <c r="B134" s="7">
        <f>(K12*($E12/365))+(K13*($E13/365))+(K14*($E14/365))</f>
        <v>22.178734507501627</v>
      </c>
      <c r="C134" s="7">
        <f>(L12*($E12/365))+(L13*($E13/365))+(L14*($E14/365))</f>
        <v>77.821265492498384</v>
      </c>
      <c r="D134" s="7">
        <f>(M12*($E12/365))+(M13*($E13/365))+(M14*($E14/365))</f>
        <v>0</v>
      </c>
      <c r="E134" s="40">
        <f t="shared" si="24"/>
        <v>100.00000000000001</v>
      </c>
      <c r="G134" s="1">
        <v>1962</v>
      </c>
      <c r="H134" s="779">
        <f>(O12/$R12*100*($E12/365))+(O13/$R13*100*($E13/365))+(O14/$R14*100*($E14/365))</f>
        <v>20.165091729922324</v>
      </c>
      <c r="I134" s="779"/>
      <c r="J134" s="779">
        <f>(P12/$R12*100*($E12/365))+(P13/$R13*100*($E13/365))+(P14/$R14*100*($E14/365))</f>
        <v>79.83490827007769</v>
      </c>
      <c r="K134" s="779"/>
      <c r="L134" s="779">
        <f>(Q12/$R12*100*($E12/365))+(Q13/$R13*100*($E13/365))+(Q14/$R14*100*($E14/365))</f>
        <v>0</v>
      </c>
      <c r="M134" s="779"/>
      <c r="N134" s="810">
        <f t="shared" ref="N134:N184" si="26">SUM(H134:M134)</f>
        <v>100.00000000000001</v>
      </c>
      <c r="O134" s="840"/>
      <c r="R134" s="1">
        <v>1962</v>
      </c>
      <c r="S134" s="7">
        <f>(O12*($E12/365))+(O13*($E13/365))+(O14*($E14/365))</f>
        <v>12.482191780821919</v>
      </c>
      <c r="T134" s="7">
        <f>(P12*($E12/365))+(P13*($E13/365))+(P14*($E14/365))</f>
        <v>48.5</v>
      </c>
      <c r="U134" s="7">
        <f>(Q12*($E12/365))+(Q13*($E13/365))+(Q14*($E14/365))</f>
        <v>0</v>
      </c>
      <c r="V134" s="12"/>
      <c r="W134" s="14">
        <f t="shared" si="25"/>
        <v>60.982191780821921</v>
      </c>
      <c r="Y134" s="7"/>
    </row>
    <row r="135" spans="1:30" x14ac:dyDescent="0.15">
      <c r="A135" s="1">
        <v>1963</v>
      </c>
      <c r="B135" s="7">
        <f>(K15*($E15/365))+(K16*($E16/365))</f>
        <v>24.060665362035223</v>
      </c>
      <c r="C135" s="7">
        <f>(L15*($E15/365))+(L16*($E16/365))</f>
        <v>75.939334637964777</v>
      </c>
      <c r="D135" s="7">
        <f>(M15*($E15/365))+(M16*($E16/365))</f>
        <v>0</v>
      </c>
      <c r="E135" s="40">
        <f t="shared" si="24"/>
        <v>100</v>
      </c>
      <c r="G135" s="1">
        <v>1963</v>
      </c>
      <c r="H135" s="779">
        <f>(O15/$R15*100*($E15/365))+(O16/$R16*100*($E16/365))</f>
        <v>21.647819063004846</v>
      </c>
      <c r="I135" s="779"/>
      <c r="J135" s="779">
        <f>(P15/$R15*100*($E15/365))+(P16/$R16*100*($E16/365))</f>
        <v>78.352180936995154</v>
      </c>
      <c r="K135" s="779"/>
      <c r="L135" s="779">
        <f>(Q15/$R15*100*($E15/365))+(Q16/$R16*100*($E16/365))</f>
        <v>0</v>
      </c>
      <c r="M135" s="779"/>
      <c r="N135" s="810">
        <f t="shared" si="26"/>
        <v>100</v>
      </c>
      <c r="O135" s="840"/>
      <c r="R135" s="1">
        <v>1963</v>
      </c>
      <c r="S135" s="7">
        <f>(O15*($E15/365))+(O16*($E16/365))</f>
        <v>13.4</v>
      </c>
      <c r="T135" s="7">
        <f>(P15*($E15/365))+(P16*($E16/365))</f>
        <v>48.5</v>
      </c>
      <c r="U135" s="7">
        <f>(Q15*($E15/365))+(Q16*($E16/365))</f>
        <v>0</v>
      </c>
      <c r="V135" s="12"/>
      <c r="W135" s="14">
        <f t="shared" si="25"/>
        <v>61.9</v>
      </c>
      <c r="Y135" s="7"/>
    </row>
    <row r="136" spans="1:30" x14ac:dyDescent="0.15">
      <c r="A136" s="1">
        <v>1964</v>
      </c>
      <c r="B136" s="7">
        <f>(K17*($E17/366))+(K18*($E18/366))</f>
        <v>25</v>
      </c>
      <c r="C136" s="7">
        <f>(L17*($E17/366))+(L18*($E18/366))</f>
        <v>75</v>
      </c>
      <c r="D136" s="7">
        <f>(M17*($E17/366))+(M18*($E18/366))</f>
        <v>0</v>
      </c>
      <c r="E136" s="40">
        <f t="shared" si="24"/>
        <v>100</v>
      </c>
      <c r="G136" s="1">
        <v>1964</v>
      </c>
      <c r="H136" s="779">
        <f>(O17/$R17*100*($E17/366))+(O18/$R18*100*($E18/366))</f>
        <v>21.647819063004846</v>
      </c>
      <c r="I136" s="779"/>
      <c r="J136" s="779">
        <f>(P17/$R17*100*($E17/366))+(P18/$R18*100*($E18/366))</f>
        <v>78.352180936995154</v>
      </c>
      <c r="K136" s="779"/>
      <c r="L136" s="779">
        <f>(Q17/$R17*100*($E17/366))+(Q18/$R18*100*($E18/366))</f>
        <v>0</v>
      </c>
      <c r="M136" s="779"/>
      <c r="N136" s="810">
        <f t="shared" si="26"/>
        <v>100</v>
      </c>
      <c r="O136" s="840"/>
      <c r="R136" s="1">
        <v>1964</v>
      </c>
      <c r="S136" s="7">
        <f>(O17*($E17/366))+(O18*($E18/366))</f>
        <v>13.4</v>
      </c>
      <c r="T136" s="7">
        <f>(P17*($E17/366))+(P18*($E18/366))</f>
        <v>48.5</v>
      </c>
      <c r="U136" s="7">
        <f>(Q17*($E17/366))+(Q18*($E18/366))</f>
        <v>0</v>
      </c>
      <c r="V136" s="12"/>
      <c r="W136" s="14">
        <f t="shared" si="25"/>
        <v>61.9</v>
      </c>
      <c r="Y136" s="7"/>
    </row>
    <row r="137" spans="1:30" x14ac:dyDescent="0.15">
      <c r="A137" s="1">
        <v>1965</v>
      </c>
      <c r="B137" s="7">
        <f>(K19*($E19/365))+(K20*($E20/365))</f>
        <v>23.907371167645138</v>
      </c>
      <c r="C137" s="7">
        <f>(L19*($E19/365))+(L20*($E20/365))</f>
        <v>76.092628832354862</v>
      </c>
      <c r="D137" s="7">
        <f>(M19*($E19/365))+(M20*($E20/365))</f>
        <v>0</v>
      </c>
      <c r="E137" s="40">
        <f t="shared" si="24"/>
        <v>100</v>
      </c>
      <c r="G137" s="1">
        <v>1965</v>
      </c>
      <c r="H137" s="779">
        <f>(O19/$R19*100*($E19/365))+(O20/$R20*100*($E20/365))</f>
        <v>20.738629665272189</v>
      </c>
      <c r="I137" s="779"/>
      <c r="J137" s="779">
        <f>(P19/$R19*100*($E19/365))+(P20/$R20*100*($E20/365))</f>
        <v>79.261370334727815</v>
      </c>
      <c r="K137" s="779"/>
      <c r="L137" s="779">
        <f>(Q19/$R19*100*($E19/365))+(Q20/$R20*100*($E20/365))</f>
        <v>0</v>
      </c>
      <c r="M137" s="779"/>
      <c r="N137" s="810">
        <f t="shared" si="26"/>
        <v>100</v>
      </c>
      <c r="O137" s="840"/>
      <c r="R137" s="1">
        <v>1965</v>
      </c>
      <c r="S137" s="7">
        <f>(O19*($E19/365))+(O20*($E20/365))</f>
        <v>12.757534246575341</v>
      </c>
      <c r="T137" s="7">
        <f>(P19*($E19/365))+(P20*($E20/365))</f>
        <v>48.665205479452055</v>
      </c>
      <c r="U137" s="7">
        <f>(Q19*($E19/365))+(Q20*($E20/365))</f>
        <v>0</v>
      </c>
      <c r="V137" s="12"/>
      <c r="W137" s="14">
        <f t="shared" si="25"/>
        <v>61.422739726027395</v>
      </c>
      <c r="Y137" s="7"/>
    </row>
    <row r="138" spans="1:30" x14ac:dyDescent="0.15">
      <c r="A138" s="1">
        <v>1966</v>
      </c>
      <c r="B138" s="7">
        <f>(K21*($E21/365))+(K22*($E22/365))+(K23*($E23/365))</f>
        <v>15.655577299412915</v>
      </c>
      <c r="C138" s="7">
        <f>(L21*($E21/365))+(L22*($E22/365))+(L23*($E23/365))</f>
        <v>80.522504892367905</v>
      </c>
      <c r="D138" s="7">
        <f>(M21*($E21/365))+(M22*($E22/365))+(M23*($E23/365))</f>
        <v>3.8219178082191778</v>
      </c>
      <c r="E138" s="40">
        <f t="shared" si="24"/>
        <v>100</v>
      </c>
      <c r="G138" s="1">
        <v>1966</v>
      </c>
      <c r="H138" s="779">
        <f>(O21/$R21*100*($E21/365))+(O22/$R22*100*($E22/365))+(O23/$R23*100*($E23/365))</f>
        <v>13.72173069370972</v>
      </c>
      <c r="I138" s="779"/>
      <c r="J138" s="779">
        <f>(P21/$R21*100*($E21/365))+(P22/$R22*100*($E22/365))+(P23/$R23*100*($E23/365))</f>
        <v>82.441740639512119</v>
      </c>
      <c r="K138" s="779"/>
      <c r="L138" s="779">
        <f>(Q21/$R21*100*($E21/365))+(Q22/$R22*100*($E22/365))+(Q23/$R23*100*($E23/365))</f>
        <v>3.8365286667781615</v>
      </c>
      <c r="M138" s="779"/>
      <c r="N138" s="810">
        <f t="shared" si="26"/>
        <v>100</v>
      </c>
      <c r="O138" s="840"/>
      <c r="R138" s="1">
        <v>1966</v>
      </c>
      <c r="S138" s="7">
        <f>(O21*($E21/365))+(O22*($E22/365))+(O23*($E23/365))</f>
        <v>8.1369863013698627</v>
      </c>
      <c r="T138" s="7">
        <f>(P21*($E21/365))+(P22*($E22/365))+(P23*($E23/365))</f>
        <v>49.399999999999991</v>
      </c>
      <c r="U138" s="7">
        <f>(Q21*($E21/365))+(Q22*($E22/365))+(Q23*($E23/365))</f>
        <v>3.4567123287671233</v>
      </c>
      <c r="V138" s="12"/>
      <c r="W138" s="14">
        <f t="shared" si="25"/>
        <v>60.993698630136976</v>
      </c>
      <c r="Y138" s="7"/>
    </row>
    <row r="139" spans="1:30" x14ac:dyDescent="0.15">
      <c r="A139" s="1">
        <v>1967</v>
      </c>
      <c r="B139" s="7">
        <f>(K24*($E24/365))+(K25*($E25/365))</f>
        <v>0</v>
      </c>
      <c r="C139" s="7">
        <f>(L24*($E24/365))+(L25*($E25/365))</f>
        <v>55.000000000000007</v>
      </c>
      <c r="D139" s="7">
        <f>(M24*($E24/365))+(M25*($E25/365))</f>
        <v>45</v>
      </c>
      <c r="E139" s="40">
        <f t="shared" si="24"/>
        <v>100</v>
      </c>
      <c r="G139" s="1">
        <v>1967</v>
      </c>
      <c r="H139" s="779">
        <f>(O24/$R24*100*($E24/365))+(O25/$R25*100*($E25/365))</f>
        <v>0</v>
      </c>
      <c r="I139" s="779"/>
      <c r="J139" s="779">
        <f>(P24/$R24*100*($E24/365))+(P25/$R25*100*($E25/365))</f>
        <v>54.827968923418425</v>
      </c>
      <c r="K139" s="779"/>
      <c r="L139" s="779">
        <f>(Q24/$R24*100*($E24/365))+(Q25/$R25*100*($E25/365))</f>
        <v>45.172031076581582</v>
      </c>
      <c r="M139" s="779"/>
      <c r="N139" s="810">
        <f t="shared" si="26"/>
        <v>100</v>
      </c>
      <c r="O139" s="840"/>
      <c r="R139" s="1">
        <v>1967</v>
      </c>
      <c r="S139" s="7">
        <f>(O24*($E24/365))+(O25*($E25/365))</f>
        <v>0</v>
      </c>
      <c r="T139" s="7">
        <f>(P24*($E24/365))+(P25*($E25/365))</f>
        <v>49.4</v>
      </c>
      <c r="U139" s="7">
        <f>(Q24*($E24/365))+(Q25*($E25/365))</f>
        <v>40.700000000000003</v>
      </c>
      <c r="V139" s="12"/>
      <c r="W139" s="14">
        <f t="shared" si="25"/>
        <v>90.1</v>
      </c>
      <c r="Y139" s="7"/>
    </row>
    <row r="140" spans="1:30" x14ac:dyDescent="0.15">
      <c r="A140" s="1">
        <v>1968</v>
      </c>
      <c r="B140" s="7">
        <f>(K26*($E26/366))+(K27*($E27/366))</f>
        <v>0</v>
      </c>
      <c r="C140" s="7">
        <f>(L26*($E26/366))+(L27*($E27/366))</f>
        <v>55.000000000000007</v>
      </c>
      <c r="D140" s="7">
        <f>(M26*($E26/366))+(M27*($E27/366))</f>
        <v>45</v>
      </c>
      <c r="E140" s="40">
        <f t="shared" si="24"/>
        <v>100</v>
      </c>
      <c r="G140" s="1">
        <v>1968</v>
      </c>
      <c r="H140" s="779">
        <f>(O26/$R26*100*($E26/366))+(O27/$R27*100*($E27/366))</f>
        <v>0</v>
      </c>
      <c r="I140" s="779"/>
      <c r="J140" s="779">
        <f>(P26/$R26*100*($E26/366))+(P27/$R27*100*($E27/366))</f>
        <v>54.827968923418425</v>
      </c>
      <c r="K140" s="779"/>
      <c r="L140" s="779">
        <f>(Q26/$R26*100*($E26/366))+(Q27/$R27*100*($E27/366))</f>
        <v>45.172031076581582</v>
      </c>
      <c r="M140" s="779"/>
      <c r="N140" s="810">
        <f t="shared" si="26"/>
        <v>100</v>
      </c>
      <c r="O140" s="840"/>
      <c r="R140" s="1">
        <v>1968</v>
      </c>
      <c r="S140" s="7">
        <f>(O26*($E26/366))+(O27*($E27/366))</f>
        <v>0</v>
      </c>
      <c r="T140" s="7">
        <f>(P26*($E26/366))+(P27*($E27/366))</f>
        <v>49.4</v>
      </c>
      <c r="U140" s="7">
        <f>(Q26*($E26/366))+(Q27*($E27/366))</f>
        <v>40.700000000000003</v>
      </c>
      <c r="V140" s="12"/>
      <c r="W140" s="14">
        <f t="shared" si="25"/>
        <v>90.1</v>
      </c>
      <c r="Y140" s="7"/>
    </row>
    <row r="141" spans="1:30" x14ac:dyDescent="0.15">
      <c r="A141" s="1">
        <v>1969</v>
      </c>
      <c r="B141" s="7">
        <f>(K28*($E28/365))+(K29*($E29/365))</f>
        <v>3.647260273972603</v>
      </c>
      <c r="C141" s="7">
        <f>(L28*($E28/365))+(L29*($E29/365))</f>
        <v>44.301369863013704</v>
      </c>
      <c r="D141" s="7">
        <f>(M28*($E28/365))+(M29*($E29/365))</f>
        <v>50.835616438356169</v>
      </c>
      <c r="E141" s="40">
        <f t="shared" si="24"/>
        <v>98.784246575342479</v>
      </c>
      <c r="G141" s="1">
        <v>1969</v>
      </c>
      <c r="H141" s="779">
        <f>(O28/$R28*100*($E28/365))+(O29/$R29*100*($E29/365))</f>
        <v>2.2795376712328768</v>
      </c>
      <c r="I141" s="779"/>
      <c r="J141" s="779">
        <f>(P28/$R28*100*($E28/365))+(P29/$R29*100*($E29/365))</f>
        <v>44.162802365712373</v>
      </c>
      <c r="K141" s="779"/>
      <c r="L141" s="779">
        <f>(Q28/$R28*100*($E28/365))+(Q29/$R29*100*($E29/365))</f>
        <v>53.557659963054761</v>
      </c>
      <c r="M141" s="779"/>
      <c r="N141" s="810">
        <f t="shared" si="26"/>
        <v>100.00000000000001</v>
      </c>
      <c r="O141" s="840"/>
      <c r="R141" s="1">
        <v>1969</v>
      </c>
      <c r="S141" s="7">
        <f>(O28*($E28/365))+(O29*($E29/365))</f>
        <v>1.167123287671233</v>
      </c>
      <c r="T141" s="7">
        <f>(P28*($E28/365))+(P29*($E29/365))</f>
        <v>39.790684931506853</v>
      </c>
      <c r="U141" s="7">
        <f>(Q28*($E28/365))+(Q29*($E29/365))</f>
        <v>41.57534246575343</v>
      </c>
      <c r="V141" s="12"/>
      <c r="W141" s="14">
        <f t="shared" si="25"/>
        <v>82.533150684931513</v>
      </c>
      <c r="Y141" s="7"/>
    </row>
    <row r="142" spans="1:30" x14ac:dyDescent="0.15">
      <c r="A142" s="1">
        <v>1970</v>
      </c>
      <c r="B142" s="7">
        <f>(K30*($E30/365))+(K31*($E31/365))</f>
        <v>18.75</v>
      </c>
      <c r="C142" s="7">
        <f>(L30*($E30/365))+(L31*($E31/365))</f>
        <v>0</v>
      </c>
      <c r="D142" s="7">
        <f>(M30*($E30/365))+(M31*($E31/365))</f>
        <v>75</v>
      </c>
      <c r="E142" s="40">
        <f t="shared" si="24"/>
        <v>93.75</v>
      </c>
      <c r="G142" s="1">
        <v>1970</v>
      </c>
      <c r="H142" s="779">
        <f>(O30/$R30*100*($E30/365))+(O31/$R31*100*($E31/365))</f>
        <v>11.71875</v>
      </c>
      <c r="I142" s="779"/>
      <c r="J142" s="779">
        <f>(P30/$R30*100*($E30/365))+(P31/$R31*100*($E31/365))</f>
        <v>0</v>
      </c>
      <c r="K142" s="779"/>
      <c r="L142" s="779">
        <f>(Q30/$R30*100*($E30/365))+(Q31/$R31*100*($E31/365))</f>
        <v>88.28125</v>
      </c>
      <c r="M142" s="779"/>
      <c r="N142" s="810">
        <f t="shared" si="26"/>
        <v>100</v>
      </c>
      <c r="O142" s="840"/>
      <c r="R142" s="1">
        <v>1970</v>
      </c>
      <c r="S142" s="7">
        <f>(O30*($E30/365))+(O31*($E31/365))</f>
        <v>6</v>
      </c>
      <c r="T142" s="7">
        <f>(P30*($E30/365))+(P31*($E31/365))</f>
        <v>0</v>
      </c>
      <c r="U142" s="7">
        <f>(Q30*($E30/365))+(Q31*($E31/365))</f>
        <v>45.2</v>
      </c>
      <c r="V142" s="12"/>
      <c r="W142" s="14">
        <f t="shared" si="25"/>
        <v>51.2</v>
      </c>
      <c r="Y142" s="7"/>
    </row>
    <row r="143" spans="1:30" x14ac:dyDescent="0.15">
      <c r="A143" s="1">
        <v>1971</v>
      </c>
      <c r="B143" s="7">
        <f>(K32*($E32/365))+(K33*($E33/365))</f>
        <v>18.75</v>
      </c>
      <c r="C143" s="7">
        <f>(L32*($E32/365))+(L33*($E33/365))</f>
        <v>0</v>
      </c>
      <c r="D143" s="7">
        <f>(M32*($E32/365))+(M33*($E33/365))</f>
        <v>75</v>
      </c>
      <c r="E143" s="40">
        <f t="shared" si="24"/>
        <v>93.75</v>
      </c>
      <c r="G143" s="1">
        <v>1971</v>
      </c>
      <c r="H143" s="779">
        <f>(O32/$R32*100*($E32/365))+(O33/$R33*100*($E33/365))</f>
        <v>11.71875</v>
      </c>
      <c r="I143" s="779"/>
      <c r="J143" s="779">
        <f>(P32/$R32*100*($E32/365))+(P33/$R33*100*($E33/365))</f>
        <v>0</v>
      </c>
      <c r="K143" s="779"/>
      <c r="L143" s="779">
        <f>(Q32/$R32*100*($E32/365))+(Q33/$R33*100*($E33/365))</f>
        <v>88.28125</v>
      </c>
      <c r="M143" s="779"/>
      <c r="N143" s="810">
        <f t="shared" si="26"/>
        <v>100</v>
      </c>
      <c r="O143" s="840"/>
      <c r="R143" s="1">
        <v>1971</v>
      </c>
      <c r="S143" s="7">
        <f>(O32*($E32/365))+(O33*($E33/365))</f>
        <v>6</v>
      </c>
      <c r="T143" s="7">
        <f>(P32*($E32/365))+(P33*($E33/365))</f>
        <v>0</v>
      </c>
      <c r="U143" s="7">
        <f>(Q32*($E32/365))+(Q33*($E33/365))</f>
        <v>45.2</v>
      </c>
      <c r="V143" s="12"/>
      <c r="W143" s="14">
        <f t="shared" si="25"/>
        <v>51.2</v>
      </c>
      <c r="Y143" s="7"/>
    </row>
    <row r="144" spans="1:30" x14ac:dyDescent="0.15">
      <c r="A144" s="1">
        <v>1972</v>
      </c>
      <c r="B144" s="7">
        <f>(K34*($E34/366))+(K35*($E35/366))+(K36*($E36/366))</f>
        <v>19.169323011536129</v>
      </c>
      <c r="C144" s="7">
        <f>(L34*($E34/366))+(L35*($E35/366))+(L36*($E36/366))</f>
        <v>0</v>
      </c>
      <c r="D144" s="7">
        <f>(M34*($E34/366))+(M35*($E35/366))+(M36*($E36/366))</f>
        <v>78.491196114146945</v>
      </c>
      <c r="E144" s="40">
        <f t="shared" si="24"/>
        <v>97.660519125683066</v>
      </c>
      <c r="G144" s="1">
        <v>1972</v>
      </c>
      <c r="H144" s="779">
        <f>(O34/$R34*100*($E34/366))+(O35/$R35*100*($E35/366))+(O36/$R36*100*($E36/366))</f>
        <v>11.879224639364242</v>
      </c>
      <c r="I144" s="779"/>
      <c r="J144" s="779">
        <f>(P34/$R34*100*($E34/366))+(P35/$R35*100*($E35/366))+(P36/$R36*100*($E36/366))</f>
        <v>0</v>
      </c>
      <c r="K144" s="779"/>
      <c r="L144" s="779">
        <f>(Q34/$R34*100*($E34/366))+(Q35/$R35*100*($E35/366))+(Q36/$R36*100*($E36/366))</f>
        <v>88.120775360635747</v>
      </c>
      <c r="M144" s="779"/>
      <c r="N144" s="810">
        <f t="shared" si="26"/>
        <v>99.999999999999986</v>
      </c>
      <c r="O144" s="840"/>
      <c r="R144" s="1">
        <v>1972</v>
      </c>
      <c r="S144" s="7">
        <f>(O34*($E34/366))+(O35*($E35/366))+(O36*($E36/366))</f>
        <v>6.1068306010928959</v>
      </c>
      <c r="T144" s="7">
        <f>(P34*($E34/366))+(P35*($E35/366))+(P36*($E36/366))</f>
        <v>0</v>
      </c>
      <c r="U144" s="7">
        <f>(Q34*($E34/366))+(Q35*($E35/366))+(Q36*($E36/366))</f>
        <v>45.255737704918033</v>
      </c>
      <c r="V144" s="12"/>
      <c r="W144" s="14">
        <f t="shared" si="25"/>
        <v>51.362568306010928</v>
      </c>
      <c r="Y144" s="7"/>
    </row>
    <row r="145" spans="1:25" x14ac:dyDescent="0.15">
      <c r="A145" s="1">
        <v>1973</v>
      </c>
      <c r="B145" s="7">
        <f>(K37*($E37/365))+(K38*($E38/365))</f>
        <v>27.777777777777779</v>
      </c>
      <c r="C145" s="7">
        <f>(L37*($E37/365))+(L38*($E38/365))</f>
        <v>0</v>
      </c>
      <c r="D145" s="7">
        <f>(M37*($E37/365))+(M38*($E38/365))</f>
        <v>72.222222222222214</v>
      </c>
      <c r="E145" s="40">
        <f t="shared" si="24"/>
        <v>100</v>
      </c>
      <c r="G145" s="1">
        <v>1973</v>
      </c>
      <c r="H145" s="779">
        <f>(O37/$R37*100*($E37/365))+(O38/$R38*100*($E38/365))</f>
        <v>15.173674588665447</v>
      </c>
      <c r="I145" s="779"/>
      <c r="J145" s="779">
        <f>(P37/$R37*100*($E37/365))+(P38/$R38*100*($E38/365))</f>
        <v>0</v>
      </c>
      <c r="K145" s="779"/>
      <c r="L145" s="779">
        <f>(Q37/$R37*100*($E37/365))+(Q38/$R38*100*($E38/365))</f>
        <v>84.826325411334551</v>
      </c>
      <c r="M145" s="779"/>
      <c r="N145" s="810">
        <f t="shared" si="26"/>
        <v>100</v>
      </c>
      <c r="O145" s="840"/>
      <c r="R145" s="1">
        <v>1973</v>
      </c>
      <c r="S145" s="7">
        <f>(O37*($E37/365))+(O38*($E38/365))</f>
        <v>8.3000000000000007</v>
      </c>
      <c r="T145" s="7">
        <f>(P37*($E37/365))+(P38*($E38/365))</f>
        <v>0</v>
      </c>
      <c r="U145" s="7">
        <f>(Q37*($E37/365))+(Q38*($E38/365))</f>
        <v>46.4</v>
      </c>
      <c r="V145" s="12"/>
      <c r="W145" s="14">
        <f t="shared" si="25"/>
        <v>54.7</v>
      </c>
      <c r="Y145" s="7"/>
    </row>
    <row r="146" spans="1:25" x14ac:dyDescent="0.15">
      <c r="A146" s="1">
        <v>1974</v>
      </c>
      <c r="B146" s="7">
        <f>(K39*($E39/365))+(K40*($E40/365))</f>
        <v>26.027397260273972</v>
      </c>
      <c r="C146" s="7">
        <f>(L39*($E39/365))+(L40*($E40/365))</f>
        <v>0</v>
      </c>
      <c r="D146" s="7">
        <f>(M39*($E39/365))+(M40*($E40/365))</f>
        <v>73.972602739726028</v>
      </c>
      <c r="E146" s="40">
        <f t="shared" si="24"/>
        <v>100</v>
      </c>
      <c r="G146" s="1">
        <v>1974</v>
      </c>
      <c r="H146" s="779">
        <f>(O39/$R39*100*($E39/365))+(O40/$R40*100*($E40/365))</f>
        <v>15.173674588665445</v>
      </c>
      <c r="I146" s="779"/>
      <c r="J146" s="779">
        <f>(P39/$R39*100*($E39/365))+(P40/$R40*100*($E40/365))</f>
        <v>0</v>
      </c>
      <c r="K146" s="779"/>
      <c r="L146" s="779">
        <f>(Q39/$R39*100*($E39/365))+(Q40/$R40*100*($E40/365))</f>
        <v>84.826325411334551</v>
      </c>
      <c r="M146" s="779"/>
      <c r="N146" s="810">
        <f t="shared" si="26"/>
        <v>100</v>
      </c>
      <c r="O146" s="840"/>
      <c r="R146" s="1">
        <v>1974</v>
      </c>
      <c r="S146" s="7">
        <f>(O39*($E39/365))+(O40*($E40/365))</f>
        <v>8.3000000000000007</v>
      </c>
      <c r="T146" s="7">
        <f>(P39*($E39/365))+(P40*($E40/365))</f>
        <v>0</v>
      </c>
      <c r="U146" s="7">
        <f>(Q39*($E39/365))+(Q40*($E40/365))</f>
        <v>46.4</v>
      </c>
      <c r="V146" s="12"/>
      <c r="W146" s="14">
        <f t="shared" si="25"/>
        <v>54.7</v>
      </c>
      <c r="Y146" s="7"/>
    </row>
    <row r="147" spans="1:25" x14ac:dyDescent="0.15">
      <c r="A147" s="1">
        <v>1975</v>
      </c>
      <c r="B147" s="7">
        <f>(K41*($E41/365))+(K42*($E42/365))</f>
        <v>25</v>
      </c>
      <c r="C147" s="7">
        <f>(L41*($E41/365))+(L42*($E42/365))</f>
        <v>0</v>
      </c>
      <c r="D147" s="7">
        <f>(M41*($E41/365))+(M42*($E42/365))</f>
        <v>75</v>
      </c>
      <c r="E147" s="40">
        <f t="shared" si="24"/>
        <v>100</v>
      </c>
      <c r="G147" s="1">
        <v>1975</v>
      </c>
      <c r="H147" s="779">
        <f>(O41/$R41*100*($E41/365))+(O42/$R42*100*($E42/365))</f>
        <v>15.173674588665447</v>
      </c>
      <c r="I147" s="779"/>
      <c r="J147" s="779">
        <f>(P41/$R41*100*($E41/365))+(P42/$R42*100*($E42/365))</f>
        <v>0</v>
      </c>
      <c r="K147" s="779"/>
      <c r="L147" s="779">
        <f>(Q41/$R41*100*($E41/365))+(Q42/$R42*100*($E42/365))</f>
        <v>84.826325411334551</v>
      </c>
      <c r="M147" s="779"/>
      <c r="N147" s="810">
        <f t="shared" si="26"/>
        <v>100</v>
      </c>
      <c r="O147" s="840"/>
      <c r="R147" s="1">
        <v>1975</v>
      </c>
      <c r="S147" s="7">
        <f>(O41*($E41/365))+(O42*($E42/365))</f>
        <v>8.3000000000000007</v>
      </c>
      <c r="T147" s="7">
        <f>(P41*($E41/365))+(P42*($E42/365))</f>
        <v>0</v>
      </c>
      <c r="U147" s="7">
        <f>(Q41*($E41/365))+(Q42*($E42/365))</f>
        <v>46.4</v>
      </c>
      <c r="V147" s="12"/>
      <c r="W147" s="14">
        <f t="shared" si="25"/>
        <v>54.7</v>
      </c>
      <c r="Y147" s="7"/>
    </row>
    <row r="148" spans="1:25" x14ac:dyDescent="0.15">
      <c r="A148" s="1">
        <v>1976</v>
      </c>
      <c r="B148" s="7">
        <f>(K43*($E43/366))+(K44*($E44/366))</f>
        <v>25</v>
      </c>
      <c r="C148" s="7">
        <f>(L43*($E43/366))+(L44*($E44/366))</f>
        <v>0</v>
      </c>
      <c r="D148" s="7">
        <f>(M43*($E43/366))+(M44*($E44/366))</f>
        <v>74.999999999999986</v>
      </c>
      <c r="E148" s="40">
        <f t="shared" si="24"/>
        <v>99.999999999999986</v>
      </c>
      <c r="G148" s="1">
        <v>1976</v>
      </c>
      <c r="H148" s="779">
        <f>(O43/$R43*100*($E43/366))+(O44/$R44*100*($E44/366))</f>
        <v>15.188376406496104</v>
      </c>
      <c r="I148" s="779"/>
      <c r="J148" s="779">
        <f>(P43/$R43*100*($E43/366))+(P44/$R44*100*($E44/366))</f>
        <v>0</v>
      </c>
      <c r="K148" s="779"/>
      <c r="L148" s="779">
        <f>(Q43/$R43*100*($E43/366))+(Q44/$R44*100*($E44/366))</f>
        <v>84.811623593503882</v>
      </c>
      <c r="M148" s="779"/>
      <c r="N148" s="810">
        <f t="shared" si="26"/>
        <v>99.999999999999986</v>
      </c>
      <c r="O148" s="840"/>
      <c r="R148" s="1">
        <v>1976</v>
      </c>
      <c r="S148" s="7">
        <f>(O43*($E43/366))+(O44*($E44/366))</f>
        <v>8.2814207650273222</v>
      </c>
      <c r="T148" s="7">
        <f>(P43*($E43/366))+(P44*($E44/366))</f>
        <v>0</v>
      </c>
      <c r="U148" s="7">
        <f>(Q43*($E43/366))+(Q44*($E44/366))</f>
        <v>46.246721311475405</v>
      </c>
      <c r="V148" s="12"/>
      <c r="W148" s="14">
        <f t="shared" si="25"/>
        <v>54.528142076502725</v>
      </c>
      <c r="Y148" s="7"/>
    </row>
    <row r="149" spans="1:25" x14ac:dyDescent="0.15">
      <c r="A149" s="1">
        <v>1977</v>
      </c>
      <c r="B149" s="7">
        <f>(K45*($E45/365))+(K46*($E46/365))</f>
        <v>25</v>
      </c>
      <c r="C149" s="7">
        <f>(L45*($E45/365))+(L46*($E46/365))</f>
        <v>0</v>
      </c>
      <c r="D149" s="7">
        <f>(M45*($E45/365))+(M46*($E46/365))</f>
        <v>75</v>
      </c>
      <c r="E149" s="40">
        <f t="shared" si="24"/>
        <v>100</v>
      </c>
      <c r="G149" s="1">
        <v>1977</v>
      </c>
      <c r="H149" s="779">
        <f>(O45/$R45*100*($E45/365))+(O46/$R46*100*($E46/365))</f>
        <v>15.490196078431373</v>
      </c>
      <c r="I149" s="779"/>
      <c r="J149" s="779">
        <f>(P45/$R45*100*($E45/365))+(P46/$R46*100*($E46/365))</f>
        <v>0</v>
      </c>
      <c r="K149" s="779"/>
      <c r="L149" s="779">
        <f>(Q45/$R45*100*($E45/365))+(Q46/$R46*100*($E46/365))</f>
        <v>84.509803921568633</v>
      </c>
      <c r="M149" s="779"/>
      <c r="N149" s="810">
        <f t="shared" si="26"/>
        <v>100</v>
      </c>
      <c r="O149" s="840"/>
      <c r="R149" s="1">
        <v>1977</v>
      </c>
      <c r="S149" s="7">
        <f>(O45*($E45/365))+(O46*($E46/365))</f>
        <v>7.9</v>
      </c>
      <c r="T149" s="7">
        <f>(P45*($E45/365))+(P46*($E46/365))</f>
        <v>0</v>
      </c>
      <c r="U149" s="7">
        <f>(Q45*($E45/365))+(Q46*($E46/365))</f>
        <v>43.1</v>
      </c>
      <c r="V149" s="12"/>
      <c r="W149" s="14">
        <f t="shared" si="25"/>
        <v>51</v>
      </c>
      <c r="Y149" s="7"/>
    </row>
    <row r="150" spans="1:25" x14ac:dyDescent="0.15">
      <c r="A150" s="1">
        <v>1978</v>
      </c>
      <c r="B150" s="7">
        <f>(K47*($E47/365))+(K48*($E48/365))</f>
        <v>25</v>
      </c>
      <c r="C150" s="7">
        <f>(L47*($E47/365))+(L48*($E48/365))</f>
        <v>0</v>
      </c>
      <c r="D150" s="7">
        <f>(M47*($E47/365))+(M48*($E48/365))</f>
        <v>75</v>
      </c>
      <c r="E150" s="40">
        <f t="shared" si="24"/>
        <v>100</v>
      </c>
      <c r="G150" s="1">
        <v>1978</v>
      </c>
      <c r="H150" s="779">
        <f>(O47/$R47*100*($E47/365))+(O48/$R48*100*($E48/365))</f>
        <v>15.490196078431373</v>
      </c>
      <c r="I150" s="779"/>
      <c r="J150" s="779">
        <f>(P47/$R47*100*($E47/365))+(P48/$R48*100*($E48/365))</f>
        <v>0</v>
      </c>
      <c r="K150" s="779"/>
      <c r="L150" s="779">
        <f>(Q47/$R47*100*($E47/365))+(Q48/$R48*100*($E48/365))</f>
        <v>84.509803921568633</v>
      </c>
      <c r="M150" s="779"/>
      <c r="N150" s="810">
        <f t="shared" si="26"/>
        <v>100</v>
      </c>
      <c r="O150" s="840"/>
      <c r="R150" s="1">
        <v>1978</v>
      </c>
      <c r="S150" s="7">
        <f>(O47*($E47/365))+(O48*($E48/365))</f>
        <v>7.9</v>
      </c>
      <c r="T150" s="7">
        <f>(P47*($E47/365))+(P48*($E48/365))</f>
        <v>0</v>
      </c>
      <c r="U150" s="7">
        <f>(Q47*($E47/365))+(Q48*($E48/365))</f>
        <v>43.1</v>
      </c>
      <c r="V150" s="12"/>
      <c r="W150" s="14">
        <f t="shared" si="25"/>
        <v>51</v>
      </c>
      <c r="Y150" s="7"/>
    </row>
    <row r="151" spans="1:25" x14ac:dyDescent="0.15">
      <c r="A151" s="1">
        <v>1979</v>
      </c>
      <c r="B151" s="7">
        <f>(K49*($E49/365))+(K50*($E50/365))</f>
        <v>25</v>
      </c>
      <c r="C151" s="7">
        <f>(L49*($E49/365))+(L50*($E50/365))</f>
        <v>0</v>
      </c>
      <c r="D151" s="7">
        <f>(M49*($E49/365))+(M50*($E50/365))</f>
        <v>75</v>
      </c>
      <c r="E151" s="40">
        <f t="shared" si="24"/>
        <v>100</v>
      </c>
      <c r="G151" s="1">
        <v>1979</v>
      </c>
      <c r="H151" s="779">
        <f>(O49/$R49*100*($E49/365))+(O50/$R50*100*($E50/365))</f>
        <v>15.490196078431373</v>
      </c>
      <c r="I151" s="779"/>
      <c r="J151" s="779">
        <f>(P49/$R49*100*($E49/365))+(P50/$R50*100*($E50/365))</f>
        <v>0</v>
      </c>
      <c r="K151" s="779"/>
      <c r="L151" s="779">
        <f>(Q49/$R49*100*($E49/365))+(Q50/$R50*100*($E50/365))</f>
        <v>84.509803921568633</v>
      </c>
      <c r="M151" s="779"/>
      <c r="N151" s="810">
        <f t="shared" si="26"/>
        <v>100</v>
      </c>
      <c r="O151" s="840"/>
      <c r="R151" s="1">
        <v>1979</v>
      </c>
      <c r="S151" s="7">
        <f>(O49*($E49/365))+(O50*($E50/365))</f>
        <v>7.9</v>
      </c>
      <c r="T151" s="7">
        <f>(P49*($E49/365))+(P50*($E50/365))</f>
        <v>0</v>
      </c>
      <c r="U151" s="7">
        <f>(Q49*($E49/365))+(Q50*($E50/365))</f>
        <v>43.1</v>
      </c>
      <c r="V151" s="12"/>
      <c r="W151" s="14">
        <f t="shared" si="25"/>
        <v>51</v>
      </c>
      <c r="Y151" s="7"/>
    </row>
    <row r="152" spans="1:25" x14ac:dyDescent="0.15">
      <c r="A152" s="1">
        <v>1980</v>
      </c>
      <c r="B152" s="7">
        <f>(K51*($E51/366))+(K52*($E52/366))</f>
        <v>24.766955962712956</v>
      </c>
      <c r="C152" s="7">
        <f>(L51*($E51/366))+(L52*($E52/366))</f>
        <v>0</v>
      </c>
      <c r="D152" s="7">
        <f>(M51*($E51/366))+(M52*($E52/366))</f>
        <v>75.233044037287044</v>
      </c>
      <c r="E152" s="40">
        <f t="shared" si="24"/>
        <v>100</v>
      </c>
      <c r="G152" s="1">
        <v>1980</v>
      </c>
      <c r="H152" s="779">
        <f>(O51/$R51*100*($E51/366))+(O52/$R52*100*($E52/366))</f>
        <v>16.141012100510657</v>
      </c>
      <c r="I152" s="779"/>
      <c r="J152" s="779">
        <f>(P51/$R51*100*($E51/366))+(P52/$R52*100*($E52/366))</f>
        <v>0</v>
      </c>
      <c r="K152" s="779"/>
      <c r="L152" s="779">
        <f>(Q51/$R51*100*($E51/366))+(Q52/$R52*100*($E52/366))</f>
        <v>83.858987899489364</v>
      </c>
      <c r="M152" s="779"/>
      <c r="N152" s="810">
        <f t="shared" si="26"/>
        <v>100.00000000000003</v>
      </c>
      <c r="O152" s="840"/>
      <c r="R152" s="1">
        <v>1980</v>
      </c>
      <c r="S152" s="7">
        <f>(O51*($E51/366))+(O52*($E52/366))</f>
        <v>8.3437158469945363</v>
      </c>
      <c r="T152" s="7">
        <f>(P51*($E51/366))+(P52*($E52/366))</f>
        <v>0</v>
      </c>
      <c r="U152" s="7">
        <f>(Q51*($E51/366))+(Q52*($E52/366))</f>
        <v>43.226775956284158</v>
      </c>
      <c r="V152" s="12"/>
      <c r="W152" s="14">
        <f t="shared" si="25"/>
        <v>51.570491803278692</v>
      </c>
      <c r="Y152" s="7"/>
    </row>
    <row r="153" spans="1:25" x14ac:dyDescent="0.15">
      <c r="A153" s="1">
        <v>1981</v>
      </c>
      <c r="B153" s="7">
        <f>(K53*($E53/365))+(K54*($E54/365))</f>
        <v>23.52941176470588</v>
      </c>
      <c r="C153" s="7">
        <f>(L53*($E53/365))+(L54*($E54/365))</f>
        <v>0</v>
      </c>
      <c r="D153" s="7">
        <f>(M53*($E53/365))+(M54*($E54/365))</f>
        <v>76.470588235294116</v>
      </c>
      <c r="E153" s="40">
        <f t="shared" si="24"/>
        <v>100</v>
      </c>
      <c r="G153" s="1">
        <v>1981</v>
      </c>
      <c r="H153" s="779">
        <f>(O53/$R53*100*($E53/365))+(O54/$R54*100*($E54/365))</f>
        <v>19.597069597069599</v>
      </c>
      <c r="I153" s="779"/>
      <c r="J153" s="779">
        <f>(P53/$R53*100*($E53/365))+(P54/$R54*100*($E54/365))</f>
        <v>0</v>
      </c>
      <c r="K153" s="779"/>
      <c r="L153" s="779">
        <f>(Q53/$R53*100*($E53/365))+(Q54/$R54*100*($E54/365))</f>
        <v>80.402930402930409</v>
      </c>
      <c r="M153" s="779"/>
      <c r="N153" s="810">
        <f t="shared" si="26"/>
        <v>100</v>
      </c>
      <c r="O153" s="840"/>
      <c r="R153" s="1">
        <v>1981</v>
      </c>
      <c r="S153" s="7">
        <f>(O53*($E53/365))+(O54*($E54/365))</f>
        <v>10.7</v>
      </c>
      <c r="T153" s="7">
        <f>(P53*($E53/365))+(P54*($E54/365))</f>
        <v>0</v>
      </c>
      <c r="U153" s="7">
        <f>(Q53*($E53/365))+(Q54*($E54/365))</f>
        <v>43.9</v>
      </c>
      <c r="V153" s="12"/>
      <c r="W153" s="14">
        <f t="shared" si="25"/>
        <v>54.599999999999994</v>
      </c>
      <c r="Y153" s="7"/>
    </row>
    <row r="154" spans="1:25" x14ac:dyDescent="0.15">
      <c r="A154" s="1">
        <v>1982</v>
      </c>
      <c r="B154" s="7">
        <f>(K55*($E55/365))+(K56*($E56/365))+(K57*($E57/365))</f>
        <v>22.433521353746976</v>
      </c>
      <c r="C154" s="7">
        <f>(L55*($E55/365))+(L56*($E56/365))+(L57*($E57/365))</f>
        <v>18.646253021756646</v>
      </c>
      <c r="D154" s="7">
        <f>(M55*($E55/365))+(M56*($E56/365))+(M57*($E57/365))</f>
        <v>58.920225624496375</v>
      </c>
      <c r="E154" s="40">
        <f t="shared" si="24"/>
        <v>100</v>
      </c>
      <c r="G154" s="1">
        <v>1982</v>
      </c>
      <c r="H154" s="779">
        <f>(O55/$R55*100*($E55/365))+(O56/$R56*100*($E56/365))+(O57/$R57*100*($E57/365))</f>
        <v>18.548287702482604</v>
      </c>
      <c r="I154" s="779"/>
      <c r="J154" s="779">
        <f>(P55/$R55*100*($E55/365))+(P56/$R56*100*($E56/365))+(P57/$R57*100*($E57/365))</f>
        <v>19.741139765027054</v>
      </c>
      <c r="K154" s="779"/>
      <c r="L154" s="779">
        <f>(Q55/$R55*100*($E55/365))+(Q56/$R56*100*($E56/365))+(Q57/$R57*100*($E57/365))</f>
        <v>61.710572532490346</v>
      </c>
      <c r="M154" s="779"/>
      <c r="N154" s="810">
        <f t="shared" si="26"/>
        <v>100</v>
      </c>
      <c r="O154" s="840"/>
      <c r="R154" s="1">
        <v>1982</v>
      </c>
      <c r="S154" s="7">
        <f>(O55*($E55/365))+(O56*($E56/365))+(O57*($E57/365))</f>
        <v>10.201643835616437</v>
      </c>
      <c r="T154" s="7">
        <f>(P55*($E55/365))+(P56*($E56/365))+(P57*($E57/365))</f>
        <v>11.094520547945205</v>
      </c>
      <c r="U154" s="7">
        <f>(Q55*($E55/365))+(Q56*($E56/365))+(Q57*($E57/365))</f>
        <v>33.195616438356161</v>
      </c>
      <c r="V154" s="12"/>
      <c r="W154" s="14">
        <f t="shared" si="25"/>
        <v>54.4917808219178</v>
      </c>
      <c r="Y154" s="7"/>
    </row>
    <row r="155" spans="1:25" x14ac:dyDescent="0.15">
      <c r="A155" s="1">
        <v>1983</v>
      </c>
      <c r="B155" s="7">
        <f>(K58*($E58/365))+(K59*($E59/365))</f>
        <v>19.065269943593876</v>
      </c>
      <c r="C155" s="7">
        <f>(L58*($E58/365))+(L59*($E59/365))</f>
        <v>80.93473005640611</v>
      </c>
      <c r="D155" s="7">
        <f>(M58*($E58/365))+(M59*($E59/365))</f>
        <v>0</v>
      </c>
      <c r="E155" s="40">
        <f t="shared" si="24"/>
        <v>99.999999999999986</v>
      </c>
      <c r="G155" s="1">
        <v>1983</v>
      </c>
      <c r="H155" s="779">
        <f>(O58/$R58*100*($E58/365))+(O59/$R59*100*($E59/365))</f>
        <v>13.838553643838411</v>
      </c>
      <c r="I155" s="779"/>
      <c r="J155" s="779">
        <f>(P58/$R58*100*($E58/365))+(P59/$R59*100*($E59/365))</f>
        <v>86.161446356161605</v>
      </c>
      <c r="K155" s="779"/>
      <c r="L155" s="779">
        <f>(Q58/$R58*100*($E58/365))+(Q59/$R59*100*($E59/365))</f>
        <v>0</v>
      </c>
      <c r="M155" s="779"/>
      <c r="N155" s="810">
        <f t="shared" si="26"/>
        <v>100.00000000000001</v>
      </c>
      <c r="O155" s="840"/>
      <c r="R155" s="1">
        <v>1983</v>
      </c>
      <c r="S155" s="7">
        <f>(O58*($E58/365))+(O59*($E59/365))</f>
        <v>7.7402739726027399</v>
      </c>
      <c r="T155" s="7">
        <f>(P58*($E58/365))+(P59*($E59/365))</f>
        <v>48.156164383561638</v>
      </c>
      <c r="U155" s="7">
        <f>(Q58*($E58/365))+(Q59*($E59/365))</f>
        <v>0</v>
      </c>
      <c r="V155" s="12"/>
      <c r="W155" s="14">
        <f t="shared" si="25"/>
        <v>55.896438356164381</v>
      </c>
      <c r="Y155" s="7"/>
    </row>
    <row r="156" spans="1:25" x14ac:dyDescent="0.15">
      <c r="A156" s="1">
        <v>1984</v>
      </c>
      <c r="B156" s="7">
        <f>(K60*($E60/366))+(K61*($E61/366))</f>
        <v>17.647058823529413</v>
      </c>
      <c r="C156" s="7">
        <f>(L60*($E60/366))+(L61*($E61/366))</f>
        <v>82.35294117647058</v>
      </c>
      <c r="D156" s="7">
        <f>(M60*($E60/366))+(M61*($E61/366))</f>
        <v>0</v>
      </c>
      <c r="E156" s="40">
        <f t="shared" si="24"/>
        <v>100</v>
      </c>
      <c r="G156" s="1">
        <v>1984</v>
      </c>
      <c r="H156" s="779">
        <f>(O60/$R60*100*($E60/366))+(O61/$R61*100*($E61/366))</f>
        <v>12.186379928315413</v>
      </c>
      <c r="I156" s="779"/>
      <c r="J156" s="779">
        <f>(P60/$R60*100*($E60/366))+(P61/$R61*100*($E61/366))</f>
        <v>87.813620071684596</v>
      </c>
      <c r="K156" s="779"/>
      <c r="L156" s="779">
        <f>(Q60/$R60*100*($E60/366))+(Q61/$R61*100*($E61/366))</f>
        <v>0</v>
      </c>
      <c r="M156" s="779"/>
      <c r="N156" s="810">
        <f t="shared" si="26"/>
        <v>100.00000000000001</v>
      </c>
      <c r="O156" s="840"/>
      <c r="R156" s="1">
        <v>1984</v>
      </c>
      <c r="S156" s="7">
        <f>(O60*($E60/366))+(O61*($E61/366))</f>
        <v>6.8</v>
      </c>
      <c r="T156" s="7">
        <f>(P60*($E60/366))+(P61*($E61/366))</f>
        <v>49</v>
      </c>
      <c r="U156" s="7">
        <f>(Q60*($E60/366))+(Q61*($E61/366))</f>
        <v>0</v>
      </c>
      <c r="V156" s="12"/>
      <c r="W156" s="14">
        <f t="shared" si="25"/>
        <v>55.8</v>
      </c>
      <c r="Y156" s="7"/>
    </row>
    <row r="157" spans="1:25" x14ac:dyDescent="0.15">
      <c r="A157" s="1">
        <v>1985</v>
      </c>
      <c r="B157" s="7">
        <f>(K62*($E62/365))+(K63*($E63/365))</f>
        <v>17.647058823529413</v>
      </c>
      <c r="C157" s="7">
        <f>(L62*($E62/365))+(L63*($E63/365))</f>
        <v>82.35294117647058</v>
      </c>
      <c r="D157" s="7">
        <f>(M62*($E62/365))+(M63*($E63/365))</f>
        <v>0</v>
      </c>
      <c r="E157" s="40">
        <f t="shared" si="24"/>
        <v>100</v>
      </c>
      <c r="G157" s="1">
        <v>1985</v>
      </c>
      <c r="H157" s="779">
        <f>(O62/$R62*100*($E62/365))+(O63/$R63*100*($E63/365))</f>
        <v>12.186379928315413</v>
      </c>
      <c r="I157" s="779"/>
      <c r="J157" s="779">
        <f>(P62/$R62*100*($E62/365))+(P63/$R63*100*($E63/365))</f>
        <v>87.813620071684596</v>
      </c>
      <c r="K157" s="779"/>
      <c r="L157" s="779">
        <f>(Q62/$R62*100*($E62/365))+(Q63/$R63*100*($E63/365))</f>
        <v>0</v>
      </c>
      <c r="M157" s="779"/>
      <c r="N157" s="810">
        <f t="shared" si="26"/>
        <v>100.00000000000001</v>
      </c>
      <c r="O157" s="840"/>
      <c r="R157" s="1">
        <v>1985</v>
      </c>
      <c r="S157" s="7">
        <f>(O62*($E62/365))+(O63*($E63/365))</f>
        <v>6.8</v>
      </c>
      <c r="T157" s="7">
        <f>(P62*($E62/365))+(P63*($E63/365))</f>
        <v>49</v>
      </c>
      <c r="U157" s="7">
        <f>(Q62*($E62/365))+(Q63*($E63/365))</f>
        <v>0</v>
      </c>
      <c r="V157" s="12"/>
      <c r="W157" s="14">
        <f t="shared" si="25"/>
        <v>55.8</v>
      </c>
      <c r="Y157" s="7"/>
    </row>
    <row r="158" spans="1:25" ht="9" customHeight="1" x14ac:dyDescent="0.15">
      <c r="A158" s="1">
        <v>1986</v>
      </c>
      <c r="B158" s="7">
        <f>(K64*($E64/365))+(K65*($E65/365))</f>
        <v>17.647058823529413</v>
      </c>
      <c r="C158" s="7">
        <f>(L64*($E64/365))+(L65*($E65/365))</f>
        <v>82.35294117647058</v>
      </c>
      <c r="D158" s="7">
        <f>(M64*($E64/365))+(M65*($E65/365))</f>
        <v>0</v>
      </c>
      <c r="E158" s="40">
        <f t="shared" si="24"/>
        <v>100</v>
      </c>
      <c r="G158" s="1">
        <v>1986</v>
      </c>
      <c r="H158" s="779">
        <f>(O64/$R64*100*($E64/365))+(O65/$R65*100*($E65/365))</f>
        <v>12.186379928315413</v>
      </c>
      <c r="I158" s="779"/>
      <c r="J158" s="779">
        <f>(P64/$R64*100*($E64/365))+(P65/$R65*100*($E65/365))</f>
        <v>87.813620071684596</v>
      </c>
      <c r="K158" s="779"/>
      <c r="L158" s="779">
        <f>(Q64/$R64*100*($E64/365))+(Q65/$R65*100*($E65/365))</f>
        <v>0</v>
      </c>
      <c r="M158" s="779"/>
      <c r="N158" s="810">
        <f t="shared" si="26"/>
        <v>100.00000000000001</v>
      </c>
      <c r="O158" s="840"/>
      <c r="R158" s="1">
        <v>1986</v>
      </c>
      <c r="S158" s="7">
        <f>(O64*($E64/365))+(O65*($E65/365))</f>
        <v>6.8</v>
      </c>
      <c r="T158" s="7">
        <f>(P64*($E64/365))+(P65*($E65/365))</f>
        <v>49</v>
      </c>
      <c r="U158" s="7">
        <f>(Q64*($E64/365))+(Q65*($E65/365))</f>
        <v>0</v>
      </c>
      <c r="V158" s="12"/>
      <c r="W158" s="14">
        <f t="shared" si="25"/>
        <v>55.8</v>
      </c>
      <c r="Y158" s="7"/>
    </row>
    <row r="159" spans="1:25" ht="9" customHeight="1" x14ac:dyDescent="0.15">
      <c r="A159" s="1">
        <v>1987</v>
      </c>
      <c r="B159" s="7">
        <f>(K66*($E66/365))+(K67*($E67/365))</f>
        <v>20.408838373128631</v>
      </c>
      <c r="C159" s="7">
        <f>(L66*($E66/365))+(L67*($E67/365))</f>
        <v>79.591161626871369</v>
      </c>
      <c r="D159" s="7">
        <f>(M66*($E66/365))+(M67*($E67/365))</f>
        <v>0</v>
      </c>
      <c r="E159" s="40">
        <f t="shared" si="24"/>
        <v>100</v>
      </c>
      <c r="G159" s="1">
        <v>1987</v>
      </c>
      <c r="H159" s="779">
        <f>(O66/$R66*100*($E66/365))+(O67/$R67*100*($E67/365))</f>
        <v>16.218704122525097</v>
      </c>
      <c r="I159" s="779"/>
      <c r="J159" s="779">
        <f>(P66/$R66*100*($E66/365))+(P67/$R67*100*($E67/365))</f>
        <v>83.781295877474903</v>
      </c>
      <c r="K159" s="779"/>
      <c r="L159" s="779">
        <f>(Q66/$R66*100*($E66/365))+(Q67/$R67*100*($E67/365))</f>
        <v>0</v>
      </c>
      <c r="M159" s="779"/>
      <c r="N159" s="810">
        <f t="shared" si="26"/>
        <v>100</v>
      </c>
      <c r="O159" s="840"/>
      <c r="R159" s="1">
        <v>1987</v>
      </c>
      <c r="S159" s="7">
        <f>(O66*($E66/365))+(O67*($E67/365))</f>
        <v>8.8273972602739725</v>
      </c>
      <c r="T159" s="7">
        <f>(P66*($E66/365))+(P67*($E67/365))</f>
        <v>45.67506849315069</v>
      </c>
      <c r="U159" s="7">
        <f>(Q66*($E66/365))+(Q67*($E67/365))</f>
        <v>0</v>
      </c>
      <c r="V159" s="12"/>
      <c r="W159" s="14">
        <f t="shared" si="25"/>
        <v>54.502465753424659</v>
      </c>
      <c r="Y159" s="7"/>
    </row>
    <row r="160" spans="1:25" ht="9" customHeight="1" x14ac:dyDescent="0.15">
      <c r="A160" s="1">
        <v>1988</v>
      </c>
      <c r="B160" s="7">
        <f>(K68*($E68/366))+(K69*($E69/366))</f>
        <v>21.052631578947366</v>
      </c>
      <c r="C160" s="7">
        <f>(L68*($E68/366))+(L69*($E69/366))</f>
        <v>78.94736842105263</v>
      </c>
      <c r="D160" s="7">
        <f>(M68*($E68/366))+(M69*($E69/366))</f>
        <v>0</v>
      </c>
      <c r="E160" s="40">
        <f t="shared" si="24"/>
        <v>100</v>
      </c>
      <c r="G160" s="1">
        <v>1988</v>
      </c>
      <c r="H160" s="779">
        <f>(O68/$R68*100*($E68/366))+(O69/$R69*100*($E69/366))</f>
        <v>17.158671586715869</v>
      </c>
      <c r="I160" s="779"/>
      <c r="J160" s="779">
        <f>(P68/$R68*100*($E68/366))+(P69/$R69*100*($E69/366))</f>
        <v>82.841328413284117</v>
      </c>
      <c r="K160" s="779"/>
      <c r="L160" s="779">
        <f>(Q68/$R68*100*($E68/366))+(Q69/$R69*100*($E69/366))</f>
        <v>0</v>
      </c>
      <c r="M160" s="779"/>
      <c r="N160" s="810">
        <f t="shared" si="26"/>
        <v>99.999999999999986</v>
      </c>
      <c r="O160" s="840"/>
      <c r="R160" s="1">
        <v>1988</v>
      </c>
      <c r="S160" s="7">
        <f>(O68*($E68/366))+(O69*($E69/366))</f>
        <v>9.3000000000000007</v>
      </c>
      <c r="T160" s="7">
        <f>(P68*($E68/366))+(P69*($E69/366))</f>
        <v>44.9</v>
      </c>
      <c r="U160" s="7">
        <f>(Q68*($E68/366))+(Q69*($E69/366))</f>
        <v>0</v>
      </c>
      <c r="V160" s="12"/>
      <c r="W160" s="14">
        <f t="shared" si="25"/>
        <v>54.2</v>
      </c>
      <c r="Y160" s="7"/>
    </row>
    <row r="161" spans="1:25" s="4" customFormat="1" ht="9" customHeight="1" x14ac:dyDescent="0.15">
      <c r="A161" s="4">
        <v>1989</v>
      </c>
      <c r="B161" s="11">
        <f>(K70*($E70/365))+(K71*($E71/365))</f>
        <v>20.52198990627253</v>
      </c>
      <c r="C161" s="11">
        <f>(L70*($E70/365))+(L71*($E71/365))</f>
        <v>79.478010093727477</v>
      </c>
      <c r="D161" s="11">
        <f>(M70*($E70/365))+(M71*($E71/365))</f>
        <v>0</v>
      </c>
      <c r="E161" s="41">
        <f t="shared" si="24"/>
        <v>100</v>
      </c>
      <c r="G161" s="4">
        <v>1989</v>
      </c>
      <c r="H161" s="806">
        <f>(O70/$R70*100*($E70/365))+(O71/$R71*100*($E71/365))</f>
        <v>17.158671586715869</v>
      </c>
      <c r="I161" s="806"/>
      <c r="J161" s="806">
        <f>(P70/$R70*100*($E70/365))+(P71/$R71*100*($E71/365))</f>
        <v>82.841328413284117</v>
      </c>
      <c r="K161" s="806"/>
      <c r="L161" s="806">
        <f>(Q70/$R70*100*($E70/365))+(Q71/$R71*100*($E71/365))</f>
        <v>0</v>
      </c>
      <c r="M161" s="806"/>
      <c r="N161" s="808">
        <f t="shared" si="26"/>
        <v>99.999999999999986</v>
      </c>
      <c r="O161" s="842"/>
      <c r="R161" s="4">
        <v>1989</v>
      </c>
      <c r="S161" s="11">
        <f>(O70*($E70/365))+(O71*($E71/365))</f>
        <v>9.3000000000000007</v>
      </c>
      <c r="T161" s="11">
        <f>(P70*($E70/365))+(P71*($E71/365))</f>
        <v>44.900000000000006</v>
      </c>
      <c r="U161" s="11">
        <f>(Q70*($E70/365))+(Q71*($E71/365))</f>
        <v>0</v>
      </c>
      <c r="V161" s="27"/>
      <c r="W161" s="28">
        <f t="shared" si="25"/>
        <v>54.2</v>
      </c>
      <c r="Y161" s="11"/>
    </row>
    <row r="162" spans="1:25" ht="9" customHeight="1" x14ac:dyDescent="0.15">
      <c r="A162" s="1">
        <v>1990</v>
      </c>
      <c r="B162" s="7">
        <f>(K72*($E72/365))+(K73*($E73/365))</f>
        <v>20</v>
      </c>
      <c r="C162" s="7">
        <f>(L72*($E72/365))+(L73*($E73/365))</f>
        <v>80</v>
      </c>
      <c r="D162" s="7">
        <f>(M72*($E72/365))+(M73*($E73/365))</f>
        <v>0</v>
      </c>
      <c r="E162" s="40">
        <f t="shared" si="24"/>
        <v>100</v>
      </c>
      <c r="G162" s="1">
        <v>1990</v>
      </c>
      <c r="H162" s="779">
        <f>(O72/$R72*100*($E72/365))+(O73/$R73*100*($E73/365))</f>
        <v>17.158671586715869</v>
      </c>
      <c r="I162" s="779"/>
      <c r="J162" s="779">
        <f>(P72/$R72*100*($E72/365))+(P73/$R73*100*($E73/365))</f>
        <v>82.841328413284117</v>
      </c>
      <c r="K162" s="779"/>
      <c r="L162" s="779">
        <f>(Q72/$R72*100*($E72/365))+(Q73/$R73*100*($E73/365))</f>
        <v>0</v>
      </c>
      <c r="M162" s="779"/>
      <c r="N162" s="810">
        <f t="shared" si="26"/>
        <v>99.999999999999986</v>
      </c>
      <c r="O162" s="840"/>
      <c r="R162" s="1">
        <v>1990</v>
      </c>
      <c r="S162" s="7">
        <f>(O72*($E72/365))+(O73*($E73/365))</f>
        <v>9.3000000000000007</v>
      </c>
      <c r="T162" s="7">
        <f>(P72*($E72/365))+(P73*($E73/365))</f>
        <v>44.9</v>
      </c>
      <c r="U162" s="7">
        <f>(Q72*($E72/365))+(Q73*($E73/365))</f>
        <v>0</v>
      </c>
      <c r="V162" s="12"/>
      <c r="W162" s="14">
        <f t="shared" si="25"/>
        <v>54.2</v>
      </c>
      <c r="Y162" s="7"/>
    </row>
    <row r="163" spans="1:25" ht="9" customHeight="1" x14ac:dyDescent="0.15">
      <c r="A163" s="1">
        <v>1991</v>
      </c>
      <c r="B163" s="7">
        <f>(K74*($E74/365))+(K75*($E75/365))</f>
        <v>24.767123287671229</v>
      </c>
      <c r="C163" s="7">
        <f>(L74*($E74/365))+(L75*($E75/365))</f>
        <v>75.232876712328761</v>
      </c>
      <c r="D163" s="7">
        <f>(M74*($E74/365))+(M75*($E75/365))</f>
        <v>0</v>
      </c>
      <c r="E163" s="40">
        <f t="shared" si="24"/>
        <v>99.999999999999986</v>
      </c>
      <c r="G163" s="1">
        <v>1991</v>
      </c>
      <c r="H163" s="779">
        <f>(O74/$R74*100*($E74/365))+(O75/$R75*100*($E75/365))</f>
        <v>19.677296504006911</v>
      </c>
      <c r="I163" s="779"/>
      <c r="J163" s="779">
        <f>(P74/$R74*100*($E74/365))+(P75/$R75*100*($E75/365))</f>
        <v>80.322703495993096</v>
      </c>
      <c r="K163" s="779"/>
      <c r="L163" s="779">
        <f>(Q74/$R74*100*($E74/365))+(Q75/$R75*100*($E75/365))</f>
        <v>0</v>
      </c>
      <c r="M163" s="779"/>
      <c r="N163" s="810">
        <f t="shared" si="26"/>
        <v>100</v>
      </c>
      <c r="O163" s="840"/>
      <c r="R163" s="1">
        <v>1991</v>
      </c>
      <c r="S163" s="7">
        <f>(O74*($E74/365))+(O75*($E75/365))</f>
        <v>11.778904109589041</v>
      </c>
      <c r="T163" s="7">
        <f>(P74*($E74/365))+(P75*($E75/365))</f>
        <v>48.046301369863009</v>
      </c>
      <c r="U163" s="7">
        <f>(Q74*($E74/365))+(Q75*($E75/365))</f>
        <v>0</v>
      </c>
      <c r="V163" s="12"/>
      <c r="W163" s="14">
        <f t="shared" si="25"/>
        <v>59.825205479452052</v>
      </c>
      <c r="Y163" s="7"/>
    </row>
    <row r="164" spans="1:25" ht="9" customHeight="1" x14ac:dyDescent="0.15">
      <c r="A164" s="1">
        <v>1992</v>
      </c>
      <c r="B164" s="7">
        <f>(K76*($E76/366))+(K77*($E77/366))</f>
        <v>25</v>
      </c>
      <c r="C164" s="7">
        <f>(L76*($E76/366))+(L77*($E77/366))</f>
        <v>75</v>
      </c>
      <c r="D164" s="7">
        <f>(M76*($E76/366))+(M77*($E77/366))</f>
        <v>0</v>
      </c>
      <c r="E164" s="40">
        <f t="shared" si="24"/>
        <v>100</v>
      </c>
      <c r="G164" s="1">
        <v>1992</v>
      </c>
      <c r="H164" s="779">
        <f>(O76/$R76*100*($E76/366))+(O77/$R77*100*($E77/366))</f>
        <v>19.800332778702163</v>
      </c>
      <c r="I164" s="779"/>
      <c r="J164" s="779">
        <f>(P76/$R76*100*($E76/366))+(P77/$R77*100*($E77/366))</f>
        <v>80.199667221297844</v>
      </c>
      <c r="K164" s="779"/>
      <c r="L164" s="779">
        <f>(Q76/$R76*100*($E76/366))+(Q77/$R77*100*($E77/366))</f>
        <v>0</v>
      </c>
      <c r="M164" s="779"/>
      <c r="N164" s="810">
        <f t="shared" si="26"/>
        <v>100</v>
      </c>
      <c r="O164" s="840"/>
      <c r="R164" s="1">
        <v>1992</v>
      </c>
      <c r="S164" s="7">
        <f>(O76*($E76/366))+(O77*($E77/366))</f>
        <v>11.9</v>
      </c>
      <c r="T164" s="7">
        <f>(P76*($E76/366))+(P77*($E77/366))</f>
        <v>48.2</v>
      </c>
      <c r="U164" s="7">
        <f>(Q76*($E76/366))+(Q77*($E77/366))</f>
        <v>0</v>
      </c>
      <c r="V164" s="12"/>
      <c r="W164" s="14">
        <f t="shared" si="25"/>
        <v>60.1</v>
      </c>
      <c r="Y164" s="7"/>
    </row>
    <row r="165" spans="1:25" ht="9" customHeight="1" x14ac:dyDescent="0.15">
      <c r="A165" s="1">
        <v>1993</v>
      </c>
      <c r="B165" s="7">
        <f>(K78*($E78/365))+(K79*($E79/365))</f>
        <v>25</v>
      </c>
      <c r="C165" s="7">
        <f>(L78*($E78/365))+(L79*($E79/365))</f>
        <v>75</v>
      </c>
      <c r="D165" s="7">
        <f>(M78*($E78/365))+(M79*($E79/365))</f>
        <v>0</v>
      </c>
      <c r="E165" s="40">
        <f t="shared" si="24"/>
        <v>100</v>
      </c>
      <c r="G165" s="1">
        <v>1993</v>
      </c>
      <c r="H165" s="779">
        <f>(O78/$R78*100*($E78/365))+(O79/$R79*100*($E79/365))</f>
        <v>19.800332778702163</v>
      </c>
      <c r="I165" s="779"/>
      <c r="J165" s="779">
        <f>(P78/$R78*100*($E78/365))+(P79/$R79*100*($E79/365))</f>
        <v>80.199667221297844</v>
      </c>
      <c r="K165" s="779"/>
      <c r="L165" s="779">
        <f>(Q78/$R78*100*($E78/365))+(Q79/$R79*100*($E79/365))</f>
        <v>0</v>
      </c>
      <c r="M165" s="779"/>
      <c r="N165" s="810">
        <f t="shared" si="26"/>
        <v>100</v>
      </c>
      <c r="O165" s="840"/>
      <c r="R165" s="1">
        <v>1993</v>
      </c>
      <c r="S165" s="7">
        <f>(O78*($E78/365))+(O79*($E79/365))</f>
        <v>11.9</v>
      </c>
      <c r="T165" s="7">
        <f>(P78*($E78/365))+(P79*($E79/365))</f>
        <v>48.2</v>
      </c>
      <c r="U165" s="7">
        <f>(Q78*($E78/365))+(Q79*($E79/365))</f>
        <v>0</v>
      </c>
      <c r="V165" s="12"/>
      <c r="W165" s="14">
        <f t="shared" si="25"/>
        <v>60.1</v>
      </c>
      <c r="Y165" s="7"/>
    </row>
    <row r="166" spans="1:25" ht="9" customHeight="1" x14ac:dyDescent="0.15">
      <c r="A166" s="1">
        <v>1994</v>
      </c>
      <c r="B166" s="7">
        <f>(K80*($E80/365))+(K81*($E81/365))</f>
        <v>23.972602739726025</v>
      </c>
      <c r="C166" s="7">
        <f>(L80*($E80/365))+(L81*($E81/365))</f>
        <v>76.027397260273972</v>
      </c>
      <c r="D166" s="7">
        <f>(M80*($E80/365))+(M81*($E81/365))</f>
        <v>0</v>
      </c>
      <c r="E166" s="40">
        <f t="shared" si="24"/>
        <v>100</v>
      </c>
      <c r="G166" s="1">
        <v>1994</v>
      </c>
      <c r="H166" s="779">
        <f>(O80/$R80*100*($E80/365))+(O81/$R81*100*($E81/365))</f>
        <v>19.061392505020876</v>
      </c>
      <c r="I166" s="779"/>
      <c r="J166" s="779">
        <f>(P80/$R80*100*($E80/365))+(P81/$R81*100*($E81/365))</f>
        <v>80.938607494979124</v>
      </c>
      <c r="K166" s="779"/>
      <c r="L166" s="779">
        <f>(Q80/$R80*100*($E80/365))+(Q81/$R81*100*($E81/365))</f>
        <v>0</v>
      </c>
      <c r="M166" s="779"/>
      <c r="N166" s="810">
        <f t="shared" si="26"/>
        <v>100</v>
      </c>
      <c r="O166" s="840"/>
      <c r="R166" s="1">
        <v>1994</v>
      </c>
      <c r="S166" s="7">
        <f>(O80*($E80/365))+(O81*($E81/365))</f>
        <v>11.295890410958904</v>
      </c>
      <c r="T166" s="7">
        <f>(P80*($E80/365))+(P81*($E81/365))</f>
        <v>47.645205479452052</v>
      </c>
      <c r="U166" s="7">
        <f>(Q80*($E80/365))+(Q81*($E81/365))</f>
        <v>0</v>
      </c>
      <c r="V166" s="12"/>
      <c r="W166" s="14">
        <f t="shared" si="25"/>
        <v>58.941095890410956</v>
      </c>
      <c r="Y166" s="7"/>
    </row>
    <row r="167" spans="1:25" ht="9" customHeight="1" x14ac:dyDescent="0.15">
      <c r="A167" s="1">
        <v>1995</v>
      </c>
      <c r="B167" s="7">
        <f>(K82*($E82/365))+(K83*($E83/365))</f>
        <v>16.666666666666664</v>
      </c>
      <c r="C167" s="7">
        <f>(L82*($E82/365))+(L83*($E83/365))</f>
        <v>83.333333333333343</v>
      </c>
      <c r="D167" s="7">
        <f>(M82*($E82/365))+(M83*($E83/365))</f>
        <v>0</v>
      </c>
      <c r="E167" s="40">
        <f t="shared" si="24"/>
        <v>100</v>
      </c>
      <c r="G167" s="1">
        <v>1995</v>
      </c>
      <c r="H167" s="779">
        <f>(O82/$R82*100*($E82/365))+(O83/$R83*100*($E83/365))</f>
        <v>13.80670611439842</v>
      </c>
      <c r="I167" s="779"/>
      <c r="J167" s="779">
        <f>(P82/$R82*100*($E82/365))+(P83/$R83*100*($E83/365))</f>
        <v>86.193293885601577</v>
      </c>
      <c r="K167" s="779"/>
      <c r="L167" s="779">
        <f>(Q82/$R82*100*($E82/365))+(Q83/$R83*100*($E83/365))</f>
        <v>0</v>
      </c>
      <c r="M167" s="779"/>
      <c r="N167" s="810">
        <f t="shared" si="26"/>
        <v>100</v>
      </c>
      <c r="O167" s="840"/>
      <c r="R167" s="1">
        <v>1995</v>
      </c>
      <c r="S167" s="7">
        <f>(O82*($E82/365))+(O83*($E83/365))</f>
        <v>7</v>
      </c>
      <c r="T167" s="7">
        <f>(P82*($E82/365))+(P83*($E83/365))</f>
        <v>43.7</v>
      </c>
      <c r="U167" s="7">
        <f>(Q82*($E82/365))+(Q83*($E83/365))</f>
        <v>0</v>
      </c>
      <c r="V167" s="12"/>
      <c r="W167" s="14">
        <f t="shared" si="25"/>
        <v>50.7</v>
      </c>
      <c r="Y167" s="7"/>
    </row>
    <row r="168" spans="1:25" ht="9" customHeight="1" x14ac:dyDescent="0.15">
      <c r="A168" s="1">
        <v>1996</v>
      </c>
      <c r="B168" s="7">
        <f>(K84*($E84/366))+(K85*($E85/366))</f>
        <v>16.666666666666664</v>
      </c>
      <c r="C168" s="7">
        <f>(L84*($E84/366))+(L85*($E85/366))</f>
        <v>83.333333333333343</v>
      </c>
      <c r="D168" s="7">
        <f>(M84*($E84/366))+(M85*($E85/366))</f>
        <v>0</v>
      </c>
      <c r="E168" s="40">
        <f t="shared" si="24"/>
        <v>100</v>
      </c>
      <c r="G168" s="1">
        <v>1996</v>
      </c>
      <c r="H168" s="779">
        <f>(O84/$R84*100*($E84/366))+(O85/$R85*100*($E85/366))</f>
        <v>13.80670611439842</v>
      </c>
      <c r="I168" s="779"/>
      <c r="J168" s="779">
        <f>(P84/$R84*100*($E84/366))+(P85/$R85*100*($E85/366))</f>
        <v>86.193293885601577</v>
      </c>
      <c r="K168" s="779"/>
      <c r="L168" s="779">
        <f>(Q84/$R84*100*($E84/366))+(Q85/$R85*100*($E85/366))</f>
        <v>0</v>
      </c>
      <c r="M168" s="779"/>
      <c r="N168" s="810">
        <f t="shared" si="26"/>
        <v>100</v>
      </c>
      <c r="O168" s="840"/>
      <c r="R168" s="1">
        <v>1996</v>
      </c>
      <c r="S168" s="7">
        <f>(O84*($E84/366))+(O85*($E85/366))</f>
        <v>7</v>
      </c>
      <c r="T168" s="7">
        <f>(P84*($E84/366))+(P85*($E85/366))</f>
        <v>43.7</v>
      </c>
      <c r="U168" s="7">
        <f>(Q84*($E84/366))+(Q85*($E85/366))</f>
        <v>0</v>
      </c>
      <c r="V168" s="12"/>
      <c r="W168" s="14">
        <f t="shared" si="25"/>
        <v>50.7</v>
      </c>
      <c r="Y168" s="7"/>
    </row>
    <row r="169" spans="1:25" ht="9" customHeight="1" x14ac:dyDescent="0.15">
      <c r="A169" s="1">
        <v>1997</v>
      </c>
      <c r="B169" s="7">
        <f>(K86*($E86/365))+(K87*($E87/365))</f>
        <v>16.669352672575876</v>
      </c>
      <c r="C169" s="7">
        <f>(L86*($E86/365))+(L87*($E87/365))</f>
        <v>83.330647327424131</v>
      </c>
      <c r="D169" s="7">
        <f>(M86*($E86/365))+(M87*($E87/365))</f>
        <v>0</v>
      </c>
      <c r="E169" s="40">
        <f t="shared" si="24"/>
        <v>100</v>
      </c>
      <c r="G169" s="1">
        <v>1997</v>
      </c>
      <c r="H169" s="779">
        <f>(O86/$R86*100*($E86/365))+(O87/$R87*100*($E87/365))</f>
        <v>13.80670611439842</v>
      </c>
      <c r="I169" s="779"/>
      <c r="J169" s="779">
        <f>(P86/$R86*100*($E86/365))+(P87/$R87*100*($E87/365))</f>
        <v>86.193293885601577</v>
      </c>
      <c r="K169" s="779"/>
      <c r="L169" s="779">
        <f>(Q86/$R86*100*($E86/365))+(Q87/$R87*100*($E87/365))</f>
        <v>0</v>
      </c>
      <c r="M169" s="779"/>
      <c r="N169" s="810">
        <f t="shared" si="26"/>
        <v>100</v>
      </c>
      <c r="O169" s="840"/>
      <c r="R169" s="1">
        <v>1997</v>
      </c>
      <c r="S169" s="7">
        <f>(O86*($E86/365))+(O87*($E87/365))</f>
        <v>7</v>
      </c>
      <c r="T169" s="7">
        <f>(P86*($E86/365))+(P87*($E87/365))</f>
        <v>43.7</v>
      </c>
      <c r="U169" s="7">
        <f>(Q86*($E86/365))+(Q87*($E87/365))</f>
        <v>0</v>
      </c>
      <c r="V169" s="12"/>
      <c r="W169" s="14">
        <f t="shared" si="25"/>
        <v>50.7</v>
      </c>
      <c r="Y169" s="7"/>
    </row>
    <row r="170" spans="1:25" ht="9" customHeight="1" x14ac:dyDescent="0.15">
      <c r="A170" s="1">
        <v>1998</v>
      </c>
      <c r="B170" s="7">
        <f>(K88*($E88/365))+(K89*($E89/365))</f>
        <v>14.456083803384368</v>
      </c>
      <c r="C170" s="7">
        <f>(L88*($E88/365))+(L89*($E89/365))</f>
        <v>67.461724415793711</v>
      </c>
      <c r="D170" s="7">
        <f>(M88*($E88/365))+(M89*($E89/365))</f>
        <v>18.082191780821919</v>
      </c>
      <c r="E170" s="40">
        <f t="shared" si="24"/>
        <v>100</v>
      </c>
      <c r="G170" s="1">
        <v>1998</v>
      </c>
      <c r="H170" s="779">
        <f>(O88/$R88*100*($E88/365))+(O89/$R89*100*($E89/365))</f>
        <v>11.31015103617843</v>
      </c>
      <c r="I170" s="779"/>
      <c r="J170" s="779">
        <f>(P88/$R88*100*($E88/365))+(P89/$R89*100*($E89/365))</f>
        <v>70.607657182999645</v>
      </c>
      <c r="K170" s="779"/>
      <c r="L170" s="779">
        <f>(Q88/$R88*100*($E88/365))+(Q89/$R89*100*($E89/365))</f>
        <v>18.082191780821919</v>
      </c>
      <c r="M170" s="779"/>
      <c r="N170" s="810">
        <f t="shared" si="26"/>
        <v>99.999999999999986</v>
      </c>
      <c r="O170" s="840"/>
      <c r="R170" s="1">
        <v>1998</v>
      </c>
      <c r="S170" s="7">
        <f>(O88*($E88/365))+(O89*($E89/365))</f>
        <v>5.7342465753424658</v>
      </c>
      <c r="T170" s="7">
        <f>(P88*($E88/365))+(P89*($E89/365))</f>
        <v>35.798082191780821</v>
      </c>
      <c r="U170" s="7">
        <f>(Q88*($E88/365))+(Q89*($E89/365))</f>
        <v>9.3123287671232884</v>
      </c>
      <c r="V170" s="12"/>
      <c r="W170" s="14">
        <f t="shared" si="25"/>
        <v>50.844657534246579</v>
      </c>
      <c r="Y170" s="7"/>
    </row>
    <row r="171" spans="1:25" ht="9" customHeight="1" x14ac:dyDescent="0.15">
      <c r="A171" s="1">
        <v>1999</v>
      </c>
      <c r="B171" s="7">
        <f>(K90*($E90/365))+(K91*($E91/365))</f>
        <v>0</v>
      </c>
      <c r="C171" s="7">
        <f>(L90*($E90/365))+(L91*($E91/365))</f>
        <v>0</v>
      </c>
      <c r="D171" s="7">
        <f>(M90*($E90/365))+(M91*($E91/365))</f>
        <v>100</v>
      </c>
      <c r="E171" s="40">
        <f t="shared" si="24"/>
        <v>100</v>
      </c>
      <c r="G171" s="1">
        <v>1999</v>
      </c>
      <c r="H171" s="779">
        <f>(O90/$R90*100*($E90/365))+(O91/$R91*100*($E91/365))</f>
        <v>0</v>
      </c>
      <c r="I171" s="779"/>
      <c r="J171" s="779">
        <f>(P90/$R90*100*($E90/365))+(P91/$R91*100*($E91/365))</f>
        <v>0</v>
      </c>
      <c r="K171" s="779"/>
      <c r="L171" s="779">
        <f>(Q90/$R90*100*($E90/365))+(Q91/$R91*100*($E91/365))</f>
        <v>100</v>
      </c>
      <c r="M171" s="779"/>
      <c r="N171" s="810">
        <f t="shared" si="26"/>
        <v>100</v>
      </c>
      <c r="O171" s="840"/>
      <c r="R171" s="1">
        <v>1999</v>
      </c>
      <c r="S171" s="7">
        <f>(O90*($E90/365))+(O91*($E91/365))</f>
        <v>0</v>
      </c>
      <c r="T171" s="7">
        <f>(P90*($E90/365))+(P91*($E91/365))</f>
        <v>0</v>
      </c>
      <c r="U171" s="7">
        <f>(Q90*($E90/365))+(Q91*($E91/365))</f>
        <v>51.5</v>
      </c>
      <c r="V171" s="12"/>
      <c r="W171" s="14">
        <f t="shared" si="25"/>
        <v>51.5</v>
      </c>
      <c r="Y171" s="7"/>
    </row>
    <row r="172" spans="1:25" ht="9" customHeight="1" x14ac:dyDescent="0.15">
      <c r="A172" s="1">
        <v>2000</v>
      </c>
      <c r="B172" s="7">
        <f>(K92*($E92/366))+(K93*($E93/366))</f>
        <v>0</v>
      </c>
      <c r="C172" s="7">
        <f>(L92*($E92/366))+(L93*($E93/366))</f>
        <v>0</v>
      </c>
      <c r="D172" s="7">
        <f>(M92*($E92/366))+(M93*($E93/366))</f>
        <v>100</v>
      </c>
      <c r="E172" s="40">
        <f t="shared" si="24"/>
        <v>100</v>
      </c>
      <c r="G172" s="1">
        <v>2000</v>
      </c>
      <c r="H172" s="779">
        <f>(O92/$R92*100*($E92/366))+(O93/$R93*100*($E93/366))</f>
        <v>0</v>
      </c>
      <c r="I172" s="779"/>
      <c r="J172" s="779">
        <f>(P92/$R92*100*($E92/366))+(P93/$R93*100*($E93/366))</f>
        <v>0</v>
      </c>
      <c r="K172" s="779"/>
      <c r="L172" s="779">
        <f>(Q92/$R92*100*($E92/366))+(Q93/$R93*100*($E93/366))</f>
        <v>100</v>
      </c>
      <c r="M172" s="779"/>
      <c r="N172" s="810">
        <f t="shared" si="26"/>
        <v>100</v>
      </c>
      <c r="O172" s="840"/>
      <c r="R172" s="1">
        <v>2000</v>
      </c>
      <c r="S172" s="7">
        <f>(O92*($E92/366))+(O93*($E93/366))</f>
        <v>0</v>
      </c>
      <c r="T172" s="7">
        <f>(P92*($E92/366))+(P93*($E93/366))</f>
        <v>0</v>
      </c>
      <c r="U172" s="7">
        <f>(Q92*($E92/366))+(Q93*($E93/366))</f>
        <v>51.5</v>
      </c>
      <c r="V172" s="12"/>
      <c r="W172" s="14">
        <f t="shared" si="25"/>
        <v>51.5</v>
      </c>
      <c r="Y172" s="7"/>
    </row>
    <row r="173" spans="1:25" ht="9" customHeight="1" x14ac:dyDescent="0.15">
      <c r="A173" s="1">
        <v>2001</v>
      </c>
      <c r="B173" s="7">
        <f>(K94*($E94/365))+(K95*($E95/365))</f>
        <v>0</v>
      </c>
      <c r="C173" s="7">
        <f>(L94*($E94/365))+(L95*($E95/365))</f>
        <v>0</v>
      </c>
      <c r="D173" s="7">
        <f>(M94*($E94/365))+(M95*($E95/365))</f>
        <v>100</v>
      </c>
      <c r="E173" s="40">
        <f t="shared" si="24"/>
        <v>100</v>
      </c>
      <c r="G173" s="1">
        <v>2001</v>
      </c>
      <c r="H173" s="779">
        <f>(O94/$R94*100*($E94/365))+(O95/$R95*100*($E95/365))</f>
        <v>0</v>
      </c>
      <c r="I173" s="779"/>
      <c r="J173" s="779">
        <f>(P94/$R94*100*($E94/365))+(P95/$R95*100*($E95/365))</f>
        <v>0</v>
      </c>
      <c r="K173" s="779"/>
      <c r="L173" s="779">
        <f>(Q94/$R94*100*($E94/365))+(Q95/$R95*100*($E95/365))</f>
        <v>100</v>
      </c>
      <c r="M173" s="779"/>
      <c r="N173" s="810">
        <f t="shared" si="26"/>
        <v>100</v>
      </c>
      <c r="O173" s="840"/>
      <c r="R173" s="1">
        <v>2001</v>
      </c>
      <c r="S173" s="7">
        <f>(O94*($E94/365))+(O95*($E95/365))</f>
        <v>0</v>
      </c>
      <c r="T173" s="7">
        <f>(P94*($E94/365))+(P95*($E95/365))</f>
        <v>0</v>
      </c>
      <c r="U173" s="7">
        <f>(Q94*($E94/365))+(Q95*($E95/365))</f>
        <v>51.5</v>
      </c>
      <c r="V173" s="12"/>
      <c r="W173" s="14">
        <f t="shared" si="25"/>
        <v>51.5</v>
      </c>
      <c r="Y173" s="7"/>
    </row>
    <row r="174" spans="1:25" ht="9" customHeight="1" x14ac:dyDescent="0.15">
      <c r="A174" s="1">
        <v>2002</v>
      </c>
      <c r="B174" s="7">
        <f>(K96*($E96/365))+(K97*($E97/365))</f>
        <v>0</v>
      </c>
      <c r="C174" s="7">
        <f>(L96*($E96/365))+(L97*($E97/365))</f>
        <v>0</v>
      </c>
      <c r="D174" s="7">
        <f>(M96*($E96/365))+(M97*($E97/365))</f>
        <v>100</v>
      </c>
      <c r="E174" s="40">
        <f t="shared" si="24"/>
        <v>100</v>
      </c>
      <c r="G174" s="1">
        <v>2002</v>
      </c>
      <c r="H174" s="779">
        <f>(O96/$R96*100*($E96/365))+(O97/$R97*100*($E97/365))</f>
        <v>0</v>
      </c>
      <c r="I174" s="779"/>
      <c r="J174" s="779">
        <f>(P96/$R96*100*($E96/365))+(P97/$R97*100*($E97/365))</f>
        <v>0</v>
      </c>
      <c r="K174" s="779"/>
      <c r="L174" s="779">
        <f>(Q96/$R96*100*($E96/365))+(Q97/$R97*100*($E97/365))</f>
        <v>100</v>
      </c>
      <c r="M174" s="779"/>
      <c r="N174" s="810">
        <f t="shared" si="26"/>
        <v>100</v>
      </c>
      <c r="O174" s="840"/>
      <c r="R174" s="1">
        <v>2002</v>
      </c>
      <c r="S174" s="7">
        <f>(O96*($E96/365))+(O97*($E97/365))</f>
        <v>0</v>
      </c>
      <c r="T174" s="7">
        <f>(P96*($E96/365))+(P97*($E97/365))</f>
        <v>0</v>
      </c>
      <c r="U174" s="7">
        <f>(Q96*($E96/365))+(Q97*($E97/365))</f>
        <v>51.344383561643838</v>
      </c>
      <c r="V174" s="12"/>
      <c r="W174" s="14">
        <f t="shared" si="25"/>
        <v>51.344383561643838</v>
      </c>
      <c r="Y174" s="7"/>
    </row>
    <row r="175" spans="1:25" ht="9" customHeight="1" x14ac:dyDescent="0.15">
      <c r="A175" s="1">
        <v>2003</v>
      </c>
      <c r="B175" s="7">
        <f>(K98*($E98/365))+(K99*($E99/365))</f>
        <v>0</v>
      </c>
      <c r="C175" s="7">
        <f>(L98*($E98/365))+(L99*($E99/365))</f>
        <v>0</v>
      </c>
      <c r="D175" s="7">
        <f>(M98*($E98/365))+(M99*($E99/365))</f>
        <v>100</v>
      </c>
      <c r="E175" s="40">
        <f t="shared" si="24"/>
        <v>100</v>
      </c>
      <c r="G175" s="1">
        <v>2003</v>
      </c>
      <c r="H175" s="779">
        <f>(O98/$R98*100*($E98/365))+(O99/$R99*100*($E99/365))</f>
        <v>0</v>
      </c>
      <c r="I175" s="779"/>
      <c r="J175" s="779">
        <f>(P98/$R98*100*($E98/365))+(P99/$R99*100*($E99/365))</f>
        <v>0</v>
      </c>
      <c r="K175" s="779"/>
      <c r="L175" s="779">
        <f>(Q98/$R98*100*($E98/365))+(Q99/$R99*100*($E99/365))</f>
        <v>100</v>
      </c>
      <c r="M175" s="779"/>
      <c r="N175" s="810">
        <f t="shared" si="26"/>
        <v>100</v>
      </c>
      <c r="O175" s="840"/>
      <c r="R175" s="1">
        <v>2003</v>
      </c>
      <c r="S175" s="7">
        <f>(O98*($E98/365))+(O99*($E99/365))</f>
        <v>0</v>
      </c>
      <c r="T175" s="7">
        <f>(P98*($E98/365))+(P99*($E99/365))</f>
        <v>0</v>
      </c>
      <c r="U175" s="7">
        <f>(Q98*($E98/365))+(Q99*($E99/365))</f>
        <v>50.7</v>
      </c>
      <c r="V175" s="12"/>
      <c r="W175" s="14">
        <f t="shared" si="25"/>
        <v>50.7</v>
      </c>
      <c r="Y175" s="7"/>
    </row>
    <row r="176" spans="1:25" ht="9" customHeight="1" x14ac:dyDescent="0.15">
      <c r="A176" s="1">
        <v>2004</v>
      </c>
      <c r="B176" s="7">
        <f>(K100*($E100/366))+(K101*($E101/366))</f>
        <v>0</v>
      </c>
      <c r="C176" s="7">
        <f>(L100*($E100/366))+(L101*($E101/366))</f>
        <v>0</v>
      </c>
      <c r="D176" s="7">
        <f>(M100*($E100/366))+(M101*($E101/366))</f>
        <v>100</v>
      </c>
      <c r="E176" s="40">
        <f t="shared" si="24"/>
        <v>100</v>
      </c>
      <c r="G176" s="1">
        <v>2004</v>
      </c>
      <c r="H176" s="779">
        <f>(O100/$R100*100*($E100/366))+(O101/$R101*100*($E101/366))</f>
        <v>0</v>
      </c>
      <c r="I176" s="779"/>
      <c r="J176" s="779">
        <f>(P100/$R100*100*($E100/366))+(P101/$R101*100*($E101/366))</f>
        <v>0</v>
      </c>
      <c r="K176" s="779"/>
      <c r="L176" s="779">
        <f>(Q100/$R100*100*($E100/366))+(Q101/$R101*100*($E101/366))</f>
        <v>100</v>
      </c>
      <c r="M176" s="779"/>
      <c r="N176" s="810">
        <f t="shared" si="26"/>
        <v>100</v>
      </c>
      <c r="O176" s="840"/>
      <c r="R176" s="1">
        <v>2004</v>
      </c>
      <c r="S176" s="7">
        <f>(O100*($E100/366))+(O101*($E101/366))</f>
        <v>0</v>
      </c>
      <c r="T176" s="7">
        <f>(P100*($E100/366))+(P101*($E101/366))</f>
        <v>0</v>
      </c>
      <c r="U176" s="7">
        <f>(Q100*($E100/366))+(Q101*($E101/366))</f>
        <v>50.7</v>
      </c>
      <c r="V176" s="12"/>
      <c r="W176" s="14">
        <f t="shared" si="25"/>
        <v>50.7</v>
      </c>
      <c r="Y176" s="7"/>
    </row>
    <row r="177" spans="1:25" ht="9" customHeight="1" x14ac:dyDescent="0.15">
      <c r="A177" s="1">
        <v>2005</v>
      </c>
      <c r="B177" s="7">
        <f>(K102*($E102/365))+(K103*($E103/365))</f>
        <v>0</v>
      </c>
      <c r="C177" s="7">
        <f>(L102*($E102/365))+(L103*($E103/365))</f>
        <v>5.4794520547945202</v>
      </c>
      <c r="D177" s="7">
        <f>(M102*($E102/365))+(M103*($E103/365))</f>
        <v>94.520547945205479</v>
      </c>
      <c r="E177" s="40">
        <f t="shared" si="24"/>
        <v>100</v>
      </c>
      <c r="G177" s="1">
        <v>2005</v>
      </c>
      <c r="H177" s="779">
        <f>(O102/$R102*100*($E102/365))+(O103/$R103*100*($E103/365))</f>
        <v>0</v>
      </c>
      <c r="I177" s="779"/>
      <c r="J177" s="779">
        <f>(P102/$R102*100*($E102/365))+(P103/$R103*100*($E103/365))</f>
        <v>5.5244886470257075</v>
      </c>
      <c r="K177" s="779"/>
      <c r="L177" s="779">
        <f>(Q102/$R102*100*($E102/365))+(Q103/$R103*100*($E103/365))</f>
        <v>94.475511352974294</v>
      </c>
      <c r="M177" s="779"/>
      <c r="N177" s="810">
        <f t="shared" si="26"/>
        <v>100</v>
      </c>
      <c r="O177" s="840"/>
      <c r="R177" s="1">
        <v>2005</v>
      </c>
      <c r="S177" s="7">
        <f>(O102*($E102/365))+(O103*($E103/365))</f>
        <v>0</v>
      </c>
      <c r="T177" s="7">
        <f>(P102*($E102/365))+(P103*($E103/365))</f>
        <v>4.0328767123287665</v>
      </c>
      <c r="U177" s="7">
        <f>(Q102*($E102/365))+(Q103*($E103/365))</f>
        <v>49.110958904109594</v>
      </c>
      <c r="V177" s="12"/>
      <c r="W177" s="14">
        <f t="shared" si="25"/>
        <v>53.143835616438359</v>
      </c>
      <c r="Y177" s="7"/>
    </row>
    <row r="178" spans="1:25" ht="9" customHeight="1" x14ac:dyDescent="0.15">
      <c r="A178" s="1">
        <v>2006</v>
      </c>
      <c r="B178" s="7">
        <f>(K104*($E104/365))+(K105*($E105/365))</f>
        <v>0</v>
      </c>
      <c r="C178" s="7">
        <f>(L104*($E104/365))+(L105*($E105/365))</f>
        <v>50</v>
      </c>
      <c r="D178" s="7">
        <f>(M104*($E104/365))+(M105*($E105/365))</f>
        <v>50</v>
      </c>
      <c r="E178" s="40">
        <f t="shared" si="24"/>
        <v>100</v>
      </c>
      <c r="G178" s="1">
        <v>2006</v>
      </c>
      <c r="H178" s="779">
        <f>(O104/$R104*100*($E104/365))+(O105/$R105*100*($E105/365))</f>
        <v>0</v>
      </c>
      <c r="I178" s="779"/>
      <c r="J178" s="779">
        <f>(P104/$R104*100*($E104/365))+(P105/$R105*100*($E105/365))</f>
        <v>50.410958904109584</v>
      </c>
      <c r="K178" s="779"/>
      <c r="L178" s="779">
        <f>(Q104/$R104*100*($E104/365))+(Q105/$R105*100*($E105/365))</f>
        <v>49.589041095890416</v>
      </c>
      <c r="M178" s="779"/>
      <c r="N178" s="810">
        <f t="shared" si="26"/>
        <v>100</v>
      </c>
      <c r="O178" s="840"/>
      <c r="R178" s="1">
        <v>2006</v>
      </c>
      <c r="S178" s="7">
        <f>(O104*($E104/365))+(O105*($E105/365))</f>
        <v>0</v>
      </c>
      <c r="T178" s="7">
        <f>(P104*($E104/365))+(P105*($E105/365))</f>
        <v>36.799999999999997</v>
      </c>
      <c r="U178" s="7">
        <f>(Q104*($E104/365))+(Q105*($E105/365))</f>
        <v>36.200000000000003</v>
      </c>
      <c r="V178" s="12"/>
      <c r="W178" s="14">
        <f t="shared" si="25"/>
        <v>73</v>
      </c>
      <c r="Y178" s="7"/>
    </row>
    <row r="179" spans="1:25" ht="9" customHeight="1" x14ac:dyDescent="0.15">
      <c r="A179" s="1">
        <v>2007</v>
      </c>
      <c r="B179" s="7">
        <f>(K106*($E106/365))+(K107*($E107/365))</f>
        <v>0</v>
      </c>
      <c r="C179" s="7">
        <f>(L106*($E106/365))+(L107*($E107/365))</f>
        <v>50</v>
      </c>
      <c r="D179" s="7">
        <f>(M106*($E106/365))+(M107*($E107/365))</f>
        <v>50</v>
      </c>
      <c r="E179" s="40">
        <f t="shared" si="24"/>
        <v>100</v>
      </c>
      <c r="G179" s="1">
        <v>2007</v>
      </c>
      <c r="H179" s="779">
        <f>(O106/$R106*100*($E106/365))+(O107/$R107*100*($E107/365))</f>
        <v>0</v>
      </c>
      <c r="I179" s="779"/>
      <c r="J179" s="779">
        <f>(P106/$R106*100*($E106/365))+(P107/$R107*100*($E107/365))</f>
        <v>50.410958904109584</v>
      </c>
      <c r="K179" s="779"/>
      <c r="L179" s="779">
        <f>(Q106/$R106*100*($E106/365))+(Q107/$R107*100*($E107/365))</f>
        <v>49.589041095890416</v>
      </c>
      <c r="M179" s="779"/>
      <c r="N179" s="810">
        <f t="shared" si="26"/>
        <v>100</v>
      </c>
      <c r="O179" s="840"/>
      <c r="R179" s="1">
        <v>2007</v>
      </c>
      <c r="S179" s="7">
        <f>(O106*($E106/365))+(O107*($E107/365))</f>
        <v>0</v>
      </c>
      <c r="T179" s="7">
        <f>(P106*($E106/365))+(P107*($E107/365))</f>
        <v>36.799999999999997</v>
      </c>
      <c r="U179" s="7">
        <f>(Q106*($E106/365))+(Q107*($E107/365))</f>
        <v>36.200000000000003</v>
      </c>
      <c r="V179" s="12"/>
      <c r="W179" s="14">
        <f t="shared" si="25"/>
        <v>73</v>
      </c>
      <c r="Y179" s="7"/>
    </row>
    <row r="180" spans="1:25" ht="9" customHeight="1" x14ac:dyDescent="0.15">
      <c r="A180" s="1">
        <v>2008</v>
      </c>
      <c r="B180" s="7">
        <f>(K108*($E108/366))+(K109*($E109/366))</f>
        <v>0</v>
      </c>
      <c r="C180" s="7">
        <f>(L108*($E108/366))+(L109*($E109/366))</f>
        <v>50</v>
      </c>
      <c r="D180" s="7">
        <f>(M108*($E108/366))+(M109*($E109/366))</f>
        <v>50</v>
      </c>
      <c r="E180" s="40">
        <f t="shared" si="24"/>
        <v>100</v>
      </c>
      <c r="G180" s="1">
        <v>2008</v>
      </c>
      <c r="H180" s="779">
        <f>(O108/$R108*100*($E108/366))+(O109/$R109*100*($E109/366))</f>
        <v>0</v>
      </c>
      <c r="I180" s="779"/>
      <c r="J180" s="779">
        <f>(P108/$R108*100*($E108/366))+(P109/$R109*100*($E109/366))</f>
        <v>50.410958904109584</v>
      </c>
      <c r="K180" s="779"/>
      <c r="L180" s="779">
        <f>(Q108/$R108*100*($E108/366))+(Q109/$R109*100*($E109/366))</f>
        <v>49.589041095890416</v>
      </c>
      <c r="M180" s="779"/>
      <c r="N180" s="810">
        <f t="shared" si="26"/>
        <v>100</v>
      </c>
      <c r="O180" s="840"/>
      <c r="R180" s="1">
        <v>2008</v>
      </c>
      <c r="S180" s="7">
        <f>(O108*($E108/366))+(O109*($E109/366))</f>
        <v>0</v>
      </c>
      <c r="T180" s="7">
        <f>(P108*($E108/366))+(P109*($E109/366))</f>
        <v>36.799999999999997</v>
      </c>
      <c r="U180" s="7">
        <f>(Q108*($E108/366))+(Q109*($E109/366))</f>
        <v>36.200000000000003</v>
      </c>
      <c r="V180" s="12"/>
      <c r="W180" s="14">
        <f t="shared" si="25"/>
        <v>73</v>
      </c>
      <c r="Y180" s="7"/>
    </row>
    <row r="181" spans="1:25" ht="9" customHeight="1" x14ac:dyDescent="0.15">
      <c r="A181" s="1">
        <v>2009</v>
      </c>
      <c r="B181" s="7">
        <f>(K110*($E110/365))+(K111*($E111/365))</f>
        <v>5.5650684931506849</v>
      </c>
      <c r="C181" s="7">
        <f>(L110*($E110/365))+(L111*($E111/365))</f>
        <v>53.339041095890408</v>
      </c>
      <c r="D181" s="7">
        <f>(M110*($E110/365))+(M111*($E111/365))</f>
        <v>41.095890410958901</v>
      </c>
      <c r="E181" s="40">
        <f t="shared" si="24"/>
        <v>100</v>
      </c>
      <c r="G181" s="1">
        <v>2009</v>
      </c>
      <c r="H181" s="779">
        <f>(O110/$R110*100*($E110/365))+(O111/$R111*100*($E111/365))</f>
        <v>5.0023087578882564</v>
      </c>
      <c r="I181" s="779"/>
      <c r="J181" s="779">
        <f>(P110/$R110*100*($E110/365))+(P111/$R111*100*($E111/365))</f>
        <v>54.239575272886739</v>
      </c>
      <c r="K181" s="779"/>
      <c r="L181" s="779">
        <f>(Q110/$R110*100*($E110/365))+(Q111/$R111*100*($E111/365))</f>
        <v>40.758115969224995</v>
      </c>
      <c r="M181" s="779"/>
      <c r="N181" s="810">
        <f t="shared" si="26"/>
        <v>100</v>
      </c>
      <c r="O181" s="840"/>
      <c r="R181" s="1">
        <v>2009</v>
      </c>
      <c r="S181" s="7">
        <f>(O110*($E110/365))+(O111*($E111/365))</f>
        <v>2.6712328767123288</v>
      </c>
      <c r="T181" s="7">
        <f>(P110*($E110/365))+(P111*($E111/365))</f>
        <v>37.084931506849308</v>
      </c>
      <c r="U181" s="7">
        <f>(Q110*($E110/365))+(Q111*($E111/365))</f>
        <v>29.753424657534246</v>
      </c>
      <c r="V181" s="12"/>
      <c r="W181" s="14">
        <f t="shared" si="25"/>
        <v>69.509589041095893</v>
      </c>
      <c r="Y181" s="7"/>
    </row>
    <row r="182" spans="1:25" ht="9" customHeight="1" x14ac:dyDescent="0.15">
      <c r="A182" s="1">
        <v>2010</v>
      </c>
      <c r="B182" s="7">
        <f>(K112*($E112/365))+(K113*($E113/365))</f>
        <v>31.25</v>
      </c>
      <c r="C182" s="7">
        <f>(L112*($E112/365))+(L113*($E113/365))</f>
        <v>68.75</v>
      </c>
      <c r="D182" s="7">
        <f>(M112*($E112/365))+(M113*($E113/365))</f>
        <v>0</v>
      </c>
      <c r="E182" s="40">
        <f t="shared" si="24"/>
        <v>100</v>
      </c>
      <c r="G182" s="1">
        <v>2010</v>
      </c>
      <c r="H182" s="779">
        <f>(O112/$R112*100*($E112/365))+(O113/$R113*100*($E113/365))</f>
        <v>28.08988764044944</v>
      </c>
      <c r="I182" s="779"/>
      <c r="J182" s="779">
        <f>(P112/$R112*100*($E112/365))+(P113/$R113*100*($E113/365))</f>
        <v>71.910112359550567</v>
      </c>
      <c r="K182" s="779"/>
      <c r="L182" s="779">
        <f>(Q112/$R112*100*($E112/365))+(Q113/$R113*100*($E113/365))</f>
        <v>0</v>
      </c>
      <c r="M182" s="779"/>
      <c r="N182" s="810">
        <f t="shared" si="26"/>
        <v>100</v>
      </c>
      <c r="O182" s="840"/>
      <c r="R182" s="1">
        <v>2010</v>
      </c>
      <c r="S182" s="7">
        <f>(O112*($E112/365))+(O113*($E113/365))</f>
        <v>15</v>
      </c>
      <c r="T182" s="7">
        <f>(P112*($E112/365))+(P113*($E113/365))</f>
        <v>38.4</v>
      </c>
      <c r="U182" s="7">
        <f>(Q112*($E112/365))+(Q113*($E113/365))</f>
        <v>0</v>
      </c>
      <c r="V182" s="12"/>
      <c r="W182" s="14">
        <f t="shared" si="25"/>
        <v>53.4</v>
      </c>
      <c r="Y182" s="7"/>
    </row>
    <row r="183" spans="1:25" ht="9" customHeight="1" x14ac:dyDescent="0.15">
      <c r="A183" s="1">
        <v>2011</v>
      </c>
      <c r="B183" s="7">
        <f>(K114*($E114/365))+(K115*($E115/365))</f>
        <v>31.25</v>
      </c>
      <c r="C183" s="7">
        <f>(L114*($E114/365))+(L115*($E115/365))</f>
        <v>68.75</v>
      </c>
      <c r="D183" s="7">
        <f>(M114*($E114/365))+(M115*($E115/365))</f>
        <v>0</v>
      </c>
      <c r="E183" s="40">
        <f t="shared" si="24"/>
        <v>100</v>
      </c>
      <c r="G183" s="1">
        <v>2011</v>
      </c>
      <c r="H183" s="779">
        <f>(O114/$R114*100*($E114/365))+(O115/$R115*100*($E115/365))</f>
        <v>28.08988764044944</v>
      </c>
      <c r="I183" s="779"/>
      <c r="J183" s="779">
        <f>(P114/$R114*100*($E114/365))+(P115/$R115*100*($E115/365))</f>
        <v>71.910112359550567</v>
      </c>
      <c r="K183" s="779"/>
      <c r="L183" s="779">
        <f>(Q114/$R114*100*($E114/365))+(Q115/$R115*100*($E115/365))</f>
        <v>0</v>
      </c>
      <c r="M183" s="779"/>
      <c r="N183" s="810">
        <f t="shared" si="26"/>
        <v>100</v>
      </c>
      <c r="O183" s="840"/>
      <c r="R183" s="1">
        <v>2011</v>
      </c>
      <c r="S183" s="7">
        <f>(O114*($E114/365))+(O115*($E115/365))</f>
        <v>15</v>
      </c>
      <c r="T183" s="7">
        <f>(P114*($E114/365))+(P115*($E115/365))</f>
        <v>38.4</v>
      </c>
      <c r="U183" s="7">
        <f>(Q114*($E114/365))+(Q115*($E115/365))</f>
        <v>0</v>
      </c>
      <c r="V183" s="12"/>
      <c r="W183" s="14">
        <f t="shared" si="25"/>
        <v>53.4</v>
      </c>
      <c r="Y183" s="7"/>
    </row>
    <row r="184" spans="1:25" ht="9" customHeight="1" x14ac:dyDescent="0.15">
      <c r="A184" s="1">
        <v>2012</v>
      </c>
      <c r="B184" s="7">
        <f>(K116*($E116/366))+(K117*($E117/366))</f>
        <v>31.25</v>
      </c>
      <c r="C184" s="7">
        <f>(L116*($E116/366))+(L117*($E117/366))</f>
        <v>68.75</v>
      </c>
      <c r="D184" s="7">
        <f>(M116*($E116/366))+(M117*($E117/366))</f>
        <v>0</v>
      </c>
      <c r="E184" s="40">
        <f t="shared" si="24"/>
        <v>100</v>
      </c>
      <c r="G184" s="1">
        <v>2012</v>
      </c>
      <c r="H184" s="779">
        <f>(O116/$R116*100*($E116/366))+(O117/$R117*100*($E117/366))</f>
        <v>28.08988764044944</v>
      </c>
      <c r="I184" s="779"/>
      <c r="J184" s="779">
        <f>(P116/$R116*100*($E116/366))+(P117/$R117*100*($E117/366))</f>
        <v>71.910112359550567</v>
      </c>
      <c r="K184" s="779"/>
      <c r="L184" s="779">
        <f>(Q116/$R116*100*($E116/366))+(Q117/$R117*100*($E117/366))</f>
        <v>0</v>
      </c>
      <c r="M184" s="779"/>
      <c r="N184" s="810">
        <f t="shared" si="26"/>
        <v>100</v>
      </c>
      <c r="O184" s="840"/>
      <c r="R184" s="1">
        <v>2012</v>
      </c>
      <c r="S184" s="7">
        <f>(O116*($E116/366))+(O117*($E117/366))</f>
        <v>15</v>
      </c>
      <c r="T184" s="7">
        <f>(P116*($E116/366))+(P117*($E117/366))</f>
        <v>38.4</v>
      </c>
      <c r="U184" s="7">
        <f>(Q116*($E116/366))+(Q117*($E117/366))</f>
        <v>0</v>
      </c>
      <c r="V184" s="12"/>
      <c r="W184" s="14">
        <f t="shared" si="25"/>
        <v>53.4</v>
      </c>
      <c r="Y184" s="7"/>
    </row>
    <row r="185" spans="1:25" x14ac:dyDescent="0.15">
      <c r="A185" s="1">
        <v>2013</v>
      </c>
      <c r="B185" s="7">
        <f>(K118*($E118/365))+(K119*($E119/365))</f>
        <v>29.965753424657532</v>
      </c>
      <c r="C185" s="7">
        <f>(L118*($E118/365))+(L119*($E119/365))</f>
        <v>68.493150684931507</v>
      </c>
      <c r="D185" s="7">
        <f>(M118*($E118/365))+(M119*($E119/365))</f>
        <v>1.5410958904109588</v>
      </c>
      <c r="E185" s="298">
        <f t="shared" si="24"/>
        <v>100</v>
      </c>
      <c r="G185" s="1">
        <v>2013</v>
      </c>
      <c r="H185" s="779">
        <f>(O118/$R118*100*($E118/365))+(O119/$R119*100*($E119/365))</f>
        <v>26.935508696321378</v>
      </c>
      <c r="I185" s="779"/>
      <c r="J185" s="779">
        <f>(P118/$R118*100*($E118/365))+(P119/$R119*100*($E119/365))</f>
        <v>71.490606139003603</v>
      </c>
      <c r="K185" s="779"/>
      <c r="L185" s="779">
        <f>(Q118/$R118*100*($E118/365))+(Q119/$R119*100*($E119/365))</f>
        <v>1.5738851646750218</v>
      </c>
      <c r="M185" s="779"/>
      <c r="N185" s="810">
        <f>SUM(H185:M185)</f>
        <v>100</v>
      </c>
      <c r="O185" s="840"/>
      <c r="R185" s="1">
        <v>2013</v>
      </c>
      <c r="S185" s="7">
        <f>(O118*($E118/365))+(O119*($E119/365))</f>
        <v>14.383561643835616</v>
      </c>
      <c r="T185" s="7">
        <f>(P118*($E118/365))+(P119*($E119/365))</f>
        <v>38.847945205479448</v>
      </c>
      <c r="U185" s="7">
        <f>(Q118*($E118/365))+(Q119*($E119/365))</f>
        <v>1.2575342465753425</v>
      </c>
      <c r="W185" s="14">
        <f t="shared" si="25"/>
        <v>54.489041095890407</v>
      </c>
    </row>
    <row r="186" spans="1:25" x14ac:dyDescent="0.15">
      <c r="A186" s="1">
        <v>2014</v>
      </c>
      <c r="B186" s="7">
        <f>(K120*($E120/365))+(K121*($E121/365))</f>
        <v>0</v>
      </c>
      <c r="C186" s="7">
        <f>(L120*($E120/365))+(L121*($E121/365))</f>
        <v>62.5</v>
      </c>
      <c r="D186" s="7">
        <f>(M120*($E120/365))+(M121*($E121/365))</f>
        <v>37.5</v>
      </c>
      <c r="E186" s="527">
        <f>SUM(B186:D186)</f>
        <v>100</v>
      </c>
      <c r="G186" s="1">
        <v>2014</v>
      </c>
      <c r="H186" s="779">
        <f>(O120/$R120*100*($E120/365))+(O121/$R121*100*($E121/365))</f>
        <v>0</v>
      </c>
      <c r="I186" s="779"/>
      <c r="J186" s="779">
        <f>(P120/$R120*100*($E120/365))+(P121/$R121*100*($E121/365))</f>
        <v>61.702127659574458</v>
      </c>
      <c r="K186" s="779"/>
      <c r="L186" s="779">
        <f>(Q120/$R120*100*($E120/365))+(Q121/$R121*100*($E121/365))</f>
        <v>38.297872340425535</v>
      </c>
      <c r="M186" s="779"/>
      <c r="N186" s="810">
        <f>SUM(H186:M186)</f>
        <v>100</v>
      </c>
      <c r="O186" s="840"/>
      <c r="R186" s="1">
        <v>2014</v>
      </c>
      <c r="S186" s="7">
        <f>(O120*($E120/365))+(O121*($E121/365))</f>
        <v>0</v>
      </c>
      <c r="T186" s="7">
        <f>(P120*($E120/365))+(P121*($E121/365))</f>
        <v>49.3</v>
      </c>
      <c r="U186" s="7">
        <f>(Q120*($E120/365))+(Q121*($E121/365))</f>
        <v>30.6</v>
      </c>
      <c r="W186" s="14">
        <f>SUM(S186:U186)</f>
        <v>79.900000000000006</v>
      </c>
    </row>
    <row r="187" spans="1:25" s="735" customFormat="1" x14ac:dyDescent="0.15">
      <c r="A187" s="735">
        <v>2015</v>
      </c>
      <c r="B187" s="731">
        <f>(K122*($E122/365))+(K123*($E123/365))</f>
        <v>0</v>
      </c>
      <c r="C187" s="731">
        <f>(L122*($E122/365))+(L123*($E123/365))</f>
        <v>62.5</v>
      </c>
      <c r="D187" s="731">
        <f>(M122*($E122/365))+(M123*($E123/365))</f>
        <v>37.5</v>
      </c>
      <c r="E187" s="724">
        <f>SUM(B187:D187)</f>
        <v>100</v>
      </c>
      <c r="G187" s="735">
        <v>2015</v>
      </c>
      <c r="H187" s="779">
        <f>(O122/$R122*100*($E122/365))+(O123/$R123*100*($E123/365))</f>
        <v>0</v>
      </c>
      <c r="I187" s="779"/>
      <c r="J187" s="779">
        <f>(P122/$R122*100*($E122/365))+(P123/$R123*100*($E123/365))</f>
        <v>61.702127659574458</v>
      </c>
      <c r="K187" s="779"/>
      <c r="L187" s="779">
        <f>(Q122/$R122*100*($E122/365))+(Q123/$R123*100*($E123/365))</f>
        <v>38.297872340425535</v>
      </c>
      <c r="M187" s="779"/>
      <c r="N187" s="810">
        <f>SUM(H187:M187)</f>
        <v>100</v>
      </c>
      <c r="O187" s="840"/>
      <c r="R187" s="735">
        <v>2015</v>
      </c>
      <c r="S187" s="731">
        <f>(O122*($E122/365))+(O123*($E123/365))</f>
        <v>0</v>
      </c>
      <c r="T187" s="731">
        <f>(P122*($E122/365))+(P123*($E123/365))</f>
        <v>49.3</v>
      </c>
      <c r="U187" s="731">
        <f>(Q122*($E122/365))+(Q123*($E123/365))</f>
        <v>30.6</v>
      </c>
      <c r="W187" s="732">
        <f>SUM(S187:U187)</f>
        <v>79.900000000000006</v>
      </c>
    </row>
    <row r="188" spans="1:25" s="735" customFormat="1" x14ac:dyDescent="0.15"/>
  </sheetData>
  <mergeCells count="372">
    <mergeCell ref="C122:D122"/>
    <mergeCell ref="C123:D123"/>
    <mergeCell ref="H187:I187"/>
    <mergeCell ref="J187:K187"/>
    <mergeCell ref="L187:M187"/>
    <mergeCell ref="N187:O187"/>
    <mergeCell ref="AT4:AW4"/>
    <mergeCell ref="AX4:BA4"/>
    <mergeCell ref="H185:I185"/>
    <mergeCell ref="J185:K185"/>
    <mergeCell ref="L185:M185"/>
    <mergeCell ref="C118:D118"/>
    <mergeCell ref="C119:D119"/>
    <mergeCell ref="N185:O185"/>
    <mergeCell ref="N181:O181"/>
    <mergeCell ref="N182:O182"/>
    <mergeCell ref="N184:O184"/>
    <mergeCell ref="N175:O175"/>
    <mergeCell ref="N176:O176"/>
    <mergeCell ref="N177:O177"/>
    <mergeCell ref="N178:O178"/>
    <mergeCell ref="N179:O179"/>
    <mergeCell ref="N180:O180"/>
    <mergeCell ref="N170:O170"/>
    <mergeCell ref="N171:O171"/>
    <mergeCell ref="N172:O172"/>
    <mergeCell ref="N173:O173"/>
    <mergeCell ref="N174:O174"/>
    <mergeCell ref="N183:O183"/>
    <mergeCell ref="N164:O164"/>
    <mergeCell ref="N165:O165"/>
    <mergeCell ref="N166:O166"/>
    <mergeCell ref="N167:O167"/>
    <mergeCell ref="N168:O168"/>
    <mergeCell ref="N169:O169"/>
    <mergeCell ref="N158:O158"/>
    <mergeCell ref="N159:O159"/>
    <mergeCell ref="N160:O160"/>
    <mergeCell ref="N161:O161"/>
    <mergeCell ref="N162:O162"/>
    <mergeCell ref="N163:O163"/>
    <mergeCell ref="N152:O152"/>
    <mergeCell ref="N153:O153"/>
    <mergeCell ref="N154:O154"/>
    <mergeCell ref="N155:O155"/>
    <mergeCell ref="N156:O156"/>
    <mergeCell ref="N157:O157"/>
    <mergeCell ref="N146:O146"/>
    <mergeCell ref="N147:O147"/>
    <mergeCell ref="N148:O148"/>
    <mergeCell ref="N149:O149"/>
    <mergeCell ref="N150:O150"/>
    <mergeCell ref="N151:O151"/>
    <mergeCell ref="N142:O142"/>
    <mergeCell ref="N143:O143"/>
    <mergeCell ref="N144:O144"/>
    <mergeCell ref="N145:O145"/>
    <mergeCell ref="L182:M182"/>
    <mergeCell ref="L183:M183"/>
    <mergeCell ref="L184:M184"/>
    <mergeCell ref="L178:M178"/>
    <mergeCell ref="L179:M179"/>
    <mergeCell ref="L180:M180"/>
    <mergeCell ref="L181:M181"/>
    <mergeCell ref="L161:M161"/>
    <mergeCell ref="L162:M162"/>
    <mergeCell ref="L163:M163"/>
    <mergeCell ref="L177:M177"/>
    <mergeCell ref="L170:M170"/>
    <mergeCell ref="L171:M171"/>
    <mergeCell ref="L172:M172"/>
    <mergeCell ref="L173:M173"/>
    <mergeCell ref="L174:M174"/>
    <mergeCell ref="L175:M175"/>
    <mergeCell ref="L164:M164"/>
    <mergeCell ref="L165:M165"/>
    <mergeCell ref="L166:M166"/>
    <mergeCell ref="L176:M176"/>
    <mergeCell ref="L167:M167"/>
    <mergeCell ref="L168:M168"/>
    <mergeCell ref="L169:M169"/>
    <mergeCell ref="N133:O133"/>
    <mergeCell ref="N134:O134"/>
    <mergeCell ref="N135:O135"/>
    <mergeCell ref="N136:O136"/>
    <mergeCell ref="N137:O137"/>
    <mergeCell ref="N138:O138"/>
    <mergeCell ref="N139:O139"/>
    <mergeCell ref="N140:O140"/>
    <mergeCell ref="N141:O141"/>
    <mergeCell ref="L149:M149"/>
    <mergeCell ref="L150:M150"/>
    <mergeCell ref="L151:M151"/>
    <mergeCell ref="L158:M158"/>
    <mergeCell ref="L159:M159"/>
    <mergeCell ref="L160:M160"/>
    <mergeCell ref="L152:M152"/>
    <mergeCell ref="L153:M153"/>
    <mergeCell ref="L154:M154"/>
    <mergeCell ref="L155:M155"/>
    <mergeCell ref="L156:M156"/>
    <mergeCell ref="L157:M157"/>
    <mergeCell ref="L140:M140"/>
    <mergeCell ref="L141:M141"/>
    <mergeCell ref="L142:M142"/>
    <mergeCell ref="L143:M143"/>
    <mergeCell ref="L144:M144"/>
    <mergeCell ref="L145:M145"/>
    <mergeCell ref="L146:M146"/>
    <mergeCell ref="L147:M147"/>
    <mergeCell ref="L148:M148"/>
    <mergeCell ref="J183:K183"/>
    <mergeCell ref="J184:K184"/>
    <mergeCell ref="L132:M132"/>
    <mergeCell ref="L133:M133"/>
    <mergeCell ref="L134:M134"/>
    <mergeCell ref="L135:M135"/>
    <mergeCell ref="L136:M136"/>
    <mergeCell ref="L137:M137"/>
    <mergeCell ref="L138:M138"/>
    <mergeCell ref="L139:M139"/>
    <mergeCell ref="J177:K177"/>
    <mergeCell ref="J178:K178"/>
    <mergeCell ref="J179:K179"/>
    <mergeCell ref="J180:K180"/>
    <mergeCell ref="J181:K181"/>
    <mergeCell ref="J182:K182"/>
    <mergeCell ref="J171:K171"/>
    <mergeCell ref="J172:K172"/>
    <mergeCell ref="J173:K173"/>
    <mergeCell ref="J174:K174"/>
    <mergeCell ref="J175:K175"/>
    <mergeCell ref="J176:K176"/>
    <mergeCell ref="J165:K165"/>
    <mergeCell ref="J166:K166"/>
    <mergeCell ref="H184:I184"/>
    <mergeCell ref="J132:K132"/>
    <mergeCell ref="J133:K133"/>
    <mergeCell ref="J134:K134"/>
    <mergeCell ref="J135:K135"/>
    <mergeCell ref="J136:K136"/>
    <mergeCell ref="J137:K137"/>
    <mergeCell ref="J138:K138"/>
    <mergeCell ref="J139:K139"/>
    <mergeCell ref="J140:K140"/>
    <mergeCell ref="H178:I178"/>
    <mergeCell ref="H179:I179"/>
    <mergeCell ref="H180:I180"/>
    <mergeCell ref="H181:I181"/>
    <mergeCell ref="H182:I182"/>
    <mergeCell ref="H183:I183"/>
    <mergeCell ref="H172:I172"/>
    <mergeCell ref="H173:I173"/>
    <mergeCell ref="H176:I176"/>
    <mergeCell ref="H177:I177"/>
    <mergeCell ref="H166:I166"/>
    <mergeCell ref="H167:I167"/>
    <mergeCell ref="H168:I168"/>
    <mergeCell ref="H169:I169"/>
    <mergeCell ref="H174:I174"/>
    <mergeCell ref="H175:I175"/>
    <mergeCell ref="J141:K141"/>
    <mergeCell ref="J142:K142"/>
    <mergeCell ref="J143:K143"/>
    <mergeCell ref="J144:K144"/>
    <mergeCell ref="J145:K145"/>
    <mergeCell ref="J146:K146"/>
    <mergeCell ref="J147:K147"/>
    <mergeCell ref="J148:K148"/>
    <mergeCell ref="J149:K149"/>
    <mergeCell ref="J150:K150"/>
    <mergeCell ref="J151:K151"/>
    <mergeCell ref="J152:K152"/>
    <mergeCell ref="J167:K167"/>
    <mergeCell ref="J168:K168"/>
    <mergeCell ref="J169:K169"/>
    <mergeCell ref="J170:K170"/>
    <mergeCell ref="H165:I165"/>
    <mergeCell ref="H154:I154"/>
    <mergeCell ref="H155:I155"/>
    <mergeCell ref="H156:I156"/>
    <mergeCell ref="J163:K163"/>
    <mergeCell ref="J164:K164"/>
    <mergeCell ref="J153:K153"/>
    <mergeCell ref="J154:K154"/>
    <mergeCell ref="J155:K155"/>
    <mergeCell ref="J156:K156"/>
    <mergeCell ref="J157:K157"/>
    <mergeCell ref="J158:K158"/>
    <mergeCell ref="J159:K159"/>
    <mergeCell ref="H170:I170"/>
    <mergeCell ref="H171:I171"/>
    <mergeCell ref="J160:K160"/>
    <mergeCell ref="H163:I163"/>
    <mergeCell ref="H164:I164"/>
    <mergeCell ref="J161:K161"/>
    <mergeCell ref="J162:K162"/>
    <mergeCell ref="R128:W128"/>
    <mergeCell ref="H130:I130"/>
    <mergeCell ref="J130:K130"/>
    <mergeCell ref="L130:M130"/>
    <mergeCell ref="N130:O130"/>
    <mergeCell ref="H132:I132"/>
    <mergeCell ref="N132:O132"/>
    <mergeCell ref="H131:I131"/>
    <mergeCell ref="J131:K131"/>
    <mergeCell ref="L131:M131"/>
    <mergeCell ref="H144:I144"/>
    <mergeCell ref="H145:I145"/>
    <mergeCell ref="H146:I146"/>
    <mergeCell ref="H147:I147"/>
    <mergeCell ref="H160:I160"/>
    <mergeCell ref="H161:I161"/>
    <mergeCell ref="H162:I162"/>
    <mergeCell ref="H157:I157"/>
    <mergeCell ref="H158:I158"/>
    <mergeCell ref="H159:I159"/>
    <mergeCell ref="G3:M3"/>
    <mergeCell ref="O3:Q3"/>
    <mergeCell ref="C9:D9"/>
    <mergeCell ref="C10:D10"/>
    <mergeCell ref="A4:A5"/>
    <mergeCell ref="B4:B5"/>
    <mergeCell ref="C4:D5"/>
    <mergeCell ref="E4:E5"/>
    <mergeCell ref="F4:F5"/>
    <mergeCell ref="G4:J4"/>
    <mergeCell ref="AP4:AS4"/>
    <mergeCell ref="C8:D8"/>
    <mergeCell ref="K4:N4"/>
    <mergeCell ref="O4:R4"/>
    <mergeCell ref="S4:S5"/>
    <mergeCell ref="T4:T5"/>
    <mergeCell ref="C13:D13"/>
    <mergeCell ref="C14:D14"/>
    <mergeCell ref="C15:D15"/>
    <mergeCell ref="C11:D11"/>
    <mergeCell ref="C12:D12"/>
    <mergeCell ref="Z4:AC4"/>
    <mergeCell ref="AD4:AG4"/>
    <mergeCell ref="AH4:AK4"/>
    <mergeCell ref="AL4:AO4"/>
    <mergeCell ref="U4:U5"/>
    <mergeCell ref="V4:Y4"/>
    <mergeCell ref="C7:D7"/>
    <mergeCell ref="C6:D6"/>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7:D117"/>
    <mergeCell ref="C111:D111"/>
    <mergeCell ref="C112:D112"/>
    <mergeCell ref="C113:D113"/>
    <mergeCell ref="C114:D114"/>
    <mergeCell ref="C115:D115"/>
    <mergeCell ref="C116:D116"/>
    <mergeCell ref="H186:I186"/>
    <mergeCell ref="J186:K186"/>
    <mergeCell ref="L186:M186"/>
    <mergeCell ref="N186:O186"/>
    <mergeCell ref="C120:D120"/>
    <mergeCell ref="C121:D121"/>
    <mergeCell ref="N131:O131"/>
    <mergeCell ref="H133:I133"/>
    <mergeCell ref="H134:I134"/>
    <mergeCell ref="H135:I135"/>
    <mergeCell ref="H136:I136"/>
    <mergeCell ref="H137:I137"/>
    <mergeCell ref="H138:I138"/>
    <mergeCell ref="H139:I139"/>
    <mergeCell ref="H140:I140"/>
    <mergeCell ref="H141:I141"/>
    <mergeCell ref="H148:I148"/>
    <mergeCell ref="H149:I149"/>
    <mergeCell ref="H150:I150"/>
    <mergeCell ref="H151:I151"/>
    <mergeCell ref="H152:I152"/>
    <mergeCell ref="H153:I153"/>
    <mergeCell ref="H142:I142"/>
    <mergeCell ref="H143:I143"/>
  </mergeCells>
  <phoneticPr fontId="0" type="noConversion"/>
  <pageMargins left="0.78740157499999996" right="0.78740157499999996" top="0.984251969" bottom="0.984251969" header="0.4921259845" footer="0.4921259845"/>
  <pageSetup paperSize="9" orientation="portrait" r:id="rId1"/>
  <headerFooter alignWithMargins="0"/>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200"/>
  <sheetViews>
    <sheetView zoomScale="120" zoomScaleNormal="120" workbookViewId="0">
      <pane xSplit="1" ySplit="5" topLeftCell="B6" activePane="bottomRight" state="frozen"/>
      <selection pane="topRight" activeCell="B1" sqref="B1"/>
      <selection pane="bottomLeft" activeCell="A6" sqref="A6"/>
      <selection pane="bottomRight" activeCell="G140" sqref="G140"/>
    </sheetView>
  </sheetViews>
  <sheetFormatPr baseColWidth="10" defaultColWidth="10.7109375" defaultRowHeight="9" x14ac:dyDescent="0.15"/>
  <cols>
    <col min="1" max="1" width="5.85546875" style="1" customWidth="1"/>
    <col min="2" max="6" width="7.85546875" style="1" customWidth="1"/>
    <col min="7" max="18" width="4.5703125" style="1" customWidth="1"/>
    <col min="19" max="21" width="7.85546875" style="1" customWidth="1"/>
    <col min="22" max="45" width="5.5703125" style="1" customWidth="1"/>
    <col min="46" max="53" width="5.7109375" style="1" customWidth="1"/>
    <col min="54" max="16384" width="10.7109375" style="1"/>
  </cols>
  <sheetData>
    <row r="1" spans="1:53" s="2" customFormat="1" ht="15" customHeight="1" x14ac:dyDescent="0.2">
      <c r="B1" s="22" t="s">
        <v>14</v>
      </c>
    </row>
    <row r="2" spans="1:53" s="2" customFormat="1" ht="15" customHeight="1" x14ac:dyDescent="0.2">
      <c r="B2" s="22" t="s">
        <v>56</v>
      </c>
    </row>
    <row r="3" spans="1:53" s="2" customFormat="1" x14ac:dyDescent="0.15">
      <c r="G3" s="814"/>
      <c r="H3" s="814"/>
      <c r="I3" s="814"/>
      <c r="J3" s="814"/>
      <c r="K3" s="814"/>
      <c r="L3" s="814"/>
      <c r="M3" s="814"/>
      <c r="O3" s="814"/>
      <c r="P3" s="814"/>
      <c r="Q3" s="814"/>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1" t="s">
        <v>23</v>
      </c>
      <c r="AU5" s="351" t="s">
        <v>24</v>
      </c>
      <c r="AV5" s="351" t="s">
        <v>25</v>
      </c>
      <c r="AW5" s="353" t="s">
        <v>1217</v>
      </c>
      <c r="AX5" s="351" t="s">
        <v>23</v>
      </c>
      <c r="AY5" s="351" t="s">
        <v>24</v>
      </c>
      <c r="AZ5" s="351" t="s">
        <v>25</v>
      </c>
      <c r="BA5" s="354" t="s">
        <v>1217</v>
      </c>
    </row>
    <row r="6" spans="1:53" s="257" customFormat="1" x14ac:dyDescent="0.15">
      <c r="A6" s="263">
        <v>1959</v>
      </c>
      <c r="B6" s="252"/>
      <c r="C6" s="815" t="s">
        <v>775</v>
      </c>
      <c r="D6" s="815"/>
      <c r="E6" s="257">
        <v>0</v>
      </c>
      <c r="G6" s="265">
        <v>16</v>
      </c>
      <c r="J6" s="272">
        <v>16</v>
      </c>
      <c r="K6" s="248">
        <f>G6/J6*100</f>
        <v>100</v>
      </c>
      <c r="L6" s="248">
        <f>H6/J6*100</f>
        <v>0</v>
      </c>
      <c r="M6" s="248">
        <f>I6/J6*100</f>
        <v>0</v>
      </c>
      <c r="N6" s="267">
        <f>SUM(K6:M6)</f>
        <v>100</v>
      </c>
      <c r="O6" s="247">
        <v>57</v>
      </c>
      <c r="P6" s="248"/>
      <c r="Q6" s="248"/>
      <c r="R6" s="249">
        <f>SUM(O6:Q6)</f>
        <v>57</v>
      </c>
      <c r="S6" s="257">
        <v>1</v>
      </c>
      <c r="T6" s="278"/>
      <c r="U6" s="252"/>
      <c r="V6" s="256" t="s">
        <v>790</v>
      </c>
      <c r="W6" s="257" t="s">
        <v>74</v>
      </c>
      <c r="X6" s="257" t="s">
        <v>11</v>
      </c>
      <c r="Y6" s="258">
        <v>57</v>
      </c>
      <c r="AD6" s="279"/>
      <c r="AG6" s="258"/>
      <c r="AL6" s="256"/>
      <c r="AO6" s="258"/>
      <c r="AP6" s="256"/>
      <c r="AS6" s="258"/>
      <c r="AW6" s="258"/>
      <c r="BA6" s="259"/>
    </row>
    <row r="7" spans="1:53" s="257" customFormat="1" x14ac:dyDescent="0.15">
      <c r="A7" s="263">
        <v>1959</v>
      </c>
      <c r="B7" s="252"/>
      <c r="C7" s="815" t="s">
        <v>775</v>
      </c>
      <c r="D7" s="815"/>
      <c r="E7" s="257">
        <v>365</v>
      </c>
      <c r="G7" s="265">
        <v>16</v>
      </c>
      <c r="J7" s="272">
        <v>16</v>
      </c>
      <c r="K7" s="248">
        <f>G7/J7*100</f>
        <v>100</v>
      </c>
      <c r="L7" s="248">
        <f>H7/J7*100</f>
        <v>0</v>
      </c>
      <c r="M7" s="248">
        <f>I7/J7*100</f>
        <v>0</v>
      </c>
      <c r="N7" s="267">
        <f>SUM(K7:M7)</f>
        <v>100</v>
      </c>
      <c r="O7" s="247">
        <v>57</v>
      </c>
      <c r="P7" s="248"/>
      <c r="Q7" s="248"/>
      <c r="R7" s="249">
        <f>SUM(O7:Q7)</f>
        <v>57</v>
      </c>
      <c r="S7" s="257">
        <v>1</v>
      </c>
      <c r="T7" s="278"/>
      <c r="U7" s="252"/>
      <c r="V7" s="256" t="s">
        <v>790</v>
      </c>
      <c r="W7" s="257" t="s">
        <v>74</v>
      </c>
      <c r="X7" s="257" t="s">
        <v>11</v>
      </c>
      <c r="Y7" s="258">
        <v>57</v>
      </c>
      <c r="AD7" s="279"/>
      <c r="AG7" s="258"/>
      <c r="AL7" s="256"/>
      <c r="AO7" s="258"/>
      <c r="AP7" s="256"/>
      <c r="AS7" s="258"/>
      <c r="AW7" s="258"/>
      <c r="BA7" s="259"/>
    </row>
    <row r="8" spans="1:53" s="73" customFormat="1" x14ac:dyDescent="0.15">
      <c r="A8" s="102">
        <v>1960</v>
      </c>
      <c r="B8" s="85"/>
      <c r="C8" s="811" t="s">
        <v>775</v>
      </c>
      <c r="D8" s="811"/>
      <c r="E8" s="73">
        <v>0</v>
      </c>
      <c r="G8" s="123">
        <v>16</v>
      </c>
      <c r="J8" s="134">
        <v>16</v>
      </c>
      <c r="K8" s="92">
        <f>G8/J8*100</f>
        <v>100</v>
      </c>
      <c r="L8" s="92">
        <f>H8/J8*100</f>
        <v>0</v>
      </c>
      <c r="M8" s="92">
        <f>I8/J8*100</f>
        <v>0</v>
      </c>
      <c r="N8" s="125">
        <f>SUM(K8:M8)</f>
        <v>100</v>
      </c>
      <c r="O8" s="91">
        <v>57</v>
      </c>
      <c r="P8" s="92"/>
      <c r="Q8" s="92"/>
      <c r="R8" s="93">
        <f>SUM(O8:Q8)</f>
        <v>57</v>
      </c>
      <c r="S8" s="73">
        <v>1</v>
      </c>
      <c r="T8" s="81"/>
      <c r="U8" s="85"/>
      <c r="V8" s="82" t="s">
        <v>790</v>
      </c>
      <c r="W8" s="73" t="s">
        <v>74</v>
      </c>
      <c r="X8" s="73" t="s">
        <v>11</v>
      </c>
      <c r="Y8" s="83">
        <v>57</v>
      </c>
      <c r="AD8" s="161"/>
      <c r="AG8" s="83"/>
      <c r="AL8" s="82"/>
      <c r="AO8" s="83"/>
      <c r="AP8" s="82"/>
      <c r="AS8" s="83"/>
      <c r="AW8" s="83"/>
      <c r="BA8" s="84"/>
    </row>
    <row r="9" spans="1:53" s="73" customFormat="1" x14ac:dyDescent="0.15">
      <c r="A9" s="102">
        <v>1960</v>
      </c>
      <c r="B9" s="85"/>
      <c r="C9" s="811" t="s">
        <v>775</v>
      </c>
      <c r="D9" s="811"/>
      <c r="E9" s="73">
        <v>366</v>
      </c>
      <c r="G9" s="123">
        <v>16</v>
      </c>
      <c r="J9" s="134">
        <v>16</v>
      </c>
      <c r="K9" s="92">
        <f>G9/J9*100</f>
        <v>100</v>
      </c>
      <c r="L9" s="92">
        <f>H9/J9*100</f>
        <v>0</v>
      </c>
      <c r="M9" s="92">
        <f>I9/J9*100</f>
        <v>0</v>
      </c>
      <c r="N9" s="125">
        <f>SUM(K9:M9)</f>
        <v>100</v>
      </c>
      <c r="O9" s="91">
        <v>57</v>
      </c>
      <c r="P9" s="92"/>
      <c r="Q9" s="92"/>
      <c r="R9" s="93">
        <f t="shared" ref="R9:R28" si="0">SUM(O9:Q9)</f>
        <v>57</v>
      </c>
      <c r="S9" s="73">
        <v>1</v>
      </c>
      <c r="T9" s="81"/>
      <c r="U9" s="85"/>
      <c r="V9" s="82" t="s">
        <v>790</v>
      </c>
      <c r="W9" s="73" t="s">
        <v>74</v>
      </c>
      <c r="X9" s="73" t="s">
        <v>11</v>
      </c>
      <c r="Y9" s="83">
        <v>57</v>
      </c>
      <c r="AD9" s="161"/>
      <c r="AG9" s="83"/>
      <c r="AL9" s="82"/>
      <c r="AO9" s="83"/>
      <c r="AP9" s="82"/>
      <c r="AS9" s="83"/>
      <c r="AW9" s="83"/>
      <c r="BA9" s="84"/>
    </row>
    <row r="10" spans="1:53" s="73" customFormat="1" x14ac:dyDescent="0.15">
      <c r="A10" s="102">
        <v>1961</v>
      </c>
      <c r="B10" s="85"/>
      <c r="C10" s="811" t="s">
        <v>775</v>
      </c>
      <c r="D10" s="811"/>
      <c r="E10" s="73">
        <v>263</v>
      </c>
      <c r="G10" s="123">
        <v>16</v>
      </c>
      <c r="J10" s="134">
        <v>16</v>
      </c>
      <c r="K10" s="92">
        <f>G10/J10*100</f>
        <v>100</v>
      </c>
      <c r="L10" s="92">
        <f>H10/J10*100</f>
        <v>0</v>
      </c>
      <c r="M10" s="92">
        <f>I10/J10*100</f>
        <v>0</v>
      </c>
      <c r="N10" s="125">
        <f>SUM(K10:M10)</f>
        <v>100</v>
      </c>
      <c r="O10" s="91">
        <v>57</v>
      </c>
      <c r="P10" s="92"/>
      <c r="Q10" s="92"/>
      <c r="R10" s="93">
        <f t="shared" si="0"/>
        <v>57</v>
      </c>
      <c r="S10" s="73">
        <v>1</v>
      </c>
      <c r="T10" s="81"/>
      <c r="U10" s="85"/>
      <c r="V10" s="82" t="s">
        <v>790</v>
      </c>
      <c r="W10" s="73" t="s">
        <v>74</v>
      </c>
      <c r="X10" s="73" t="s">
        <v>11</v>
      </c>
      <c r="Y10" s="83">
        <v>57</v>
      </c>
      <c r="AD10" s="161"/>
      <c r="AG10" s="83"/>
      <c r="AL10" s="82"/>
      <c r="AO10" s="83"/>
      <c r="AP10" s="82"/>
      <c r="AS10" s="83"/>
      <c r="AW10" s="83"/>
      <c r="BA10" s="84"/>
    </row>
    <row r="11" spans="1:53" s="334" customFormat="1" x14ac:dyDescent="0.15">
      <c r="A11" s="386">
        <v>1961</v>
      </c>
      <c r="B11" s="355">
        <v>22545</v>
      </c>
      <c r="C11" s="812" t="s">
        <v>776</v>
      </c>
      <c r="D11" s="812"/>
      <c r="E11" s="334">
        <v>44</v>
      </c>
      <c r="F11" s="334">
        <v>1</v>
      </c>
      <c r="G11" s="419">
        <v>0</v>
      </c>
      <c r="H11" s="334">
        <v>0</v>
      </c>
      <c r="I11" s="334">
        <v>0</v>
      </c>
      <c r="J11" s="435">
        <v>18</v>
      </c>
      <c r="K11" s="384">
        <f t="shared" ref="K11:K27" si="1">G11/J11*100</f>
        <v>0</v>
      </c>
      <c r="L11" s="384">
        <f t="shared" ref="L11:L27" si="2">H11/J11*100</f>
        <v>0</v>
      </c>
      <c r="M11" s="384">
        <f t="shared" ref="M11:M27" si="3">I11/J11*100</f>
        <v>0</v>
      </c>
      <c r="N11" s="421">
        <f t="shared" ref="N11:N27" si="4">SUM(K11:M11)</f>
        <v>0</v>
      </c>
      <c r="O11" s="383">
        <v>0</v>
      </c>
      <c r="P11" s="384">
        <v>0</v>
      </c>
      <c r="Q11" s="384">
        <v>0</v>
      </c>
      <c r="R11" s="385">
        <f t="shared" si="0"/>
        <v>0</v>
      </c>
      <c r="S11" s="334">
        <v>6</v>
      </c>
      <c r="T11" s="357"/>
      <c r="U11" s="355">
        <v>22545</v>
      </c>
      <c r="V11" s="438" t="s">
        <v>814</v>
      </c>
      <c r="Y11" s="344"/>
      <c r="AD11" s="449"/>
      <c r="AG11" s="344"/>
      <c r="AL11" s="343"/>
      <c r="AO11" s="344"/>
      <c r="AP11" s="343"/>
      <c r="AS11" s="344"/>
      <c r="AW11" s="344"/>
      <c r="BA11" s="345"/>
    </row>
    <row r="12" spans="1:53" s="73" customFormat="1" x14ac:dyDescent="0.15">
      <c r="A12" s="102">
        <v>1961</v>
      </c>
      <c r="B12" s="85">
        <v>22589</v>
      </c>
      <c r="C12" s="811" t="s">
        <v>778</v>
      </c>
      <c r="D12" s="811"/>
      <c r="E12" s="73">
        <v>58</v>
      </c>
      <c r="F12" s="73">
        <v>1</v>
      </c>
      <c r="G12" s="123">
        <v>18</v>
      </c>
      <c r="J12" s="134">
        <v>18</v>
      </c>
      <c r="K12" s="92">
        <f t="shared" si="1"/>
        <v>100</v>
      </c>
      <c r="L12" s="92">
        <f t="shared" si="2"/>
        <v>0</v>
      </c>
      <c r="M12" s="92">
        <f t="shared" si="3"/>
        <v>0</v>
      </c>
      <c r="N12" s="125">
        <f t="shared" si="4"/>
        <v>100</v>
      </c>
      <c r="O12" s="91">
        <v>58.7</v>
      </c>
      <c r="P12" s="92"/>
      <c r="Q12" s="92"/>
      <c r="R12" s="93">
        <f t="shared" si="0"/>
        <v>58.7</v>
      </c>
      <c r="S12" s="73">
        <v>1</v>
      </c>
      <c r="T12" s="95">
        <v>22583</v>
      </c>
      <c r="U12" s="85">
        <v>22589</v>
      </c>
      <c r="V12" s="82" t="s">
        <v>790</v>
      </c>
      <c r="W12" s="73" t="s">
        <v>74</v>
      </c>
      <c r="X12" s="73" t="s">
        <v>11</v>
      </c>
      <c r="Y12" s="83">
        <v>58.7</v>
      </c>
      <c r="AD12" s="161"/>
      <c r="AG12" s="83"/>
      <c r="AL12" s="82"/>
      <c r="AO12" s="83"/>
      <c r="AP12" s="82"/>
      <c r="AS12" s="83"/>
      <c r="AW12" s="83"/>
      <c r="BA12" s="84"/>
    </row>
    <row r="13" spans="1:53" s="73" customFormat="1" x14ac:dyDescent="0.15">
      <c r="A13" s="102">
        <v>1962</v>
      </c>
      <c r="B13" s="85"/>
      <c r="C13" s="811" t="s">
        <v>778</v>
      </c>
      <c r="D13" s="811"/>
      <c r="E13" s="73">
        <v>0</v>
      </c>
      <c r="G13" s="123">
        <v>18</v>
      </c>
      <c r="J13" s="134">
        <v>18</v>
      </c>
      <c r="K13" s="92">
        <f t="shared" si="1"/>
        <v>100</v>
      </c>
      <c r="L13" s="92">
        <f t="shared" si="2"/>
        <v>0</v>
      </c>
      <c r="M13" s="92">
        <f t="shared" si="3"/>
        <v>0</v>
      </c>
      <c r="N13" s="125">
        <f t="shared" si="4"/>
        <v>100</v>
      </c>
      <c r="O13" s="91">
        <v>58.7</v>
      </c>
      <c r="P13" s="92"/>
      <c r="Q13" s="92"/>
      <c r="R13" s="93">
        <f t="shared" si="0"/>
        <v>58.7</v>
      </c>
      <c r="S13" s="73">
        <v>1</v>
      </c>
      <c r="T13" s="81"/>
      <c r="U13" s="85"/>
      <c r="V13" s="82" t="s">
        <v>790</v>
      </c>
      <c r="W13" s="73" t="s">
        <v>74</v>
      </c>
      <c r="X13" s="73" t="s">
        <v>11</v>
      </c>
      <c r="Y13" s="83">
        <v>58.7</v>
      </c>
      <c r="AD13" s="161"/>
      <c r="AG13" s="83"/>
      <c r="AL13" s="82"/>
      <c r="AO13" s="83"/>
      <c r="AP13" s="82"/>
      <c r="AS13" s="83"/>
      <c r="AW13" s="83"/>
      <c r="BA13" s="84"/>
    </row>
    <row r="14" spans="1:53" s="73" customFormat="1" x14ac:dyDescent="0.15">
      <c r="A14" s="102">
        <v>1962</v>
      </c>
      <c r="B14" s="85"/>
      <c r="C14" s="811" t="s">
        <v>778</v>
      </c>
      <c r="D14" s="811"/>
      <c r="E14" s="73">
        <v>365</v>
      </c>
      <c r="G14" s="123">
        <v>18</v>
      </c>
      <c r="J14" s="134">
        <v>18</v>
      </c>
      <c r="K14" s="92">
        <f t="shared" si="1"/>
        <v>100</v>
      </c>
      <c r="L14" s="92">
        <f t="shared" si="2"/>
        <v>0</v>
      </c>
      <c r="M14" s="92">
        <f t="shared" si="3"/>
        <v>0</v>
      </c>
      <c r="N14" s="125">
        <f t="shared" si="4"/>
        <v>100</v>
      </c>
      <c r="O14" s="91">
        <v>58.7</v>
      </c>
      <c r="P14" s="92"/>
      <c r="Q14" s="92"/>
      <c r="R14" s="93">
        <f t="shared" si="0"/>
        <v>58.7</v>
      </c>
      <c r="S14" s="73">
        <v>1</v>
      </c>
      <c r="T14" s="81"/>
      <c r="U14" s="85"/>
      <c r="V14" s="82" t="s">
        <v>790</v>
      </c>
      <c r="W14" s="73" t="s">
        <v>74</v>
      </c>
      <c r="X14" s="73" t="s">
        <v>11</v>
      </c>
      <c r="Y14" s="83">
        <v>58.7</v>
      </c>
      <c r="AD14" s="161"/>
      <c r="AG14" s="83"/>
      <c r="AL14" s="82"/>
      <c r="AO14" s="83"/>
      <c r="AP14" s="82"/>
      <c r="AS14" s="83"/>
      <c r="AW14" s="83"/>
      <c r="BA14" s="84"/>
    </row>
    <row r="15" spans="1:53" s="73" customFormat="1" x14ac:dyDescent="0.15">
      <c r="A15" s="102">
        <v>1962.6</v>
      </c>
      <c r="B15" s="85"/>
      <c r="C15" s="811" t="s">
        <v>778</v>
      </c>
      <c r="D15" s="811"/>
      <c r="E15" s="73">
        <v>169</v>
      </c>
      <c r="G15" s="123">
        <v>18</v>
      </c>
      <c r="J15" s="134">
        <v>18</v>
      </c>
      <c r="K15" s="92">
        <f t="shared" si="1"/>
        <v>100</v>
      </c>
      <c r="L15" s="92">
        <f t="shared" si="2"/>
        <v>0</v>
      </c>
      <c r="M15" s="92">
        <f t="shared" si="3"/>
        <v>0</v>
      </c>
      <c r="N15" s="125">
        <f t="shared" si="4"/>
        <v>100</v>
      </c>
      <c r="O15" s="91">
        <v>58.7</v>
      </c>
      <c r="P15" s="92"/>
      <c r="Q15" s="92"/>
      <c r="R15" s="93">
        <f t="shared" si="0"/>
        <v>58.7</v>
      </c>
      <c r="S15" s="73">
        <v>1</v>
      </c>
      <c r="T15" s="81"/>
      <c r="U15" s="85"/>
      <c r="V15" s="82" t="s">
        <v>790</v>
      </c>
      <c r="W15" s="73" t="s">
        <v>74</v>
      </c>
      <c r="X15" s="73" t="s">
        <v>11</v>
      </c>
      <c r="Y15" s="83">
        <v>58.7</v>
      </c>
      <c r="AD15" s="161"/>
      <c r="AG15" s="83"/>
      <c r="AL15" s="82"/>
      <c r="AO15" s="83"/>
      <c r="AP15" s="82"/>
      <c r="AS15" s="83"/>
      <c r="AW15" s="83"/>
      <c r="BA15" s="84"/>
    </row>
    <row r="16" spans="1:53" s="334" customFormat="1" x14ac:dyDescent="0.15">
      <c r="A16" s="386">
        <v>1963.05714285714</v>
      </c>
      <c r="B16" s="355">
        <v>23181</v>
      </c>
      <c r="C16" s="812" t="s">
        <v>779</v>
      </c>
      <c r="D16" s="812"/>
      <c r="E16" s="334">
        <v>101</v>
      </c>
      <c r="F16" s="334">
        <v>2</v>
      </c>
      <c r="G16" s="419">
        <v>0</v>
      </c>
      <c r="H16" s="334">
        <v>0</v>
      </c>
      <c r="I16" s="334">
        <v>0</v>
      </c>
      <c r="J16" s="435">
        <v>17</v>
      </c>
      <c r="K16" s="384">
        <f t="shared" si="1"/>
        <v>0</v>
      </c>
      <c r="L16" s="384">
        <f t="shared" si="2"/>
        <v>0</v>
      </c>
      <c r="M16" s="384">
        <f t="shared" si="3"/>
        <v>0</v>
      </c>
      <c r="N16" s="421">
        <f t="shared" si="4"/>
        <v>0</v>
      </c>
      <c r="O16" s="383">
        <v>0</v>
      </c>
      <c r="P16" s="384">
        <v>0</v>
      </c>
      <c r="Q16" s="384">
        <v>0</v>
      </c>
      <c r="R16" s="385">
        <f t="shared" si="0"/>
        <v>0</v>
      </c>
      <c r="S16" s="334">
        <v>6</v>
      </c>
      <c r="T16" s="357"/>
      <c r="U16" s="355">
        <v>23181</v>
      </c>
      <c r="V16" s="438" t="s">
        <v>814</v>
      </c>
      <c r="Y16" s="344"/>
      <c r="AD16" s="449"/>
      <c r="AG16" s="344"/>
      <c r="AL16" s="343"/>
      <c r="AO16" s="344"/>
      <c r="AP16" s="343"/>
      <c r="AS16" s="344"/>
      <c r="AW16" s="344"/>
      <c r="BA16" s="345"/>
    </row>
    <row r="17" spans="1:53" s="73" customFormat="1" x14ac:dyDescent="0.15">
      <c r="A17" s="102">
        <v>1963.05714285714</v>
      </c>
      <c r="B17" s="85">
        <v>23282</v>
      </c>
      <c r="C17" s="811" t="s">
        <v>780</v>
      </c>
      <c r="D17" s="811"/>
      <c r="E17" s="73">
        <v>41</v>
      </c>
      <c r="F17" s="73">
        <v>2</v>
      </c>
      <c r="G17" s="123">
        <v>0</v>
      </c>
      <c r="H17" s="73">
        <v>0</v>
      </c>
      <c r="I17" s="73">
        <v>0</v>
      </c>
      <c r="J17" s="134">
        <v>16</v>
      </c>
      <c r="K17" s="92">
        <f t="shared" si="1"/>
        <v>0</v>
      </c>
      <c r="L17" s="92">
        <f t="shared" si="2"/>
        <v>0</v>
      </c>
      <c r="M17" s="92">
        <f t="shared" si="3"/>
        <v>0</v>
      </c>
      <c r="N17" s="125">
        <f t="shared" si="4"/>
        <v>0</v>
      </c>
      <c r="O17" s="91">
        <v>0</v>
      </c>
      <c r="P17" s="92">
        <v>0</v>
      </c>
      <c r="Q17" s="92">
        <v>0</v>
      </c>
      <c r="R17" s="93">
        <f t="shared" si="0"/>
        <v>0</v>
      </c>
      <c r="S17" s="73">
        <v>6</v>
      </c>
      <c r="T17" s="81"/>
      <c r="U17" s="85">
        <v>23282</v>
      </c>
      <c r="V17" s="158" t="s">
        <v>814</v>
      </c>
      <c r="Y17" s="83"/>
      <c r="AD17" s="161"/>
      <c r="AG17" s="83"/>
      <c r="AL17" s="82"/>
      <c r="AO17" s="83"/>
      <c r="AP17" s="82"/>
      <c r="AS17" s="83"/>
      <c r="AW17" s="83"/>
      <c r="BA17" s="84"/>
    </row>
    <row r="18" spans="1:53" s="334" customFormat="1" x14ac:dyDescent="0.15">
      <c r="A18" s="386">
        <v>1963.05714285714</v>
      </c>
      <c r="B18" s="355">
        <v>23323</v>
      </c>
      <c r="C18" s="812" t="s">
        <v>781</v>
      </c>
      <c r="D18" s="812"/>
      <c r="E18" s="334">
        <v>53</v>
      </c>
      <c r="F18" s="334">
        <v>1</v>
      </c>
      <c r="G18" s="419">
        <v>21</v>
      </c>
      <c r="J18" s="435">
        <v>21</v>
      </c>
      <c r="K18" s="384">
        <f t="shared" si="1"/>
        <v>100</v>
      </c>
      <c r="L18" s="384">
        <f t="shared" si="2"/>
        <v>0</v>
      </c>
      <c r="M18" s="384">
        <f t="shared" si="3"/>
        <v>0</v>
      </c>
      <c r="N18" s="421">
        <f t="shared" si="4"/>
        <v>100</v>
      </c>
      <c r="O18" s="383">
        <v>46</v>
      </c>
      <c r="P18" s="384"/>
      <c r="Q18" s="384"/>
      <c r="R18" s="385">
        <f t="shared" si="0"/>
        <v>46</v>
      </c>
      <c r="S18" s="334">
        <v>4</v>
      </c>
      <c r="T18" s="342">
        <v>23318</v>
      </c>
      <c r="U18" s="355">
        <v>23323</v>
      </c>
      <c r="V18" s="343" t="s">
        <v>578</v>
      </c>
      <c r="W18" s="334" t="s">
        <v>22</v>
      </c>
      <c r="X18" s="334" t="s">
        <v>11</v>
      </c>
      <c r="Y18" s="344">
        <v>46</v>
      </c>
      <c r="AD18" s="449"/>
      <c r="AG18" s="344"/>
      <c r="AL18" s="343"/>
      <c r="AO18" s="344"/>
      <c r="AP18" s="343"/>
      <c r="AS18" s="344"/>
      <c r="AW18" s="344"/>
      <c r="BA18" s="345"/>
    </row>
    <row r="19" spans="1:53" s="73" customFormat="1" x14ac:dyDescent="0.15">
      <c r="A19" s="102">
        <v>1963.05714285714</v>
      </c>
      <c r="B19" s="85">
        <v>23376</v>
      </c>
      <c r="C19" s="811" t="s">
        <v>782</v>
      </c>
      <c r="D19" s="811"/>
      <c r="E19" s="73">
        <v>1</v>
      </c>
      <c r="F19" s="73">
        <v>5</v>
      </c>
      <c r="G19" s="123">
        <v>0</v>
      </c>
      <c r="H19" s="73">
        <v>0</v>
      </c>
      <c r="I19" s="73">
        <v>0</v>
      </c>
      <c r="J19" s="134">
        <v>17</v>
      </c>
      <c r="K19" s="92">
        <f t="shared" si="1"/>
        <v>0</v>
      </c>
      <c r="L19" s="92">
        <f t="shared" si="2"/>
        <v>0</v>
      </c>
      <c r="M19" s="92">
        <f t="shared" si="3"/>
        <v>0</v>
      </c>
      <c r="N19" s="125">
        <f t="shared" si="4"/>
        <v>0</v>
      </c>
      <c r="O19" s="91">
        <v>0</v>
      </c>
      <c r="P19" s="92">
        <v>0</v>
      </c>
      <c r="Q19" s="92">
        <v>0</v>
      </c>
      <c r="R19" s="93">
        <f t="shared" si="0"/>
        <v>0</v>
      </c>
      <c r="S19" s="73">
        <v>6</v>
      </c>
      <c r="T19" s="81"/>
      <c r="U19" s="85">
        <v>23376</v>
      </c>
      <c r="V19" s="158" t="s">
        <v>814</v>
      </c>
      <c r="Y19" s="83"/>
      <c r="AD19" s="161"/>
      <c r="AG19" s="83"/>
      <c r="AL19" s="82"/>
      <c r="AO19" s="83"/>
      <c r="AP19" s="82"/>
      <c r="AS19" s="83"/>
      <c r="AW19" s="83"/>
      <c r="BA19" s="84"/>
    </row>
    <row r="20" spans="1:53" s="73" customFormat="1" x14ac:dyDescent="0.15">
      <c r="A20" s="102">
        <v>1963.5142857142901</v>
      </c>
      <c r="B20" s="85"/>
      <c r="C20" s="811" t="s">
        <v>782</v>
      </c>
      <c r="D20" s="811"/>
      <c r="E20" s="73">
        <v>49</v>
      </c>
      <c r="G20" s="123">
        <v>0</v>
      </c>
      <c r="H20" s="73">
        <v>0</v>
      </c>
      <c r="I20" s="73">
        <v>0</v>
      </c>
      <c r="J20" s="134">
        <v>17</v>
      </c>
      <c r="K20" s="92">
        <f t="shared" si="1"/>
        <v>0</v>
      </c>
      <c r="L20" s="92">
        <f t="shared" si="2"/>
        <v>0</v>
      </c>
      <c r="M20" s="92">
        <f t="shared" si="3"/>
        <v>0</v>
      </c>
      <c r="N20" s="125">
        <f t="shared" si="4"/>
        <v>0</v>
      </c>
      <c r="O20" s="91">
        <v>0</v>
      </c>
      <c r="P20" s="92">
        <v>0</v>
      </c>
      <c r="Q20" s="92">
        <v>0</v>
      </c>
      <c r="R20" s="93">
        <f t="shared" si="0"/>
        <v>0</v>
      </c>
      <c r="S20" s="73">
        <v>6</v>
      </c>
      <c r="T20" s="81"/>
      <c r="U20" s="85"/>
      <c r="V20" s="158" t="s">
        <v>814</v>
      </c>
      <c r="Y20" s="83"/>
      <c r="AD20" s="161"/>
      <c r="AG20" s="83"/>
      <c r="AL20" s="82"/>
      <c r="AO20" s="83"/>
      <c r="AP20" s="82"/>
      <c r="AS20" s="83"/>
      <c r="AW20" s="83"/>
      <c r="BA20" s="84"/>
    </row>
    <row r="21" spans="1:53" s="334" customFormat="1" x14ac:dyDescent="0.15">
      <c r="A21" s="386">
        <v>1963.9714285714299</v>
      </c>
      <c r="B21" s="355">
        <v>23426</v>
      </c>
      <c r="C21" s="812" t="s">
        <v>783</v>
      </c>
      <c r="D21" s="812"/>
      <c r="E21" s="334">
        <v>317</v>
      </c>
      <c r="F21" s="334">
        <v>1</v>
      </c>
      <c r="G21" s="419">
        <v>21</v>
      </c>
      <c r="J21" s="435">
        <v>21</v>
      </c>
      <c r="K21" s="384">
        <f t="shared" si="1"/>
        <v>100</v>
      </c>
      <c r="L21" s="384">
        <f t="shared" si="2"/>
        <v>0</v>
      </c>
      <c r="M21" s="384">
        <f t="shared" si="3"/>
        <v>0</v>
      </c>
      <c r="N21" s="421">
        <f t="shared" si="4"/>
        <v>100</v>
      </c>
      <c r="O21" s="383">
        <v>57</v>
      </c>
      <c r="P21" s="384"/>
      <c r="Q21" s="384"/>
      <c r="R21" s="385">
        <f t="shared" si="0"/>
        <v>57</v>
      </c>
      <c r="S21" s="334">
        <v>1</v>
      </c>
      <c r="T21" s="342">
        <v>23423</v>
      </c>
      <c r="U21" s="355">
        <v>23426</v>
      </c>
      <c r="V21" s="343" t="s">
        <v>578</v>
      </c>
      <c r="W21" s="334" t="s">
        <v>22</v>
      </c>
      <c r="X21" s="334" t="s">
        <v>11</v>
      </c>
      <c r="Y21" s="344">
        <v>57</v>
      </c>
      <c r="AD21" s="449"/>
      <c r="AG21" s="344"/>
      <c r="AL21" s="343"/>
      <c r="AO21" s="344"/>
      <c r="AP21" s="343"/>
      <c r="AS21" s="344"/>
      <c r="AW21" s="344"/>
      <c r="BA21" s="345"/>
    </row>
    <row r="22" spans="1:53" s="334" customFormat="1" x14ac:dyDescent="0.15">
      <c r="A22" s="386">
        <v>1965</v>
      </c>
      <c r="B22" s="355"/>
      <c r="C22" s="812" t="s">
        <v>783</v>
      </c>
      <c r="D22" s="812"/>
      <c r="E22" s="334">
        <v>196</v>
      </c>
      <c r="G22" s="419">
        <v>21</v>
      </c>
      <c r="J22" s="435">
        <v>21</v>
      </c>
      <c r="K22" s="384">
        <f t="shared" si="1"/>
        <v>100</v>
      </c>
      <c r="L22" s="384">
        <f t="shared" si="2"/>
        <v>0</v>
      </c>
      <c r="M22" s="384">
        <f t="shared" si="3"/>
        <v>0</v>
      </c>
      <c r="N22" s="421">
        <f t="shared" si="4"/>
        <v>100</v>
      </c>
      <c r="O22" s="383">
        <v>57</v>
      </c>
      <c r="P22" s="384"/>
      <c r="Q22" s="384"/>
      <c r="R22" s="385">
        <f t="shared" si="0"/>
        <v>57</v>
      </c>
      <c r="S22" s="334">
        <v>1</v>
      </c>
      <c r="T22" s="357"/>
      <c r="U22" s="355"/>
      <c r="V22" s="343" t="s">
        <v>578</v>
      </c>
      <c r="W22" s="334" t="s">
        <v>22</v>
      </c>
      <c r="X22" s="334" t="s">
        <v>11</v>
      </c>
      <c r="Y22" s="344">
        <v>57</v>
      </c>
      <c r="AD22" s="449"/>
      <c r="AG22" s="344"/>
      <c r="AL22" s="343"/>
      <c r="AO22" s="344"/>
      <c r="AP22" s="343"/>
      <c r="AS22" s="344"/>
      <c r="AW22" s="344"/>
      <c r="BA22" s="345"/>
    </row>
    <row r="23" spans="1:53" s="73" customFormat="1" x14ac:dyDescent="0.15">
      <c r="A23" s="102">
        <v>1965</v>
      </c>
      <c r="B23" s="85">
        <v>23939</v>
      </c>
      <c r="C23" s="811" t="s">
        <v>784</v>
      </c>
      <c r="D23" s="811"/>
      <c r="E23" s="73">
        <v>35</v>
      </c>
      <c r="F23" s="73">
        <v>6</v>
      </c>
      <c r="G23" s="123">
        <v>16</v>
      </c>
      <c r="J23" s="134">
        <v>16</v>
      </c>
      <c r="K23" s="92">
        <f t="shared" si="1"/>
        <v>100</v>
      </c>
      <c r="L23" s="92">
        <f t="shared" si="2"/>
        <v>0</v>
      </c>
      <c r="M23" s="92">
        <f t="shared" si="3"/>
        <v>0</v>
      </c>
      <c r="N23" s="125">
        <f t="shared" si="4"/>
        <v>100</v>
      </c>
      <c r="O23" s="91">
        <v>57</v>
      </c>
      <c r="P23" s="92"/>
      <c r="Q23" s="92"/>
      <c r="R23" s="93">
        <f t="shared" si="0"/>
        <v>57</v>
      </c>
      <c r="S23" s="73">
        <v>1</v>
      </c>
      <c r="T23" s="81"/>
      <c r="U23" s="85">
        <v>23939</v>
      </c>
      <c r="V23" s="82" t="s">
        <v>578</v>
      </c>
      <c r="W23" s="73" t="s">
        <v>22</v>
      </c>
      <c r="X23" s="73" t="s">
        <v>11</v>
      </c>
      <c r="Y23" s="83">
        <v>57</v>
      </c>
      <c r="AD23" s="161"/>
      <c r="AG23" s="83"/>
      <c r="AL23" s="82"/>
      <c r="AO23" s="83"/>
      <c r="AP23" s="82"/>
      <c r="AS23" s="83"/>
      <c r="AW23" s="83"/>
      <c r="BA23" s="84"/>
    </row>
    <row r="24" spans="1:53" s="334" customFormat="1" x14ac:dyDescent="0.15">
      <c r="A24" s="386">
        <v>1965</v>
      </c>
      <c r="B24" s="355">
        <v>23974</v>
      </c>
      <c r="C24" s="812" t="s">
        <v>785</v>
      </c>
      <c r="D24" s="812"/>
      <c r="E24" s="334">
        <v>28</v>
      </c>
      <c r="F24" s="334">
        <v>5</v>
      </c>
      <c r="G24" s="419">
        <v>12</v>
      </c>
      <c r="J24" s="435">
        <v>12</v>
      </c>
      <c r="K24" s="384">
        <f t="shared" si="1"/>
        <v>100</v>
      </c>
      <c r="L24" s="384">
        <f t="shared" si="2"/>
        <v>0</v>
      </c>
      <c r="M24" s="384">
        <f t="shared" si="3"/>
        <v>0</v>
      </c>
      <c r="N24" s="421">
        <f t="shared" si="4"/>
        <v>100</v>
      </c>
      <c r="O24" s="383">
        <v>12</v>
      </c>
      <c r="P24" s="384"/>
      <c r="Q24" s="384"/>
      <c r="R24" s="385">
        <f t="shared" si="0"/>
        <v>12</v>
      </c>
      <c r="S24" s="334">
        <v>4</v>
      </c>
      <c r="T24" s="357"/>
      <c r="U24" s="355">
        <v>23974</v>
      </c>
      <c r="V24" s="343" t="s">
        <v>791</v>
      </c>
      <c r="W24" s="334" t="s">
        <v>22</v>
      </c>
      <c r="X24" s="334" t="s">
        <v>11</v>
      </c>
      <c r="Y24" s="344">
        <v>12</v>
      </c>
      <c r="AD24" s="343"/>
      <c r="AG24" s="344"/>
      <c r="AL24" s="343"/>
      <c r="AO24" s="344"/>
      <c r="AP24" s="343"/>
      <c r="AS24" s="344"/>
      <c r="AW24" s="344"/>
      <c r="BA24" s="345"/>
    </row>
    <row r="25" spans="1:53" s="73" customFormat="1" x14ac:dyDescent="0.15">
      <c r="A25" s="102">
        <v>1964.88571428572</v>
      </c>
      <c r="B25" s="85">
        <v>24002</v>
      </c>
      <c r="C25" s="811" t="s">
        <v>786</v>
      </c>
      <c r="D25" s="811"/>
      <c r="E25" s="73">
        <v>106</v>
      </c>
      <c r="F25" s="73">
        <v>5</v>
      </c>
      <c r="G25" s="123">
        <v>25</v>
      </c>
      <c r="J25" s="134">
        <v>25</v>
      </c>
      <c r="K25" s="92">
        <f t="shared" si="1"/>
        <v>100</v>
      </c>
      <c r="L25" s="92">
        <f t="shared" si="2"/>
        <v>0</v>
      </c>
      <c r="M25" s="92">
        <f t="shared" si="3"/>
        <v>0</v>
      </c>
      <c r="N25" s="125">
        <f t="shared" si="4"/>
        <v>100</v>
      </c>
      <c r="O25" s="91">
        <v>50.7</v>
      </c>
      <c r="P25" s="92"/>
      <c r="Q25" s="92"/>
      <c r="R25" s="93">
        <f t="shared" si="0"/>
        <v>50.7</v>
      </c>
      <c r="S25" s="73">
        <v>2</v>
      </c>
      <c r="T25" s="81"/>
      <c r="U25" s="85">
        <v>24002</v>
      </c>
      <c r="V25" s="82" t="s">
        <v>791</v>
      </c>
      <c r="W25" s="73" t="s">
        <v>22</v>
      </c>
      <c r="X25" s="73" t="s">
        <v>11</v>
      </c>
      <c r="Y25" s="83">
        <v>15</v>
      </c>
      <c r="Z25" s="73" t="s">
        <v>790</v>
      </c>
      <c r="AA25" s="73" t="s">
        <v>74</v>
      </c>
      <c r="AB25" s="73" t="s">
        <v>11</v>
      </c>
      <c r="AC25" s="73">
        <v>33</v>
      </c>
      <c r="AD25" s="82" t="s">
        <v>1297</v>
      </c>
      <c r="AE25" s="73" t="s">
        <v>76</v>
      </c>
      <c r="AF25" s="73" t="s">
        <v>11</v>
      </c>
      <c r="AG25" s="83">
        <v>2.7</v>
      </c>
      <c r="AL25" s="82"/>
      <c r="AO25" s="83"/>
      <c r="AP25" s="82"/>
      <c r="AS25" s="83"/>
      <c r="AW25" s="83"/>
      <c r="BA25" s="84"/>
    </row>
    <row r="26" spans="1:53" s="73" customFormat="1" x14ac:dyDescent="0.15">
      <c r="A26" s="102">
        <v>1966</v>
      </c>
      <c r="B26" s="85"/>
      <c r="C26" s="811" t="s">
        <v>786</v>
      </c>
      <c r="D26" s="811"/>
      <c r="E26" s="73">
        <v>355</v>
      </c>
      <c r="G26" s="123">
        <v>25</v>
      </c>
      <c r="J26" s="134">
        <v>25</v>
      </c>
      <c r="K26" s="92">
        <f t="shared" si="1"/>
        <v>100</v>
      </c>
      <c r="L26" s="92">
        <f t="shared" si="2"/>
        <v>0</v>
      </c>
      <c r="M26" s="92">
        <f t="shared" si="3"/>
        <v>0</v>
      </c>
      <c r="N26" s="125">
        <f t="shared" si="4"/>
        <v>100</v>
      </c>
      <c r="O26" s="91">
        <v>50.7</v>
      </c>
      <c r="P26" s="92"/>
      <c r="Q26" s="92"/>
      <c r="R26" s="93">
        <f t="shared" si="0"/>
        <v>50.7</v>
      </c>
      <c r="S26" s="73">
        <v>2</v>
      </c>
      <c r="T26" s="81"/>
      <c r="U26" s="85"/>
      <c r="V26" s="82" t="s">
        <v>791</v>
      </c>
      <c r="W26" s="73" t="s">
        <v>22</v>
      </c>
      <c r="X26" s="73" t="s">
        <v>11</v>
      </c>
      <c r="Y26" s="83">
        <v>15</v>
      </c>
      <c r="Z26" s="73" t="s">
        <v>790</v>
      </c>
      <c r="AA26" s="73" t="s">
        <v>74</v>
      </c>
      <c r="AB26" s="73" t="s">
        <v>11</v>
      </c>
      <c r="AC26" s="73">
        <v>33</v>
      </c>
      <c r="AD26" s="82" t="s">
        <v>1297</v>
      </c>
      <c r="AE26" s="73" t="s">
        <v>76</v>
      </c>
      <c r="AF26" s="73" t="s">
        <v>11</v>
      </c>
      <c r="AG26" s="83">
        <v>2.7</v>
      </c>
      <c r="AL26" s="82"/>
      <c r="AO26" s="83"/>
      <c r="AP26" s="82"/>
      <c r="AS26" s="83"/>
      <c r="AW26" s="83"/>
      <c r="BA26" s="84"/>
    </row>
    <row r="27" spans="1:53" s="334" customFormat="1" x14ac:dyDescent="0.15">
      <c r="A27" s="386">
        <v>1965.8</v>
      </c>
      <c r="B27" s="355">
        <v>24463</v>
      </c>
      <c r="C27" s="812" t="s">
        <v>787</v>
      </c>
      <c r="D27" s="812"/>
      <c r="E27" s="334">
        <v>10</v>
      </c>
      <c r="F27" s="334">
        <v>4</v>
      </c>
      <c r="G27" s="419">
        <v>0</v>
      </c>
      <c r="H27" s="334">
        <v>0</v>
      </c>
      <c r="I27" s="334">
        <v>0</v>
      </c>
      <c r="J27" s="435">
        <v>17</v>
      </c>
      <c r="K27" s="384">
        <f t="shared" si="1"/>
        <v>0</v>
      </c>
      <c r="L27" s="384">
        <f t="shared" si="2"/>
        <v>0</v>
      </c>
      <c r="M27" s="384">
        <f t="shared" si="3"/>
        <v>0</v>
      </c>
      <c r="N27" s="421">
        <f t="shared" si="4"/>
        <v>0</v>
      </c>
      <c r="O27" s="383">
        <v>0</v>
      </c>
      <c r="P27" s="384">
        <v>0</v>
      </c>
      <c r="Q27" s="384">
        <v>0</v>
      </c>
      <c r="R27" s="385">
        <f t="shared" si="0"/>
        <v>0</v>
      </c>
      <c r="S27" s="334">
        <v>6</v>
      </c>
      <c r="T27" s="357"/>
      <c r="U27" s="355">
        <v>24463</v>
      </c>
      <c r="V27" s="438" t="s">
        <v>814</v>
      </c>
      <c r="Y27" s="344"/>
      <c r="AD27" s="343"/>
      <c r="AG27" s="344"/>
      <c r="AL27" s="343"/>
      <c r="AO27" s="344"/>
      <c r="AP27" s="343"/>
      <c r="AS27" s="344"/>
      <c r="AW27" s="344"/>
      <c r="BA27" s="345"/>
    </row>
    <row r="28" spans="1:53" s="334" customFormat="1" x14ac:dyDescent="0.15">
      <c r="A28" s="386">
        <v>1967</v>
      </c>
      <c r="B28" s="355"/>
      <c r="C28" s="812" t="s">
        <v>787</v>
      </c>
      <c r="D28" s="812"/>
      <c r="E28" s="334">
        <v>92</v>
      </c>
      <c r="G28" s="419">
        <v>0</v>
      </c>
      <c r="H28" s="334">
        <v>0</v>
      </c>
      <c r="I28" s="334">
        <v>0</v>
      </c>
      <c r="J28" s="435">
        <v>17</v>
      </c>
      <c r="K28" s="384">
        <f>G28/J28*100</f>
        <v>0</v>
      </c>
      <c r="L28" s="384">
        <f>H28/J28*100</f>
        <v>0</v>
      </c>
      <c r="M28" s="384">
        <f>I28/J28*100</f>
        <v>0</v>
      </c>
      <c r="N28" s="421">
        <f>SUM(K28:M28)</f>
        <v>0</v>
      </c>
      <c r="O28" s="383">
        <v>0</v>
      </c>
      <c r="P28" s="384">
        <v>0</v>
      </c>
      <c r="Q28" s="384">
        <v>0</v>
      </c>
      <c r="R28" s="385">
        <f t="shared" si="0"/>
        <v>0</v>
      </c>
      <c r="S28" s="334">
        <v>6</v>
      </c>
      <c r="T28" s="357"/>
      <c r="U28" s="355"/>
      <c r="V28" s="438" t="s">
        <v>814</v>
      </c>
      <c r="Y28" s="344"/>
      <c r="AD28" s="343"/>
      <c r="AG28" s="344"/>
      <c r="AL28" s="343"/>
      <c r="AO28" s="344"/>
      <c r="AP28" s="343"/>
      <c r="AS28" s="344"/>
      <c r="AW28" s="344"/>
      <c r="BA28" s="345"/>
    </row>
    <row r="29" spans="1:53" s="73" customFormat="1" x14ac:dyDescent="0.15">
      <c r="A29" s="102">
        <v>1966.7142857142901</v>
      </c>
      <c r="B29" s="85">
        <v>24565</v>
      </c>
      <c r="C29" s="811" t="s">
        <v>792</v>
      </c>
      <c r="D29" s="811"/>
      <c r="E29" s="73">
        <v>18</v>
      </c>
      <c r="F29" s="73">
        <v>2</v>
      </c>
      <c r="G29" s="123">
        <v>16</v>
      </c>
      <c r="J29" s="134">
        <v>16</v>
      </c>
      <c r="K29" s="92">
        <f>G29/J29*100</f>
        <v>100</v>
      </c>
      <c r="L29" s="92">
        <f>H29/J29*100</f>
        <v>0</v>
      </c>
      <c r="M29" s="92">
        <f>I29/J29*100</f>
        <v>0</v>
      </c>
      <c r="N29" s="125">
        <f>SUM(K29:M29)</f>
        <v>100</v>
      </c>
      <c r="O29" s="91">
        <v>33.299999999999997</v>
      </c>
      <c r="P29" s="92"/>
      <c r="Q29" s="92"/>
      <c r="R29" s="93">
        <f>SUM(O29:Q29)</f>
        <v>33.299999999999997</v>
      </c>
      <c r="S29" s="73">
        <v>6</v>
      </c>
      <c r="T29" s="81"/>
      <c r="U29" s="85">
        <v>24565</v>
      </c>
      <c r="V29" s="82" t="s">
        <v>790</v>
      </c>
      <c r="W29" s="73" t="s">
        <v>74</v>
      </c>
      <c r="X29" s="73" t="s">
        <v>11</v>
      </c>
      <c r="Y29" s="83">
        <v>33.299999999999997</v>
      </c>
      <c r="AD29" s="82"/>
      <c r="AG29" s="83"/>
      <c r="AL29" s="82"/>
      <c r="AO29" s="83"/>
      <c r="AP29" s="82"/>
      <c r="AS29" s="83"/>
      <c r="AW29" s="83"/>
      <c r="BA29" s="84"/>
    </row>
    <row r="30" spans="1:53" s="334" customFormat="1" x14ac:dyDescent="0.15">
      <c r="A30" s="386">
        <v>1967</v>
      </c>
      <c r="B30" s="355">
        <v>24583</v>
      </c>
      <c r="C30" s="812" t="s">
        <v>788</v>
      </c>
      <c r="D30" s="812"/>
      <c r="E30" s="334">
        <v>255</v>
      </c>
      <c r="F30" s="334" t="s">
        <v>348</v>
      </c>
      <c r="G30" s="419" t="s">
        <v>788</v>
      </c>
      <c r="H30" s="334" t="s">
        <v>788</v>
      </c>
      <c r="I30" s="334" t="s">
        <v>788</v>
      </c>
      <c r="J30" s="435" t="s">
        <v>788</v>
      </c>
      <c r="K30" s="384" t="s">
        <v>788</v>
      </c>
      <c r="L30" s="384" t="s">
        <v>788</v>
      </c>
      <c r="M30" s="384" t="s">
        <v>788</v>
      </c>
      <c r="N30" s="421" t="s">
        <v>788</v>
      </c>
      <c r="O30" s="383" t="s">
        <v>788</v>
      </c>
      <c r="P30" s="384" t="s">
        <v>788</v>
      </c>
      <c r="Q30" s="384" t="s">
        <v>788</v>
      </c>
      <c r="R30" s="385" t="s">
        <v>788</v>
      </c>
      <c r="S30" s="334" t="s">
        <v>788</v>
      </c>
      <c r="T30" s="357"/>
      <c r="U30" s="355"/>
      <c r="V30" s="343"/>
      <c r="Y30" s="344"/>
      <c r="AD30" s="343"/>
      <c r="AG30" s="344"/>
      <c r="AL30" s="343"/>
      <c r="AO30" s="344"/>
      <c r="AP30" s="343"/>
      <c r="AS30" s="344"/>
      <c r="AW30" s="344"/>
      <c r="BA30" s="345"/>
    </row>
    <row r="31" spans="1:53" s="334" customFormat="1" x14ac:dyDescent="0.15">
      <c r="A31" s="386">
        <v>1968</v>
      </c>
      <c r="B31" s="355"/>
      <c r="C31" s="812" t="s">
        <v>788</v>
      </c>
      <c r="D31" s="812"/>
      <c r="E31" s="334">
        <v>0</v>
      </c>
      <c r="G31" s="419" t="s">
        <v>788</v>
      </c>
      <c r="H31" s="334" t="s">
        <v>788</v>
      </c>
      <c r="I31" s="334" t="s">
        <v>788</v>
      </c>
      <c r="J31" s="435" t="s">
        <v>788</v>
      </c>
      <c r="K31" s="384" t="s">
        <v>788</v>
      </c>
      <c r="L31" s="384" t="s">
        <v>788</v>
      </c>
      <c r="M31" s="384" t="s">
        <v>788</v>
      </c>
      <c r="N31" s="421" t="s">
        <v>788</v>
      </c>
      <c r="O31" s="383" t="s">
        <v>788</v>
      </c>
      <c r="P31" s="384" t="s">
        <v>788</v>
      </c>
      <c r="Q31" s="384" t="s">
        <v>788</v>
      </c>
      <c r="R31" s="385" t="s">
        <v>788</v>
      </c>
      <c r="S31" s="334" t="s">
        <v>788</v>
      </c>
      <c r="T31" s="357"/>
      <c r="U31" s="355"/>
      <c r="V31" s="343"/>
      <c r="Y31" s="344"/>
      <c r="AD31" s="343"/>
      <c r="AG31" s="344"/>
      <c r="AL31" s="343"/>
      <c r="AO31" s="344"/>
      <c r="AP31" s="343"/>
      <c r="AS31" s="344"/>
      <c r="AW31" s="344"/>
      <c r="BA31" s="345"/>
    </row>
    <row r="32" spans="1:53" s="334" customFormat="1" x14ac:dyDescent="0.15">
      <c r="A32" s="386">
        <v>1967.62857142857</v>
      </c>
      <c r="B32" s="355"/>
      <c r="C32" s="812" t="s">
        <v>788</v>
      </c>
      <c r="D32" s="812"/>
      <c r="E32" s="334">
        <v>366</v>
      </c>
      <c r="G32" s="419" t="s">
        <v>788</v>
      </c>
      <c r="H32" s="334" t="s">
        <v>788</v>
      </c>
      <c r="I32" s="334" t="s">
        <v>788</v>
      </c>
      <c r="J32" s="435" t="s">
        <v>788</v>
      </c>
      <c r="K32" s="384" t="s">
        <v>788</v>
      </c>
      <c r="L32" s="384" t="s">
        <v>788</v>
      </c>
      <c r="M32" s="384" t="s">
        <v>788</v>
      </c>
      <c r="N32" s="421" t="s">
        <v>788</v>
      </c>
      <c r="O32" s="383" t="s">
        <v>788</v>
      </c>
      <c r="P32" s="384" t="s">
        <v>788</v>
      </c>
      <c r="Q32" s="384" t="s">
        <v>788</v>
      </c>
      <c r="R32" s="385" t="s">
        <v>788</v>
      </c>
      <c r="S32" s="334" t="s">
        <v>788</v>
      </c>
      <c r="T32" s="357"/>
      <c r="U32" s="355"/>
      <c r="V32" s="343"/>
      <c r="Y32" s="344"/>
      <c r="AD32" s="449"/>
      <c r="AG32" s="344"/>
      <c r="AL32" s="343"/>
      <c r="AO32" s="344"/>
      <c r="AP32" s="343"/>
      <c r="AS32" s="344"/>
      <c r="AW32" s="344"/>
      <c r="BA32" s="345"/>
    </row>
    <row r="33" spans="1:53" s="334" customFormat="1" x14ac:dyDescent="0.15">
      <c r="A33" s="386">
        <v>1969</v>
      </c>
      <c r="B33" s="355"/>
      <c r="C33" s="812" t="s">
        <v>788</v>
      </c>
      <c r="D33" s="812"/>
      <c r="E33" s="334">
        <v>0</v>
      </c>
      <c r="G33" s="419" t="s">
        <v>788</v>
      </c>
      <c r="H33" s="334" t="s">
        <v>788</v>
      </c>
      <c r="I33" s="334" t="s">
        <v>788</v>
      </c>
      <c r="J33" s="435" t="s">
        <v>788</v>
      </c>
      <c r="K33" s="384" t="s">
        <v>788</v>
      </c>
      <c r="L33" s="384" t="s">
        <v>788</v>
      </c>
      <c r="M33" s="384" t="s">
        <v>788</v>
      </c>
      <c r="N33" s="421" t="s">
        <v>788</v>
      </c>
      <c r="O33" s="383" t="s">
        <v>788</v>
      </c>
      <c r="P33" s="384" t="s">
        <v>788</v>
      </c>
      <c r="Q33" s="384" t="s">
        <v>788</v>
      </c>
      <c r="R33" s="385" t="s">
        <v>788</v>
      </c>
      <c r="S33" s="334" t="s">
        <v>788</v>
      </c>
      <c r="T33" s="357"/>
      <c r="U33" s="355"/>
      <c r="V33" s="343"/>
      <c r="Y33" s="344"/>
      <c r="AD33" s="449"/>
      <c r="AG33" s="344"/>
      <c r="AL33" s="343"/>
      <c r="AO33" s="344"/>
      <c r="AP33" s="343"/>
      <c r="AS33" s="344"/>
      <c r="AW33" s="344"/>
      <c r="BA33" s="345"/>
    </row>
    <row r="34" spans="1:53" s="334" customFormat="1" x14ac:dyDescent="0.15">
      <c r="A34" s="386">
        <v>1968.5428571428599</v>
      </c>
      <c r="B34" s="355"/>
      <c r="C34" s="812" t="s">
        <v>788</v>
      </c>
      <c r="D34" s="812"/>
      <c r="E34" s="334">
        <v>365</v>
      </c>
      <c r="G34" s="419" t="s">
        <v>788</v>
      </c>
      <c r="H34" s="334" t="s">
        <v>788</v>
      </c>
      <c r="I34" s="334" t="s">
        <v>788</v>
      </c>
      <c r="J34" s="435" t="s">
        <v>788</v>
      </c>
      <c r="K34" s="384" t="s">
        <v>788</v>
      </c>
      <c r="L34" s="384" t="s">
        <v>788</v>
      </c>
      <c r="M34" s="384" t="s">
        <v>788</v>
      </c>
      <c r="N34" s="421" t="s">
        <v>788</v>
      </c>
      <c r="O34" s="383" t="s">
        <v>788</v>
      </c>
      <c r="P34" s="384" t="s">
        <v>788</v>
      </c>
      <c r="Q34" s="384" t="s">
        <v>788</v>
      </c>
      <c r="R34" s="385" t="s">
        <v>788</v>
      </c>
      <c r="S34" s="334" t="s">
        <v>788</v>
      </c>
      <c r="T34" s="357"/>
      <c r="U34" s="355"/>
      <c r="V34" s="343"/>
      <c r="Y34" s="344"/>
      <c r="AD34" s="449"/>
      <c r="AG34" s="344"/>
      <c r="AL34" s="343"/>
      <c r="AO34" s="344"/>
      <c r="AP34" s="343"/>
      <c r="AS34" s="344"/>
      <c r="AW34" s="344"/>
      <c r="BA34" s="345"/>
    </row>
    <row r="35" spans="1:53" s="334" customFormat="1" x14ac:dyDescent="0.15">
      <c r="A35" s="386">
        <v>1970</v>
      </c>
      <c r="B35" s="355"/>
      <c r="C35" s="812" t="s">
        <v>788</v>
      </c>
      <c r="D35" s="812"/>
      <c r="E35" s="334">
        <v>0</v>
      </c>
      <c r="G35" s="419" t="s">
        <v>788</v>
      </c>
      <c r="H35" s="334" t="s">
        <v>788</v>
      </c>
      <c r="I35" s="334" t="s">
        <v>788</v>
      </c>
      <c r="J35" s="435" t="s">
        <v>788</v>
      </c>
      <c r="K35" s="384" t="s">
        <v>788</v>
      </c>
      <c r="L35" s="384" t="s">
        <v>788</v>
      </c>
      <c r="M35" s="384" t="s">
        <v>788</v>
      </c>
      <c r="N35" s="421" t="s">
        <v>788</v>
      </c>
      <c r="O35" s="383" t="s">
        <v>788</v>
      </c>
      <c r="P35" s="384" t="s">
        <v>788</v>
      </c>
      <c r="Q35" s="384" t="s">
        <v>788</v>
      </c>
      <c r="R35" s="385" t="s">
        <v>788</v>
      </c>
      <c r="S35" s="334" t="s">
        <v>788</v>
      </c>
      <c r="T35" s="357"/>
      <c r="U35" s="355"/>
      <c r="V35" s="343"/>
      <c r="Y35" s="344"/>
      <c r="AD35" s="449"/>
      <c r="AG35" s="344"/>
      <c r="AL35" s="343"/>
      <c r="AO35" s="344"/>
      <c r="AP35" s="343"/>
      <c r="AS35" s="344"/>
      <c r="AW35" s="344"/>
      <c r="BA35" s="345"/>
    </row>
    <row r="36" spans="1:53" s="334" customFormat="1" x14ac:dyDescent="0.15">
      <c r="A36" s="386">
        <v>1970</v>
      </c>
      <c r="B36" s="355"/>
      <c r="C36" s="846" t="s">
        <v>793</v>
      </c>
      <c r="D36" s="846"/>
      <c r="E36" s="334">
        <v>365</v>
      </c>
      <c r="G36" s="419" t="s">
        <v>788</v>
      </c>
      <c r="H36" s="334" t="s">
        <v>788</v>
      </c>
      <c r="I36" s="334" t="s">
        <v>788</v>
      </c>
      <c r="J36" s="435" t="s">
        <v>788</v>
      </c>
      <c r="K36" s="384" t="s">
        <v>788</v>
      </c>
      <c r="L36" s="384" t="s">
        <v>788</v>
      </c>
      <c r="M36" s="384" t="s">
        <v>788</v>
      </c>
      <c r="N36" s="421" t="s">
        <v>788</v>
      </c>
      <c r="O36" s="383" t="s">
        <v>788</v>
      </c>
      <c r="P36" s="384" t="s">
        <v>788</v>
      </c>
      <c r="Q36" s="384" t="s">
        <v>788</v>
      </c>
      <c r="R36" s="385" t="s">
        <v>788</v>
      </c>
      <c r="S36" s="334" t="s">
        <v>788</v>
      </c>
      <c r="T36" s="357"/>
      <c r="U36" s="355"/>
      <c r="V36" s="343"/>
      <c r="Y36" s="344"/>
      <c r="AD36" s="449"/>
      <c r="AG36" s="344"/>
      <c r="AL36" s="343"/>
      <c r="AO36" s="344"/>
      <c r="AP36" s="343"/>
      <c r="AS36" s="344"/>
      <c r="AW36" s="344"/>
      <c r="BA36" s="345"/>
    </row>
    <row r="37" spans="1:53" s="334" customFormat="1" x14ac:dyDescent="0.15">
      <c r="A37" s="386">
        <v>1971</v>
      </c>
      <c r="B37" s="355"/>
      <c r="C37" s="812" t="s">
        <v>788</v>
      </c>
      <c r="D37" s="812"/>
      <c r="E37" s="334">
        <v>0</v>
      </c>
      <c r="G37" s="419" t="s">
        <v>788</v>
      </c>
      <c r="H37" s="334" t="s">
        <v>788</v>
      </c>
      <c r="I37" s="334" t="s">
        <v>788</v>
      </c>
      <c r="J37" s="435" t="s">
        <v>788</v>
      </c>
      <c r="K37" s="384" t="s">
        <v>788</v>
      </c>
      <c r="L37" s="384" t="s">
        <v>788</v>
      </c>
      <c r="M37" s="384" t="s">
        <v>788</v>
      </c>
      <c r="N37" s="421" t="s">
        <v>788</v>
      </c>
      <c r="O37" s="383" t="s">
        <v>788</v>
      </c>
      <c r="P37" s="384" t="s">
        <v>788</v>
      </c>
      <c r="Q37" s="384" t="s">
        <v>788</v>
      </c>
      <c r="R37" s="385" t="s">
        <v>788</v>
      </c>
      <c r="S37" s="334" t="s">
        <v>788</v>
      </c>
      <c r="T37" s="357"/>
      <c r="U37" s="355"/>
      <c r="V37" s="343"/>
      <c r="Y37" s="344"/>
      <c r="AD37" s="449"/>
      <c r="AG37" s="344"/>
      <c r="AL37" s="343"/>
      <c r="AO37" s="344"/>
      <c r="AP37" s="343"/>
      <c r="AS37" s="344"/>
      <c r="AW37" s="344"/>
      <c r="BA37" s="345"/>
    </row>
    <row r="38" spans="1:53" s="334" customFormat="1" x14ac:dyDescent="0.15">
      <c r="A38" s="386">
        <v>1971</v>
      </c>
      <c r="B38" s="355"/>
      <c r="C38" s="812" t="s">
        <v>788</v>
      </c>
      <c r="D38" s="812"/>
      <c r="E38" s="334">
        <v>365</v>
      </c>
      <c r="G38" s="419" t="s">
        <v>788</v>
      </c>
      <c r="H38" s="334" t="s">
        <v>788</v>
      </c>
      <c r="I38" s="334" t="s">
        <v>788</v>
      </c>
      <c r="J38" s="435" t="s">
        <v>788</v>
      </c>
      <c r="K38" s="384" t="s">
        <v>788</v>
      </c>
      <c r="L38" s="384" t="s">
        <v>788</v>
      </c>
      <c r="M38" s="384" t="s">
        <v>788</v>
      </c>
      <c r="N38" s="421" t="s">
        <v>788</v>
      </c>
      <c r="O38" s="383" t="s">
        <v>788</v>
      </c>
      <c r="P38" s="384" t="s">
        <v>788</v>
      </c>
      <c r="Q38" s="384" t="s">
        <v>788</v>
      </c>
      <c r="R38" s="385" t="s">
        <v>788</v>
      </c>
      <c r="S38" s="334" t="s">
        <v>788</v>
      </c>
      <c r="T38" s="357"/>
      <c r="U38" s="355"/>
      <c r="V38" s="343"/>
      <c r="Y38" s="344"/>
      <c r="AD38" s="449"/>
      <c r="AG38" s="344"/>
      <c r="AL38" s="343"/>
      <c r="AO38" s="344"/>
      <c r="AP38" s="343"/>
      <c r="AS38" s="344"/>
      <c r="AW38" s="344"/>
      <c r="BA38" s="345"/>
    </row>
    <row r="39" spans="1:53" s="334" customFormat="1" x14ac:dyDescent="0.15">
      <c r="A39" s="386">
        <v>1972</v>
      </c>
      <c r="B39" s="355"/>
      <c r="C39" s="812" t="s">
        <v>788</v>
      </c>
      <c r="D39" s="812"/>
      <c r="E39" s="334">
        <v>0</v>
      </c>
      <c r="G39" s="419" t="s">
        <v>788</v>
      </c>
      <c r="H39" s="334" t="s">
        <v>788</v>
      </c>
      <c r="I39" s="334" t="s">
        <v>788</v>
      </c>
      <c r="J39" s="435" t="s">
        <v>788</v>
      </c>
      <c r="K39" s="384" t="s">
        <v>788</v>
      </c>
      <c r="L39" s="384" t="s">
        <v>788</v>
      </c>
      <c r="M39" s="384" t="s">
        <v>788</v>
      </c>
      <c r="N39" s="421" t="s">
        <v>788</v>
      </c>
      <c r="O39" s="383" t="s">
        <v>788</v>
      </c>
      <c r="P39" s="384" t="s">
        <v>788</v>
      </c>
      <c r="Q39" s="384" t="s">
        <v>788</v>
      </c>
      <c r="R39" s="385" t="s">
        <v>788</v>
      </c>
      <c r="S39" s="334" t="s">
        <v>788</v>
      </c>
      <c r="T39" s="357"/>
      <c r="U39" s="355"/>
      <c r="V39" s="343"/>
      <c r="Y39" s="344"/>
      <c r="AD39" s="449"/>
      <c r="AG39" s="344"/>
      <c r="AL39" s="343"/>
      <c r="AO39" s="344"/>
      <c r="AP39" s="343"/>
      <c r="AS39" s="344"/>
      <c r="AW39" s="344"/>
      <c r="BA39" s="345"/>
    </row>
    <row r="40" spans="1:53" s="334" customFormat="1" x14ac:dyDescent="0.15">
      <c r="A40" s="386">
        <v>1972</v>
      </c>
      <c r="B40" s="355"/>
      <c r="C40" s="812" t="s">
        <v>788</v>
      </c>
      <c r="D40" s="812"/>
      <c r="E40" s="334">
        <v>366</v>
      </c>
      <c r="G40" s="419" t="s">
        <v>788</v>
      </c>
      <c r="H40" s="334" t="s">
        <v>788</v>
      </c>
      <c r="I40" s="334" t="s">
        <v>788</v>
      </c>
      <c r="J40" s="435" t="s">
        <v>788</v>
      </c>
      <c r="K40" s="384" t="s">
        <v>788</v>
      </c>
      <c r="L40" s="384" t="s">
        <v>788</v>
      </c>
      <c r="M40" s="384" t="s">
        <v>788</v>
      </c>
      <c r="N40" s="421" t="s">
        <v>788</v>
      </c>
      <c r="O40" s="383" t="s">
        <v>788</v>
      </c>
      <c r="P40" s="384" t="s">
        <v>788</v>
      </c>
      <c r="Q40" s="384" t="s">
        <v>788</v>
      </c>
      <c r="R40" s="385" t="s">
        <v>788</v>
      </c>
      <c r="S40" s="334" t="s">
        <v>788</v>
      </c>
      <c r="T40" s="357"/>
      <c r="U40" s="355"/>
      <c r="V40" s="343"/>
      <c r="Y40" s="344"/>
      <c r="AD40" s="449"/>
      <c r="AG40" s="344"/>
      <c r="AL40" s="343"/>
      <c r="AO40" s="344"/>
      <c r="AP40" s="343"/>
      <c r="AS40" s="344"/>
      <c r="AW40" s="344"/>
      <c r="BA40" s="345"/>
    </row>
    <row r="41" spans="1:53" s="334" customFormat="1" x14ac:dyDescent="0.15">
      <c r="A41" s="386">
        <v>1973</v>
      </c>
      <c r="B41" s="355"/>
      <c r="C41" s="812" t="s">
        <v>788</v>
      </c>
      <c r="D41" s="812"/>
      <c r="E41" s="334">
        <v>0</v>
      </c>
      <c r="G41" s="419" t="s">
        <v>788</v>
      </c>
      <c r="H41" s="334" t="s">
        <v>788</v>
      </c>
      <c r="I41" s="334" t="s">
        <v>788</v>
      </c>
      <c r="J41" s="435" t="s">
        <v>788</v>
      </c>
      <c r="K41" s="384" t="s">
        <v>788</v>
      </c>
      <c r="L41" s="384" t="s">
        <v>788</v>
      </c>
      <c r="M41" s="384" t="s">
        <v>788</v>
      </c>
      <c r="N41" s="421" t="s">
        <v>788</v>
      </c>
      <c r="O41" s="383" t="s">
        <v>788</v>
      </c>
      <c r="P41" s="384" t="s">
        <v>788</v>
      </c>
      <c r="Q41" s="384" t="s">
        <v>788</v>
      </c>
      <c r="R41" s="385" t="s">
        <v>788</v>
      </c>
      <c r="S41" s="334" t="s">
        <v>788</v>
      </c>
      <c r="T41" s="357"/>
      <c r="U41" s="355"/>
      <c r="V41" s="343"/>
      <c r="Y41" s="344"/>
      <c r="AD41" s="449"/>
      <c r="AG41" s="344"/>
      <c r="AL41" s="343"/>
      <c r="AO41" s="344"/>
      <c r="AP41" s="343"/>
      <c r="AS41" s="344"/>
      <c r="AW41" s="344"/>
      <c r="BA41" s="345"/>
    </row>
    <row r="42" spans="1:53" s="334" customFormat="1" x14ac:dyDescent="0.15">
      <c r="A42" s="386">
        <v>1973</v>
      </c>
      <c r="B42" s="355"/>
      <c r="C42" s="812" t="s">
        <v>788</v>
      </c>
      <c r="D42" s="812"/>
      <c r="E42" s="334">
        <v>365</v>
      </c>
      <c r="G42" s="419" t="s">
        <v>788</v>
      </c>
      <c r="H42" s="334" t="s">
        <v>788</v>
      </c>
      <c r="I42" s="334" t="s">
        <v>788</v>
      </c>
      <c r="J42" s="435" t="s">
        <v>788</v>
      </c>
      <c r="K42" s="384" t="s">
        <v>788</v>
      </c>
      <c r="L42" s="384" t="s">
        <v>788</v>
      </c>
      <c r="M42" s="384" t="s">
        <v>788</v>
      </c>
      <c r="N42" s="421" t="s">
        <v>788</v>
      </c>
      <c r="O42" s="383" t="s">
        <v>788</v>
      </c>
      <c r="P42" s="384" t="s">
        <v>788</v>
      </c>
      <c r="Q42" s="384" t="s">
        <v>788</v>
      </c>
      <c r="R42" s="385" t="s">
        <v>788</v>
      </c>
      <c r="S42" s="334" t="s">
        <v>788</v>
      </c>
      <c r="T42" s="357"/>
      <c r="U42" s="355"/>
      <c r="V42" s="343"/>
      <c r="Y42" s="344"/>
      <c r="AD42" s="449"/>
      <c r="AG42" s="344"/>
      <c r="AL42" s="343"/>
      <c r="AO42" s="344"/>
      <c r="AP42" s="343"/>
      <c r="AS42" s="344"/>
      <c r="AW42" s="344"/>
      <c r="BA42" s="345"/>
    </row>
    <row r="43" spans="1:53" s="334" customFormat="1" x14ac:dyDescent="0.15">
      <c r="A43" s="386">
        <v>1974</v>
      </c>
      <c r="B43" s="355"/>
      <c r="C43" s="812" t="s">
        <v>788</v>
      </c>
      <c r="D43" s="812"/>
      <c r="E43" s="334">
        <v>206</v>
      </c>
      <c r="G43" s="419" t="s">
        <v>788</v>
      </c>
      <c r="H43" s="334" t="s">
        <v>788</v>
      </c>
      <c r="I43" s="334" t="s">
        <v>788</v>
      </c>
      <c r="J43" s="435" t="s">
        <v>788</v>
      </c>
      <c r="K43" s="384" t="s">
        <v>788</v>
      </c>
      <c r="L43" s="384" t="s">
        <v>788</v>
      </c>
      <c r="M43" s="384" t="s">
        <v>788</v>
      </c>
      <c r="N43" s="421" t="s">
        <v>788</v>
      </c>
      <c r="O43" s="383" t="s">
        <v>788</v>
      </c>
      <c r="P43" s="384" t="s">
        <v>788</v>
      </c>
      <c r="Q43" s="384" t="s">
        <v>788</v>
      </c>
      <c r="R43" s="385" t="s">
        <v>788</v>
      </c>
      <c r="S43" s="334" t="s">
        <v>788</v>
      </c>
      <c r="T43" s="357"/>
      <c r="U43" s="355"/>
      <c r="V43" s="343"/>
      <c r="Y43" s="344"/>
      <c r="AD43" s="343"/>
      <c r="AG43" s="344"/>
      <c r="AL43" s="343"/>
      <c r="AO43" s="344"/>
      <c r="AP43" s="343"/>
      <c r="AS43" s="344"/>
      <c r="AW43" s="344"/>
      <c r="BA43" s="345"/>
    </row>
    <row r="44" spans="1:53" s="73" customFormat="1" x14ac:dyDescent="0.15">
      <c r="A44" s="102">
        <v>1974</v>
      </c>
      <c r="B44" s="85">
        <v>27236</v>
      </c>
      <c r="C44" s="811" t="s">
        <v>789</v>
      </c>
      <c r="D44" s="811"/>
      <c r="E44" s="73">
        <v>119</v>
      </c>
      <c r="F44" s="73" t="s">
        <v>348</v>
      </c>
      <c r="G44" s="123">
        <v>12</v>
      </c>
      <c r="J44" s="134">
        <v>19</v>
      </c>
      <c r="K44" s="92">
        <f>G44/J44*100</f>
        <v>63.157894736842103</v>
      </c>
      <c r="L44" s="92">
        <f>H44/J44*100</f>
        <v>0</v>
      </c>
      <c r="M44" s="92">
        <f>I44/J44*100</f>
        <v>0</v>
      </c>
      <c r="N44" s="125">
        <f>SUM(K44:M44)</f>
        <v>63.157894736842103</v>
      </c>
      <c r="O44" s="91">
        <v>0</v>
      </c>
      <c r="P44" s="92">
        <v>0</v>
      </c>
      <c r="Q44" s="92">
        <v>0</v>
      </c>
      <c r="R44" s="93">
        <f>SUM(O44:Q44)</f>
        <v>0</v>
      </c>
      <c r="S44" s="73">
        <v>6</v>
      </c>
      <c r="T44" s="81"/>
      <c r="U44" s="85">
        <v>27236</v>
      </c>
      <c r="V44" s="158" t="s">
        <v>814</v>
      </c>
      <c r="Y44" s="83"/>
      <c r="AD44" s="82"/>
      <c r="AG44" s="83"/>
      <c r="AL44" s="82"/>
      <c r="AO44" s="83"/>
      <c r="AP44" s="82"/>
      <c r="AS44" s="83"/>
      <c r="AW44" s="83"/>
      <c r="BA44" s="84"/>
    </row>
    <row r="45" spans="1:53" s="334" customFormat="1" x14ac:dyDescent="0.15">
      <c r="A45" s="386">
        <v>1974</v>
      </c>
      <c r="B45" s="355">
        <v>27355</v>
      </c>
      <c r="C45" s="812" t="s">
        <v>562</v>
      </c>
      <c r="D45" s="812"/>
      <c r="E45" s="334">
        <v>40</v>
      </c>
      <c r="F45" s="334">
        <v>1</v>
      </c>
      <c r="G45" s="419">
        <v>20</v>
      </c>
      <c r="J45" s="435">
        <v>20</v>
      </c>
      <c r="K45" s="384">
        <f t="shared" ref="K45:K62" si="5">G45/J45*100</f>
        <v>100</v>
      </c>
      <c r="L45" s="384">
        <f t="shared" ref="L45:L62" si="6">H45/J45*100</f>
        <v>0</v>
      </c>
      <c r="M45" s="384">
        <f t="shared" ref="M45:M62" si="7">I45/J45*100</f>
        <v>0</v>
      </c>
      <c r="N45" s="421">
        <f t="shared" ref="N45:N62" si="8">SUM(K45:M45)</f>
        <v>100</v>
      </c>
      <c r="O45" s="383">
        <v>73.3</v>
      </c>
      <c r="P45" s="384"/>
      <c r="Q45" s="384"/>
      <c r="R45" s="385">
        <f>SUM(O45:Q45)</f>
        <v>73.3</v>
      </c>
      <c r="S45" s="334">
        <v>1</v>
      </c>
      <c r="T45" s="342">
        <v>27350</v>
      </c>
      <c r="U45" s="355">
        <v>27355</v>
      </c>
      <c r="V45" s="343" t="s">
        <v>193</v>
      </c>
      <c r="W45" s="334" t="s">
        <v>77</v>
      </c>
      <c r="X45" s="334" t="s">
        <v>11</v>
      </c>
      <c r="Y45" s="344">
        <v>73.3</v>
      </c>
      <c r="AD45" s="343"/>
      <c r="AG45" s="344"/>
      <c r="AL45" s="343"/>
      <c r="AO45" s="344"/>
      <c r="AP45" s="343"/>
      <c r="AS45" s="344"/>
      <c r="AW45" s="344"/>
      <c r="BA45" s="345"/>
    </row>
    <row r="46" spans="1:53" s="334" customFormat="1" x14ac:dyDescent="0.15">
      <c r="A46" s="386">
        <v>1975</v>
      </c>
      <c r="B46" s="355"/>
      <c r="C46" s="812" t="s">
        <v>562</v>
      </c>
      <c r="D46" s="812"/>
      <c r="E46" s="334">
        <v>0</v>
      </c>
      <c r="G46" s="419">
        <v>20</v>
      </c>
      <c r="J46" s="435">
        <v>20</v>
      </c>
      <c r="K46" s="384">
        <f t="shared" si="5"/>
        <v>100</v>
      </c>
      <c r="L46" s="384">
        <f t="shared" si="6"/>
        <v>0</v>
      </c>
      <c r="M46" s="384">
        <f t="shared" si="7"/>
        <v>0</v>
      </c>
      <c r="N46" s="421">
        <f t="shared" si="8"/>
        <v>100</v>
      </c>
      <c r="O46" s="383">
        <v>73.3</v>
      </c>
      <c r="P46" s="384"/>
      <c r="Q46" s="384"/>
      <c r="R46" s="385">
        <f t="shared" ref="R46:R109" si="9">SUM(O46:Q46)</f>
        <v>73.3</v>
      </c>
      <c r="S46" s="334">
        <v>1</v>
      </c>
      <c r="T46" s="357"/>
      <c r="U46" s="355"/>
      <c r="V46" s="343" t="s">
        <v>193</v>
      </c>
      <c r="W46" s="334" t="s">
        <v>77</v>
      </c>
      <c r="X46" s="334" t="s">
        <v>11</v>
      </c>
      <c r="Y46" s="344">
        <v>73.3</v>
      </c>
      <c r="AD46" s="343"/>
      <c r="AG46" s="344"/>
      <c r="AL46" s="343"/>
      <c r="AO46" s="344"/>
      <c r="AP46" s="343"/>
      <c r="AS46" s="344"/>
      <c r="AW46" s="344"/>
      <c r="BA46" s="345"/>
    </row>
    <row r="47" spans="1:53" s="334" customFormat="1" x14ac:dyDescent="0.15">
      <c r="A47" s="386">
        <v>1975</v>
      </c>
      <c r="B47" s="355"/>
      <c r="C47" s="812" t="s">
        <v>562</v>
      </c>
      <c r="D47" s="812"/>
      <c r="E47" s="334">
        <v>365</v>
      </c>
      <c r="G47" s="419">
        <v>20</v>
      </c>
      <c r="J47" s="435">
        <v>20</v>
      </c>
      <c r="K47" s="384">
        <f t="shared" si="5"/>
        <v>100</v>
      </c>
      <c r="L47" s="384">
        <f t="shared" si="6"/>
        <v>0</v>
      </c>
      <c r="M47" s="384">
        <f t="shared" si="7"/>
        <v>0</v>
      </c>
      <c r="N47" s="421">
        <f t="shared" si="8"/>
        <v>100</v>
      </c>
      <c r="O47" s="383">
        <v>73.3</v>
      </c>
      <c r="P47" s="384"/>
      <c r="Q47" s="384"/>
      <c r="R47" s="385">
        <f t="shared" si="9"/>
        <v>73.3</v>
      </c>
      <c r="S47" s="334">
        <v>1</v>
      </c>
      <c r="T47" s="357"/>
      <c r="U47" s="355"/>
      <c r="V47" s="343" t="s">
        <v>193</v>
      </c>
      <c r="W47" s="334" t="s">
        <v>77</v>
      </c>
      <c r="X47" s="334" t="s">
        <v>11</v>
      </c>
      <c r="Y47" s="344">
        <v>73.3</v>
      </c>
      <c r="AD47" s="343"/>
      <c r="AG47" s="344"/>
      <c r="AL47" s="343"/>
      <c r="AO47" s="344"/>
      <c r="AP47" s="343"/>
      <c r="AS47" s="344"/>
      <c r="AW47" s="344"/>
      <c r="BA47" s="345"/>
    </row>
    <row r="48" spans="1:53" s="334" customFormat="1" x14ac:dyDescent="0.15">
      <c r="A48" s="386">
        <v>1976</v>
      </c>
      <c r="B48" s="355"/>
      <c r="C48" s="812" t="s">
        <v>562</v>
      </c>
      <c r="D48" s="812"/>
      <c r="E48" s="334">
        <v>0</v>
      </c>
      <c r="G48" s="419">
        <v>20</v>
      </c>
      <c r="J48" s="435">
        <v>20</v>
      </c>
      <c r="K48" s="384">
        <f t="shared" si="5"/>
        <v>100</v>
      </c>
      <c r="L48" s="384">
        <f t="shared" si="6"/>
        <v>0</v>
      </c>
      <c r="M48" s="384">
        <f t="shared" si="7"/>
        <v>0</v>
      </c>
      <c r="N48" s="421">
        <f t="shared" si="8"/>
        <v>100</v>
      </c>
      <c r="O48" s="383">
        <v>73.3</v>
      </c>
      <c r="P48" s="384"/>
      <c r="Q48" s="384"/>
      <c r="R48" s="385">
        <f t="shared" si="9"/>
        <v>73.3</v>
      </c>
      <c r="S48" s="334">
        <v>1</v>
      </c>
      <c r="T48" s="357"/>
      <c r="U48" s="355"/>
      <c r="V48" s="343" t="s">
        <v>193</v>
      </c>
      <c r="W48" s="334" t="s">
        <v>77</v>
      </c>
      <c r="X48" s="334" t="s">
        <v>11</v>
      </c>
      <c r="Y48" s="344">
        <v>73.3</v>
      </c>
      <c r="AD48" s="343"/>
      <c r="AG48" s="344"/>
      <c r="AL48" s="343"/>
      <c r="AO48" s="344"/>
      <c r="AP48" s="343"/>
      <c r="AS48" s="344"/>
      <c r="AW48" s="344"/>
      <c r="BA48" s="345"/>
    </row>
    <row r="49" spans="1:53" s="334" customFormat="1" x14ac:dyDescent="0.15">
      <c r="A49" s="386">
        <v>1976</v>
      </c>
      <c r="B49" s="355"/>
      <c r="C49" s="812" t="s">
        <v>562</v>
      </c>
      <c r="D49" s="812"/>
      <c r="E49" s="334">
        <v>366</v>
      </c>
      <c r="G49" s="419">
        <v>20</v>
      </c>
      <c r="J49" s="435">
        <v>20</v>
      </c>
      <c r="K49" s="384">
        <f t="shared" si="5"/>
        <v>100</v>
      </c>
      <c r="L49" s="384">
        <f t="shared" si="6"/>
        <v>0</v>
      </c>
      <c r="M49" s="384">
        <f t="shared" si="7"/>
        <v>0</v>
      </c>
      <c r="N49" s="421">
        <f t="shared" si="8"/>
        <v>100</v>
      </c>
      <c r="O49" s="383">
        <v>73.3</v>
      </c>
      <c r="P49" s="384"/>
      <c r="Q49" s="384"/>
      <c r="R49" s="385">
        <f t="shared" si="9"/>
        <v>73.3</v>
      </c>
      <c r="S49" s="334">
        <v>1</v>
      </c>
      <c r="T49" s="357"/>
      <c r="U49" s="355"/>
      <c r="V49" s="343" t="s">
        <v>193</v>
      </c>
      <c r="W49" s="334" t="s">
        <v>77</v>
      </c>
      <c r="X49" s="334" t="s">
        <v>11</v>
      </c>
      <c r="Y49" s="344">
        <v>73.3</v>
      </c>
      <c r="AD49" s="343"/>
      <c r="AG49" s="344"/>
      <c r="AL49" s="343"/>
      <c r="AO49" s="344"/>
      <c r="AP49" s="343"/>
      <c r="AS49" s="344"/>
      <c r="AW49" s="344"/>
      <c r="BA49" s="345"/>
    </row>
    <row r="50" spans="1:53" s="334" customFormat="1" x14ac:dyDescent="0.15">
      <c r="A50" s="386">
        <v>1977</v>
      </c>
      <c r="B50" s="355"/>
      <c r="C50" s="812" t="s">
        <v>562</v>
      </c>
      <c r="D50" s="812"/>
      <c r="E50" s="334">
        <v>331</v>
      </c>
      <c r="G50" s="419">
        <v>20</v>
      </c>
      <c r="J50" s="435">
        <v>20</v>
      </c>
      <c r="K50" s="384">
        <f t="shared" si="5"/>
        <v>100</v>
      </c>
      <c r="L50" s="384">
        <f t="shared" si="6"/>
        <v>0</v>
      </c>
      <c r="M50" s="384">
        <f t="shared" si="7"/>
        <v>0</v>
      </c>
      <c r="N50" s="421">
        <f t="shared" si="8"/>
        <v>100</v>
      </c>
      <c r="O50" s="383">
        <v>73.3</v>
      </c>
      <c r="P50" s="384"/>
      <c r="Q50" s="384"/>
      <c r="R50" s="385">
        <f t="shared" si="9"/>
        <v>73.3</v>
      </c>
      <c r="S50" s="334">
        <v>1</v>
      </c>
      <c r="T50" s="357"/>
      <c r="U50" s="355"/>
      <c r="V50" s="343" t="s">
        <v>193</v>
      </c>
      <c r="W50" s="334" t="s">
        <v>77</v>
      </c>
      <c r="X50" s="334" t="s">
        <v>11</v>
      </c>
      <c r="Y50" s="344">
        <v>73.3</v>
      </c>
      <c r="AD50" s="343"/>
      <c r="AG50" s="344"/>
      <c r="AL50" s="343"/>
      <c r="AO50" s="344"/>
      <c r="AP50" s="343"/>
      <c r="AS50" s="344"/>
      <c r="AW50" s="344"/>
      <c r="BA50" s="345"/>
    </row>
    <row r="51" spans="1:53" s="73" customFormat="1" x14ac:dyDescent="0.15">
      <c r="A51" s="102">
        <v>1977</v>
      </c>
      <c r="B51" s="85">
        <v>28457</v>
      </c>
      <c r="C51" s="811" t="s">
        <v>777</v>
      </c>
      <c r="D51" s="811"/>
      <c r="E51" s="73">
        <v>34</v>
      </c>
      <c r="F51" s="73">
        <v>1</v>
      </c>
      <c r="G51" s="123">
        <v>21</v>
      </c>
      <c r="J51" s="134">
        <v>22</v>
      </c>
      <c r="K51" s="92">
        <f t="shared" si="5"/>
        <v>95.454545454545453</v>
      </c>
      <c r="L51" s="92">
        <f t="shared" si="6"/>
        <v>0</v>
      </c>
      <c r="M51" s="92">
        <f t="shared" si="7"/>
        <v>0</v>
      </c>
      <c r="N51" s="125">
        <f t="shared" si="8"/>
        <v>95.454545454545453</v>
      </c>
      <c r="O51" s="91">
        <v>57</v>
      </c>
      <c r="P51" s="92"/>
      <c r="Q51" s="92"/>
      <c r="R51" s="93">
        <f t="shared" si="9"/>
        <v>57</v>
      </c>
      <c r="S51" s="73">
        <v>1</v>
      </c>
      <c r="T51" s="95">
        <v>28449</v>
      </c>
      <c r="U51" s="85">
        <v>28457</v>
      </c>
      <c r="V51" s="82" t="s">
        <v>193</v>
      </c>
      <c r="W51" s="73" t="s">
        <v>77</v>
      </c>
      <c r="X51" s="73" t="s">
        <v>11</v>
      </c>
      <c r="Y51" s="83">
        <v>57</v>
      </c>
      <c r="AD51" s="82"/>
      <c r="AG51" s="83"/>
      <c r="AL51" s="82"/>
      <c r="AO51" s="83"/>
      <c r="AP51" s="82"/>
      <c r="AS51" s="83"/>
      <c r="AW51" s="83"/>
      <c r="BA51" s="84"/>
    </row>
    <row r="52" spans="1:53" s="73" customFormat="1" x14ac:dyDescent="0.15">
      <c r="A52" s="102">
        <v>1978</v>
      </c>
      <c r="B52" s="85"/>
      <c r="C52" s="811" t="s">
        <v>777</v>
      </c>
      <c r="D52" s="811"/>
      <c r="E52" s="73">
        <v>0</v>
      </c>
      <c r="G52" s="123">
        <v>21</v>
      </c>
      <c r="J52" s="134">
        <v>22</v>
      </c>
      <c r="K52" s="92">
        <f t="shared" si="5"/>
        <v>95.454545454545453</v>
      </c>
      <c r="L52" s="92">
        <f t="shared" si="6"/>
        <v>0</v>
      </c>
      <c r="M52" s="92">
        <f t="shared" si="7"/>
        <v>0</v>
      </c>
      <c r="N52" s="125">
        <f t="shared" si="8"/>
        <v>95.454545454545453</v>
      </c>
      <c r="O52" s="91">
        <v>57</v>
      </c>
      <c r="P52" s="92"/>
      <c r="Q52" s="92"/>
      <c r="R52" s="93">
        <f t="shared" si="9"/>
        <v>57</v>
      </c>
      <c r="S52" s="73">
        <v>1</v>
      </c>
      <c r="T52" s="81"/>
      <c r="U52" s="85"/>
      <c r="V52" s="82" t="s">
        <v>193</v>
      </c>
      <c r="W52" s="73" t="s">
        <v>77</v>
      </c>
      <c r="X52" s="73" t="s">
        <v>11</v>
      </c>
      <c r="Y52" s="83">
        <v>57</v>
      </c>
      <c r="AD52" s="82"/>
      <c r="AG52" s="83"/>
      <c r="AL52" s="82"/>
      <c r="AO52" s="83"/>
      <c r="AP52" s="82"/>
      <c r="AS52" s="83"/>
      <c r="AW52" s="83"/>
      <c r="BA52" s="84"/>
    </row>
    <row r="53" spans="1:53" s="73" customFormat="1" x14ac:dyDescent="0.15">
      <c r="A53" s="102">
        <v>1978</v>
      </c>
      <c r="B53" s="85"/>
      <c r="C53" s="811" t="s">
        <v>777</v>
      </c>
      <c r="D53" s="811"/>
      <c r="E53" s="73">
        <v>365</v>
      </c>
      <c r="G53" s="123">
        <v>21</v>
      </c>
      <c r="J53" s="134">
        <v>22</v>
      </c>
      <c r="K53" s="92">
        <f t="shared" si="5"/>
        <v>95.454545454545453</v>
      </c>
      <c r="L53" s="92">
        <f t="shared" si="6"/>
        <v>0</v>
      </c>
      <c r="M53" s="92">
        <f t="shared" si="7"/>
        <v>0</v>
      </c>
      <c r="N53" s="125">
        <f t="shared" si="8"/>
        <v>95.454545454545453</v>
      </c>
      <c r="O53" s="91">
        <v>57</v>
      </c>
      <c r="P53" s="92"/>
      <c r="Q53" s="92"/>
      <c r="R53" s="93">
        <f t="shared" si="9"/>
        <v>57</v>
      </c>
      <c r="S53" s="73">
        <v>1</v>
      </c>
      <c r="T53" s="81"/>
      <c r="U53" s="85"/>
      <c r="V53" s="82" t="s">
        <v>193</v>
      </c>
      <c r="W53" s="73" t="s">
        <v>77</v>
      </c>
      <c r="X53" s="73" t="s">
        <v>11</v>
      </c>
      <c r="Y53" s="83">
        <v>57</v>
      </c>
      <c r="AD53" s="82"/>
      <c r="AG53" s="83"/>
      <c r="AL53" s="82"/>
      <c r="AO53" s="83"/>
      <c r="AP53" s="82"/>
      <c r="AS53" s="83"/>
      <c r="AW53" s="83"/>
      <c r="BA53" s="84"/>
    </row>
    <row r="54" spans="1:53" s="73" customFormat="1" x14ac:dyDescent="0.15">
      <c r="A54" s="102">
        <v>1979</v>
      </c>
      <c r="B54" s="85"/>
      <c r="C54" s="811" t="s">
        <v>777</v>
      </c>
      <c r="D54" s="811"/>
      <c r="E54" s="73">
        <v>0</v>
      </c>
      <c r="G54" s="123">
        <v>21</v>
      </c>
      <c r="J54" s="134">
        <v>22</v>
      </c>
      <c r="K54" s="92">
        <f t="shared" si="5"/>
        <v>95.454545454545453</v>
      </c>
      <c r="L54" s="92">
        <f t="shared" si="6"/>
        <v>0</v>
      </c>
      <c r="M54" s="92">
        <f t="shared" si="7"/>
        <v>0</v>
      </c>
      <c r="N54" s="125">
        <f t="shared" si="8"/>
        <v>95.454545454545453</v>
      </c>
      <c r="O54" s="91">
        <v>57</v>
      </c>
      <c r="P54" s="92"/>
      <c r="Q54" s="92"/>
      <c r="R54" s="93">
        <f t="shared" si="9"/>
        <v>57</v>
      </c>
      <c r="S54" s="73">
        <v>1</v>
      </c>
      <c r="T54" s="81"/>
      <c r="U54" s="85"/>
      <c r="V54" s="82" t="s">
        <v>193</v>
      </c>
      <c r="W54" s="73" t="s">
        <v>77</v>
      </c>
      <c r="X54" s="73" t="s">
        <v>11</v>
      </c>
      <c r="Y54" s="83">
        <v>57</v>
      </c>
      <c r="AD54" s="82"/>
      <c r="AG54" s="83"/>
      <c r="AL54" s="82"/>
      <c r="AO54" s="83"/>
      <c r="AP54" s="82"/>
      <c r="AS54" s="83"/>
      <c r="AW54" s="83"/>
      <c r="BA54" s="84"/>
    </row>
    <row r="55" spans="1:53" s="73" customFormat="1" x14ac:dyDescent="0.15">
      <c r="A55" s="102">
        <v>1979</v>
      </c>
      <c r="B55" s="85"/>
      <c r="C55" s="811" t="s">
        <v>777</v>
      </c>
      <c r="D55" s="811"/>
      <c r="E55" s="73">
        <v>365</v>
      </c>
      <c r="G55" s="123">
        <v>21</v>
      </c>
      <c r="J55" s="134">
        <v>22</v>
      </c>
      <c r="K55" s="92">
        <f t="shared" si="5"/>
        <v>95.454545454545453</v>
      </c>
      <c r="L55" s="92">
        <f t="shared" si="6"/>
        <v>0</v>
      </c>
      <c r="M55" s="92">
        <f t="shared" si="7"/>
        <v>0</v>
      </c>
      <c r="N55" s="125">
        <f t="shared" si="8"/>
        <v>95.454545454545453</v>
      </c>
      <c r="O55" s="91">
        <v>57</v>
      </c>
      <c r="P55" s="92"/>
      <c r="Q55" s="92"/>
      <c r="R55" s="93">
        <f t="shared" si="9"/>
        <v>57</v>
      </c>
      <c r="S55" s="73">
        <v>1</v>
      </c>
      <c r="T55" s="81"/>
      <c r="U55" s="85"/>
      <c r="V55" s="82" t="s">
        <v>193</v>
      </c>
      <c r="W55" s="73" t="s">
        <v>77</v>
      </c>
      <c r="X55" s="73" t="s">
        <v>11</v>
      </c>
      <c r="Y55" s="83">
        <v>57</v>
      </c>
      <c r="AD55" s="82"/>
      <c r="AG55" s="83"/>
      <c r="AL55" s="82"/>
      <c r="AO55" s="83"/>
      <c r="AP55" s="82"/>
      <c r="AS55" s="83"/>
      <c r="AW55" s="83"/>
      <c r="BA55" s="84"/>
    </row>
    <row r="56" spans="1:53" s="73" customFormat="1" x14ac:dyDescent="0.15">
      <c r="A56" s="102">
        <v>1980</v>
      </c>
      <c r="B56" s="85"/>
      <c r="C56" s="811" t="s">
        <v>777</v>
      </c>
      <c r="D56" s="811"/>
      <c r="E56" s="73">
        <v>129</v>
      </c>
      <c r="G56" s="123">
        <v>21</v>
      </c>
      <c r="J56" s="134">
        <v>22</v>
      </c>
      <c r="K56" s="92">
        <f t="shared" si="5"/>
        <v>95.454545454545453</v>
      </c>
      <c r="L56" s="92">
        <f t="shared" si="6"/>
        <v>0</v>
      </c>
      <c r="M56" s="92">
        <f t="shared" si="7"/>
        <v>0</v>
      </c>
      <c r="N56" s="125">
        <f t="shared" si="8"/>
        <v>95.454545454545453</v>
      </c>
      <c r="O56" s="91">
        <v>57</v>
      </c>
      <c r="P56" s="92"/>
      <c r="Q56" s="92"/>
      <c r="R56" s="93">
        <f t="shared" si="9"/>
        <v>57</v>
      </c>
      <c r="S56" s="73">
        <v>1</v>
      </c>
      <c r="T56" s="81"/>
      <c r="U56" s="85"/>
      <c r="V56" s="82" t="s">
        <v>193</v>
      </c>
      <c r="W56" s="73" t="s">
        <v>77</v>
      </c>
      <c r="X56" s="73" t="s">
        <v>11</v>
      </c>
      <c r="Y56" s="83">
        <v>57</v>
      </c>
      <c r="AD56" s="82"/>
      <c r="AG56" s="83"/>
      <c r="AL56" s="82"/>
      <c r="AO56" s="83"/>
      <c r="AP56" s="82"/>
      <c r="AS56" s="83"/>
      <c r="AW56" s="83"/>
      <c r="BA56" s="84"/>
    </row>
    <row r="57" spans="1:53" s="334" customFormat="1" x14ac:dyDescent="0.15">
      <c r="A57" s="386">
        <v>1980</v>
      </c>
      <c r="B57" s="355">
        <v>29350</v>
      </c>
      <c r="C57" s="812" t="s">
        <v>178</v>
      </c>
      <c r="D57" s="812"/>
      <c r="E57" s="334">
        <v>237</v>
      </c>
      <c r="F57" s="334">
        <v>2</v>
      </c>
      <c r="G57" s="419">
        <v>22</v>
      </c>
      <c r="J57" s="435">
        <v>24</v>
      </c>
      <c r="K57" s="384">
        <f t="shared" si="5"/>
        <v>91.666666666666657</v>
      </c>
      <c r="L57" s="384">
        <f t="shared" si="6"/>
        <v>0</v>
      </c>
      <c r="M57" s="384">
        <f t="shared" si="7"/>
        <v>0</v>
      </c>
      <c r="N57" s="421">
        <f t="shared" si="8"/>
        <v>91.666666666666657</v>
      </c>
      <c r="O57" s="383">
        <v>57</v>
      </c>
      <c r="P57" s="384"/>
      <c r="Q57" s="384"/>
      <c r="R57" s="385">
        <f t="shared" si="9"/>
        <v>57</v>
      </c>
      <c r="S57" s="334">
        <v>1</v>
      </c>
      <c r="T57" s="357"/>
      <c r="U57" s="355">
        <v>29350</v>
      </c>
      <c r="V57" s="343" t="s">
        <v>193</v>
      </c>
      <c r="W57" s="334" t="s">
        <v>77</v>
      </c>
      <c r="X57" s="334" t="s">
        <v>11</v>
      </c>
      <c r="Y57" s="344">
        <v>57</v>
      </c>
      <c r="AD57" s="343"/>
      <c r="AG57" s="344"/>
      <c r="AL57" s="343"/>
      <c r="AO57" s="344"/>
      <c r="AP57" s="343"/>
      <c r="AS57" s="344"/>
      <c r="AW57" s="344"/>
      <c r="BA57" s="345"/>
    </row>
    <row r="58" spans="1:53" s="334" customFormat="1" x14ac:dyDescent="0.15">
      <c r="A58" s="386">
        <v>1981</v>
      </c>
      <c r="B58" s="355"/>
      <c r="C58" s="812" t="s">
        <v>178</v>
      </c>
      <c r="D58" s="812"/>
      <c r="E58" s="334">
        <v>293</v>
      </c>
      <c r="G58" s="419">
        <v>22</v>
      </c>
      <c r="J58" s="435">
        <v>24</v>
      </c>
      <c r="K58" s="384">
        <f t="shared" si="5"/>
        <v>91.666666666666657</v>
      </c>
      <c r="L58" s="384">
        <f t="shared" si="6"/>
        <v>0</v>
      </c>
      <c r="M58" s="384">
        <f t="shared" si="7"/>
        <v>0</v>
      </c>
      <c r="N58" s="421">
        <f t="shared" si="8"/>
        <v>91.666666666666657</v>
      </c>
      <c r="O58" s="383">
        <v>57</v>
      </c>
      <c r="P58" s="384"/>
      <c r="Q58" s="384"/>
      <c r="R58" s="385">
        <f t="shared" si="9"/>
        <v>57</v>
      </c>
      <c r="S58" s="334">
        <v>1</v>
      </c>
      <c r="T58" s="342"/>
      <c r="U58" s="355"/>
      <c r="V58" s="343" t="s">
        <v>193</v>
      </c>
      <c r="W58" s="334" t="s">
        <v>77</v>
      </c>
      <c r="X58" s="334" t="s">
        <v>11</v>
      </c>
      <c r="Y58" s="344">
        <v>57</v>
      </c>
      <c r="AD58" s="343"/>
      <c r="AG58" s="344"/>
      <c r="AL58" s="343"/>
      <c r="AO58" s="344"/>
      <c r="AP58" s="343"/>
      <c r="AS58" s="344"/>
      <c r="AW58" s="344"/>
      <c r="BA58" s="345"/>
    </row>
    <row r="59" spans="1:53" s="73" customFormat="1" x14ac:dyDescent="0.15">
      <c r="A59" s="102">
        <v>1981</v>
      </c>
      <c r="B59" s="85">
        <v>29880</v>
      </c>
      <c r="C59" s="811" t="s">
        <v>179</v>
      </c>
      <c r="D59" s="811"/>
      <c r="E59" s="73">
        <v>72</v>
      </c>
      <c r="F59" s="73">
        <v>1</v>
      </c>
      <c r="G59" s="123"/>
      <c r="I59" s="73">
        <v>21</v>
      </c>
      <c r="J59" s="134">
        <v>21</v>
      </c>
      <c r="K59" s="92">
        <f t="shared" si="5"/>
        <v>0</v>
      </c>
      <c r="L59" s="92">
        <f t="shared" si="6"/>
        <v>0</v>
      </c>
      <c r="M59" s="92">
        <f t="shared" si="7"/>
        <v>100</v>
      </c>
      <c r="N59" s="125">
        <f t="shared" si="8"/>
        <v>100</v>
      </c>
      <c r="O59" s="91"/>
      <c r="P59" s="92"/>
      <c r="Q59" s="92">
        <v>57.3</v>
      </c>
      <c r="R59" s="93">
        <f t="shared" si="9"/>
        <v>57.3</v>
      </c>
      <c r="S59" s="73">
        <v>1</v>
      </c>
      <c r="T59" s="95">
        <v>29877</v>
      </c>
      <c r="U59" s="85">
        <v>29880</v>
      </c>
      <c r="V59" s="82" t="s">
        <v>194</v>
      </c>
      <c r="W59" s="73" t="s">
        <v>20</v>
      </c>
      <c r="X59" s="73" t="s">
        <v>12</v>
      </c>
      <c r="Y59" s="83">
        <v>57.3</v>
      </c>
      <c r="AD59" s="82"/>
      <c r="AG59" s="83"/>
      <c r="AL59" s="82"/>
      <c r="AO59" s="83"/>
      <c r="AP59" s="82"/>
      <c r="AS59" s="83"/>
      <c r="AW59" s="83"/>
      <c r="BA59" s="84"/>
    </row>
    <row r="60" spans="1:53" s="73" customFormat="1" x14ac:dyDescent="0.15">
      <c r="A60" s="102">
        <v>1982</v>
      </c>
      <c r="B60" s="85"/>
      <c r="C60" s="811" t="s">
        <v>179</v>
      </c>
      <c r="D60" s="811"/>
      <c r="E60" s="73">
        <v>0</v>
      </c>
      <c r="G60" s="123"/>
      <c r="I60" s="73">
        <v>21</v>
      </c>
      <c r="J60" s="134">
        <v>21</v>
      </c>
      <c r="K60" s="92">
        <f t="shared" si="5"/>
        <v>0</v>
      </c>
      <c r="L60" s="92">
        <f t="shared" si="6"/>
        <v>0</v>
      </c>
      <c r="M60" s="92">
        <f t="shared" si="7"/>
        <v>100</v>
      </c>
      <c r="N60" s="125">
        <f t="shared" si="8"/>
        <v>100</v>
      </c>
      <c r="O60" s="91"/>
      <c r="P60" s="92"/>
      <c r="Q60" s="92">
        <v>57.3</v>
      </c>
      <c r="R60" s="93">
        <f t="shared" si="9"/>
        <v>57.3</v>
      </c>
      <c r="S60" s="73">
        <v>1</v>
      </c>
      <c r="T60" s="81"/>
      <c r="U60" s="85"/>
      <c r="V60" s="82" t="s">
        <v>194</v>
      </c>
      <c r="W60" s="73" t="s">
        <v>20</v>
      </c>
      <c r="X60" s="73" t="s">
        <v>12</v>
      </c>
      <c r="Y60" s="83">
        <v>57.3</v>
      </c>
      <c r="AD60" s="82"/>
      <c r="AG60" s="83"/>
      <c r="AL60" s="82"/>
      <c r="AO60" s="83"/>
      <c r="AP60" s="82"/>
      <c r="AS60" s="83"/>
      <c r="AW60" s="83"/>
      <c r="BA60" s="84"/>
    </row>
    <row r="61" spans="1:53" s="73" customFormat="1" x14ac:dyDescent="0.15">
      <c r="A61" s="102">
        <v>1982</v>
      </c>
      <c r="B61" s="85"/>
      <c r="C61" s="811" t="s">
        <v>179</v>
      </c>
      <c r="D61" s="811"/>
      <c r="E61" s="73">
        <v>365</v>
      </c>
      <c r="G61" s="123"/>
      <c r="I61" s="73">
        <v>21</v>
      </c>
      <c r="J61" s="134">
        <v>21</v>
      </c>
      <c r="K61" s="92">
        <f t="shared" si="5"/>
        <v>0</v>
      </c>
      <c r="L61" s="92">
        <f t="shared" si="6"/>
        <v>0</v>
      </c>
      <c r="M61" s="92">
        <f t="shared" si="7"/>
        <v>100</v>
      </c>
      <c r="N61" s="125">
        <f t="shared" si="8"/>
        <v>100</v>
      </c>
      <c r="O61" s="91"/>
      <c r="P61" s="92"/>
      <c r="Q61" s="92">
        <v>57.3</v>
      </c>
      <c r="R61" s="93">
        <f t="shared" si="9"/>
        <v>57.3</v>
      </c>
      <c r="S61" s="73">
        <v>1</v>
      </c>
      <c r="T61" s="81"/>
      <c r="U61" s="85"/>
      <c r="V61" s="82" t="s">
        <v>194</v>
      </c>
      <c r="W61" s="73" t="s">
        <v>20</v>
      </c>
      <c r="X61" s="73" t="s">
        <v>12</v>
      </c>
      <c r="Y61" s="83">
        <v>57.3</v>
      </c>
      <c r="AD61" s="82"/>
      <c r="AG61" s="83"/>
      <c r="AL61" s="82"/>
      <c r="AO61" s="83"/>
      <c r="AP61" s="82"/>
      <c r="AS61" s="83"/>
      <c r="AW61" s="83"/>
      <c r="BA61" s="84"/>
    </row>
    <row r="62" spans="1:53" s="73" customFormat="1" x14ac:dyDescent="0.15">
      <c r="A62" s="102">
        <v>1983</v>
      </c>
      <c r="B62" s="85"/>
      <c r="C62" s="811" t="s">
        <v>179</v>
      </c>
      <c r="D62" s="811"/>
      <c r="E62" s="73">
        <v>0</v>
      </c>
      <c r="G62" s="123"/>
      <c r="I62" s="73">
        <v>21</v>
      </c>
      <c r="J62" s="134">
        <v>21</v>
      </c>
      <c r="K62" s="92">
        <f t="shared" si="5"/>
        <v>0</v>
      </c>
      <c r="L62" s="92">
        <f t="shared" si="6"/>
        <v>0</v>
      </c>
      <c r="M62" s="92">
        <f t="shared" si="7"/>
        <v>100</v>
      </c>
      <c r="N62" s="125">
        <f t="shared" si="8"/>
        <v>100</v>
      </c>
      <c r="O62" s="91"/>
      <c r="P62" s="92"/>
      <c r="Q62" s="92">
        <v>57.3</v>
      </c>
      <c r="R62" s="93">
        <f t="shared" si="9"/>
        <v>57.3</v>
      </c>
      <c r="S62" s="73">
        <v>1</v>
      </c>
      <c r="T62" s="81"/>
      <c r="U62" s="85"/>
      <c r="V62" s="82" t="s">
        <v>194</v>
      </c>
      <c r="W62" s="73" t="s">
        <v>20</v>
      </c>
      <c r="X62" s="73" t="s">
        <v>12</v>
      </c>
      <c r="Y62" s="83">
        <v>57.3</v>
      </c>
      <c r="AD62" s="82"/>
      <c r="AG62" s="83"/>
      <c r="AL62" s="82"/>
      <c r="AO62" s="83"/>
      <c r="AP62" s="82"/>
      <c r="AS62" s="83"/>
      <c r="AW62" s="83"/>
      <c r="BA62" s="84"/>
    </row>
    <row r="63" spans="1:53" s="73" customFormat="1" x14ac:dyDescent="0.15">
      <c r="A63" s="102">
        <v>1983</v>
      </c>
      <c r="B63" s="85"/>
      <c r="C63" s="811" t="s">
        <v>179</v>
      </c>
      <c r="D63" s="811"/>
      <c r="E63" s="73">
        <v>365</v>
      </c>
      <c r="G63" s="123"/>
      <c r="I63" s="73">
        <v>21</v>
      </c>
      <c r="J63" s="134">
        <v>21</v>
      </c>
      <c r="K63" s="92">
        <f>G63/J63*100</f>
        <v>0</v>
      </c>
      <c r="L63" s="92">
        <f>H63/J63*100</f>
        <v>0</v>
      </c>
      <c r="M63" s="92">
        <f>I63/J63*100</f>
        <v>100</v>
      </c>
      <c r="N63" s="125">
        <f t="shared" ref="N63:N126" si="10">SUM(K63:M63)</f>
        <v>100</v>
      </c>
      <c r="O63" s="91"/>
      <c r="P63" s="92"/>
      <c r="Q63" s="92">
        <v>57.3</v>
      </c>
      <c r="R63" s="93">
        <f t="shared" si="9"/>
        <v>57.3</v>
      </c>
      <c r="S63" s="73">
        <v>1</v>
      </c>
      <c r="T63" s="81"/>
      <c r="U63" s="85"/>
      <c r="V63" s="82" t="s">
        <v>194</v>
      </c>
      <c r="W63" s="73" t="s">
        <v>20</v>
      </c>
      <c r="X63" s="73" t="s">
        <v>12</v>
      </c>
      <c r="Y63" s="83">
        <v>57.3</v>
      </c>
      <c r="AD63" s="82"/>
      <c r="AG63" s="83"/>
      <c r="AL63" s="82"/>
      <c r="AO63" s="83"/>
      <c r="AP63" s="82"/>
      <c r="AS63" s="83"/>
      <c r="AW63" s="83"/>
      <c r="BA63" s="84"/>
    </row>
    <row r="64" spans="1:53" s="73" customFormat="1" x14ac:dyDescent="0.15">
      <c r="A64" s="102">
        <v>1984</v>
      </c>
      <c r="B64" s="85"/>
      <c r="C64" s="811" t="s">
        <v>179</v>
      </c>
      <c r="D64" s="811"/>
      <c r="E64" s="73">
        <v>0</v>
      </c>
      <c r="G64" s="123"/>
      <c r="I64" s="73">
        <v>21</v>
      </c>
      <c r="J64" s="134">
        <v>21</v>
      </c>
      <c r="K64" s="92">
        <f t="shared" ref="K64:K79" si="11">G64/J64*100</f>
        <v>0</v>
      </c>
      <c r="L64" s="92">
        <f t="shared" ref="L64:L79" si="12">H64/J64*100</f>
        <v>0</v>
      </c>
      <c r="M64" s="92">
        <f t="shared" ref="M64:M79" si="13">I64/J64*100</f>
        <v>100</v>
      </c>
      <c r="N64" s="125">
        <f t="shared" si="10"/>
        <v>100</v>
      </c>
      <c r="O64" s="91"/>
      <c r="P64" s="92"/>
      <c r="Q64" s="92">
        <v>57.3</v>
      </c>
      <c r="R64" s="93">
        <f t="shared" si="9"/>
        <v>57.3</v>
      </c>
      <c r="S64" s="73">
        <v>1</v>
      </c>
      <c r="T64" s="81"/>
      <c r="U64" s="85"/>
      <c r="V64" s="82" t="s">
        <v>194</v>
      </c>
      <c r="W64" s="73" t="s">
        <v>20</v>
      </c>
      <c r="X64" s="73" t="s">
        <v>12</v>
      </c>
      <c r="Y64" s="83">
        <v>57.3</v>
      </c>
      <c r="AD64" s="82"/>
      <c r="AG64" s="83"/>
      <c r="AL64" s="82"/>
      <c r="AO64" s="83"/>
      <c r="AP64" s="82"/>
      <c r="AS64" s="83"/>
      <c r="AW64" s="83"/>
      <c r="BA64" s="84"/>
    </row>
    <row r="65" spans="1:53" s="73" customFormat="1" x14ac:dyDescent="0.15">
      <c r="A65" s="102">
        <v>1984</v>
      </c>
      <c r="B65" s="85"/>
      <c r="C65" s="811" t="s">
        <v>179</v>
      </c>
      <c r="D65" s="811"/>
      <c r="E65" s="73">
        <v>366</v>
      </c>
      <c r="G65" s="123"/>
      <c r="I65" s="73">
        <v>21</v>
      </c>
      <c r="J65" s="134">
        <v>21</v>
      </c>
      <c r="K65" s="92">
        <f t="shared" ref="K65:K70" si="14">G65/J65*100</f>
        <v>0</v>
      </c>
      <c r="L65" s="92">
        <f t="shared" ref="L65:L70" si="15">H65/J65*100</f>
        <v>0</v>
      </c>
      <c r="M65" s="92">
        <f t="shared" ref="M65:M70" si="16">I65/J65*100</f>
        <v>100</v>
      </c>
      <c r="N65" s="125">
        <f t="shared" si="10"/>
        <v>100</v>
      </c>
      <c r="O65" s="91"/>
      <c r="P65" s="92"/>
      <c r="Q65" s="92">
        <v>57.3</v>
      </c>
      <c r="R65" s="93">
        <f t="shared" si="9"/>
        <v>57.3</v>
      </c>
      <c r="S65" s="73">
        <v>1</v>
      </c>
      <c r="T65" s="81"/>
      <c r="U65" s="85"/>
      <c r="V65" s="82" t="s">
        <v>194</v>
      </c>
      <c r="W65" s="73" t="s">
        <v>20</v>
      </c>
      <c r="X65" s="73" t="s">
        <v>12</v>
      </c>
      <c r="Y65" s="83">
        <v>57.3</v>
      </c>
      <c r="AD65" s="82"/>
      <c r="AG65" s="83"/>
      <c r="AL65" s="82"/>
      <c r="AO65" s="83"/>
      <c r="AP65" s="82"/>
      <c r="AS65" s="83"/>
      <c r="AW65" s="83"/>
      <c r="BA65" s="84"/>
    </row>
    <row r="66" spans="1:53" s="73" customFormat="1" x14ac:dyDescent="0.15">
      <c r="A66" s="102">
        <v>1985</v>
      </c>
      <c r="B66" s="85"/>
      <c r="C66" s="811" t="s">
        <v>179</v>
      </c>
      <c r="D66" s="811"/>
      <c r="E66" s="73">
        <v>155</v>
      </c>
      <c r="G66" s="123"/>
      <c r="I66" s="73">
        <v>21</v>
      </c>
      <c r="J66" s="134">
        <v>21</v>
      </c>
      <c r="K66" s="92">
        <f t="shared" si="14"/>
        <v>0</v>
      </c>
      <c r="L66" s="92">
        <f t="shared" si="15"/>
        <v>0</v>
      </c>
      <c r="M66" s="92">
        <f t="shared" si="16"/>
        <v>100</v>
      </c>
      <c r="N66" s="125">
        <f t="shared" si="10"/>
        <v>100</v>
      </c>
      <c r="O66" s="91"/>
      <c r="P66" s="92"/>
      <c r="Q66" s="92">
        <v>57.3</v>
      </c>
      <c r="R66" s="93">
        <f t="shared" si="9"/>
        <v>57.3</v>
      </c>
      <c r="S66" s="73">
        <v>1</v>
      </c>
      <c r="T66" s="81"/>
      <c r="U66" s="85"/>
      <c r="V66" s="82" t="s">
        <v>194</v>
      </c>
      <c r="W66" s="73" t="s">
        <v>20</v>
      </c>
      <c r="X66" s="73" t="s">
        <v>12</v>
      </c>
      <c r="Y66" s="83">
        <v>57.3</v>
      </c>
      <c r="AD66" s="82"/>
      <c r="AG66" s="83"/>
      <c r="AL66" s="82"/>
      <c r="AO66" s="83"/>
      <c r="AP66" s="82"/>
      <c r="AS66" s="83"/>
      <c r="AW66" s="83"/>
      <c r="BA66" s="84"/>
    </row>
    <row r="67" spans="1:53" s="334" customFormat="1" x14ac:dyDescent="0.15">
      <c r="A67" s="386">
        <v>1985</v>
      </c>
      <c r="B67" s="355">
        <v>31203</v>
      </c>
      <c r="C67" s="812" t="s">
        <v>180</v>
      </c>
      <c r="D67" s="812"/>
      <c r="E67" s="334">
        <v>51</v>
      </c>
      <c r="F67" s="334">
        <v>1</v>
      </c>
      <c r="G67" s="419"/>
      <c r="I67" s="334">
        <v>15</v>
      </c>
      <c r="J67" s="435">
        <v>15</v>
      </c>
      <c r="K67" s="384">
        <f t="shared" si="14"/>
        <v>0</v>
      </c>
      <c r="L67" s="384">
        <f t="shared" si="15"/>
        <v>0</v>
      </c>
      <c r="M67" s="384">
        <f t="shared" si="16"/>
        <v>100</v>
      </c>
      <c r="N67" s="421">
        <f t="shared" si="10"/>
        <v>100</v>
      </c>
      <c r="O67" s="383"/>
      <c r="P67" s="384"/>
      <c r="Q67" s="384">
        <v>53.7</v>
      </c>
      <c r="R67" s="385">
        <f t="shared" si="9"/>
        <v>53.7</v>
      </c>
      <c r="S67" s="334">
        <v>1</v>
      </c>
      <c r="T67" s="342">
        <v>31200</v>
      </c>
      <c r="U67" s="355">
        <v>31203</v>
      </c>
      <c r="V67" s="343" t="s">
        <v>194</v>
      </c>
      <c r="W67" s="334" t="s">
        <v>20</v>
      </c>
      <c r="X67" s="334" t="s">
        <v>12</v>
      </c>
      <c r="Y67" s="344">
        <v>53.7</v>
      </c>
      <c r="AD67" s="343"/>
      <c r="AG67" s="344"/>
      <c r="AL67" s="343"/>
      <c r="AO67" s="344"/>
      <c r="AP67" s="343"/>
      <c r="AS67" s="344"/>
      <c r="AW67" s="344"/>
      <c r="BA67" s="345"/>
    </row>
    <row r="68" spans="1:53" s="334" customFormat="1" x14ac:dyDescent="0.15">
      <c r="A68" s="386">
        <v>1985</v>
      </c>
      <c r="B68" s="445">
        <v>31254</v>
      </c>
      <c r="C68" s="812" t="s">
        <v>180</v>
      </c>
      <c r="D68" s="812"/>
      <c r="E68" s="334">
        <v>159</v>
      </c>
      <c r="F68" s="441">
        <v>0</v>
      </c>
      <c r="G68" s="419"/>
      <c r="I68" s="334">
        <v>25</v>
      </c>
      <c r="J68" s="435">
        <v>25</v>
      </c>
      <c r="K68" s="384">
        <f t="shared" si="14"/>
        <v>0</v>
      </c>
      <c r="L68" s="384">
        <f t="shared" si="15"/>
        <v>0</v>
      </c>
      <c r="M68" s="384">
        <f t="shared" si="16"/>
        <v>100</v>
      </c>
      <c r="N68" s="421">
        <f t="shared" si="10"/>
        <v>100</v>
      </c>
      <c r="O68" s="383"/>
      <c r="P68" s="384"/>
      <c r="Q68" s="384">
        <v>53.7</v>
      </c>
      <c r="R68" s="385">
        <f t="shared" si="9"/>
        <v>53.7</v>
      </c>
      <c r="S68" s="334">
        <v>1</v>
      </c>
      <c r="T68" s="357"/>
      <c r="U68" s="355"/>
      <c r="V68" s="343" t="s">
        <v>194</v>
      </c>
      <c r="W68" s="334" t="s">
        <v>20</v>
      </c>
      <c r="X68" s="334" t="s">
        <v>12</v>
      </c>
      <c r="Y68" s="344">
        <v>53.7</v>
      </c>
      <c r="AD68" s="343"/>
      <c r="AG68" s="344"/>
      <c r="AL68" s="343"/>
      <c r="AO68" s="344"/>
      <c r="AP68" s="343"/>
      <c r="AS68" s="344"/>
      <c r="AW68" s="344"/>
      <c r="BA68" s="345"/>
    </row>
    <row r="69" spans="1:53" s="334" customFormat="1" x14ac:dyDescent="0.15">
      <c r="A69" s="386">
        <v>1986</v>
      </c>
      <c r="B69" s="355"/>
      <c r="C69" s="812" t="s">
        <v>180</v>
      </c>
      <c r="D69" s="812"/>
      <c r="E69" s="334">
        <v>0</v>
      </c>
      <c r="G69" s="419"/>
      <c r="I69" s="334">
        <v>25</v>
      </c>
      <c r="J69" s="435">
        <v>25</v>
      </c>
      <c r="K69" s="384">
        <f t="shared" si="14"/>
        <v>0</v>
      </c>
      <c r="L69" s="384">
        <f t="shared" si="15"/>
        <v>0</v>
      </c>
      <c r="M69" s="384">
        <f t="shared" si="16"/>
        <v>100</v>
      </c>
      <c r="N69" s="421">
        <f t="shared" si="10"/>
        <v>100</v>
      </c>
      <c r="O69" s="383"/>
      <c r="P69" s="384"/>
      <c r="Q69" s="384">
        <v>53.7</v>
      </c>
      <c r="R69" s="385">
        <f t="shared" si="9"/>
        <v>53.7</v>
      </c>
      <c r="S69" s="334">
        <v>1</v>
      </c>
      <c r="T69" s="357"/>
      <c r="U69" s="355"/>
      <c r="V69" s="343" t="s">
        <v>194</v>
      </c>
      <c r="W69" s="334" t="s">
        <v>20</v>
      </c>
      <c r="X69" s="334" t="s">
        <v>12</v>
      </c>
      <c r="Y69" s="344">
        <v>53.7</v>
      </c>
      <c r="AD69" s="343"/>
      <c r="AG69" s="344"/>
      <c r="AL69" s="343"/>
      <c r="AO69" s="344"/>
      <c r="AP69" s="343"/>
      <c r="AS69" s="344"/>
      <c r="AW69" s="344"/>
      <c r="BA69" s="345"/>
    </row>
    <row r="70" spans="1:53" s="334" customFormat="1" x14ac:dyDescent="0.15">
      <c r="A70" s="386">
        <v>1986</v>
      </c>
      <c r="B70" s="355"/>
      <c r="C70" s="812" t="s">
        <v>180</v>
      </c>
      <c r="D70" s="812"/>
      <c r="E70" s="334">
        <v>365</v>
      </c>
      <c r="G70" s="419"/>
      <c r="I70" s="334">
        <v>25</v>
      </c>
      <c r="J70" s="435">
        <v>25</v>
      </c>
      <c r="K70" s="384">
        <f t="shared" si="14"/>
        <v>0</v>
      </c>
      <c r="L70" s="384">
        <f t="shared" si="15"/>
        <v>0</v>
      </c>
      <c r="M70" s="384">
        <f t="shared" si="16"/>
        <v>100</v>
      </c>
      <c r="N70" s="421">
        <f t="shared" si="10"/>
        <v>100</v>
      </c>
      <c r="O70" s="383"/>
      <c r="P70" s="384"/>
      <c r="Q70" s="384">
        <v>53.7</v>
      </c>
      <c r="R70" s="385">
        <f t="shared" si="9"/>
        <v>53.7</v>
      </c>
      <c r="S70" s="334">
        <v>1</v>
      </c>
      <c r="T70" s="357"/>
      <c r="U70" s="355"/>
      <c r="V70" s="343" t="s">
        <v>194</v>
      </c>
      <c r="W70" s="334" t="s">
        <v>20</v>
      </c>
      <c r="X70" s="334" t="s">
        <v>12</v>
      </c>
      <c r="Y70" s="344">
        <v>53.7</v>
      </c>
      <c r="AD70" s="343"/>
      <c r="AG70" s="344"/>
      <c r="AL70" s="343"/>
      <c r="AO70" s="344"/>
      <c r="AP70" s="343"/>
      <c r="AS70" s="344"/>
      <c r="AW70" s="344"/>
      <c r="BA70" s="345"/>
    </row>
    <row r="71" spans="1:53" s="334" customFormat="1" x14ac:dyDescent="0.15">
      <c r="A71" s="386">
        <v>1987</v>
      </c>
      <c r="B71" s="355"/>
      <c r="C71" s="812" t="s">
        <v>180</v>
      </c>
      <c r="D71" s="812"/>
      <c r="E71" s="334">
        <v>0</v>
      </c>
      <c r="G71" s="419"/>
      <c r="I71" s="334">
        <v>25</v>
      </c>
      <c r="J71" s="435">
        <v>25</v>
      </c>
      <c r="K71" s="384">
        <f t="shared" si="11"/>
        <v>0</v>
      </c>
      <c r="L71" s="384">
        <f t="shared" si="12"/>
        <v>0</v>
      </c>
      <c r="M71" s="384">
        <f t="shared" si="13"/>
        <v>100</v>
      </c>
      <c r="N71" s="421">
        <f t="shared" si="10"/>
        <v>100</v>
      </c>
      <c r="O71" s="383"/>
      <c r="P71" s="384"/>
      <c r="Q71" s="384">
        <v>53.7</v>
      </c>
      <c r="R71" s="385">
        <f t="shared" si="9"/>
        <v>53.7</v>
      </c>
      <c r="S71" s="334">
        <v>1</v>
      </c>
      <c r="T71" s="357"/>
      <c r="U71" s="355"/>
      <c r="V71" s="343" t="s">
        <v>194</v>
      </c>
      <c r="W71" s="334" t="s">
        <v>20</v>
      </c>
      <c r="X71" s="334" t="s">
        <v>12</v>
      </c>
      <c r="Y71" s="344">
        <v>53.7</v>
      </c>
      <c r="AD71" s="343"/>
      <c r="AG71" s="344"/>
      <c r="AL71" s="343"/>
      <c r="AO71" s="344"/>
      <c r="AP71" s="343"/>
      <c r="AS71" s="344"/>
      <c r="AW71" s="344"/>
      <c r="BA71" s="345"/>
    </row>
    <row r="72" spans="1:53" s="334" customFormat="1" x14ac:dyDescent="0.15">
      <c r="A72" s="386">
        <v>1987</v>
      </c>
      <c r="B72" s="355"/>
      <c r="C72" s="812" t="s">
        <v>180</v>
      </c>
      <c r="D72" s="812"/>
      <c r="E72" s="334">
        <v>365</v>
      </c>
      <c r="G72" s="419"/>
      <c r="I72" s="334">
        <v>25</v>
      </c>
      <c r="J72" s="435">
        <v>25</v>
      </c>
      <c r="K72" s="384">
        <f t="shared" si="11"/>
        <v>0</v>
      </c>
      <c r="L72" s="384">
        <f t="shared" si="12"/>
        <v>0</v>
      </c>
      <c r="M72" s="384">
        <f t="shared" si="13"/>
        <v>100</v>
      </c>
      <c r="N72" s="421">
        <f t="shared" si="10"/>
        <v>100</v>
      </c>
      <c r="O72" s="383"/>
      <c r="P72" s="384"/>
      <c r="Q72" s="384">
        <v>53.7</v>
      </c>
      <c r="R72" s="385">
        <f t="shared" si="9"/>
        <v>53.7</v>
      </c>
      <c r="S72" s="334">
        <v>1</v>
      </c>
      <c r="T72" s="357"/>
      <c r="U72" s="355"/>
      <c r="V72" s="343" t="s">
        <v>194</v>
      </c>
      <c r="W72" s="334" t="s">
        <v>20</v>
      </c>
      <c r="X72" s="334" t="s">
        <v>12</v>
      </c>
      <c r="Y72" s="344">
        <v>53.7</v>
      </c>
      <c r="AD72" s="343"/>
      <c r="AG72" s="344"/>
      <c r="AL72" s="343"/>
      <c r="AO72" s="344"/>
      <c r="AP72" s="343"/>
      <c r="AS72" s="344"/>
      <c r="AW72" s="344"/>
      <c r="BA72" s="345"/>
    </row>
    <row r="73" spans="1:53" s="334" customFormat="1" x14ac:dyDescent="0.15">
      <c r="A73" s="386">
        <v>1988</v>
      </c>
      <c r="B73" s="355"/>
      <c r="C73" s="812" t="s">
        <v>180</v>
      </c>
      <c r="D73" s="812"/>
      <c r="E73" s="334">
        <v>0</v>
      </c>
      <c r="G73" s="419"/>
      <c r="I73" s="334">
        <v>25</v>
      </c>
      <c r="J73" s="435">
        <v>25</v>
      </c>
      <c r="K73" s="384">
        <f t="shared" si="11"/>
        <v>0</v>
      </c>
      <c r="L73" s="384">
        <f t="shared" si="12"/>
        <v>0</v>
      </c>
      <c r="M73" s="384">
        <f t="shared" si="13"/>
        <v>100</v>
      </c>
      <c r="N73" s="421">
        <f t="shared" si="10"/>
        <v>100</v>
      </c>
      <c r="O73" s="383"/>
      <c r="P73" s="384"/>
      <c r="Q73" s="384">
        <v>53.7</v>
      </c>
      <c r="R73" s="385">
        <f t="shared" si="9"/>
        <v>53.7</v>
      </c>
      <c r="S73" s="334">
        <v>1</v>
      </c>
      <c r="T73" s="357"/>
      <c r="U73" s="355"/>
      <c r="V73" s="343" t="s">
        <v>194</v>
      </c>
      <c r="W73" s="334" t="s">
        <v>20</v>
      </c>
      <c r="X73" s="334" t="s">
        <v>12</v>
      </c>
      <c r="Y73" s="344">
        <v>53.7</v>
      </c>
      <c r="AD73" s="343"/>
      <c r="AG73" s="344"/>
      <c r="AL73" s="343"/>
      <c r="AO73" s="344"/>
      <c r="AP73" s="343"/>
      <c r="AS73" s="344"/>
      <c r="AW73" s="344"/>
      <c r="BA73" s="345"/>
    </row>
    <row r="74" spans="1:53" s="334" customFormat="1" x14ac:dyDescent="0.15">
      <c r="A74" s="386">
        <v>1988</v>
      </c>
      <c r="B74" s="355"/>
      <c r="C74" s="812" t="s">
        <v>180</v>
      </c>
      <c r="D74" s="812"/>
      <c r="E74" s="334">
        <v>366</v>
      </c>
      <c r="G74" s="419"/>
      <c r="I74" s="334">
        <v>25</v>
      </c>
      <c r="J74" s="435">
        <v>25</v>
      </c>
      <c r="K74" s="384">
        <f t="shared" si="11"/>
        <v>0</v>
      </c>
      <c r="L74" s="384">
        <f t="shared" si="12"/>
        <v>0</v>
      </c>
      <c r="M74" s="384">
        <f t="shared" si="13"/>
        <v>100</v>
      </c>
      <c r="N74" s="421">
        <f t="shared" si="10"/>
        <v>100</v>
      </c>
      <c r="O74" s="383"/>
      <c r="P74" s="384"/>
      <c r="Q74" s="384">
        <v>53.7</v>
      </c>
      <c r="R74" s="385">
        <f t="shared" si="9"/>
        <v>53.7</v>
      </c>
      <c r="S74" s="334">
        <v>1</v>
      </c>
      <c r="T74" s="357"/>
      <c r="U74" s="355"/>
      <c r="V74" s="343" t="s">
        <v>194</v>
      </c>
      <c r="W74" s="334" t="s">
        <v>20</v>
      </c>
      <c r="X74" s="334" t="s">
        <v>12</v>
      </c>
      <c r="Y74" s="344">
        <v>53.7</v>
      </c>
      <c r="AD74" s="343"/>
      <c r="AG74" s="344"/>
      <c r="AL74" s="343"/>
      <c r="AO74" s="344"/>
      <c r="AP74" s="343"/>
      <c r="AS74" s="344"/>
      <c r="AW74" s="344"/>
      <c r="BA74" s="345"/>
    </row>
    <row r="75" spans="1:53" s="334" customFormat="1" x14ac:dyDescent="0.15">
      <c r="A75" s="386">
        <v>1989</v>
      </c>
      <c r="B75" s="355"/>
      <c r="C75" s="812" t="s">
        <v>180</v>
      </c>
      <c r="D75" s="812"/>
      <c r="E75" s="334">
        <v>182</v>
      </c>
      <c r="G75" s="419"/>
      <c r="I75" s="334">
        <v>25</v>
      </c>
      <c r="J75" s="435">
        <v>25</v>
      </c>
      <c r="K75" s="384">
        <f t="shared" si="11"/>
        <v>0</v>
      </c>
      <c r="L75" s="384">
        <f t="shared" si="12"/>
        <v>0</v>
      </c>
      <c r="M75" s="384">
        <f t="shared" si="13"/>
        <v>100</v>
      </c>
      <c r="N75" s="421">
        <f t="shared" si="10"/>
        <v>100</v>
      </c>
      <c r="O75" s="383"/>
      <c r="P75" s="384"/>
      <c r="Q75" s="384">
        <v>53.7</v>
      </c>
      <c r="R75" s="385">
        <f t="shared" si="9"/>
        <v>53.7</v>
      </c>
      <c r="S75" s="334">
        <v>1</v>
      </c>
      <c r="T75" s="357"/>
      <c r="U75" s="355"/>
      <c r="V75" s="343" t="s">
        <v>194</v>
      </c>
      <c r="W75" s="334" t="s">
        <v>20</v>
      </c>
      <c r="X75" s="334" t="s">
        <v>12</v>
      </c>
      <c r="Y75" s="344">
        <v>53.7</v>
      </c>
      <c r="AD75" s="343"/>
      <c r="AG75" s="344"/>
      <c r="AL75" s="343"/>
      <c r="AO75" s="344"/>
      <c r="AP75" s="343"/>
      <c r="AS75" s="344"/>
      <c r="AW75" s="344"/>
      <c r="BA75" s="345"/>
    </row>
    <row r="76" spans="1:53" s="73" customFormat="1" x14ac:dyDescent="0.15">
      <c r="A76" s="102">
        <v>1989</v>
      </c>
      <c r="B76" s="85">
        <v>32691</v>
      </c>
      <c r="C76" s="811" t="s">
        <v>182</v>
      </c>
      <c r="D76" s="811"/>
      <c r="E76" s="73">
        <v>102</v>
      </c>
      <c r="F76" s="73">
        <v>1</v>
      </c>
      <c r="G76" s="123">
        <v>21</v>
      </c>
      <c r="I76" s="73">
        <v>2</v>
      </c>
      <c r="J76" s="134">
        <v>23</v>
      </c>
      <c r="K76" s="92">
        <f>G76/J76*100</f>
        <v>91.304347826086953</v>
      </c>
      <c r="L76" s="92">
        <f>H76/J76*100</f>
        <v>0</v>
      </c>
      <c r="M76" s="92">
        <f>I76/J76*100</f>
        <v>8.695652173913043</v>
      </c>
      <c r="N76" s="125">
        <f t="shared" si="10"/>
        <v>100</v>
      </c>
      <c r="O76" s="91">
        <v>48.3</v>
      </c>
      <c r="P76" s="92"/>
      <c r="Q76" s="92">
        <v>9.3000000000000007</v>
      </c>
      <c r="R76" s="93">
        <f t="shared" si="9"/>
        <v>57.599999999999994</v>
      </c>
      <c r="S76" s="73">
        <v>2</v>
      </c>
      <c r="T76" s="95">
        <v>32677</v>
      </c>
      <c r="U76" s="85">
        <v>32691</v>
      </c>
      <c r="V76" s="82" t="s">
        <v>193</v>
      </c>
      <c r="W76" s="73" t="s">
        <v>77</v>
      </c>
      <c r="X76" s="73" t="s">
        <v>11</v>
      </c>
      <c r="Y76" s="83">
        <v>48.3</v>
      </c>
      <c r="Z76" s="73" t="s">
        <v>195</v>
      </c>
      <c r="AA76" s="73" t="s">
        <v>196</v>
      </c>
      <c r="AB76" s="73" t="s">
        <v>12</v>
      </c>
      <c r="AC76" s="73">
        <v>9.3000000000000007</v>
      </c>
      <c r="AD76" s="82"/>
      <c r="AG76" s="83"/>
      <c r="AL76" s="82"/>
      <c r="AO76" s="83"/>
      <c r="AP76" s="82"/>
      <c r="AS76" s="83"/>
      <c r="AW76" s="83"/>
      <c r="BA76" s="84"/>
    </row>
    <row r="77" spans="1:53" s="334" customFormat="1" x14ac:dyDescent="0.15">
      <c r="A77" s="386">
        <v>1989</v>
      </c>
      <c r="B77" s="355">
        <v>32793</v>
      </c>
      <c r="C77" s="812" t="s">
        <v>190</v>
      </c>
      <c r="D77" s="812"/>
      <c r="E77" s="334">
        <v>41</v>
      </c>
      <c r="F77" s="334">
        <v>2</v>
      </c>
      <c r="G77" s="419">
        <v>0</v>
      </c>
      <c r="H77" s="334">
        <v>0</v>
      </c>
      <c r="I77" s="334">
        <v>0</v>
      </c>
      <c r="J77" s="435">
        <v>21</v>
      </c>
      <c r="K77" s="384">
        <f t="shared" si="11"/>
        <v>0</v>
      </c>
      <c r="L77" s="384">
        <f t="shared" si="12"/>
        <v>0</v>
      </c>
      <c r="M77" s="384">
        <f t="shared" si="13"/>
        <v>0</v>
      </c>
      <c r="N77" s="421">
        <f t="shared" si="10"/>
        <v>0</v>
      </c>
      <c r="O77" s="383">
        <v>0</v>
      </c>
      <c r="P77" s="384">
        <v>0</v>
      </c>
      <c r="Q77" s="384">
        <v>0</v>
      </c>
      <c r="R77" s="385">
        <f t="shared" si="9"/>
        <v>0</v>
      </c>
      <c r="S77" s="334">
        <v>6</v>
      </c>
      <c r="T77" s="357"/>
      <c r="U77" s="355">
        <v>32793</v>
      </c>
      <c r="V77" s="438" t="s">
        <v>814</v>
      </c>
      <c r="Y77" s="344"/>
      <c r="AD77" s="343"/>
      <c r="AG77" s="344"/>
      <c r="AL77" s="343"/>
      <c r="AO77" s="344"/>
      <c r="AP77" s="343"/>
      <c r="AS77" s="344"/>
      <c r="AW77" s="344"/>
      <c r="BA77" s="345"/>
    </row>
    <row r="78" spans="1:53" s="136" customFormat="1" x14ac:dyDescent="0.15">
      <c r="A78" s="162">
        <v>1989</v>
      </c>
      <c r="B78" s="137">
        <v>32834</v>
      </c>
      <c r="C78" s="845" t="s">
        <v>191</v>
      </c>
      <c r="D78" s="845"/>
      <c r="E78" s="136">
        <v>40</v>
      </c>
      <c r="F78" s="136">
        <v>1</v>
      </c>
      <c r="G78" s="138">
        <v>6</v>
      </c>
      <c r="I78" s="136">
        <v>7</v>
      </c>
      <c r="J78" s="139">
        <v>21</v>
      </c>
      <c r="K78" s="140">
        <f t="shared" si="11"/>
        <v>28.571428571428569</v>
      </c>
      <c r="L78" s="140">
        <f t="shared" si="12"/>
        <v>0</v>
      </c>
      <c r="M78" s="140">
        <f t="shared" si="13"/>
        <v>33.333333333333329</v>
      </c>
      <c r="N78" s="141">
        <f t="shared" si="10"/>
        <v>61.904761904761898</v>
      </c>
      <c r="O78" s="142">
        <v>49.3</v>
      </c>
      <c r="P78" s="140"/>
      <c r="Q78" s="140">
        <v>50</v>
      </c>
      <c r="R78" s="143">
        <f t="shared" si="9"/>
        <v>99.3</v>
      </c>
      <c r="S78" s="136">
        <v>7</v>
      </c>
      <c r="T78" s="145">
        <v>32817</v>
      </c>
      <c r="U78" s="137">
        <v>32834</v>
      </c>
      <c r="V78" s="163" t="s">
        <v>795</v>
      </c>
      <c r="Y78" s="147"/>
      <c r="Z78" s="146" t="s">
        <v>193</v>
      </c>
      <c r="AA78" s="136" t="s">
        <v>77</v>
      </c>
      <c r="AB78" s="136" t="s">
        <v>11</v>
      </c>
      <c r="AC78" s="147">
        <v>49.3</v>
      </c>
      <c r="AD78" s="136" t="s">
        <v>194</v>
      </c>
      <c r="AE78" s="136" t="s">
        <v>20</v>
      </c>
      <c r="AF78" s="136" t="s">
        <v>12</v>
      </c>
      <c r="AG78" s="147">
        <v>43</v>
      </c>
      <c r="AH78" s="136" t="s">
        <v>195</v>
      </c>
      <c r="AI78" s="136" t="s">
        <v>196</v>
      </c>
      <c r="AJ78" s="136" t="s">
        <v>12</v>
      </c>
      <c r="AK78" s="136">
        <v>7</v>
      </c>
      <c r="AL78" s="146"/>
      <c r="AO78" s="147"/>
      <c r="AP78" s="146"/>
      <c r="AS78" s="147"/>
      <c r="AW78" s="147"/>
      <c r="BA78" s="148"/>
    </row>
    <row r="79" spans="1:53" s="73" customFormat="1" x14ac:dyDescent="0.15">
      <c r="A79" s="73">
        <v>1990</v>
      </c>
      <c r="B79" s="85"/>
      <c r="C79" s="811" t="s">
        <v>191</v>
      </c>
      <c r="D79" s="811"/>
      <c r="E79" s="73">
        <v>43</v>
      </c>
      <c r="G79" s="123">
        <v>6</v>
      </c>
      <c r="I79" s="73">
        <v>7</v>
      </c>
      <c r="J79" s="134">
        <v>21</v>
      </c>
      <c r="K79" s="92">
        <f t="shared" si="11"/>
        <v>28.571428571428569</v>
      </c>
      <c r="L79" s="92">
        <f t="shared" si="12"/>
        <v>0</v>
      </c>
      <c r="M79" s="92">
        <f t="shared" si="13"/>
        <v>33.333333333333329</v>
      </c>
      <c r="N79" s="125">
        <f t="shared" si="10"/>
        <v>61.904761904761898</v>
      </c>
      <c r="O79" s="91">
        <v>49.3</v>
      </c>
      <c r="P79" s="92"/>
      <c r="Q79" s="92">
        <v>50</v>
      </c>
      <c r="R79" s="93">
        <f t="shared" si="9"/>
        <v>99.3</v>
      </c>
      <c r="S79" s="73">
        <v>7</v>
      </c>
      <c r="T79" s="81"/>
      <c r="U79" s="85"/>
      <c r="V79" s="158" t="s">
        <v>795</v>
      </c>
      <c r="Y79" s="83"/>
      <c r="Z79" s="82" t="s">
        <v>193</v>
      </c>
      <c r="AA79" s="73" t="s">
        <v>77</v>
      </c>
      <c r="AB79" s="73" t="s">
        <v>11</v>
      </c>
      <c r="AC79" s="83">
        <v>49.3</v>
      </c>
      <c r="AD79" s="73" t="s">
        <v>194</v>
      </c>
      <c r="AE79" s="73" t="s">
        <v>20</v>
      </c>
      <c r="AF79" s="73" t="s">
        <v>12</v>
      </c>
      <c r="AG79" s="83">
        <v>43</v>
      </c>
      <c r="AH79" s="73" t="s">
        <v>195</v>
      </c>
      <c r="AI79" s="73" t="s">
        <v>196</v>
      </c>
      <c r="AJ79" s="73" t="s">
        <v>12</v>
      </c>
      <c r="AK79" s="73">
        <v>7</v>
      </c>
      <c r="AL79" s="82"/>
      <c r="AO79" s="83"/>
      <c r="AP79" s="82"/>
      <c r="AS79" s="83"/>
      <c r="AW79" s="83"/>
      <c r="BA79" s="84"/>
    </row>
    <row r="80" spans="1:53" s="334" customFormat="1" x14ac:dyDescent="0.15">
      <c r="A80" s="334">
        <v>1990</v>
      </c>
      <c r="B80" s="355">
        <v>32917</v>
      </c>
      <c r="C80" s="812" t="s">
        <v>192</v>
      </c>
      <c r="D80" s="812"/>
      <c r="E80" s="334">
        <v>57</v>
      </c>
      <c r="F80" s="334">
        <v>4</v>
      </c>
      <c r="G80" s="419">
        <v>0</v>
      </c>
      <c r="H80" s="334">
        <v>0</v>
      </c>
      <c r="I80" s="334">
        <v>0</v>
      </c>
      <c r="J80" s="435">
        <v>21</v>
      </c>
      <c r="K80" s="384">
        <f t="shared" ref="K80:K85" si="17">G80/J80*100</f>
        <v>0</v>
      </c>
      <c r="L80" s="384">
        <f t="shared" ref="L80:L85" si="18">H80/J80*100</f>
        <v>0</v>
      </c>
      <c r="M80" s="384">
        <f t="shared" ref="M80:M85" si="19">I80/J80*100</f>
        <v>0</v>
      </c>
      <c r="N80" s="421">
        <f>SUM(K80:M80)</f>
        <v>0</v>
      </c>
      <c r="O80" s="383">
        <v>0</v>
      </c>
      <c r="P80" s="384">
        <v>0</v>
      </c>
      <c r="Q80" s="384">
        <v>0</v>
      </c>
      <c r="R80" s="385">
        <f t="shared" si="9"/>
        <v>0</v>
      </c>
      <c r="S80" s="334">
        <v>6</v>
      </c>
      <c r="T80" s="357"/>
      <c r="U80" s="355">
        <v>32917</v>
      </c>
      <c r="V80" s="438" t="s">
        <v>814</v>
      </c>
      <c r="Y80" s="344"/>
      <c r="AD80" s="343"/>
      <c r="AG80" s="344"/>
      <c r="AL80" s="343"/>
      <c r="AO80" s="344"/>
      <c r="AP80" s="343"/>
      <c r="AS80" s="344"/>
      <c r="AW80" s="344"/>
      <c r="BA80" s="345"/>
    </row>
    <row r="81" spans="1:53" s="73" customFormat="1" x14ac:dyDescent="0.15">
      <c r="A81" s="73">
        <v>1990</v>
      </c>
      <c r="B81" s="85">
        <v>32974</v>
      </c>
      <c r="C81" s="811" t="s">
        <v>183</v>
      </c>
      <c r="D81" s="811"/>
      <c r="E81" s="73">
        <v>265</v>
      </c>
      <c r="F81" s="73">
        <v>1</v>
      </c>
      <c r="G81" s="123">
        <v>25</v>
      </c>
      <c r="J81" s="134">
        <v>25</v>
      </c>
      <c r="K81" s="92">
        <f t="shared" si="17"/>
        <v>100</v>
      </c>
      <c r="L81" s="92">
        <f t="shared" si="18"/>
        <v>0</v>
      </c>
      <c r="M81" s="92">
        <f t="shared" si="19"/>
        <v>0</v>
      </c>
      <c r="N81" s="125">
        <f t="shared" si="10"/>
        <v>100</v>
      </c>
      <c r="O81" s="91">
        <v>50.3</v>
      </c>
      <c r="P81" s="92"/>
      <c r="Q81" s="92"/>
      <c r="R81" s="93">
        <f t="shared" si="9"/>
        <v>50.3</v>
      </c>
      <c r="S81" s="73">
        <v>1</v>
      </c>
      <c r="T81" s="95">
        <v>32971</v>
      </c>
      <c r="U81" s="85">
        <v>32974</v>
      </c>
      <c r="V81" s="82" t="s">
        <v>193</v>
      </c>
      <c r="W81" s="73" t="s">
        <v>77</v>
      </c>
      <c r="X81" s="73" t="s">
        <v>11</v>
      </c>
      <c r="Y81" s="83">
        <v>50.3</v>
      </c>
      <c r="AD81" s="82"/>
      <c r="AG81" s="83"/>
      <c r="AL81" s="82"/>
      <c r="AO81" s="83"/>
      <c r="AP81" s="82"/>
      <c r="AS81" s="83"/>
      <c r="AW81" s="83"/>
      <c r="BA81" s="84"/>
    </row>
    <row r="82" spans="1:53" s="73" customFormat="1" x14ac:dyDescent="0.15">
      <c r="A82" s="73">
        <v>1991</v>
      </c>
      <c r="C82" s="811" t="s">
        <v>183</v>
      </c>
      <c r="D82" s="811"/>
      <c r="E82" s="73">
        <v>0</v>
      </c>
      <c r="G82" s="123">
        <v>25</v>
      </c>
      <c r="J82" s="134">
        <v>25</v>
      </c>
      <c r="K82" s="92">
        <f t="shared" si="17"/>
        <v>100</v>
      </c>
      <c r="L82" s="92">
        <f t="shared" si="18"/>
        <v>0</v>
      </c>
      <c r="M82" s="92">
        <f t="shared" si="19"/>
        <v>0</v>
      </c>
      <c r="N82" s="125">
        <f t="shared" si="10"/>
        <v>100</v>
      </c>
      <c r="O82" s="91">
        <v>50.3</v>
      </c>
      <c r="P82" s="92"/>
      <c r="Q82" s="92"/>
      <c r="R82" s="93">
        <f t="shared" si="9"/>
        <v>50.3</v>
      </c>
      <c r="S82" s="73">
        <v>1</v>
      </c>
      <c r="T82" s="81"/>
      <c r="V82" s="82" t="s">
        <v>193</v>
      </c>
      <c r="W82" s="73" t="s">
        <v>77</v>
      </c>
      <c r="X82" s="73" t="s">
        <v>11</v>
      </c>
      <c r="Y82" s="83">
        <v>50.3</v>
      </c>
      <c r="AD82" s="82"/>
      <c r="AG82" s="83"/>
      <c r="AL82" s="82"/>
      <c r="AO82" s="83"/>
      <c r="AP82" s="82"/>
      <c r="AS82" s="83"/>
      <c r="AW82" s="83"/>
      <c r="BA82" s="84"/>
    </row>
    <row r="83" spans="1:53" s="73" customFormat="1" x14ac:dyDescent="0.15">
      <c r="A83" s="73">
        <v>1991</v>
      </c>
      <c r="C83" s="811" t="s">
        <v>183</v>
      </c>
      <c r="D83" s="811"/>
      <c r="E83" s="73">
        <f>365-E82</f>
        <v>365</v>
      </c>
      <c r="G83" s="123">
        <v>25</v>
      </c>
      <c r="J83" s="134">
        <v>25</v>
      </c>
      <c r="K83" s="92">
        <f t="shared" si="17"/>
        <v>100</v>
      </c>
      <c r="L83" s="92">
        <f t="shared" si="18"/>
        <v>0</v>
      </c>
      <c r="M83" s="92">
        <f t="shared" si="19"/>
        <v>0</v>
      </c>
      <c r="N83" s="125">
        <f t="shared" si="10"/>
        <v>100</v>
      </c>
      <c r="O83" s="91">
        <v>50.3</v>
      </c>
      <c r="P83" s="92"/>
      <c r="Q83" s="92"/>
      <c r="R83" s="93">
        <f t="shared" si="9"/>
        <v>50.3</v>
      </c>
      <c r="S83" s="73">
        <v>1</v>
      </c>
      <c r="T83" s="81"/>
      <c r="V83" s="82" t="s">
        <v>193</v>
      </c>
      <c r="W83" s="73" t="s">
        <v>77</v>
      </c>
      <c r="X83" s="73" t="s">
        <v>11</v>
      </c>
      <c r="Y83" s="83">
        <v>50.3</v>
      </c>
      <c r="AD83" s="82"/>
      <c r="AG83" s="83"/>
      <c r="AL83" s="82"/>
      <c r="AO83" s="83"/>
      <c r="AP83" s="82"/>
      <c r="AS83" s="83"/>
      <c r="AW83" s="83"/>
      <c r="BA83" s="84"/>
    </row>
    <row r="84" spans="1:53" s="73" customFormat="1" x14ac:dyDescent="0.15">
      <c r="A84" s="73">
        <v>1992</v>
      </c>
      <c r="C84" s="811" t="s">
        <v>183</v>
      </c>
      <c r="D84" s="811"/>
      <c r="E84" s="73">
        <v>0</v>
      </c>
      <c r="G84" s="123">
        <v>21</v>
      </c>
      <c r="J84" s="134">
        <v>21</v>
      </c>
      <c r="K84" s="92">
        <f t="shared" si="17"/>
        <v>100</v>
      </c>
      <c r="L84" s="92">
        <f t="shared" si="18"/>
        <v>0</v>
      </c>
      <c r="M84" s="92">
        <f t="shared" si="19"/>
        <v>0</v>
      </c>
      <c r="N84" s="125">
        <f t="shared" si="10"/>
        <v>100</v>
      </c>
      <c r="O84" s="91">
        <v>50.3</v>
      </c>
      <c r="P84" s="92"/>
      <c r="Q84" s="92"/>
      <c r="R84" s="93">
        <f t="shared" si="9"/>
        <v>50.3</v>
      </c>
      <c r="S84" s="73">
        <v>1</v>
      </c>
      <c r="T84" s="81"/>
      <c r="V84" s="82" t="s">
        <v>193</v>
      </c>
      <c r="W84" s="73" t="s">
        <v>77</v>
      </c>
      <c r="X84" s="73" t="s">
        <v>11</v>
      </c>
      <c r="Y84" s="83">
        <v>50.3</v>
      </c>
      <c r="AD84" s="82"/>
      <c r="AG84" s="83"/>
      <c r="AL84" s="82"/>
      <c r="AO84" s="83"/>
      <c r="AP84" s="82"/>
      <c r="AS84" s="83"/>
      <c r="AW84" s="83"/>
      <c r="BA84" s="84"/>
    </row>
    <row r="85" spans="1:53" s="73" customFormat="1" x14ac:dyDescent="0.15">
      <c r="A85" s="73">
        <v>1992</v>
      </c>
      <c r="C85" s="811" t="s">
        <v>183</v>
      </c>
      <c r="D85" s="811"/>
      <c r="E85" s="73">
        <v>366</v>
      </c>
      <c r="G85" s="123">
        <v>21</v>
      </c>
      <c r="J85" s="134">
        <v>21</v>
      </c>
      <c r="K85" s="92">
        <f t="shared" si="17"/>
        <v>100</v>
      </c>
      <c r="L85" s="92">
        <f t="shared" si="18"/>
        <v>0</v>
      </c>
      <c r="M85" s="92">
        <f t="shared" si="19"/>
        <v>0</v>
      </c>
      <c r="N85" s="125">
        <f t="shared" si="10"/>
        <v>100</v>
      </c>
      <c r="O85" s="91">
        <v>50.3</v>
      </c>
      <c r="P85" s="92"/>
      <c r="Q85" s="92"/>
      <c r="R85" s="93">
        <f t="shared" si="9"/>
        <v>50.3</v>
      </c>
      <c r="S85" s="73">
        <v>1</v>
      </c>
      <c r="T85" s="81"/>
      <c r="V85" s="82" t="s">
        <v>193</v>
      </c>
      <c r="W85" s="73" t="s">
        <v>77</v>
      </c>
      <c r="X85" s="73" t="s">
        <v>11</v>
      </c>
      <c r="Y85" s="83">
        <v>50.3</v>
      </c>
      <c r="AD85" s="82"/>
      <c r="AG85" s="83"/>
      <c r="AL85" s="82"/>
      <c r="AO85" s="83"/>
      <c r="AP85" s="82"/>
      <c r="AS85" s="83"/>
      <c r="AW85" s="83"/>
      <c r="BA85" s="84"/>
    </row>
    <row r="86" spans="1:53" s="73" customFormat="1" x14ac:dyDescent="0.15">
      <c r="A86" s="73">
        <v>1993</v>
      </c>
      <c r="C86" s="811" t="s">
        <v>183</v>
      </c>
      <c r="D86" s="811"/>
      <c r="E86" s="73">
        <v>297</v>
      </c>
      <c r="G86" s="123">
        <v>22</v>
      </c>
      <c r="J86" s="134">
        <v>22</v>
      </c>
      <c r="K86" s="92">
        <f t="shared" ref="K86:K110" si="20">G86/J86*100</f>
        <v>100</v>
      </c>
      <c r="L86" s="92">
        <f t="shared" ref="L86:L110" si="21">H86/J86*100</f>
        <v>0</v>
      </c>
      <c r="M86" s="92">
        <f t="shared" ref="M86:M110" si="22">I86/J86*100</f>
        <v>0</v>
      </c>
      <c r="N86" s="125">
        <f t="shared" si="10"/>
        <v>100</v>
      </c>
      <c r="O86" s="91">
        <v>50.3</v>
      </c>
      <c r="P86" s="92"/>
      <c r="Q86" s="92"/>
      <c r="R86" s="93">
        <f t="shared" si="9"/>
        <v>50.3</v>
      </c>
      <c r="S86" s="73">
        <v>1</v>
      </c>
      <c r="T86" s="81"/>
      <c r="V86" s="82" t="s">
        <v>193</v>
      </c>
      <c r="W86" s="73" t="s">
        <v>77</v>
      </c>
      <c r="X86" s="73" t="s">
        <v>11</v>
      </c>
      <c r="Y86" s="83">
        <v>50.3</v>
      </c>
      <c r="AD86" s="82"/>
      <c r="AG86" s="83"/>
      <c r="AL86" s="82"/>
      <c r="AO86" s="83"/>
      <c r="AP86" s="82"/>
      <c r="AS86" s="83"/>
      <c r="AW86" s="83"/>
      <c r="BA86" s="84"/>
    </row>
    <row r="87" spans="1:53" s="334" customFormat="1" x14ac:dyDescent="0.15">
      <c r="A87" s="334">
        <v>1993</v>
      </c>
      <c r="B87" s="355">
        <v>34267</v>
      </c>
      <c r="C87" s="812" t="s">
        <v>181</v>
      </c>
      <c r="D87" s="812"/>
      <c r="E87" s="334">
        <f>365-E86</f>
        <v>68</v>
      </c>
      <c r="F87" s="334">
        <v>1</v>
      </c>
      <c r="G87" s="419"/>
      <c r="I87" s="334">
        <v>22</v>
      </c>
      <c r="J87" s="435">
        <v>22</v>
      </c>
      <c r="K87" s="384">
        <f t="shared" si="20"/>
        <v>0</v>
      </c>
      <c r="L87" s="384">
        <f t="shared" si="21"/>
        <v>0</v>
      </c>
      <c r="M87" s="384">
        <f t="shared" si="22"/>
        <v>100</v>
      </c>
      <c r="N87" s="421">
        <f t="shared" si="10"/>
        <v>100</v>
      </c>
      <c r="O87" s="383"/>
      <c r="P87" s="384"/>
      <c r="Q87" s="384">
        <v>56.7</v>
      </c>
      <c r="R87" s="385">
        <f t="shared" si="9"/>
        <v>56.7</v>
      </c>
      <c r="S87" s="334">
        <v>1</v>
      </c>
      <c r="T87" s="342">
        <v>34252</v>
      </c>
      <c r="U87" s="355">
        <v>34267</v>
      </c>
      <c r="V87" s="343" t="s">
        <v>194</v>
      </c>
      <c r="W87" s="334" t="s">
        <v>20</v>
      </c>
      <c r="X87" s="334" t="s">
        <v>12</v>
      </c>
      <c r="Y87" s="344">
        <v>56.7</v>
      </c>
      <c r="AD87" s="343"/>
      <c r="AG87" s="344"/>
      <c r="AL87" s="343"/>
      <c r="AO87" s="344"/>
      <c r="AP87" s="343"/>
      <c r="AS87" s="344"/>
      <c r="AW87" s="344"/>
      <c r="BA87" s="345"/>
    </row>
    <row r="88" spans="1:53" s="334" customFormat="1" x14ac:dyDescent="0.15">
      <c r="A88" s="334">
        <v>1994</v>
      </c>
      <c r="C88" s="812" t="s">
        <v>181</v>
      </c>
      <c r="D88" s="812"/>
      <c r="E88" s="334">
        <v>0</v>
      </c>
      <c r="G88" s="419"/>
      <c r="I88" s="334">
        <v>22</v>
      </c>
      <c r="J88" s="435">
        <v>22</v>
      </c>
      <c r="K88" s="384">
        <f t="shared" si="20"/>
        <v>0</v>
      </c>
      <c r="L88" s="384">
        <f t="shared" si="21"/>
        <v>0</v>
      </c>
      <c r="M88" s="384">
        <f t="shared" si="22"/>
        <v>100</v>
      </c>
      <c r="N88" s="421">
        <f t="shared" si="10"/>
        <v>100</v>
      </c>
      <c r="O88" s="383"/>
      <c r="P88" s="384"/>
      <c r="Q88" s="384">
        <v>56.7</v>
      </c>
      <c r="R88" s="385">
        <f t="shared" si="9"/>
        <v>56.7</v>
      </c>
      <c r="S88" s="334">
        <v>1</v>
      </c>
      <c r="T88" s="357"/>
      <c r="V88" s="343" t="s">
        <v>194</v>
      </c>
      <c r="W88" s="334" t="s">
        <v>20</v>
      </c>
      <c r="X88" s="334" t="s">
        <v>12</v>
      </c>
      <c r="Y88" s="344">
        <v>56.7</v>
      </c>
      <c r="AD88" s="343"/>
      <c r="AG88" s="344"/>
      <c r="AL88" s="343"/>
      <c r="AO88" s="344"/>
      <c r="AP88" s="343"/>
      <c r="AS88" s="344"/>
      <c r="AW88" s="344"/>
      <c r="BA88" s="345"/>
    </row>
    <row r="89" spans="1:53" s="334" customFormat="1" x14ac:dyDescent="0.15">
      <c r="A89" s="334">
        <v>1994</v>
      </c>
      <c r="C89" s="812" t="s">
        <v>181</v>
      </c>
      <c r="D89" s="812"/>
      <c r="E89" s="334">
        <f>365-E88</f>
        <v>365</v>
      </c>
      <c r="G89" s="419"/>
      <c r="I89" s="334">
        <v>22</v>
      </c>
      <c r="J89" s="435">
        <v>22</v>
      </c>
      <c r="K89" s="384">
        <f t="shared" si="20"/>
        <v>0</v>
      </c>
      <c r="L89" s="384">
        <f t="shared" si="21"/>
        <v>0</v>
      </c>
      <c r="M89" s="384">
        <f t="shared" si="22"/>
        <v>100</v>
      </c>
      <c r="N89" s="421">
        <f t="shared" si="10"/>
        <v>100</v>
      </c>
      <c r="O89" s="383"/>
      <c r="P89" s="384"/>
      <c r="Q89" s="384">
        <v>56.7</v>
      </c>
      <c r="R89" s="385">
        <f t="shared" si="9"/>
        <v>56.7</v>
      </c>
      <c r="S89" s="334">
        <v>1</v>
      </c>
      <c r="T89" s="357"/>
      <c r="V89" s="343" t="s">
        <v>194</v>
      </c>
      <c r="W89" s="334" t="s">
        <v>20</v>
      </c>
      <c r="X89" s="334" t="s">
        <v>12</v>
      </c>
      <c r="Y89" s="344">
        <v>56.7</v>
      </c>
      <c r="AD89" s="343"/>
      <c r="AG89" s="344"/>
      <c r="AL89" s="343"/>
      <c r="AO89" s="344"/>
      <c r="AP89" s="343"/>
      <c r="AS89" s="344"/>
      <c r="AW89" s="344"/>
      <c r="BA89" s="345"/>
    </row>
    <row r="90" spans="1:53" s="334" customFormat="1" x14ac:dyDescent="0.15">
      <c r="A90" s="334">
        <v>1995</v>
      </c>
      <c r="C90" s="812" t="s">
        <v>181</v>
      </c>
      <c r="D90" s="812"/>
      <c r="E90" s="334">
        <v>0</v>
      </c>
      <c r="G90" s="419"/>
      <c r="I90" s="334">
        <v>23</v>
      </c>
      <c r="J90" s="435">
        <v>23</v>
      </c>
      <c r="K90" s="384">
        <f t="shared" si="20"/>
        <v>0</v>
      </c>
      <c r="L90" s="384">
        <f t="shared" si="21"/>
        <v>0</v>
      </c>
      <c r="M90" s="384">
        <f t="shared" si="22"/>
        <v>100</v>
      </c>
      <c r="N90" s="421">
        <f t="shared" si="10"/>
        <v>100</v>
      </c>
      <c r="O90" s="383"/>
      <c r="P90" s="384"/>
      <c r="Q90" s="384">
        <v>56.7</v>
      </c>
      <c r="R90" s="385">
        <f t="shared" si="9"/>
        <v>56.7</v>
      </c>
      <c r="S90" s="334">
        <v>1</v>
      </c>
      <c r="T90" s="357"/>
      <c r="V90" s="343" t="s">
        <v>194</v>
      </c>
      <c r="W90" s="334" t="s">
        <v>20</v>
      </c>
      <c r="X90" s="334" t="s">
        <v>12</v>
      </c>
      <c r="Y90" s="344">
        <v>56.7</v>
      </c>
      <c r="AD90" s="343"/>
      <c r="AG90" s="344"/>
      <c r="AL90" s="343"/>
      <c r="AO90" s="344"/>
      <c r="AP90" s="343"/>
      <c r="AS90" s="344"/>
      <c r="AW90" s="344"/>
      <c r="BA90" s="345"/>
    </row>
    <row r="91" spans="1:53" s="334" customFormat="1" x14ac:dyDescent="0.15">
      <c r="A91" s="334">
        <v>1995</v>
      </c>
      <c r="C91" s="812" t="s">
        <v>181</v>
      </c>
      <c r="D91" s="812"/>
      <c r="E91" s="334">
        <f>365-E90</f>
        <v>365</v>
      </c>
      <c r="G91" s="419"/>
      <c r="I91" s="334">
        <v>23</v>
      </c>
      <c r="J91" s="435">
        <v>23</v>
      </c>
      <c r="K91" s="384">
        <f t="shared" si="20"/>
        <v>0</v>
      </c>
      <c r="L91" s="384">
        <f t="shared" si="21"/>
        <v>0</v>
      </c>
      <c r="M91" s="384">
        <f t="shared" si="22"/>
        <v>100</v>
      </c>
      <c r="N91" s="421">
        <f t="shared" si="10"/>
        <v>100</v>
      </c>
      <c r="O91" s="383"/>
      <c r="P91" s="384"/>
      <c r="Q91" s="384">
        <v>56.7</v>
      </c>
      <c r="R91" s="385">
        <f t="shared" si="9"/>
        <v>56.7</v>
      </c>
      <c r="S91" s="334">
        <v>1</v>
      </c>
      <c r="T91" s="357"/>
      <c r="V91" s="343" t="s">
        <v>194</v>
      </c>
      <c r="W91" s="334" t="s">
        <v>20</v>
      </c>
      <c r="X91" s="334" t="s">
        <v>12</v>
      </c>
      <c r="Y91" s="344">
        <v>56.7</v>
      </c>
      <c r="AD91" s="343"/>
      <c r="AG91" s="344"/>
      <c r="AL91" s="343"/>
      <c r="AO91" s="344"/>
      <c r="AP91" s="343"/>
      <c r="AS91" s="344"/>
      <c r="AW91" s="344"/>
      <c r="BA91" s="345"/>
    </row>
    <row r="92" spans="1:53" s="334" customFormat="1" x14ac:dyDescent="0.15">
      <c r="A92" s="334">
        <v>1996</v>
      </c>
      <c r="C92" s="812" t="s">
        <v>181</v>
      </c>
      <c r="D92" s="812"/>
      <c r="E92" s="334">
        <v>31</v>
      </c>
      <c r="G92" s="419"/>
      <c r="I92" s="334">
        <v>23</v>
      </c>
      <c r="J92" s="435">
        <v>23</v>
      </c>
      <c r="K92" s="384">
        <f t="shared" si="20"/>
        <v>0</v>
      </c>
      <c r="L92" s="384">
        <f t="shared" si="21"/>
        <v>0</v>
      </c>
      <c r="M92" s="384">
        <f t="shared" si="22"/>
        <v>100</v>
      </c>
      <c r="N92" s="421">
        <f t="shared" si="10"/>
        <v>100</v>
      </c>
      <c r="O92" s="383"/>
      <c r="P92" s="384"/>
      <c r="Q92" s="384">
        <v>56.7</v>
      </c>
      <c r="R92" s="385">
        <f t="shared" si="9"/>
        <v>56.7</v>
      </c>
      <c r="S92" s="334">
        <v>1</v>
      </c>
      <c r="T92" s="357"/>
      <c r="V92" s="343" t="s">
        <v>194</v>
      </c>
      <c r="W92" s="334" t="s">
        <v>20</v>
      </c>
      <c r="X92" s="334" t="s">
        <v>12</v>
      </c>
      <c r="Y92" s="344">
        <v>56.7</v>
      </c>
      <c r="AD92" s="343"/>
      <c r="AG92" s="344"/>
      <c r="AL92" s="343"/>
      <c r="AO92" s="344"/>
      <c r="AP92" s="343"/>
      <c r="AS92" s="344"/>
      <c r="AW92" s="344"/>
      <c r="BA92" s="345"/>
    </row>
    <row r="93" spans="1:53" s="73" customFormat="1" x14ac:dyDescent="0.15">
      <c r="A93" s="73">
        <v>1996</v>
      </c>
      <c r="B93" s="85">
        <v>35096</v>
      </c>
      <c r="C93" s="811" t="s">
        <v>184</v>
      </c>
      <c r="D93" s="811"/>
      <c r="E93" s="73">
        <v>255</v>
      </c>
      <c r="F93" s="73">
        <v>3</v>
      </c>
      <c r="G93" s="123"/>
      <c r="I93" s="73">
        <v>20</v>
      </c>
      <c r="J93" s="134">
        <v>20</v>
      </c>
      <c r="K93" s="92">
        <f t="shared" si="20"/>
        <v>0</v>
      </c>
      <c r="L93" s="92">
        <f t="shared" si="21"/>
        <v>0</v>
      </c>
      <c r="M93" s="92">
        <f t="shared" si="22"/>
        <v>100</v>
      </c>
      <c r="N93" s="125">
        <f t="shared" si="10"/>
        <v>100</v>
      </c>
      <c r="O93" s="91"/>
      <c r="P93" s="92"/>
      <c r="Q93" s="92">
        <v>54</v>
      </c>
      <c r="R93" s="93">
        <f t="shared" si="9"/>
        <v>54</v>
      </c>
      <c r="S93" s="73">
        <v>1</v>
      </c>
      <c r="T93" s="81"/>
      <c r="U93" s="85">
        <v>35096</v>
      </c>
      <c r="V93" s="82" t="s">
        <v>194</v>
      </c>
      <c r="W93" s="73" t="s">
        <v>20</v>
      </c>
      <c r="X93" s="73" t="s">
        <v>12</v>
      </c>
      <c r="Y93" s="83">
        <v>56.7</v>
      </c>
      <c r="AD93" s="82"/>
      <c r="AG93" s="83"/>
      <c r="AL93" s="82"/>
      <c r="AO93" s="83"/>
      <c r="AP93" s="82"/>
      <c r="AS93" s="83"/>
      <c r="AW93" s="83"/>
      <c r="BA93" s="84"/>
    </row>
    <row r="94" spans="1:53" s="334" customFormat="1" x14ac:dyDescent="0.15">
      <c r="A94" s="334">
        <v>1996</v>
      </c>
      <c r="B94" s="355">
        <v>35351</v>
      </c>
      <c r="C94" s="812" t="s">
        <v>185</v>
      </c>
      <c r="D94" s="812"/>
      <c r="E94" s="334">
        <v>80</v>
      </c>
      <c r="F94" s="334">
        <v>1</v>
      </c>
      <c r="G94" s="419"/>
      <c r="I94" s="334">
        <v>20</v>
      </c>
      <c r="J94" s="435">
        <v>20</v>
      </c>
      <c r="K94" s="384">
        <f>G94/J94*100</f>
        <v>0</v>
      </c>
      <c r="L94" s="384">
        <f>H94/J94*100</f>
        <v>0</v>
      </c>
      <c r="M94" s="384">
        <f>I94/J94*100</f>
        <v>100</v>
      </c>
      <c r="N94" s="421">
        <f t="shared" si="10"/>
        <v>100</v>
      </c>
      <c r="O94" s="383"/>
      <c r="P94" s="384"/>
      <c r="Q94" s="384">
        <v>54</v>
      </c>
      <c r="R94" s="385">
        <f t="shared" si="9"/>
        <v>54</v>
      </c>
      <c r="S94" s="334">
        <v>1</v>
      </c>
      <c r="T94" s="342">
        <v>35330</v>
      </c>
      <c r="U94" s="355">
        <v>35351</v>
      </c>
      <c r="V94" s="343" t="s">
        <v>194</v>
      </c>
      <c r="W94" s="334" t="s">
        <v>20</v>
      </c>
      <c r="X94" s="334" t="s">
        <v>12</v>
      </c>
      <c r="Y94" s="344">
        <v>54</v>
      </c>
      <c r="AD94" s="343"/>
      <c r="AG94" s="344"/>
      <c r="AL94" s="343"/>
      <c r="AO94" s="344"/>
      <c r="AP94" s="343"/>
      <c r="AS94" s="344"/>
      <c r="AW94" s="344"/>
      <c r="BA94" s="345"/>
    </row>
    <row r="95" spans="1:53" s="334" customFormat="1" x14ac:dyDescent="0.15">
      <c r="A95" s="334">
        <v>1997</v>
      </c>
      <c r="C95" s="812" t="s">
        <v>185</v>
      </c>
      <c r="D95" s="812"/>
      <c r="E95" s="334">
        <v>0</v>
      </c>
      <c r="G95" s="419"/>
      <c r="I95" s="334">
        <v>20</v>
      </c>
      <c r="J95" s="435">
        <v>20</v>
      </c>
      <c r="K95" s="384">
        <f t="shared" si="20"/>
        <v>0</v>
      </c>
      <c r="L95" s="384">
        <f t="shared" si="21"/>
        <v>0</v>
      </c>
      <c r="M95" s="384">
        <f t="shared" si="22"/>
        <v>100</v>
      </c>
      <c r="N95" s="421">
        <f t="shared" si="10"/>
        <v>100</v>
      </c>
      <c r="O95" s="383"/>
      <c r="P95" s="384"/>
      <c r="Q95" s="384">
        <v>54</v>
      </c>
      <c r="R95" s="385">
        <f t="shared" si="9"/>
        <v>54</v>
      </c>
      <c r="S95" s="334">
        <v>1</v>
      </c>
      <c r="T95" s="357"/>
      <c r="V95" s="343" t="s">
        <v>194</v>
      </c>
      <c r="W95" s="334" t="s">
        <v>20</v>
      </c>
      <c r="X95" s="334" t="s">
        <v>12</v>
      </c>
      <c r="Y95" s="344">
        <v>54</v>
      </c>
      <c r="AD95" s="343"/>
      <c r="AG95" s="344"/>
      <c r="AL95" s="343"/>
      <c r="AO95" s="344"/>
      <c r="AP95" s="343"/>
      <c r="AS95" s="344"/>
      <c r="AW95" s="344"/>
      <c r="BA95" s="345"/>
    </row>
    <row r="96" spans="1:53" s="334" customFormat="1" x14ac:dyDescent="0.15">
      <c r="A96" s="334">
        <v>1997</v>
      </c>
      <c r="C96" s="812" t="s">
        <v>185</v>
      </c>
      <c r="D96" s="812"/>
      <c r="E96" s="334">
        <f>365-E95</f>
        <v>365</v>
      </c>
      <c r="G96" s="419"/>
      <c r="I96" s="334">
        <v>20</v>
      </c>
      <c r="J96" s="435">
        <v>20</v>
      </c>
      <c r="K96" s="384">
        <f t="shared" si="20"/>
        <v>0</v>
      </c>
      <c r="L96" s="384">
        <f t="shared" si="21"/>
        <v>0</v>
      </c>
      <c r="M96" s="384">
        <f t="shared" si="22"/>
        <v>100</v>
      </c>
      <c r="N96" s="421">
        <f t="shared" si="10"/>
        <v>100</v>
      </c>
      <c r="O96" s="383"/>
      <c r="P96" s="384"/>
      <c r="Q96" s="384">
        <v>54</v>
      </c>
      <c r="R96" s="385">
        <f t="shared" si="9"/>
        <v>54</v>
      </c>
      <c r="S96" s="334">
        <v>1</v>
      </c>
      <c r="T96" s="357"/>
      <c r="V96" s="343" t="s">
        <v>194</v>
      </c>
      <c r="W96" s="334" t="s">
        <v>20</v>
      </c>
      <c r="X96" s="334" t="s">
        <v>12</v>
      </c>
      <c r="Y96" s="344">
        <v>54</v>
      </c>
      <c r="AD96" s="343"/>
      <c r="AG96" s="344"/>
      <c r="AL96" s="343"/>
      <c r="AO96" s="344"/>
      <c r="AP96" s="343"/>
      <c r="AS96" s="344"/>
      <c r="AW96" s="344"/>
      <c r="BA96" s="345"/>
    </row>
    <row r="97" spans="1:53" s="334" customFormat="1" x14ac:dyDescent="0.15">
      <c r="A97" s="334">
        <v>1998</v>
      </c>
      <c r="C97" s="812" t="s">
        <v>185</v>
      </c>
      <c r="D97" s="812"/>
      <c r="E97" s="334">
        <v>0</v>
      </c>
      <c r="G97" s="419"/>
      <c r="I97" s="334">
        <v>20</v>
      </c>
      <c r="J97" s="435">
        <v>20</v>
      </c>
      <c r="K97" s="384">
        <f t="shared" si="20"/>
        <v>0</v>
      </c>
      <c r="L97" s="384">
        <f t="shared" si="21"/>
        <v>0</v>
      </c>
      <c r="M97" s="384">
        <f t="shared" si="22"/>
        <v>100</v>
      </c>
      <c r="N97" s="421">
        <f t="shared" si="10"/>
        <v>100</v>
      </c>
      <c r="O97" s="383"/>
      <c r="P97" s="384"/>
      <c r="Q97" s="384">
        <v>54</v>
      </c>
      <c r="R97" s="385">
        <f t="shared" si="9"/>
        <v>54</v>
      </c>
      <c r="S97" s="334">
        <v>1</v>
      </c>
      <c r="T97" s="357"/>
      <c r="V97" s="343" t="s">
        <v>194</v>
      </c>
      <c r="W97" s="334" t="s">
        <v>20</v>
      </c>
      <c r="X97" s="334" t="s">
        <v>12</v>
      </c>
      <c r="Y97" s="344">
        <v>54</v>
      </c>
      <c r="AD97" s="343"/>
      <c r="AG97" s="344"/>
      <c r="AL97" s="343"/>
      <c r="AO97" s="344"/>
      <c r="AP97" s="343"/>
      <c r="AS97" s="344"/>
      <c r="AW97" s="344"/>
      <c r="BA97" s="345"/>
    </row>
    <row r="98" spans="1:53" s="334" customFormat="1" x14ac:dyDescent="0.15">
      <c r="A98" s="334">
        <v>1998</v>
      </c>
      <c r="C98" s="812" t="s">
        <v>185</v>
      </c>
      <c r="D98" s="812"/>
      <c r="E98" s="334">
        <f>365-E97</f>
        <v>365</v>
      </c>
      <c r="G98" s="419"/>
      <c r="I98" s="334">
        <v>20</v>
      </c>
      <c r="J98" s="435">
        <v>20</v>
      </c>
      <c r="K98" s="384">
        <f t="shared" si="20"/>
        <v>0</v>
      </c>
      <c r="L98" s="384">
        <f t="shared" si="21"/>
        <v>0</v>
      </c>
      <c r="M98" s="384">
        <f t="shared" si="22"/>
        <v>100</v>
      </c>
      <c r="N98" s="421">
        <f t="shared" si="10"/>
        <v>100</v>
      </c>
      <c r="O98" s="383"/>
      <c r="P98" s="384"/>
      <c r="Q98" s="384">
        <v>54</v>
      </c>
      <c r="R98" s="385">
        <f t="shared" si="9"/>
        <v>54</v>
      </c>
      <c r="S98" s="334">
        <v>1</v>
      </c>
      <c r="T98" s="357"/>
      <c r="V98" s="343" t="s">
        <v>194</v>
      </c>
      <c r="W98" s="334" t="s">
        <v>20</v>
      </c>
      <c r="X98" s="334" t="s">
        <v>12</v>
      </c>
      <c r="Y98" s="344">
        <v>54</v>
      </c>
      <c r="AD98" s="343"/>
      <c r="AG98" s="344"/>
      <c r="AL98" s="343"/>
      <c r="AO98" s="344"/>
      <c r="AP98" s="343"/>
      <c r="AS98" s="344"/>
      <c r="AW98" s="344"/>
      <c r="BA98" s="345"/>
    </row>
    <row r="99" spans="1:53" s="334" customFormat="1" x14ac:dyDescent="0.15">
      <c r="A99" s="334">
        <v>1999</v>
      </c>
      <c r="C99" s="812" t="s">
        <v>185</v>
      </c>
      <c r="D99" s="812"/>
      <c r="E99" s="334">
        <v>0</v>
      </c>
      <c r="G99" s="419"/>
      <c r="I99" s="334">
        <v>21</v>
      </c>
      <c r="J99" s="435">
        <v>21</v>
      </c>
      <c r="K99" s="384">
        <f t="shared" si="20"/>
        <v>0</v>
      </c>
      <c r="L99" s="384">
        <f t="shared" si="21"/>
        <v>0</v>
      </c>
      <c r="M99" s="384">
        <f t="shared" si="22"/>
        <v>100</v>
      </c>
      <c r="N99" s="421">
        <f t="shared" si="10"/>
        <v>100</v>
      </c>
      <c r="O99" s="383"/>
      <c r="P99" s="384"/>
      <c r="Q99" s="384">
        <v>54</v>
      </c>
      <c r="R99" s="385">
        <f t="shared" si="9"/>
        <v>54</v>
      </c>
      <c r="S99" s="334">
        <v>1</v>
      </c>
      <c r="T99" s="357"/>
      <c r="V99" s="343" t="s">
        <v>194</v>
      </c>
      <c r="W99" s="334" t="s">
        <v>20</v>
      </c>
      <c r="X99" s="334" t="s">
        <v>12</v>
      </c>
      <c r="Y99" s="344">
        <v>54</v>
      </c>
      <c r="AD99" s="343"/>
      <c r="AG99" s="344"/>
      <c r="AL99" s="343"/>
      <c r="AO99" s="344"/>
      <c r="AP99" s="343"/>
      <c r="AS99" s="344"/>
      <c r="AW99" s="344"/>
      <c r="BA99" s="345"/>
    </row>
    <row r="100" spans="1:53" s="334" customFormat="1" x14ac:dyDescent="0.15">
      <c r="A100" s="334">
        <v>1999</v>
      </c>
      <c r="C100" s="812" t="s">
        <v>185</v>
      </c>
      <c r="D100" s="812"/>
      <c r="E100" s="334">
        <f>365-E99</f>
        <v>365</v>
      </c>
      <c r="G100" s="419"/>
      <c r="I100" s="334">
        <v>21</v>
      </c>
      <c r="J100" s="435">
        <v>21</v>
      </c>
      <c r="K100" s="384">
        <f t="shared" si="20"/>
        <v>0</v>
      </c>
      <c r="L100" s="384">
        <f t="shared" si="21"/>
        <v>0</v>
      </c>
      <c r="M100" s="384">
        <f t="shared" si="22"/>
        <v>100</v>
      </c>
      <c r="N100" s="421">
        <f t="shared" si="10"/>
        <v>100</v>
      </c>
      <c r="O100" s="383"/>
      <c r="P100" s="384"/>
      <c r="Q100" s="384">
        <v>54</v>
      </c>
      <c r="R100" s="385">
        <f t="shared" si="9"/>
        <v>54</v>
      </c>
      <c r="S100" s="334">
        <v>1</v>
      </c>
      <c r="T100" s="357"/>
      <c r="V100" s="343" t="s">
        <v>194</v>
      </c>
      <c r="W100" s="334" t="s">
        <v>20</v>
      </c>
      <c r="X100" s="334" t="s">
        <v>12</v>
      </c>
      <c r="Y100" s="344">
        <v>54</v>
      </c>
      <c r="AD100" s="343"/>
      <c r="AG100" s="344"/>
      <c r="AL100" s="343"/>
      <c r="AO100" s="344"/>
      <c r="AP100" s="343"/>
      <c r="AS100" s="344"/>
      <c r="AW100" s="344"/>
      <c r="BA100" s="345"/>
    </row>
    <row r="101" spans="1:53" s="334" customFormat="1" x14ac:dyDescent="0.15">
      <c r="A101" s="334">
        <v>2000</v>
      </c>
      <c r="C101" s="812" t="s">
        <v>185</v>
      </c>
      <c r="D101" s="812"/>
      <c r="E101" s="334">
        <v>115</v>
      </c>
      <c r="G101" s="419"/>
      <c r="I101" s="334">
        <v>21</v>
      </c>
      <c r="J101" s="435">
        <v>21</v>
      </c>
      <c r="K101" s="384">
        <f t="shared" si="20"/>
        <v>0</v>
      </c>
      <c r="L101" s="384">
        <f t="shared" si="21"/>
        <v>0</v>
      </c>
      <c r="M101" s="384">
        <f t="shared" si="22"/>
        <v>100</v>
      </c>
      <c r="N101" s="421">
        <f t="shared" si="10"/>
        <v>100</v>
      </c>
      <c r="O101" s="383"/>
      <c r="P101" s="384"/>
      <c r="Q101" s="384">
        <v>54</v>
      </c>
      <c r="R101" s="385">
        <f t="shared" si="9"/>
        <v>54</v>
      </c>
      <c r="S101" s="334">
        <v>1</v>
      </c>
      <c r="T101" s="357"/>
      <c r="V101" s="343" t="s">
        <v>194</v>
      </c>
      <c r="W101" s="334" t="s">
        <v>20</v>
      </c>
      <c r="X101" s="334" t="s">
        <v>12</v>
      </c>
      <c r="Y101" s="344">
        <v>54</v>
      </c>
      <c r="AD101" s="343"/>
      <c r="AG101" s="344"/>
      <c r="AL101" s="343"/>
      <c r="AO101" s="344"/>
      <c r="AP101" s="343"/>
      <c r="AS101" s="344"/>
      <c r="AW101" s="344"/>
      <c r="BA101" s="345"/>
    </row>
    <row r="102" spans="1:53" s="73" customFormat="1" x14ac:dyDescent="0.15">
      <c r="A102" s="73">
        <v>2000</v>
      </c>
      <c r="B102" s="85">
        <v>36641</v>
      </c>
      <c r="C102" s="811" t="s">
        <v>186</v>
      </c>
      <c r="D102" s="811"/>
      <c r="E102" s="73">
        <v>251</v>
      </c>
      <c r="F102" s="73">
        <v>1</v>
      </c>
      <c r="G102" s="123"/>
      <c r="I102" s="73">
        <v>21</v>
      </c>
      <c r="J102" s="134">
        <v>21</v>
      </c>
      <c r="K102" s="92">
        <f t="shared" si="20"/>
        <v>0</v>
      </c>
      <c r="L102" s="92">
        <f t="shared" si="21"/>
        <v>0</v>
      </c>
      <c r="M102" s="92">
        <f t="shared" si="22"/>
        <v>100</v>
      </c>
      <c r="N102" s="125">
        <f t="shared" si="10"/>
        <v>100</v>
      </c>
      <c r="O102" s="91"/>
      <c r="P102" s="92"/>
      <c r="Q102" s="92">
        <v>52.7</v>
      </c>
      <c r="R102" s="93">
        <f t="shared" si="9"/>
        <v>52.7</v>
      </c>
      <c r="S102" s="73">
        <v>1</v>
      </c>
      <c r="T102" s="95">
        <v>36625</v>
      </c>
      <c r="U102" s="85">
        <v>36641</v>
      </c>
      <c r="V102" s="82" t="s">
        <v>194</v>
      </c>
      <c r="W102" s="73" t="s">
        <v>20</v>
      </c>
      <c r="X102" s="73" t="s">
        <v>12</v>
      </c>
      <c r="Y102" s="83">
        <v>52.7</v>
      </c>
      <c r="AD102" s="82"/>
      <c r="AG102" s="83"/>
      <c r="AL102" s="82"/>
      <c r="AO102" s="83"/>
      <c r="AP102" s="82"/>
      <c r="AS102" s="83"/>
      <c r="AW102" s="83"/>
      <c r="BA102" s="84"/>
    </row>
    <row r="103" spans="1:53" s="73" customFormat="1" x14ac:dyDescent="0.15">
      <c r="A103" s="73">
        <v>2001</v>
      </c>
      <c r="C103" s="811" t="s">
        <v>186</v>
      </c>
      <c r="D103" s="811"/>
      <c r="E103" s="73">
        <v>0</v>
      </c>
      <c r="G103" s="123"/>
      <c r="I103" s="73">
        <v>21</v>
      </c>
      <c r="J103" s="134">
        <v>21</v>
      </c>
      <c r="K103" s="92">
        <f t="shared" si="20"/>
        <v>0</v>
      </c>
      <c r="L103" s="92">
        <f t="shared" si="21"/>
        <v>0</v>
      </c>
      <c r="M103" s="92">
        <f t="shared" si="22"/>
        <v>100</v>
      </c>
      <c r="N103" s="125">
        <f t="shared" si="10"/>
        <v>100</v>
      </c>
      <c r="O103" s="91"/>
      <c r="P103" s="92"/>
      <c r="Q103" s="92">
        <v>52.7</v>
      </c>
      <c r="R103" s="93">
        <f t="shared" si="9"/>
        <v>52.7</v>
      </c>
      <c r="S103" s="73">
        <v>1</v>
      </c>
      <c r="T103" s="81"/>
      <c r="V103" s="82" t="s">
        <v>194</v>
      </c>
      <c r="W103" s="73" t="s">
        <v>20</v>
      </c>
      <c r="X103" s="73" t="s">
        <v>12</v>
      </c>
      <c r="Y103" s="83">
        <v>52.7</v>
      </c>
      <c r="AD103" s="82"/>
      <c r="AG103" s="83"/>
      <c r="AL103" s="82"/>
      <c r="AO103" s="83"/>
      <c r="AP103" s="82"/>
      <c r="AS103" s="83"/>
      <c r="AW103" s="83"/>
      <c r="BA103" s="84"/>
    </row>
    <row r="104" spans="1:53" s="73" customFormat="1" x14ac:dyDescent="0.15">
      <c r="A104" s="73">
        <v>2001</v>
      </c>
      <c r="C104" s="811" t="s">
        <v>186</v>
      </c>
      <c r="D104" s="811"/>
      <c r="E104" s="73">
        <f>365-E103</f>
        <v>365</v>
      </c>
      <c r="G104" s="123"/>
      <c r="I104" s="73">
        <v>21</v>
      </c>
      <c r="J104" s="134">
        <v>21</v>
      </c>
      <c r="K104" s="92">
        <f t="shared" si="20"/>
        <v>0</v>
      </c>
      <c r="L104" s="92">
        <f t="shared" si="21"/>
        <v>0</v>
      </c>
      <c r="M104" s="92">
        <f t="shared" si="22"/>
        <v>100</v>
      </c>
      <c r="N104" s="125">
        <f t="shared" si="10"/>
        <v>100</v>
      </c>
      <c r="O104" s="91"/>
      <c r="P104" s="92"/>
      <c r="Q104" s="92">
        <v>52.7</v>
      </c>
      <c r="R104" s="93">
        <f t="shared" si="9"/>
        <v>52.7</v>
      </c>
      <c r="S104" s="73">
        <v>1</v>
      </c>
      <c r="T104" s="81"/>
      <c r="V104" s="82" t="s">
        <v>194</v>
      </c>
      <c r="W104" s="73" t="s">
        <v>20</v>
      </c>
      <c r="X104" s="73" t="s">
        <v>12</v>
      </c>
      <c r="Y104" s="83">
        <v>52.7</v>
      </c>
      <c r="AD104" s="82"/>
      <c r="AG104" s="83"/>
      <c r="AL104" s="82"/>
      <c r="AO104" s="83"/>
      <c r="AP104" s="82"/>
      <c r="AS104" s="83"/>
      <c r="AW104" s="83"/>
      <c r="BA104" s="84"/>
    </row>
    <row r="105" spans="1:53" s="73" customFormat="1" x14ac:dyDescent="0.15">
      <c r="A105" s="73">
        <v>2002</v>
      </c>
      <c r="C105" s="811" t="s">
        <v>186</v>
      </c>
      <c r="D105" s="811"/>
      <c r="E105" s="73">
        <v>0</v>
      </c>
      <c r="G105" s="123"/>
      <c r="I105" s="73">
        <v>21</v>
      </c>
      <c r="J105" s="134">
        <v>21</v>
      </c>
      <c r="K105" s="92">
        <f t="shared" si="20"/>
        <v>0</v>
      </c>
      <c r="L105" s="92">
        <f t="shared" si="21"/>
        <v>0</v>
      </c>
      <c r="M105" s="92">
        <f t="shared" si="22"/>
        <v>100</v>
      </c>
      <c r="N105" s="125">
        <f t="shared" si="10"/>
        <v>100</v>
      </c>
      <c r="O105" s="91"/>
      <c r="P105" s="92"/>
      <c r="Q105" s="92">
        <v>52.7</v>
      </c>
      <c r="R105" s="93">
        <f t="shared" si="9"/>
        <v>52.7</v>
      </c>
      <c r="S105" s="73">
        <v>1</v>
      </c>
      <c r="T105" s="81"/>
      <c r="V105" s="82" t="s">
        <v>194</v>
      </c>
      <c r="W105" s="73" t="s">
        <v>20</v>
      </c>
      <c r="X105" s="73" t="s">
        <v>12</v>
      </c>
      <c r="Y105" s="83">
        <v>52.7</v>
      </c>
      <c r="AD105" s="82"/>
      <c r="AG105" s="83"/>
      <c r="AL105" s="82"/>
      <c r="AO105" s="83"/>
      <c r="AP105" s="82"/>
      <c r="AS105" s="83"/>
      <c r="AW105" s="83"/>
      <c r="BA105" s="84"/>
    </row>
    <row r="106" spans="1:53" s="73" customFormat="1" x14ac:dyDescent="0.15">
      <c r="A106" s="73">
        <v>2002</v>
      </c>
      <c r="C106" s="811" t="s">
        <v>186</v>
      </c>
      <c r="D106" s="811"/>
      <c r="E106" s="73">
        <f>365-E105</f>
        <v>365</v>
      </c>
      <c r="G106" s="123"/>
      <c r="I106" s="73">
        <v>21</v>
      </c>
      <c r="J106" s="134">
        <v>21</v>
      </c>
      <c r="K106" s="92">
        <f t="shared" si="20"/>
        <v>0</v>
      </c>
      <c r="L106" s="92">
        <f t="shared" si="21"/>
        <v>0</v>
      </c>
      <c r="M106" s="92">
        <f t="shared" si="22"/>
        <v>100</v>
      </c>
      <c r="N106" s="125">
        <f t="shared" si="10"/>
        <v>100</v>
      </c>
      <c r="O106" s="91"/>
      <c r="P106" s="92"/>
      <c r="Q106" s="92">
        <v>52.7</v>
      </c>
      <c r="R106" s="93">
        <f t="shared" si="9"/>
        <v>52.7</v>
      </c>
      <c r="S106" s="73">
        <v>1</v>
      </c>
      <c r="T106" s="81"/>
      <c r="V106" s="82" t="s">
        <v>194</v>
      </c>
      <c r="W106" s="73" t="s">
        <v>20</v>
      </c>
      <c r="X106" s="73" t="s">
        <v>12</v>
      </c>
      <c r="Y106" s="83">
        <v>52.7</v>
      </c>
      <c r="AD106" s="82"/>
      <c r="AG106" s="83"/>
      <c r="AL106" s="82"/>
      <c r="AO106" s="83"/>
      <c r="AP106" s="82"/>
      <c r="AS106" s="83"/>
      <c r="AW106" s="83"/>
      <c r="BA106" s="84"/>
    </row>
    <row r="107" spans="1:53" s="73" customFormat="1" x14ac:dyDescent="0.15">
      <c r="A107" s="73">
        <v>2003</v>
      </c>
      <c r="C107" s="811" t="s">
        <v>186</v>
      </c>
      <c r="D107" s="811"/>
      <c r="E107" s="73">
        <v>0</v>
      </c>
      <c r="G107" s="123"/>
      <c r="I107" s="73">
        <v>21</v>
      </c>
      <c r="J107" s="134">
        <v>21</v>
      </c>
      <c r="K107" s="92">
        <f t="shared" si="20"/>
        <v>0</v>
      </c>
      <c r="L107" s="92">
        <f t="shared" si="21"/>
        <v>0</v>
      </c>
      <c r="M107" s="92">
        <f t="shared" si="22"/>
        <v>100</v>
      </c>
      <c r="N107" s="125">
        <f t="shared" si="10"/>
        <v>100</v>
      </c>
      <c r="O107" s="91"/>
      <c r="P107" s="92"/>
      <c r="Q107" s="92">
        <v>52.7</v>
      </c>
      <c r="R107" s="93">
        <f t="shared" si="9"/>
        <v>52.7</v>
      </c>
      <c r="S107" s="73">
        <v>1</v>
      </c>
      <c r="T107" s="81"/>
      <c r="V107" s="82" t="s">
        <v>194</v>
      </c>
      <c r="W107" s="73" t="s">
        <v>20</v>
      </c>
      <c r="X107" s="73" t="s">
        <v>12</v>
      </c>
      <c r="Y107" s="83">
        <v>52.7</v>
      </c>
      <c r="AD107" s="82"/>
      <c r="AG107" s="83"/>
      <c r="AL107" s="82"/>
      <c r="AO107" s="83"/>
      <c r="AP107" s="82"/>
      <c r="AS107" s="83"/>
      <c r="AW107" s="83"/>
      <c r="BA107" s="84"/>
    </row>
    <row r="108" spans="1:53" s="73" customFormat="1" x14ac:dyDescent="0.15">
      <c r="A108" s="73">
        <v>2003</v>
      </c>
      <c r="C108" s="811" t="s">
        <v>186</v>
      </c>
      <c r="D108" s="811"/>
      <c r="E108" s="73">
        <f>365-E107</f>
        <v>365</v>
      </c>
      <c r="G108" s="123"/>
      <c r="I108" s="73">
        <v>21</v>
      </c>
      <c r="J108" s="134">
        <v>21</v>
      </c>
      <c r="K108" s="92">
        <f t="shared" si="20"/>
        <v>0</v>
      </c>
      <c r="L108" s="92">
        <f t="shared" si="21"/>
        <v>0</v>
      </c>
      <c r="M108" s="92">
        <f t="shared" si="22"/>
        <v>100</v>
      </c>
      <c r="N108" s="125">
        <f t="shared" si="10"/>
        <v>100</v>
      </c>
      <c r="O108" s="91"/>
      <c r="P108" s="92"/>
      <c r="Q108" s="92">
        <v>52.7</v>
      </c>
      <c r="R108" s="93">
        <f t="shared" si="9"/>
        <v>52.7</v>
      </c>
      <c r="S108" s="73">
        <v>1</v>
      </c>
      <c r="T108" s="81"/>
      <c r="V108" s="82" t="s">
        <v>194</v>
      </c>
      <c r="W108" s="73" t="s">
        <v>20</v>
      </c>
      <c r="X108" s="73" t="s">
        <v>12</v>
      </c>
      <c r="Y108" s="83">
        <v>52.7</v>
      </c>
      <c r="AD108" s="82"/>
      <c r="AG108" s="83"/>
      <c r="AL108" s="82"/>
      <c r="AO108" s="83"/>
      <c r="AP108" s="82"/>
      <c r="AS108" s="83"/>
      <c r="AW108" s="83"/>
      <c r="BA108" s="84"/>
    </row>
    <row r="109" spans="1:53" s="73" customFormat="1" x14ac:dyDescent="0.15">
      <c r="A109" s="73">
        <v>2004</v>
      </c>
      <c r="C109" s="811" t="s">
        <v>186</v>
      </c>
      <c r="D109" s="811"/>
      <c r="E109" s="73">
        <v>82</v>
      </c>
      <c r="G109" s="123"/>
      <c r="I109" s="73">
        <v>21</v>
      </c>
      <c r="J109" s="134">
        <v>21</v>
      </c>
      <c r="K109" s="92">
        <f t="shared" si="20"/>
        <v>0</v>
      </c>
      <c r="L109" s="92">
        <f t="shared" si="21"/>
        <v>0</v>
      </c>
      <c r="M109" s="92">
        <f t="shared" si="22"/>
        <v>100</v>
      </c>
      <c r="N109" s="125">
        <f t="shared" si="10"/>
        <v>100</v>
      </c>
      <c r="O109" s="91"/>
      <c r="P109" s="92"/>
      <c r="Q109" s="92">
        <v>52.7</v>
      </c>
      <c r="R109" s="93">
        <f t="shared" si="9"/>
        <v>52.7</v>
      </c>
      <c r="S109" s="73">
        <v>1</v>
      </c>
      <c r="T109" s="81"/>
      <c r="V109" s="82" t="s">
        <v>194</v>
      </c>
      <c r="W109" s="73" t="s">
        <v>20</v>
      </c>
      <c r="X109" s="73" t="s">
        <v>12</v>
      </c>
      <c r="Y109" s="83">
        <v>52.7</v>
      </c>
      <c r="AD109" s="82"/>
      <c r="AG109" s="83"/>
      <c r="AL109" s="82"/>
      <c r="AO109" s="83"/>
      <c r="AP109" s="82"/>
      <c r="AS109" s="83"/>
      <c r="AW109" s="83"/>
      <c r="BA109" s="84"/>
    </row>
    <row r="110" spans="1:53" s="334" customFormat="1" x14ac:dyDescent="0.15">
      <c r="A110" s="334">
        <v>2004</v>
      </c>
      <c r="B110" s="355">
        <v>38069</v>
      </c>
      <c r="C110" s="812" t="s">
        <v>176</v>
      </c>
      <c r="D110" s="812"/>
      <c r="E110" s="334">
        <v>284</v>
      </c>
      <c r="F110" s="334">
        <v>1</v>
      </c>
      <c r="G110" s="419">
        <v>20</v>
      </c>
      <c r="J110" s="435">
        <v>20</v>
      </c>
      <c r="K110" s="384">
        <f t="shared" si="20"/>
        <v>100</v>
      </c>
      <c r="L110" s="384">
        <f t="shared" si="21"/>
        <v>0</v>
      </c>
      <c r="M110" s="384">
        <f t="shared" si="22"/>
        <v>0</v>
      </c>
      <c r="N110" s="421">
        <f t="shared" si="10"/>
        <v>100</v>
      </c>
      <c r="O110" s="383">
        <v>55</v>
      </c>
      <c r="P110" s="384"/>
      <c r="Q110" s="384"/>
      <c r="R110" s="385">
        <f t="shared" ref="R110:R131" si="23">SUM(O110:Q110)</f>
        <v>55</v>
      </c>
      <c r="S110" s="334">
        <v>1</v>
      </c>
      <c r="T110" s="342">
        <v>38053</v>
      </c>
      <c r="U110" s="355">
        <v>38069</v>
      </c>
      <c r="V110" s="343" t="s">
        <v>193</v>
      </c>
      <c r="W110" s="334" t="s">
        <v>77</v>
      </c>
      <c r="X110" s="334" t="s">
        <v>11</v>
      </c>
      <c r="Y110" s="344">
        <v>55</v>
      </c>
      <c r="AD110" s="343"/>
      <c r="AG110" s="344"/>
      <c r="AL110" s="343"/>
      <c r="AO110" s="344"/>
      <c r="AP110" s="343"/>
      <c r="AS110" s="344"/>
      <c r="AW110" s="344"/>
      <c r="BA110" s="345"/>
    </row>
    <row r="111" spans="1:53" s="334" customFormat="1" x14ac:dyDescent="0.15">
      <c r="A111" s="334">
        <v>2005</v>
      </c>
      <c r="C111" s="812" t="s">
        <v>176</v>
      </c>
      <c r="D111" s="812"/>
      <c r="E111" s="334">
        <v>0</v>
      </c>
      <c r="G111" s="419">
        <v>20</v>
      </c>
      <c r="J111" s="435">
        <v>20</v>
      </c>
      <c r="K111" s="384">
        <f t="shared" ref="K111:K118" si="24">G111/J111*100</f>
        <v>100</v>
      </c>
      <c r="L111" s="384">
        <f t="shared" ref="L111:L119" si="25">H111/J111*100</f>
        <v>0</v>
      </c>
      <c r="M111" s="384">
        <f t="shared" ref="M111:M119" si="26">I111/J111*100</f>
        <v>0</v>
      </c>
      <c r="N111" s="421">
        <f t="shared" si="10"/>
        <v>100</v>
      </c>
      <c r="O111" s="383">
        <v>55</v>
      </c>
      <c r="P111" s="384"/>
      <c r="Q111" s="384"/>
      <c r="R111" s="385">
        <f t="shared" si="23"/>
        <v>55</v>
      </c>
      <c r="S111" s="334">
        <v>1</v>
      </c>
      <c r="T111" s="357"/>
      <c r="V111" s="343" t="s">
        <v>193</v>
      </c>
      <c r="W111" s="334" t="s">
        <v>77</v>
      </c>
      <c r="X111" s="334" t="s">
        <v>11</v>
      </c>
      <c r="Y111" s="344">
        <v>55</v>
      </c>
      <c r="AD111" s="343"/>
      <c r="AG111" s="344"/>
      <c r="AL111" s="343"/>
      <c r="AO111" s="344"/>
      <c r="AP111" s="343"/>
      <c r="AS111" s="344"/>
      <c r="AW111" s="344"/>
      <c r="BA111" s="345"/>
    </row>
    <row r="112" spans="1:53" s="334" customFormat="1" x14ac:dyDescent="0.15">
      <c r="A112" s="334">
        <v>2005</v>
      </c>
      <c r="C112" s="812" t="s">
        <v>176</v>
      </c>
      <c r="D112" s="812"/>
      <c r="E112" s="334">
        <v>365</v>
      </c>
      <c r="G112" s="419">
        <v>20</v>
      </c>
      <c r="J112" s="435">
        <v>20</v>
      </c>
      <c r="K112" s="384">
        <f t="shared" si="24"/>
        <v>100</v>
      </c>
      <c r="L112" s="384">
        <f t="shared" si="25"/>
        <v>0</v>
      </c>
      <c r="M112" s="384">
        <f t="shared" si="26"/>
        <v>0</v>
      </c>
      <c r="N112" s="421">
        <f t="shared" si="10"/>
        <v>100</v>
      </c>
      <c r="O112" s="383">
        <v>55</v>
      </c>
      <c r="P112" s="384"/>
      <c r="Q112" s="384"/>
      <c r="R112" s="385">
        <f t="shared" si="23"/>
        <v>55</v>
      </c>
      <c r="S112" s="334">
        <v>1</v>
      </c>
      <c r="T112" s="357"/>
      <c r="V112" s="343" t="s">
        <v>193</v>
      </c>
      <c r="W112" s="334" t="s">
        <v>77</v>
      </c>
      <c r="X112" s="334" t="s">
        <v>11</v>
      </c>
      <c r="Y112" s="344">
        <v>55</v>
      </c>
      <c r="AD112" s="343"/>
      <c r="AG112" s="344"/>
      <c r="AL112" s="343"/>
      <c r="AO112" s="344"/>
      <c r="AP112" s="343"/>
      <c r="AS112" s="344"/>
      <c r="AW112" s="344"/>
      <c r="BA112" s="345"/>
    </row>
    <row r="113" spans="1:53" s="334" customFormat="1" x14ac:dyDescent="0.15">
      <c r="A113" s="334">
        <v>2006</v>
      </c>
      <c r="C113" s="812" t="s">
        <v>176</v>
      </c>
      <c r="D113" s="812"/>
      <c r="E113" s="334">
        <v>0</v>
      </c>
      <c r="G113" s="419">
        <v>20</v>
      </c>
      <c r="J113" s="435">
        <v>20</v>
      </c>
      <c r="K113" s="384">
        <f t="shared" si="24"/>
        <v>100</v>
      </c>
      <c r="L113" s="384">
        <f t="shared" si="25"/>
        <v>0</v>
      </c>
      <c r="M113" s="384">
        <f t="shared" si="26"/>
        <v>0</v>
      </c>
      <c r="N113" s="421">
        <f t="shared" si="10"/>
        <v>100</v>
      </c>
      <c r="O113" s="383">
        <v>55</v>
      </c>
      <c r="P113" s="384"/>
      <c r="Q113" s="384"/>
      <c r="R113" s="385">
        <f t="shared" si="23"/>
        <v>55</v>
      </c>
      <c r="S113" s="334">
        <v>1</v>
      </c>
      <c r="T113" s="357"/>
      <c r="V113" s="343" t="s">
        <v>193</v>
      </c>
      <c r="W113" s="334" t="s">
        <v>77</v>
      </c>
      <c r="X113" s="334" t="s">
        <v>11</v>
      </c>
      <c r="Y113" s="344">
        <v>55</v>
      </c>
      <c r="AD113" s="343"/>
      <c r="AG113" s="344"/>
      <c r="AL113" s="343"/>
      <c r="AO113" s="344"/>
      <c r="AP113" s="343"/>
      <c r="AS113" s="344"/>
      <c r="AW113" s="344"/>
      <c r="BA113" s="345"/>
    </row>
    <row r="114" spans="1:53" s="334" customFormat="1" x14ac:dyDescent="0.15">
      <c r="A114" s="334">
        <v>2006</v>
      </c>
      <c r="C114" s="812" t="s">
        <v>176</v>
      </c>
      <c r="D114" s="812"/>
      <c r="E114" s="334">
        <v>365</v>
      </c>
      <c r="G114" s="419">
        <v>20</v>
      </c>
      <c r="J114" s="435">
        <v>20</v>
      </c>
      <c r="K114" s="384">
        <f t="shared" si="24"/>
        <v>100</v>
      </c>
      <c r="L114" s="384">
        <f t="shared" si="25"/>
        <v>0</v>
      </c>
      <c r="M114" s="384">
        <f t="shared" si="26"/>
        <v>0</v>
      </c>
      <c r="N114" s="421">
        <f t="shared" si="10"/>
        <v>100</v>
      </c>
      <c r="O114" s="383">
        <v>55</v>
      </c>
      <c r="P114" s="384"/>
      <c r="Q114" s="384"/>
      <c r="R114" s="385">
        <f t="shared" si="23"/>
        <v>55</v>
      </c>
      <c r="S114" s="334">
        <v>1</v>
      </c>
      <c r="T114" s="357"/>
      <c r="V114" s="343" t="s">
        <v>193</v>
      </c>
      <c r="W114" s="334" t="s">
        <v>77</v>
      </c>
      <c r="X114" s="334" t="s">
        <v>11</v>
      </c>
      <c r="Y114" s="344">
        <v>55</v>
      </c>
      <c r="AD114" s="343"/>
      <c r="AG114" s="344"/>
      <c r="AL114" s="343"/>
      <c r="AO114" s="344"/>
      <c r="AP114" s="343"/>
      <c r="AS114" s="344"/>
      <c r="AW114" s="344"/>
      <c r="BA114" s="345"/>
    </row>
    <row r="115" spans="1:53" s="334" customFormat="1" x14ac:dyDescent="0.15">
      <c r="A115" s="334">
        <v>2007</v>
      </c>
      <c r="C115" s="812" t="s">
        <v>176</v>
      </c>
      <c r="D115" s="812"/>
      <c r="E115" s="334">
        <f>365-E116</f>
        <v>273</v>
      </c>
      <c r="G115" s="419">
        <v>20</v>
      </c>
      <c r="J115" s="435">
        <v>20</v>
      </c>
      <c r="K115" s="384">
        <f t="shared" si="24"/>
        <v>100</v>
      </c>
      <c r="L115" s="384">
        <f t="shared" si="25"/>
        <v>0</v>
      </c>
      <c r="M115" s="384">
        <f t="shared" si="26"/>
        <v>0</v>
      </c>
      <c r="N115" s="421">
        <f t="shared" si="10"/>
        <v>100</v>
      </c>
      <c r="O115" s="383">
        <v>55</v>
      </c>
      <c r="P115" s="384"/>
      <c r="Q115" s="384"/>
      <c r="R115" s="385">
        <f t="shared" si="23"/>
        <v>55</v>
      </c>
      <c r="S115" s="334">
        <v>1</v>
      </c>
      <c r="T115" s="357"/>
      <c r="V115" s="343" t="s">
        <v>193</v>
      </c>
      <c r="W115" s="334" t="s">
        <v>77</v>
      </c>
      <c r="X115" s="334" t="s">
        <v>11</v>
      </c>
      <c r="Y115" s="344">
        <v>55</v>
      </c>
      <c r="AD115" s="343"/>
      <c r="AG115" s="344"/>
      <c r="AL115" s="343"/>
      <c r="AO115" s="344"/>
      <c r="AP115" s="343"/>
      <c r="AS115" s="344"/>
      <c r="AW115" s="344"/>
      <c r="BA115" s="345"/>
    </row>
    <row r="116" spans="1:53" s="225" customFormat="1" x14ac:dyDescent="0.15">
      <c r="A116" s="225">
        <v>2007</v>
      </c>
      <c r="B116" s="224">
        <v>39356</v>
      </c>
      <c r="C116" s="811" t="s">
        <v>177</v>
      </c>
      <c r="D116" s="811"/>
      <c r="E116" s="225">
        <v>92</v>
      </c>
      <c r="F116" s="225">
        <v>1</v>
      </c>
      <c r="G116" s="123">
        <v>18</v>
      </c>
      <c r="J116" s="134">
        <v>18</v>
      </c>
      <c r="K116" s="92">
        <f t="shared" si="24"/>
        <v>100</v>
      </c>
      <c r="L116" s="92">
        <f t="shared" si="25"/>
        <v>0</v>
      </c>
      <c r="M116" s="92">
        <f t="shared" si="26"/>
        <v>0</v>
      </c>
      <c r="N116" s="125">
        <f t="shared" si="10"/>
        <v>100</v>
      </c>
      <c r="O116" s="91">
        <v>50.7</v>
      </c>
      <c r="P116" s="92"/>
      <c r="Q116" s="92"/>
      <c r="R116" s="93">
        <f t="shared" si="23"/>
        <v>50.7</v>
      </c>
      <c r="S116" s="225">
        <v>1</v>
      </c>
      <c r="T116" s="95">
        <v>39341</v>
      </c>
      <c r="U116" s="224">
        <v>39356</v>
      </c>
      <c r="V116" s="82" t="s">
        <v>193</v>
      </c>
      <c r="W116" s="225" t="s">
        <v>77</v>
      </c>
      <c r="X116" s="225" t="s">
        <v>11</v>
      </c>
      <c r="Y116" s="83">
        <v>50.7</v>
      </c>
      <c r="AD116" s="82"/>
      <c r="AG116" s="83"/>
      <c r="AL116" s="82"/>
      <c r="AO116" s="83"/>
      <c r="AP116" s="82"/>
      <c r="AS116" s="83"/>
      <c r="AW116" s="83"/>
      <c r="BA116" s="84"/>
    </row>
    <row r="117" spans="1:53" s="225" customFormat="1" x14ac:dyDescent="0.15">
      <c r="A117" s="225">
        <v>2008</v>
      </c>
      <c r="C117" s="811" t="s">
        <v>177</v>
      </c>
      <c r="D117" s="811"/>
      <c r="E117" s="225">
        <v>297</v>
      </c>
      <c r="G117" s="123">
        <v>18</v>
      </c>
      <c r="J117" s="134">
        <v>18</v>
      </c>
      <c r="K117" s="92">
        <f t="shared" si="24"/>
        <v>100</v>
      </c>
      <c r="L117" s="92">
        <f t="shared" si="25"/>
        <v>0</v>
      </c>
      <c r="M117" s="92">
        <f t="shared" si="26"/>
        <v>0</v>
      </c>
      <c r="N117" s="125">
        <f t="shared" si="10"/>
        <v>100</v>
      </c>
      <c r="O117" s="91">
        <v>50.7</v>
      </c>
      <c r="P117" s="92"/>
      <c r="Q117" s="92"/>
      <c r="R117" s="93">
        <f t="shared" si="23"/>
        <v>50.7</v>
      </c>
      <c r="S117" s="225">
        <v>1</v>
      </c>
      <c r="T117" s="81"/>
      <c r="V117" s="82" t="s">
        <v>193</v>
      </c>
      <c r="W117" s="225" t="s">
        <v>77</v>
      </c>
      <c r="X117" s="225" t="s">
        <v>11</v>
      </c>
      <c r="Y117" s="83">
        <v>50.7</v>
      </c>
      <c r="AD117" s="82"/>
      <c r="AG117" s="83"/>
      <c r="AL117" s="82"/>
      <c r="AO117" s="83"/>
      <c r="AP117" s="82"/>
      <c r="AS117" s="83"/>
      <c r="AW117" s="83"/>
      <c r="BA117" s="84"/>
    </row>
    <row r="118" spans="1:53" s="225" customFormat="1" x14ac:dyDescent="0.15">
      <c r="A118" s="225">
        <v>2008</v>
      </c>
      <c r="B118" s="216">
        <v>39745</v>
      </c>
      <c r="C118" s="811" t="s">
        <v>177</v>
      </c>
      <c r="D118" s="811"/>
      <c r="E118" s="225">
        <v>69</v>
      </c>
      <c r="F118" s="217">
        <v>0</v>
      </c>
      <c r="G118" s="123">
        <v>17</v>
      </c>
      <c r="J118" s="134">
        <v>17</v>
      </c>
      <c r="K118" s="92">
        <f t="shared" si="24"/>
        <v>100</v>
      </c>
      <c r="L118" s="92">
        <f t="shared" si="25"/>
        <v>0</v>
      </c>
      <c r="M118" s="92">
        <f t="shared" si="26"/>
        <v>0</v>
      </c>
      <c r="N118" s="125">
        <f t="shared" si="10"/>
        <v>100</v>
      </c>
      <c r="O118" s="91">
        <v>50.7</v>
      </c>
      <c r="P118" s="92"/>
      <c r="Q118" s="92"/>
      <c r="R118" s="93">
        <f t="shared" si="23"/>
        <v>50.7</v>
      </c>
      <c r="S118" s="225">
        <v>1</v>
      </c>
      <c r="T118" s="81"/>
      <c r="U118" s="224"/>
      <c r="V118" s="82" t="s">
        <v>193</v>
      </c>
      <c r="W118" s="225" t="s">
        <v>77</v>
      </c>
      <c r="X118" s="225" t="s">
        <v>11</v>
      </c>
      <c r="Y118" s="83">
        <v>50.7</v>
      </c>
      <c r="AD118" s="82"/>
      <c r="AG118" s="83"/>
      <c r="AL118" s="82"/>
      <c r="AO118" s="83"/>
      <c r="AP118" s="82"/>
      <c r="AS118" s="83"/>
      <c r="AW118" s="83"/>
      <c r="BA118" s="84"/>
    </row>
    <row r="119" spans="1:53" s="225" customFormat="1" x14ac:dyDescent="0.15">
      <c r="A119" s="225">
        <v>2009</v>
      </c>
      <c r="C119" s="811" t="s">
        <v>177</v>
      </c>
      <c r="D119" s="811"/>
      <c r="E119" s="225">
        <v>291</v>
      </c>
      <c r="G119" s="123">
        <v>17</v>
      </c>
      <c r="J119" s="134">
        <v>17</v>
      </c>
      <c r="K119" s="92">
        <f t="shared" ref="K119:K125" si="27">G119/J119*100</f>
        <v>100</v>
      </c>
      <c r="L119" s="92">
        <f t="shared" si="25"/>
        <v>0</v>
      </c>
      <c r="M119" s="92">
        <f t="shared" si="26"/>
        <v>0</v>
      </c>
      <c r="N119" s="125">
        <f t="shared" si="10"/>
        <v>100</v>
      </c>
      <c r="O119" s="91">
        <v>50.7</v>
      </c>
      <c r="P119" s="92"/>
      <c r="Q119" s="92"/>
      <c r="R119" s="93">
        <f t="shared" si="23"/>
        <v>50.7</v>
      </c>
      <c r="S119" s="225">
        <v>1</v>
      </c>
      <c r="T119" s="81"/>
      <c r="V119" s="82" t="s">
        <v>193</v>
      </c>
      <c r="W119" s="225" t="s">
        <v>77</v>
      </c>
      <c r="X119" s="225" t="s">
        <v>11</v>
      </c>
      <c r="Y119" s="83">
        <v>50.7</v>
      </c>
      <c r="AD119" s="82"/>
      <c r="AG119" s="83"/>
      <c r="AL119" s="82"/>
      <c r="AO119" s="83"/>
      <c r="AP119" s="82"/>
      <c r="AS119" s="83"/>
      <c r="AW119" s="83"/>
      <c r="BA119" s="84"/>
    </row>
    <row r="120" spans="1:53" s="334" customFormat="1" x14ac:dyDescent="0.15">
      <c r="A120" s="334">
        <v>2009</v>
      </c>
      <c r="B120" s="355">
        <v>40105</v>
      </c>
      <c r="C120" s="812" t="s">
        <v>179</v>
      </c>
      <c r="D120" s="812"/>
      <c r="E120" s="334">
        <v>74</v>
      </c>
      <c r="F120" s="334">
        <v>1</v>
      </c>
      <c r="G120" s="419"/>
      <c r="I120" s="334">
        <v>17</v>
      </c>
      <c r="J120" s="435">
        <v>17</v>
      </c>
      <c r="K120" s="384">
        <f t="shared" si="27"/>
        <v>0</v>
      </c>
      <c r="L120" s="384">
        <f t="shared" ref="L120:L125" si="28">H120/J120*100</f>
        <v>0</v>
      </c>
      <c r="M120" s="384">
        <f t="shared" ref="M120:M125" si="29">I120/J120*100</f>
        <v>100</v>
      </c>
      <c r="N120" s="421">
        <f t="shared" si="10"/>
        <v>100</v>
      </c>
      <c r="O120" s="383"/>
      <c r="P120" s="384"/>
      <c r="Q120" s="384">
        <v>53.3</v>
      </c>
      <c r="R120" s="385">
        <f t="shared" si="23"/>
        <v>53.3</v>
      </c>
      <c r="S120" s="334">
        <v>1</v>
      </c>
      <c r="T120" s="342">
        <v>40090</v>
      </c>
      <c r="U120" s="355">
        <v>40105</v>
      </c>
      <c r="V120" s="343" t="s">
        <v>194</v>
      </c>
      <c r="W120" s="334" t="s">
        <v>20</v>
      </c>
      <c r="X120" s="334" t="s">
        <v>12</v>
      </c>
      <c r="Y120" s="344">
        <v>53.3</v>
      </c>
      <c r="AD120" s="343"/>
      <c r="AG120" s="344"/>
      <c r="AL120" s="343"/>
      <c r="AO120" s="344"/>
      <c r="AP120" s="343"/>
      <c r="AS120" s="344"/>
      <c r="AW120" s="344"/>
      <c r="BA120" s="345"/>
    </row>
    <row r="121" spans="1:53" s="334" customFormat="1" x14ac:dyDescent="0.15">
      <c r="A121" s="334">
        <v>2010</v>
      </c>
      <c r="C121" s="812" t="s">
        <v>179</v>
      </c>
      <c r="D121" s="812"/>
      <c r="E121" s="334">
        <v>249</v>
      </c>
      <c r="G121" s="419"/>
      <c r="I121" s="334">
        <v>17</v>
      </c>
      <c r="J121" s="435">
        <v>17</v>
      </c>
      <c r="K121" s="384">
        <f t="shared" si="27"/>
        <v>0</v>
      </c>
      <c r="L121" s="384">
        <f t="shared" si="28"/>
        <v>0</v>
      </c>
      <c r="M121" s="384">
        <f t="shared" si="29"/>
        <v>100</v>
      </c>
      <c r="N121" s="421">
        <f t="shared" si="10"/>
        <v>100</v>
      </c>
      <c r="O121" s="383"/>
      <c r="P121" s="384"/>
      <c r="Q121" s="384">
        <v>53.3</v>
      </c>
      <c r="R121" s="385">
        <f t="shared" si="23"/>
        <v>53.3</v>
      </c>
      <c r="S121" s="334">
        <v>1</v>
      </c>
      <c r="T121" s="357"/>
      <c r="V121" s="343" t="s">
        <v>194</v>
      </c>
      <c r="W121" s="334" t="s">
        <v>20</v>
      </c>
      <c r="X121" s="334" t="s">
        <v>12</v>
      </c>
      <c r="Y121" s="344">
        <v>53.3</v>
      </c>
      <c r="AD121" s="343"/>
      <c r="AG121" s="344"/>
      <c r="AL121" s="343"/>
      <c r="AO121" s="344"/>
      <c r="AP121" s="343"/>
      <c r="AS121" s="344"/>
      <c r="AW121" s="344"/>
      <c r="BA121" s="345"/>
    </row>
    <row r="122" spans="1:53" s="334" customFormat="1" x14ac:dyDescent="0.15">
      <c r="A122" s="334">
        <v>2010</v>
      </c>
      <c r="B122" s="450">
        <v>40428</v>
      </c>
      <c r="C122" s="812" t="s">
        <v>179</v>
      </c>
      <c r="D122" s="812"/>
      <c r="E122" s="334">
        <f>365-E121</f>
        <v>116</v>
      </c>
      <c r="F122" s="451">
        <v>0</v>
      </c>
      <c r="G122" s="419"/>
      <c r="I122" s="334">
        <v>18</v>
      </c>
      <c r="J122" s="435">
        <v>18</v>
      </c>
      <c r="K122" s="384">
        <f t="shared" si="27"/>
        <v>0</v>
      </c>
      <c r="L122" s="384">
        <f t="shared" si="28"/>
        <v>0</v>
      </c>
      <c r="M122" s="384">
        <f t="shared" si="29"/>
        <v>100</v>
      </c>
      <c r="N122" s="421">
        <f t="shared" si="10"/>
        <v>100</v>
      </c>
      <c r="O122" s="383"/>
      <c r="P122" s="384"/>
      <c r="Q122" s="384">
        <v>53.3</v>
      </c>
      <c r="R122" s="385">
        <f t="shared" si="23"/>
        <v>53.3</v>
      </c>
      <c r="S122" s="334">
        <v>1</v>
      </c>
      <c r="T122" s="357"/>
      <c r="U122" s="355"/>
      <c r="V122" s="343" t="s">
        <v>194</v>
      </c>
      <c r="W122" s="334" t="s">
        <v>20</v>
      </c>
      <c r="X122" s="334" t="s">
        <v>12</v>
      </c>
      <c r="Y122" s="344">
        <v>53.3</v>
      </c>
      <c r="AD122" s="343"/>
      <c r="AG122" s="344"/>
      <c r="AL122" s="343"/>
      <c r="AO122" s="344"/>
      <c r="AP122" s="343"/>
      <c r="AS122" s="344"/>
      <c r="AW122" s="344"/>
      <c r="BA122" s="345"/>
    </row>
    <row r="123" spans="1:53" s="334" customFormat="1" x14ac:dyDescent="0.15">
      <c r="A123" s="334">
        <v>2011</v>
      </c>
      <c r="C123" s="812" t="s">
        <v>179</v>
      </c>
      <c r="D123" s="812"/>
      <c r="E123" s="334">
        <v>319</v>
      </c>
      <c r="G123" s="419"/>
      <c r="I123" s="334">
        <v>18</v>
      </c>
      <c r="J123" s="435">
        <v>18</v>
      </c>
      <c r="K123" s="384">
        <f t="shared" si="27"/>
        <v>0</v>
      </c>
      <c r="L123" s="384">
        <f t="shared" si="28"/>
        <v>0</v>
      </c>
      <c r="M123" s="384">
        <f t="shared" si="29"/>
        <v>100</v>
      </c>
      <c r="N123" s="421">
        <f t="shared" si="10"/>
        <v>100</v>
      </c>
      <c r="O123" s="383"/>
      <c r="P123" s="384"/>
      <c r="Q123" s="384">
        <v>53.3</v>
      </c>
      <c r="R123" s="385">
        <f t="shared" si="23"/>
        <v>53.3</v>
      </c>
      <c r="S123" s="334">
        <v>1</v>
      </c>
      <c r="T123" s="357"/>
      <c r="V123" s="343" t="s">
        <v>194</v>
      </c>
      <c r="W123" s="334" t="s">
        <v>20</v>
      </c>
      <c r="X123" s="334" t="s">
        <v>12</v>
      </c>
      <c r="Y123" s="344">
        <v>53.3</v>
      </c>
      <c r="AD123" s="343"/>
      <c r="AG123" s="344"/>
      <c r="AL123" s="343"/>
      <c r="AO123" s="344"/>
      <c r="AP123" s="343"/>
      <c r="AS123" s="344"/>
      <c r="AW123" s="344"/>
      <c r="BA123" s="345"/>
    </row>
    <row r="124" spans="1:53" s="225" customFormat="1" x14ac:dyDescent="0.15">
      <c r="A124" s="225">
        <v>2011</v>
      </c>
      <c r="B124" s="224">
        <v>40863</v>
      </c>
      <c r="C124" s="811" t="s">
        <v>187</v>
      </c>
      <c r="D124" s="811"/>
      <c r="E124" s="225">
        <v>46</v>
      </c>
      <c r="F124" s="225">
        <v>2</v>
      </c>
      <c r="G124" s="123">
        <v>3</v>
      </c>
      <c r="I124" s="225">
        <v>12</v>
      </c>
      <c r="J124" s="134">
        <v>18</v>
      </c>
      <c r="K124" s="92">
        <f t="shared" si="27"/>
        <v>16.666666666666664</v>
      </c>
      <c r="L124" s="92">
        <f t="shared" si="28"/>
        <v>0</v>
      </c>
      <c r="M124" s="92">
        <f t="shared" si="29"/>
        <v>66.666666666666657</v>
      </c>
      <c r="N124" s="125">
        <f>SUM(K124:M124)</f>
        <v>83.333333333333314</v>
      </c>
      <c r="O124" s="91">
        <v>35.299999999999997</v>
      </c>
      <c r="P124" s="92">
        <v>0</v>
      </c>
      <c r="Q124" s="92">
        <v>53.3</v>
      </c>
      <c r="R124" s="93">
        <f t="shared" si="23"/>
        <v>88.6</v>
      </c>
      <c r="S124" s="225">
        <v>7</v>
      </c>
      <c r="T124" s="81"/>
      <c r="U124" s="224">
        <v>40863</v>
      </c>
      <c r="V124" s="226" t="s">
        <v>795</v>
      </c>
      <c r="Y124" s="83"/>
      <c r="Z124" s="225" t="s">
        <v>194</v>
      </c>
      <c r="AA124" s="225" t="s">
        <v>20</v>
      </c>
      <c r="AB124" s="225" t="s">
        <v>12</v>
      </c>
      <c r="AC124" s="225">
        <v>53.3</v>
      </c>
      <c r="AD124" s="82" t="s">
        <v>193</v>
      </c>
      <c r="AE124" s="225" t="s">
        <v>77</v>
      </c>
      <c r="AF124" s="225" t="s">
        <v>11</v>
      </c>
      <c r="AG124" s="83">
        <v>30.3</v>
      </c>
      <c r="AH124" s="225" t="s">
        <v>561</v>
      </c>
      <c r="AI124" s="225" t="s">
        <v>307</v>
      </c>
      <c r="AJ124" s="225" t="s">
        <v>11</v>
      </c>
      <c r="AK124" s="225">
        <v>5</v>
      </c>
      <c r="AL124" s="82"/>
      <c r="AO124" s="83"/>
      <c r="AP124" s="82"/>
      <c r="AS124" s="83"/>
      <c r="AW124" s="83"/>
      <c r="BA124" s="84"/>
    </row>
    <row r="125" spans="1:53" s="225" customFormat="1" x14ac:dyDescent="0.15">
      <c r="A125" s="225">
        <v>2012</v>
      </c>
      <c r="C125" s="811" t="s">
        <v>187</v>
      </c>
      <c r="D125" s="811"/>
      <c r="E125" s="225">
        <v>136</v>
      </c>
      <c r="G125" s="123">
        <v>3</v>
      </c>
      <c r="I125" s="225">
        <v>12</v>
      </c>
      <c r="J125" s="134">
        <v>18</v>
      </c>
      <c r="K125" s="92">
        <f t="shared" si="27"/>
        <v>16.666666666666664</v>
      </c>
      <c r="L125" s="92">
        <f t="shared" si="28"/>
        <v>0</v>
      </c>
      <c r="M125" s="92">
        <f t="shared" si="29"/>
        <v>66.666666666666657</v>
      </c>
      <c r="N125" s="125">
        <f>SUM(K125:M125)</f>
        <v>83.333333333333314</v>
      </c>
      <c r="O125" s="91">
        <v>35.299999999999997</v>
      </c>
      <c r="P125" s="92">
        <v>0</v>
      </c>
      <c r="Q125" s="92">
        <v>53.3</v>
      </c>
      <c r="R125" s="93">
        <f t="shared" si="23"/>
        <v>88.6</v>
      </c>
      <c r="S125" s="225">
        <v>7</v>
      </c>
      <c r="T125" s="81"/>
      <c r="V125" s="226" t="s">
        <v>795</v>
      </c>
      <c r="Y125" s="83"/>
      <c r="Z125" s="225" t="s">
        <v>194</v>
      </c>
      <c r="AA125" s="225" t="s">
        <v>20</v>
      </c>
      <c r="AB125" s="225" t="s">
        <v>12</v>
      </c>
      <c r="AC125" s="225">
        <v>53.3</v>
      </c>
      <c r="AD125" s="82" t="s">
        <v>193</v>
      </c>
      <c r="AE125" s="225" t="s">
        <v>77</v>
      </c>
      <c r="AF125" s="225" t="s">
        <v>11</v>
      </c>
      <c r="AG125" s="83">
        <v>30.3</v>
      </c>
      <c r="AH125" s="225" t="s">
        <v>561</v>
      </c>
      <c r="AI125" s="225" t="s">
        <v>307</v>
      </c>
      <c r="AJ125" s="225" t="s">
        <v>11</v>
      </c>
      <c r="AK125" s="225">
        <v>5</v>
      </c>
      <c r="AL125" s="82"/>
      <c r="AO125" s="83"/>
      <c r="AP125" s="82"/>
      <c r="AS125" s="83"/>
      <c r="AW125" s="83"/>
      <c r="BA125" s="84"/>
    </row>
    <row r="126" spans="1:53" s="334" customFormat="1" x14ac:dyDescent="0.15">
      <c r="A126" s="334">
        <v>2012</v>
      </c>
      <c r="B126" s="355">
        <v>41045</v>
      </c>
      <c r="C126" s="844" t="s">
        <v>188</v>
      </c>
      <c r="D126" s="844"/>
      <c r="E126" s="334">
        <v>36</v>
      </c>
      <c r="F126" s="334">
        <v>1</v>
      </c>
      <c r="G126" s="419">
        <v>0</v>
      </c>
      <c r="H126" s="334">
        <v>0</v>
      </c>
      <c r="I126" s="334">
        <v>0</v>
      </c>
      <c r="J126" s="435">
        <v>17</v>
      </c>
      <c r="K126" s="384">
        <v>0</v>
      </c>
      <c r="L126" s="384">
        <v>0</v>
      </c>
      <c r="M126" s="384">
        <v>0</v>
      </c>
      <c r="N126" s="421">
        <f t="shared" si="10"/>
        <v>0</v>
      </c>
      <c r="O126" s="383">
        <v>0</v>
      </c>
      <c r="P126" s="384">
        <v>0</v>
      </c>
      <c r="Q126" s="384">
        <v>0</v>
      </c>
      <c r="R126" s="385">
        <f t="shared" si="23"/>
        <v>0</v>
      </c>
      <c r="S126" s="334">
        <v>6</v>
      </c>
      <c r="T126" s="342">
        <v>41035</v>
      </c>
      <c r="U126" s="355">
        <v>41045</v>
      </c>
      <c r="V126" s="438" t="s">
        <v>814</v>
      </c>
      <c r="Y126" s="344"/>
      <c r="AD126" s="343"/>
      <c r="AG126" s="344"/>
      <c r="AL126" s="343"/>
      <c r="AO126" s="344"/>
      <c r="AP126" s="343"/>
      <c r="AS126" s="344"/>
      <c r="AW126" s="344"/>
      <c r="BA126" s="345"/>
    </row>
    <row r="127" spans="1:53" s="73" customFormat="1" x14ac:dyDescent="0.15">
      <c r="A127" s="73">
        <v>2012</v>
      </c>
      <c r="B127" s="85">
        <v>41081</v>
      </c>
      <c r="C127" s="843" t="s">
        <v>189</v>
      </c>
      <c r="D127" s="843"/>
      <c r="E127" s="73">
        <v>194</v>
      </c>
      <c r="F127" s="73">
        <v>1</v>
      </c>
      <c r="G127" s="123">
        <v>13</v>
      </c>
      <c r="I127" s="73">
        <v>5</v>
      </c>
      <c r="J127" s="134">
        <v>18</v>
      </c>
      <c r="K127" s="92">
        <f t="shared" ref="K127:M129" si="30">G127/$J127*100</f>
        <v>72.222222222222214</v>
      </c>
      <c r="L127" s="92">
        <f t="shared" si="30"/>
        <v>0</v>
      </c>
      <c r="M127" s="92">
        <f t="shared" si="30"/>
        <v>27.777777777777779</v>
      </c>
      <c r="N127" s="125">
        <f t="shared" ref="N127:N135" si="31">SUM(K127:M127)</f>
        <v>100</v>
      </c>
      <c r="O127" s="91">
        <v>43</v>
      </c>
      <c r="P127" s="92"/>
      <c r="Q127" s="92">
        <v>16</v>
      </c>
      <c r="R127" s="93">
        <f t="shared" si="23"/>
        <v>59</v>
      </c>
      <c r="S127" s="73">
        <v>3</v>
      </c>
      <c r="T127" s="95">
        <v>41077</v>
      </c>
      <c r="U127" s="85">
        <v>41081</v>
      </c>
      <c r="V127" s="82" t="s">
        <v>193</v>
      </c>
      <c r="W127" s="73" t="s">
        <v>77</v>
      </c>
      <c r="X127" s="73" t="s">
        <v>11</v>
      </c>
      <c r="Y127" s="83">
        <v>43</v>
      </c>
      <c r="Z127" s="82" t="s">
        <v>194</v>
      </c>
      <c r="AA127" s="73" t="s">
        <v>20</v>
      </c>
      <c r="AB127" s="73" t="s">
        <v>12</v>
      </c>
      <c r="AC127" s="83">
        <v>11</v>
      </c>
      <c r="AD127" s="82" t="s">
        <v>197</v>
      </c>
      <c r="AE127" s="73" t="s">
        <v>116</v>
      </c>
      <c r="AF127" s="73" t="s">
        <v>12</v>
      </c>
      <c r="AG127" s="83">
        <v>5</v>
      </c>
      <c r="AL127" s="82"/>
      <c r="AO127" s="83"/>
      <c r="AP127" s="82"/>
      <c r="AS127" s="83"/>
      <c r="AW127" s="83"/>
      <c r="BA127" s="84"/>
    </row>
    <row r="128" spans="1:53" s="300" customFormat="1" x14ac:dyDescent="0.15">
      <c r="A128" s="300">
        <v>2013</v>
      </c>
      <c r="C128" s="843" t="s">
        <v>189</v>
      </c>
      <c r="D128" s="843"/>
      <c r="E128" s="300">
        <v>175</v>
      </c>
      <c r="G128" s="123">
        <v>13</v>
      </c>
      <c r="I128" s="300">
        <v>5</v>
      </c>
      <c r="J128" s="134">
        <v>18</v>
      </c>
      <c r="K128" s="92">
        <f t="shared" si="30"/>
        <v>72.222222222222214</v>
      </c>
      <c r="L128" s="92">
        <f t="shared" si="30"/>
        <v>0</v>
      </c>
      <c r="M128" s="92">
        <f t="shared" si="30"/>
        <v>27.777777777777779</v>
      </c>
      <c r="N128" s="125">
        <f t="shared" si="31"/>
        <v>100</v>
      </c>
      <c r="O128" s="91">
        <v>43</v>
      </c>
      <c r="P128" s="92"/>
      <c r="Q128" s="92">
        <v>16</v>
      </c>
      <c r="R128" s="93">
        <f t="shared" si="23"/>
        <v>59</v>
      </c>
      <c r="S128" s="300">
        <v>3</v>
      </c>
      <c r="T128" s="81"/>
      <c r="U128" s="299"/>
      <c r="V128" s="82" t="s">
        <v>193</v>
      </c>
      <c r="W128" s="300" t="s">
        <v>77</v>
      </c>
      <c r="X128" s="300" t="s">
        <v>11</v>
      </c>
      <c r="Y128" s="83">
        <v>43</v>
      </c>
      <c r="Z128" s="82" t="s">
        <v>194</v>
      </c>
      <c r="AA128" s="300" t="s">
        <v>20</v>
      </c>
      <c r="AB128" s="300" t="s">
        <v>12</v>
      </c>
      <c r="AC128" s="83">
        <v>11</v>
      </c>
      <c r="AD128" s="82" t="s">
        <v>197</v>
      </c>
      <c r="AE128" s="300" t="s">
        <v>116</v>
      </c>
      <c r="AF128" s="300" t="s">
        <v>12</v>
      </c>
      <c r="AG128" s="83">
        <v>5</v>
      </c>
      <c r="AL128" s="82"/>
      <c r="AO128" s="83"/>
      <c r="AP128" s="82"/>
      <c r="AS128" s="83"/>
      <c r="AW128" s="83"/>
      <c r="BA128" s="84"/>
    </row>
    <row r="129" spans="1:53" s="356" customFormat="1" x14ac:dyDescent="0.15">
      <c r="A129" s="356">
        <v>2013</v>
      </c>
      <c r="B129" s="397">
        <v>41450</v>
      </c>
      <c r="C129" s="812" t="s">
        <v>1290</v>
      </c>
      <c r="D129" s="812"/>
      <c r="E129" s="356">
        <f>365-E128</f>
        <v>190</v>
      </c>
      <c r="F129" s="356">
        <v>4</v>
      </c>
      <c r="G129" s="419">
        <v>16</v>
      </c>
      <c r="I129" s="356">
        <v>4</v>
      </c>
      <c r="J129" s="435">
        <v>20</v>
      </c>
      <c r="K129" s="384">
        <f t="shared" si="30"/>
        <v>80</v>
      </c>
      <c r="L129" s="384">
        <f t="shared" si="30"/>
        <v>0</v>
      </c>
      <c r="M129" s="384">
        <f t="shared" ref="M129:M135" si="32">I129/$J129*100</f>
        <v>20</v>
      </c>
      <c r="N129" s="421">
        <f t="shared" si="31"/>
        <v>100</v>
      </c>
      <c r="O129" s="383">
        <v>42</v>
      </c>
      <c r="P129" s="384"/>
      <c r="Q129" s="384">
        <v>9</v>
      </c>
      <c r="R129" s="385">
        <f t="shared" si="23"/>
        <v>51</v>
      </c>
      <c r="S129" s="356">
        <v>2</v>
      </c>
      <c r="T129" s="357"/>
      <c r="U129" s="397">
        <v>41450</v>
      </c>
      <c r="V129" s="343" t="s">
        <v>193</v>
      </c>
      <c r="W129" s="356" t="s">
        <v>77</v>
      </c>
      <c r="X129" s="356" t="s">
        <v>11</v>
      </c>
      <c r="Y129" s="344">
        <v>42</v>
      </c>
      <c r="Z129" s="356" t="s">
        <v>194</v>
      </c>
      <c r="AA129" s="356" t="s">
        <v>20</v>
      </c>
      <c r="AB129" s="356" t="s">
        <v>12</v>
      </c>
      <c r="AC129" s="356">
        <v>9</v>
      </c>
      <c r="AD129" s="343"/>
      <c r="AG129" s="344"/>
      <c r="AL129" s="343"/>
      <c r="AO129" s="344"/>
      <c r="AP129" s="343"/>
      <c r="AS129" s="344"/>
      <c r="AW129" s="344"/>
      <c r="BA129" s="345"/>
    </row>
    <row r="130" spans="1:53" s="538" customFormat="1" x14ac:dyDescent="0.15">
      <c r="A130" s="386">
        <v>2014</v>
      </c>
      <c r="B130" s="502"/>
      <c r="C130" s="812" t="s">
        <v>1290</v>
      </c>
      <c r="D130" s="812"/>
      <c r="E130" s="538">
        <v>160</v>
      </c>
      <c r="F130" s="501"/>
      <c r="G130" s="497">
        <v>16</v>
      </c>
      <c r="I130" s="538">
        <v>4</v>
      </c>
      <c r="J130" s="499">
        <v>20</v>
      </c>
      <c r="K130" s="495">
        <f t="shared" ref="K130:L135" si="33">G130/$J130*100</f>
        <v>80</v>
      </c>
      <c r="L130" s="495">
        <f t="shared" si="33"/>
        <v>0</v>
      </c>
      <c r="M130" s="495">
        <f t="shared" si="32"/>
        <v>20</v>
      </c>
      <c r="N130" s="498">
        <f t="shared" si="31"/>
        <v>100</v>
      </c>
      <c r="O130" s="494">
        <v>42</v>
      </c>
      <c r="P130" s="495"/>
      <c r="Q130" s="495">
        <v>9</v>
      </c>
      <c r="R130" s="496">
        <f t="shared" si="23"/>
        <v>51</v>
      </c>
      <c r="S130" s="538">
        <v>2</v>
      </c>
      <c r="T130" s="492"/>
      <c r="U130" s="535"/>
      <c r="V130" s="488" t="s">
        <v>193</v>
      </c>
      <c r="W130" s="538" t="s">
        <v>77</v>
      </c>
      <c r="X130" s="538" t="s">
        <v>11</v>
      </c>
      <c r="Y130" s="489">
        <v>42</v>
      </c>
      <c r="Z130" s="538" t="s">
        <v>194</v>
      </c>
      <c r="AA130" s="538" t="s">
        <v>20</v>
      </c>
      <c r="AB130" s="538" t="s">
        <v>12</v>
      </c>
      <c r="AC130" s="538">
        <v>9</v>
      </c>
      <c r="AD130" s="488"/>
      <c r="AG130" s="489"/>
      <c r="AL130" s="488"/>
      <c r="AO130" s="489"/>
      <c r="AP130" s="488"/>
      <c r="AS130" s="489"/>
      <c r="AW130" s="489"/>
      <c r="BA130" s="490"/>
    </row>
    <row r="131" spans="1:53" s="538" customFormat="1" x14ac:dyDescent="0.15">
      <c r="A131" s="386">
        <v>2014</v>
      </c>
      <c r="B131" s="502">
        <v>41800</v>
      </c>
      <c r="C131" s="812" t="s">
        <v>1290</v>
      </c>
      <c r="D131" s="812"/>
      <c r="E131" s="538">
        <v>205</v>
      </c>
      <c r="F131" s="501">
        <v>0</v>
      </c>
      <c r="G131" s="497">
        <v>16</v>
      </c>
      <c r="I131" s="538">
        <v>4</v>
      </c>
      <c r="J131" s="499">
        <v>20</v>
      </c>
      <c r="K131" s="495">
        <f t="shared" si="33"/>
        <v>80</v>
      </c>
      <c r="L131" s="495">
        <f t="shared" si="33"/>
        <v>0</v>
      </c>
      <c r="M131" s="495">
        <f t="shared" si="32"/>
        <v>20</v>
      </c>
      <c r="N131" s="498">
        <f t="shared" si="31"/>
        <v>100</v>
      </c>
      <c r="O131" s="494">
        <v>42</v>
      </c>
      <c r="P131" s="495"/>
      <c r="Q131" s="495">
        <v>9</v>
      </c>
      <c r="R131" s="496">
        <f t="shared" si="23"/>
        <v>51</v>
      </c>
      <c r="S131" s="538">
        <v>2</v>
      </c>
      <c r="T131" s="492"/>
      <c r="U131" s="535"/>
      <c r="V131" s="488" t="s">
        <v>193</v>
      </c>
      <c r="W131" s="538" t="s">
        <v>77</v>
      </c>
      <c r="X131" s="538" t="s">
        <v>11</v>
      </c>
      <c r="Y131" s="489">
        <v>42</v>
      </c>
      <c r="Z131" s="538" t="s">
        <v>194</v>
      </c>
      <c r="AA131" s="538" t="s">
        <v>20</v>
      </c>
      <c r="AB131" s="538" t="s">
        <v>12</v>
      </c>
      <c r="AC131" s="538">
        <v>9</v>
      </c>
      <c r="AD131" s="488"/>
      <c r="AG131" s="489"/>
      <c r="AL131" s="488"/>
      <c r="AO131" s="489"/>
      <c r="AP131" s="488"/>
      <c r="AS131" s="489"/>
      <c r="AW131" s="489"/>
      <c r="BA131" s="490"/>
    </row>
    <row r="132" spans="1:53" s="730" customFormat="1" x14ac:dyDescent="0.15">
      <c r="A132" s="386">
        <v>2015</v>
      </c>
      <c r="B132" s="502"/>
      <c r="C132" s="812" t="s">
        <v>1290</v>
      </c>
      <c r="D132" s="812"/>
      <c r="E132" s="730">
        <v>25</v>
      </c>
      <c r="F132" s="501"/>
      <c r="G132" s="649">
        <v>16</v>
      </c>
      <c r="I132" s="730">
        <v>4</v>
      </c>
      <c r="J132" s="651">
        <v>20</v>
      </c>
      <c r="K132" s="647">
        <f t="shared" si="33"/>
        <v>80</v>
      </c>
      <c r="L132" s="647">
        <f t="shared" si="33"/>
        <v>0</v>
      </c>
      <c r="M132" s="647">
        <f t="shared" si="32"/>
        <v>20</v>
      </c>
      <c r="N132" s="650">
        <f t="shared" si="31"/>
        <v>100</v>
      </c>
      <c r="O132" s="646">
        <v>42</v>
      </c>
      <c r="P132" s="647"/>
      <c r="Q132" s="647">
        <v>9</v>
      </c>
      <c r="R132" s="648">
        <f t="shared" ref="R132:R135" si="34">SUM(O132:Q132)</f>
        <v>51</v>
      </c>
      <c r="S132" s="730">
        <v>2</v>
      </c>
      <c r="T132" s="645"/>
      <c r="U132" s="726"/>
      <c r="V132" s="641" t="s">
        <v>193</v>
      </c>
      <c r="W132" s="730" t="s">
        <v>77</v>
      </c>
      <c r="X132" s="730" t="s">
        <v>11</v>
      </c>
      <c r="Y132" s="642">
        <v>42</v>
      </c>
      <c r="Z132" s="730" t="s">
        <v>194</v>
      </c>
      <c r="AA132" s="730" t="s">
        <v>20</v>
      </c>
      <c r="AB132" s="730" t="s">
        <v>12</v>
      </c>
      <c r="AC132" s="730">
        <v>9</v>
      </c>
      <c r="AD132" s="641"/>
      <c r="AG132" s="642"/>
      <c r="AL132" s="641"/>
      <c r="AO132" s="642"/>
      <c r="AP132" s="641"/>
      <c r="AS132" s="642"/>
      <c r="AW132" s="642"/>
      <c r="BA132" s="643"/>
    </row>
    <row r="133" spans="1:53" s="729" customFormat="1" x14ac:dyDescent="0.15">
      <c r="A133" s="729">
        <v>2015</v>
      </c>
      <c r="B133" s="725">
        <v>42030</v>
      </c>
      <c r="C133" s="843" t="s">
        <v>1341</v>
      </c>
      <c r="D133" s="843"/>
      <c r="E133" s="729">
        <v>214</v>
      </c>
      <c r="F133" s="729">
        <v>1</v>
      </c>
      <c r="G133" s="600">
        <v>1</v>
      </c>
      <c r="I133" s="729">
        <v>11</v>
      </c>
      <c r="J133" s="602">
        <v>15</v>
      </c>
      <c r="K133" s="597">
        <f t="shared" si="33"/>
        <v>6.666666666666667</v>
      </c>
      <c r="L133" s="597">
        <f t="shared" si="33"/>
        <v>0</v>
      </c>
      <c r="M133" s="597">
        <f t="shared" si="32"/>
        <v>73.333333333333329</v>
      </c>
      <c r="N133" s="601">
        <f t="shared" si="31"/>
        <v>80</v>
      </c>
      <c r="O133" s="596">
        <v>4.3</v>
      </c>
      <c r="P133" s="597"/>
      <c r="Q133" s="597">
        <v>49.7</v>
      </c>
      <c r="R133" s="598">
        <f t="shared" si="34"/>
        <v>54</v>
      </c>
      <c r="S133" s="729">
        <v>2</v>
      </c>
      <c r="T133" s="599">
        <v>42029</v>
      </c>
      <c r="U133" s="725">
        <v>42030</v>
      </c>
      <c r="V133" s="746" t="s">
        <v>195</v>
      </c>
      <c r="W133" s="729" t="s">
        <v>196</v>
      </c>
      <c r="X133" s="729" t="s">
        <v>12</v>
      </c>
      <c r="Y133" s="593">
        <v>49.7</v>
      </c>
      <c r="Z133" s="592" t="s">
        <v>1344</v>
      </c>
      <c r="AA133" s="729" t="s">
        <v>1345</v>
      </c>
      <c r="AB133" s="729" t="s">
        <v>11</v>
      </c>
      <c r="AC133" s="593">
        <v>4.3</v>
      </c>
      <c r="AD133" s="592"/>
      <c r="AG133" s="593"/>
      <c r="AL133" s="592"/>
      <c r="AO133" s="593"/>
      <c r="AP133" s="592"/>
      <c r="AS133" s="593"/>
      <c r="AW133" s="593"/>
      <c r="BA133" s="594"/>
    </row>
    <row r="134" spans="1:53" s="730" customFormat="1" x14ac:dyDescent="0.15">
      <c r="A134" s="386">
        <v>2015</v>
      </c>
      <c r="B134" s="726">
        <v>42244</v>
      </c>
      <c r="C134" s="812" t="s">
        <v>1342</v>
      </c>
      <c r="D134" s="812"/>
      <c r="E134" s="730">
        <v>26</v>
      </c>
      <c r="F134" s="776">
        <v>1</v>
      </c>
      <c r="G134" s="649">
        <v>0</v>
      </c>
      <c r="H134" s="730">
        <v>0</v>
      </c>
      <c r="I134" s="730">
        <v>0</v>
      </c>
      <c r="J134" s="651">
        <v>13</v>
      </c>
      <c r="K134" s="647">
        <f t="shared" si="33"/>
        <v>0</v>
      </c>
      <c r="L134" s="647">
        <f t="shared" si="33"/>
        <v>0</v>
      </c>
      <c r="M134" s="647">
        <f t="shared" si="32"/>
        <v>0</v>
      </c>
      <c r="N134" s="650">
        <f t="shared" si="31"/>
        <v>0</v>
      </c>
      <c r="O134" s="646">
        <v>0</v>
      </c>
      <c r="P134" s="647">
        <v>0</v>
      </c>
      <c r="Q134" s="647">
        <v>0</v>
      </c>
      <c r="R134" s="648">
        <f t="shared" si="34"/>
        <v>0</v>
      </c>
      <c r="S134" s="730">
        <v>6</v>
      </c>
      <c r="T134" s="645"/>
      <c r="U134" s="726">
        <v>42244</v>
      </c>
      <c r="V134" s="734" t="s">
        <v>814</v>
      </c>
      <c r="Y134" s="642"/>
      <c r="AD134" s="641"/>
      <c r="AG134" s="642"/>
      <c r="AL134" s="641"/>
      <c r="AO134" s="642"/>
      <c r="AP134" s="641"/>
      <c r="AS134" s="642"/>
      <c r="AW134" s="642"/>
      <c r="BA134" s="643"/>
    </row>
    <row r="135" spans="1:53" s="729" customFormat="1" x14ac:dyDescent="0.15">
      <c r="A135" s="729">
        <v>2015</v>
      </c>
      <c r="B135" s="725">
        <v>42270</v>
      </c>
      <c r="C135" s="843" t="s">
        <v>1343</v>
      </c>
      <c r="D135" s="843"/>
      <c r="E135" s="729">
        <v>100</v>
      </c>
      <c r="F135" s="729">
        <v>1</v>
      </c>
      <c r="G135" s="600">
        <v>1</v>
      </c>
      <c r="I135" s="729">
        <v>15</v>
      </c>
      <c r="J135" s="602">
        <v>18</v>
      </c>
      <c r="K135" s="597">
        <f t="shared" si="33"/>
        <v>5.5555555555555554</v>
      </c>
      <c r="L135" s="597">
        <f t="shared" si="33"/>
        <v>0</v>
      </c>
      <c r="M135" s="597">
        <f t="shared" si="32"/>
        <v>83.333333333333343</v>
      </c>
      <c r="N135" s="601">
        <f t="shared" si="31"/>
        <v>88.8888888888889</v>
      </c>
      <c r="O135" s="596">
        <v>3.3</v>
      </c>
      <c r="P135" s="597"/>
      <c r="Q135" s="597">
        <v>48.3</v>
      </c>
      <c r="R135" s="598">
        <f t="shared" si="34"/>
        <v>51.599999999999994</v>
      </c>
      <c r="S135" s="729">
        <v>2</v>
      </c>
      <c r="T135" s="599">
        <v>42267</v>
      </c>
      <c r="U135" s="725">
        <v>42270</v>
      </c>
      <c r="V135" s="592" t="s">
        <v>195</v>
      </c>
      <c r="W135" s="729" t="s">
        <v>196</v>
      </c>
      <c r="X135" s="729" t="s">
        <v>12</v>
      </c>
      <c r="Y135" s="593">
        <v>48.3</v>
      </c>
      <c r="Z135" s="592" t="s">
        <v>1344</v>
      </c>
      <c r="AA135" s="729" t="s">
        <v>1345</v>
      </c>
      <c r="AB135" s="729" t="s">
        <v>11</v>
      </c>
      <c r="AC135" s="593">
        <v>3.3</v>
      </c>
      <c r="AD135" s="592"/>
      <c r="AG135" s="593"/>
      <c r="AL135" s="592"/>
      <c r="AO135" s="593"/>
      <c r="AP135" s="592"/>
      <c r="AS135" s="593"/>
      <c r="AW135" s="593"/>
      <c r="BA135" s="594"/>
    </row>
    <row r="136" spans="1:53" x14ac:dyDescent="0.15">
      <c r="G136" s="2"/>
      <c r="H136" s="2"/>
      <c r="I136" s="2"/>
      <c r="J136" s="2"/>
      <c r="K136" s="2"/>
      <c r="L136" s="2"/>
      <c r="M136" s="2"/>
      <c r="N136" s="2"/>
    </row>
    <row r="137" spans="1:53" x14ac:dyDescent="0.15">
      <c r="G137" s="2"/>
      <c r="H137" s="2"/>
      <c r="I137" s="2"/>
      <c r="J137" s="2"/>
      <c r="K137" s="2"/>
      <c r="L137" s="2"/>
      <c r="M137" s="2"/>
      <c r="N137" s="2"/>
    </row>
    <row r="138" spans="1:53" s="2" customFormat="1" ht="18" customHeight="1" x14ac:dyDescent="0.2">
      <c r="B138" s="22" t="s">
        <v>1284</v>
      </c>
    </row>
    <row r="139" spans="1:53" s="2" customFormat="1" ht="9" customHeight="1" x14ac:dyDescent="0.15"/>
    <row r="140" spans="1:53" s="364" customFormat="1" ht="9" customHeight="1" x14ac:dyDescent="0.15">
      <c r="A140" s="362"/>
      <c r="B140" s="363" t="s">
        <v>1235</v>
      </c>
      <c r="C140" s="363"/>
      <c r="D140" s="363"/>
      <c r="E140" s="363"/>
      <c r="F140" s="363"/>
      <c r="G140" s="363" t="s">
        <v>1236</v>
      </c>
      <c r="H140" s="363"/>
      <c r="I140" s="363"/>
      <c r="J140" s="363"/>
      <c r="K140" s="363"/>
      <c r="L140" s="363"/>
      <c r="M140" s="363"/>
      <c r="N140" s="363"/>
      <c r="R140" s="802" t="s">
        <v>1237</v>
      </c>
      <c r="S140" s="802"/>
      <c r="T140" s="802"/>
      <c r="U140" s="802"/>
      <c r="V140" s="802"/>
      <c r="W140" s="802"/>
      <c r="X140" s="365"/>
      <c r="Y140" s="365"/>
      <c r="AA140" s="365"/>
      <c r="AB140" s="365"/>
      <c r="AC140" s="365"/>
      <c r="AD140" s="365"/>
    </row>
    <row r="141" spans="1:53" s="369" customFormat="1" ht="9" customHeight="1" x14ac:dyDescent="0.15">
      <c r="A141" s="366"/>
      <c r="B141" s="367" t="s">
        <v>1239</v>
      </c>
      <c r="C141" s="368"/>
      <c r="D141" s="368"/>
      <c r="E141" s="368"/>
      <c r="F141" s="368"/>
      <c r="G141" s="367" t="s">
        <v>1238</v>
      </c>
      <c r="H141" s="368"/>
      <c r="I141" s="368"/>
      <c r="J141" s="368"/>
      <c r="K141" s="368"/>
      <c r="L141" s="368"/>
      <c r="M141" s="368"/>
      <c r="N141" s="368"/>
      <c r="R141" s="370" t="s">
        <v>1240</v>
      </c>
      <c r="S141" s="371"/>
      <c r="T141" s="372"/>
      <c r="U141" s="372"/>
      <c r="V141" s="372"/>
      <c r="W141" s="370" t="s">
        <v>1241</v>
      </c>
      <c r="X141" s="372"/>
      <c r="Y141" s="372"/>
      <c r="AA141" s="372"/>
      <c r="AB141" s="372"/>
      <c r="AC141" s="372"/>
      <c r="AD141" s="372"/>
    </row>
    <row r="142" spans="1:53" s="351" customFormat="1" ht="12" customHeight="1" x14ac:dyDescent="0.15">
      <c r="A142" s="373" t="s">
        <v>3</v>
      </c>
      <c r="B142" s="374" t="s">
        <v>8</v>
      </c>
      <c r="C142" s="374" t="s">
        <v>9</v>
      </c>
      <c r="D142" s="374" t="s">
        <v>10</v>
      </c>
      <c r="E142" s="375" t="s">
        <v>1215</v>
      </c>
      <c r="F142" s="374"/>
      <c r="G142" s="351" t="s">
        <v>3</v>
      </c>
      <c r="H142" s="803" t="s">
        <v>0</v>
      </c>
      <c r="I142" s="803"/>
      <c r="J142" s="803" t="s">
        <v>1</v>
      </c>
      <c r="K142" s="803"/>
      <c r="L142" s="803" t="s">
        <v>2</v>
      </c>
      <c r="M142" s="803"/>
      <c r="N142" s="804" t="s">
        <v>1215</v>
      </c>
      <c r="O142" s="804"/>
      <c r="P142" s="376"/>
      <c r="Q142" s="376"/>
      <c r="R142" s="377" t="s">
        <v>3</v>
      </c>
      <c r="S142" s="378" t="s">
        <v>136</v>
      </c>
      <c r="T142" s="376" t="s">
        <v>134</v>
      </c>
      <c r="U142" s="374" t="s">
        <v>135</v>
      </c>
      <c r="V142" s="376"/>
      <c r="W142" s="379" t="s">
        <v>26</v>
      </c>
    </row>
    <row r="143" spans="1:53" s="273" customFormat="1" x14ac:dyDescent="0.15">
      <c r="A143" s="273">
        <v>1959</v>
      </c>
      <c r="B143" s="274">
        <f>(K6*($E6/365))+(K7*($E7/365))</f>
        <v>100</v>
      </c>
      <c r="C143" s="274">
        <f>(L6*($E6/365))+(L7*($E7/365))</f>
        <v>0</v>
      </c>
      <c r="D143" s="274">
        <f>(M6*($E6/365))+(M7*($E7/365))</f>
        <v>0</v>
      </c>
      <c r="E143" s="261">
        <f>B143+C143+D143</f>
        <v>100</v>
      </c>
      <c r="G143" s="273">
        <v>1959</v>
      </c>
      <c r="H143" s="819">
        <f>(O6/$R6*100*($E6/365))+(O7/$R7*100*($E7/365))</f>
        <v>100</v>
      </c>
      <c r="I143" s="819"/>
      <c r="J143" s="819">
        <f>(P6/$R6*100*($E6/365))+(P7/$R7*100*($E7/365))</f>
        <v>0</v>
      </c>
      <c r="K143" s="819"/>
      <c r="L143" s="819">
        <f>(Q6/$R6*100*($E6/365))+(Q7/$R7*100*($E7/365))</f>
        <v>0</v>
      </c>
      <c r="M143" s="819"/>
      <c r="N143" s="819">
        <f>H143+J143+K143</f>
        <v>100</v>
      </c>
      <c r="O143" s="819"/>
      <c r="R143" s="273">
        <v>1959</v>
      </c>
      <c r="S143" s="274">
        <f>(O6*($E6/365))+(O7*($E7/365))</f>
        <v>57</v>
      </c>
      <c r="T143" s="274">
        <f>(P6*($E6/365))+(P7*($E7/365))</f>
        <v>0</v>
      </c>
      <c r="U143" s="274">
        <f>(Q6*($E6/365))+(Q7*($E7/365))</f>
        <v>0</v>
      </c>
      <c r="W143" s="262">
        <f>S143+T143+U143</f>
        <v>57</v>
      </c>
      <c r="AD143" s="280"/>
    </row>
    <row r="144" spans="1:53" x14ac:dyDescent="0.15">
      <c r="A144" s="1">
        <v>1960</v>
      </c>
      <c r="B144" s="7">
        <f>(K8*($E8/366))+(K9*($E9/366))</f>
        <v>100</v>
      </c>
      <c r="C144" s="7">
        <f>(L8*($E8/366))+(L9*($E9/366))</f>
        <v>0</v>
      </c>
      <c r="D144" s="7">
        <f>(M8*($E8/366))+(M9*($E9/366))</f>
        <v>0</v>
      </c>
      <c r="E144" s="43">
        <f t="shared" ref="E144:E151" si="35">SUM(B144:D144)</f>
        <v>100</v>
      </c>
      <c r="G144" s="1">
        <v>1960</v>
      </c>
      <c r="H144" s="809">
        <f>(O8/$R8*100*($E8/366))+(O9/$R9*100*($E9/366))</f>
        <v>100</v>
      </c>
      <c r="I144" s="809"/>
      <c r="J144" s="809">
        <f>(P8/$R8*100*($E8/366))+(P9/$R9*100*($E9/366))</f>
        <v>0</v>
      </c>
      <c r="K144" s="809"/>
      <c r="L144" s="809">
        <f>(Q8/$R8*100*($E8/366))+(Q9/$R9*100*($E9/366))</f>
        <v>0</v>
      </c>
      <c r="M144" s="809"/>
      <c r="N144" s="851">
        <f>SUM(H144:M144)</f>
        <v>100</v>
      </c>
      <c r="O144" s="851"/>
      <c r="R144" s="1">
        <v>1960</v>
      </c>
      <c r="S144" s="7">
        <f>(O8*($E8/366))+(O9*($E9/366))</f>
        <v>57</v>
      </c>
      <c r="T144" s="7">
        <f>(P8*($E8/366))+(P9*($E9/366))</f>
        <v>0</v>
      </c>
      <c r="U144" s="7">
        <f>(Q8*($E8/366))+(Q9*($E9/366))</f>
        <v>0</v>
      </c>
      <c r="W144" s="5">
        <f>SUM(S144:U144)</f>
        <v>57</v>
      </c>
      <c r="AD144" s="37"/>
    </row>
    <row r="145" spans="1:30" x14ac:dyDescent="0.15">
      <c r="A145" s="1">
        <v>1961</v>
      </c>
      <c r="B145" s="8">
        <f>(K10*($E10/365))+(K11*($E11/365))+(K12*($E12/365))</f>
        <v>87.945205479452056</v>
      </c>
      <c r="C145" s="8">
        <f>(L10*($E10/365))+(L11*($E11/365))+(L12*($E12/365))</f>
        <v>0</v>
      </c>
      <c r="D145" s="8">
        <f>(M10*($E10/365))+(M11*($E11/365))+(M12*($E12/365))</f>
        <v>0</v>
      </c>
      <c r="E145" s="43">
        <f t="shared" si="35"/>
        <v>87.945205479452056</v>
      </c>
      <c r="G145" s="1">
        <v>1961</v>
      </c>
      <c r="H145" s="809">
        <f>(O10/$R10*100*($E10/365))+(O12/$R12*100*($E12/365))</f>
        <v>87.945205479452056</v>
      </c>
      <c r="I145" s="809"/>
      <c r="J145" s="809">
        <f>(P10/$R10*100*($E10/365))+(P12/$R12*100*($E12/365))</f>
        <v>0</v>
      </c>
      <c r="K145" s="809"/>
      <c r="L145" s="809">
        <f>(Q10/$R10*100*($E10/365))+(Q12/$R12*100*($E12/365))</f>
        <v>0</v>
      </c>
      <c r="M145" s="809"/>
      <c r="N145" s="851">
        <f t="shared" ref="N145:N150" si="36">SUM(H145:M145)</f>
        <v>87.945205479452056</v>
      </c>
      <c r="O145" s="851"/>
      <c r="R145" s="1">
        <v>1961</v>
      </c>
      <c r="S145" s="8">
        <f>(O10*($E10/365))+(O11*($E11/365))+(O12*($E12/365))</f>
        <v>50.39890410958904</v>
      </c>
      <c r="T145" s="8">
        <f>(P10*($E10/365))+(P11*($E11/365))+(P12*($E12/365))</f>
        <v>0</v>
      </c>
      <c r="U145" s="8">
        <f>(Q10*($E10/365))+(Q11*($E11/365))+(Q12*($E12/365))</f>
        <v>0</v>
      </c>
      <c r="W145" s="5">
        <f t="shared" ref="W145:W151" si="37">SUM(S145:U145)</f>
        <v>50.39890410958904</v>
      </c>
      <c r="AD145" s="37"/>
    </row>
    <row r="146" spans="1:30" x14ac:dyDescent="0.15">
      <c r="A146" s="1">
        <v>1962</v>
      </c>
      <c r="B146" s="8">
        <f>(K13*($E13/365))+(K14*($E14/365))</f>
        <v>100</v>
      </c>
      <c r="C146" s="8">
        <f>(L13*($E13/365))+(L14*($E14/365))</f>
        <v>0</v>
      </c>
      <c r="D146" s="8">
        <f>(M13*($E13/365))+(M14*($E14/365))</f>
        <v>0</v>
      </c>
      <c r="E146" s="43">
        <f t="shared" si="35"/>
        <v>100</v>
      </c>
      <c r="G146" s="1">
        <v>1962</v>
      </c>
      <c r="H146" s="809">
        <f>(O13/$R13*100*($E13/365))+(O14/$R14*100*($E14/365))</f>
        <v>100</v>
      </c>
      <c r="I146" s="809"/>
      <c r="J146" s="809">
        <f>(P13/$R13*100*($E13/365))+(P14/$R14*100*($E14/365))</f>
        <v>0</v>
      </c>
      <c r="K146" s="809"/>
      <c r="L146" s="809">
        <f>(Q13/$R13*100*($E13/365))+(Q14/$R14*100*($E14/365))</f>
        <v>0</v>
      </c>
      <c r="M146" s="809"/>
      <c r="N146" s="851">
        <f t="shared" si="36"/>
        <v>100</v>
      </c>
      <c r="O146" s="851"/>
      <c r="R146" s="1">
        <v>1962</v>
      </c>
      <c r="S146" s="8">
        <f>(O13*($E13/365))+(O14*($E14/365))</f>
        <v>58.7</v>
      </c>
      <c r="T146" s="8">
        <f>(P13*($E13/365))+(P14*($E14/365))</f>
        <v>0</v>
      </c>
      <c r="U146" s="8">
        <f>(Q13*($E13/365))+(Q14*($E14/365))</f>
        <v>0</v>
      </c>
      <c r="W146" s="5">
        <f t="shared" si="37"/>
        <v>58.7</v>
      </c>
      <c r="AD146" s="37"/>
    </row>
    <row r="147" spans="1:30" x14ac:dyDescent="0.15">
      <c r="A147" s="1">
        <v>1963</v>
      </c>
      <c r="B147" s="8">
        <f>(K15*($E15/365))+(K16*($E16/365))+(K17*($E17/365))+(K18*($E18/365))+(K19*($E19/365))</f>
        <v>60.821917808219176</v>
      </c>
      <c r="C147" s="8">
        <f>(L15*($E15/365))+(L16*($E16/365))+(L17*($E17/365))+(L18*($E18/365))+(L19*($E19/365))</f>
        <v>0</v>
      </c>
      <c r="D147" s="8">
        <f>(M15*($E15/365))+(M16*($E16/365))+(M17*($E17/365))+(M18*($E18/365))+(M19*($E19/365))</f>
        <v>0</v>
      </c>
      <c r="E147" s="43">
        <f t="shared" si="35"/>
        <v>60.821917808219176</v>
      </c>
      <c r="G147" s="1">
        <v>1963</v>
      </c>
      <c r="H147" s="809">
        <f>(O15/$R15*100*($E15/365))+(O18/$R18*100*($E18/365))</f>
        <v>60.821917808219176</v>
      </c>
      <c r="I147" s="809"/>
      <c r="J147" s="809">
        <f>(P15/$R15*100*($E15/365))+(P18/$R18*100*($E18/365))</f>
        <v>0</v>
      </c>
      <c r="K147" s="809"/>
      <c r="L147" s="809">
        <f>(Q15/$R15*100*($E15/365))+(Q18/$R18*100*($E18/365))</f>
        <v>0</v>
      </c>
      <c r="M147" s="809"/>
      <c r="N147" s="851">
        <f t="shared" si="36"/>
        <v>60.821917808219176</v>
      </c>
      <c r="O147" s="851"/>
      <c r="R147" s="1">
        <v>1963</v>
      </c>
      <c r="S147" s="8">
        <f>(O15*($E15/365))+(O16*($E16/365))+(O17*($E17/365))+(O18*($E18/365))+(O19*($E19/365))</f>
        <v>33.858356164383558</v>
      </c>
      <c r="T147" s="8">
        <f>(P15*($E15/365))+(P16*($E16/365))+(P17*($E17/365))+(P18*($E18/365))+(P19*($E19/365))</f>
        <v>0</v>
      </c>
      <c r="U147" s="8">
        <f>(Q15*($E15/365))+(Q16*($E16/365))+(Q17*($E17/365))+(Q18*($E18/365))+(Q19*($E19/365))</f>
        <v>0</v>
      </c>
      <c r="W147" s="5">
        <f t="shared" si="37"/>
        <v>33.858356164383558</v>
      </c>
      <c r="AD147" s="37"/>
    </row>
    <row r="148" spans="1:30" x14ac:dyDescent="0.15">
      <c r="A148" s="1">
        <v>1964</v>
      </c>
      <c r="B148" s="8">
        <f>(K20*($E20/366))+(K21*($E21/366))</f>
        <v>86.612021857923494</v>
      </c>
      <c r="C148" s="8">
        <f>(L20*($E20/366))+(L21*($E21/366))</f>
        <v>0</v>
      </c>
      <c r="D148" s="8">
        <f>(M20*($E20/366))+(M21*($E21/366))</f>
        <v>0</v>
      </c>
      <c r="E148" s="43">
        <f t="shared" si="35"/>
        <v>86.612021857923494</v>
      </c>
      <c r="G148" s="1">
        <v>1964</v>
      </c>
      <c r="H148" s="809">
        <f>(O21/$R21*100*($E21/366))</f>
        <v>86.612021857923494</v>
      </c>
      <c r="I148" s="809"/>
      <c r="J148" s="809">
        <f>(P21/$R21*100*($E21/366))</f>
        <v>0</v>
      </c>
      <c r="K148" s="809"/>
      <c r="L148" s="809">
        <f>(Q21/$R21*100*($E21/366))</f>
        <v>0</v>
      </c>
      <c r="M148" s="809"/>
      <c r="N148" s="851">
        <f t="shared" si="36"/>
        <v>86.612021857923494</v>
      </c>
      <c r="O148" s="851"/>
      <c r="R148" s="1">
        <v>1964</v>
      </c>
      <c r="S148" s="8">
        <f>(O20*($E20/366))+(O21*($E21/366))</f>
        <v>49.368852459016388</v>
      </c>
      <c r="T148" s="8">
        <f>(P20*($E20/366))+(P21*($E21/366))</f>
        <v>0</v>
      </c>
      <c r="U148" s="8">
        <f>(Q20*($E20/366))+(Q21*($E21/366))</f>
        <v>0</v>
      </c>
      <c r="W148" s="5">
        <f t="shared" si="37"/>
        <v>49.368852459016388</v>
      </c>
      <c r="AD148" s="37"/>
    </row>
    <row r="149" spans="1:30" x14ac:dyDescent="0.15">
      <c r="A149" s="1">
        <v>1965</v>
      </c>
      <c r="B149" s="8">
        <f>(K22*($E22/365))+(K23*($E23/365))+(K24*($E24/365))+(K25*($E25/365))</f>
        <v>100</v>
      </c>
      <c r="C149" s="8">
        <f>(L22*($E22/365))+(L23*($E23/365))+(L24*($E24/365))+(L25*($E25/365))</f>
        <v>0</v>
      </c>
      <c r="D149" s="8">
        <f>(M22*($E22/365))+(M23*($E23/365))+(M24*($E24/365))+(M25*($E25/365))</f>
        <v>0</v>
      </c>
      <c r="E149" s="43">
        <f t="shared" si="35"/>
        <v>100</v>
      </c>
      <c r="G149" s="1">
        <v>1965</v>
      </c>
      <c r="H149" s="809">
        <f>(O22/$R22*100*($E22/365))+(O23/$R23*100*($E23/365))</f>
        <v>63.287671232876711</v>
      </c>
      <c r="I149" s="809"/>
      <c r="J149" s="809">
        <f>(P22/$R22*100*($E22/365))+(P23/$R23*100*($E23/365))</f>
        <v>0</v>
      </c>
      <c r="K149" s="809"/>
      <c r="L149" s="809">
        <f>(Q22/$R22*100*($E22/365))+(Q23/$R23*100*($E23/365))</f>
        <v>0</v>
      </c>
      <c r="M149" s="809"/>
      <c r="N149" s="851">
        <f t="shared" si="36"/>
        <v>63.287671232876711</v>
      </c>
      <c r="O149" s="851"/>
      <c r="R149" s="1">
        <v>1965</v>
      </c>
      <c r="S149" s="8">
        <f>(O22*($E22/365))+(O23*($E23/365))+(O24*($E24/365))+(O25*($E25/365))</f>
        <v>51.718356164383565</v>
      </c>
      <c r="T149" s="8">
        <f>(P22*($E22/365))+(P23*($E23/365))+(P24*($E24/365))+(P25*($E25/365))</f>
        <v>0</v>
      </c>
      <c r="U149" s="8">
        <f>(Q22*($E22/365))+(Q23*($E23/365))+(Q24*($E24/365))+(Q25*($E25/365))</f>
        <v>0</v>
      </c>
      <c r="W149" s="5">
        <f t="shared" si="37"/>
        <v>51.718356164383565</v>
      </c>
      <c r="AD149" s="37"/>
    </row>
    <row r="150" spans="1:30" x14ac:dyDescent="0.15">
      <c r="A150" s="1">
        <v>1966</v>
      </c>
      <c r="B150" s="8">
        <f>(K26*($E26/365))+(K27*($E27/365))</f>
        <v>97.260273972602747</v>
      </c>
      <c r="C150" s="8">
        <f>(L26*($E26/365))+(L27*($E27/365))</f>
        <v>0</v>
      </c>
      <c r="D150" s="8">
        <f>(M26*($E26/365))+(M27*($E27/365))</f>
        <v>0</v>
      </c>
      <c r="E150" s="43">
        <f t="shared" si="35"/>
        <v>97.260273972602747</v>
      </c>
      <c r="G150" s="1">
        <v>1966</v>
      </c>
      <c r="H150" s="809">
        <f>(O26/$R26*100*($E26/365))</f>
        <v>97.260273972602747</v>
      </c>
      <c r="I150" s="809"/>
      <c r="J150" s="809">
        <f>(P26/$R26*100*($E26/365))</f>
        <v>0</v>
      </c>
      <c r="K150" s="809"/>
      <c r="L150" s="809">
        <f>(Q26/$R26*100*($E26/365))</f>
        <v>0</v>
      </c>
      <c r="M150" s="809"/>
      <c r="N150" s="851">
        <f t="shared" si="36"/>
        <v>97.260273972602747</v>
      </c>
      <c r="O150" s="851"/>
      <c r="R150" s="1">
        <v>1966</v>
      </c>
      <c r="S150" s="8">
        <f>(O26*($E26/365))+(O27*($E27/365))</f>
        <v>49.31095890410959</v>
      </c>
      <c r="T150" s="8">
        <f>(P26*($E26/365))+(P27*($E27/365))</f>
        <v>0</v>
      </c>
      <c r="U150" s="8">
        <f>(Q26*($E26/365))+(Q27*($E27/365))</f>
        <v>0</v>
      </c>
      <c r="W150" s="5">
        <f t="shared" si="37"/>
        <v>49.31095890410959</v>
      </c>
      <c r="AD150" s="37"/>
    </row>
    <row r="151" spans="1:30" x14ac:dyDescent="0.15">
      <c r="A151" s="1">
        <v>1967</v>
      </c>
      <c r="B151" s="8">
        <f>(K28*($E28/(110))+(K29*($E29/110)))</f>
        <v>16.363636363636363</v>
      </c>
      <c r="C151" s="8">
        <f>(L28*($E28/(110))+(L29*($E29/110)))</f>
        <v>0</v>
      </c>
      <c r="D151" s="8">
        <f>(M28*($E28/(110))+(M29*($E29/110)))</f>
        <v>0</v>
      </c>
      <c r="E151" s="235">
        <f t="shared" si="35"/>
        <v>16.363636363636363</v>
      </c>
      <c r="G151" s="1">
        <v>1967</v>
      </c>
      <c r="H151" s="809">
        <f>(O29/$R29*100*($E29/365))</f>
        <v>4.9315068493150687</v>
      </c>
      <c r="I151" s="809"/>
      <c r="J151" s="809">
        <f>(P29/$R29*100*($E29/365))</f>
        <v>0</v>
      </c>
      <c r="K151" s="809"/>
      <c r="L151" s="809">
        <f>(Q29/$R29*100*($E29/365))</f>
        <v>0</v>
      </c>
      <c r="M151" s="809"/>
      <c r="N151" s="850">
        <f>H151+J151+L151</f>
        <v>4.9315068493150687</v>
      </c>
      <c r="O151" s="850"/>
      <c r="R151" s="1">
        <v>1967</v>
      </c>
      <c r="S151" s="8">
        <f>(O28*($E28/(110))+(O29*($E29/110)))</f>
        <v>5.4490909090909083</v>
      </c>
      <c r="T151" s="8">
        <f>(P28*($E28/(110))+(P29*($E29/110)))</f>
        <v>0</v>
      </c>
      <c r="U151" s="8">
        <f>(Q28*($E28/(110))+(Q29*($E29/110)))</f>
        <v>0</v>
      </c>
      <c r="W151" s="5">
        <f t="shared" si="37"/>
        <v>5.4490909090909083</v>
      </c>
      <c r="AD151" s="37"/>
    </row>
    <row r="152" spans="1:30" x14ac:dyDescent="0.15">
      <c r="A152" s="1">
        <v>1968</v>
      </c>
      <c r="C152" s="6"/>
      <c r="D152" s="6"/>
      <c r="E152" s="6"/>
      <c r="F152" s="2"/>
      <c r="G152" s="1">
        <v>1968</v>
      </c>
      <c r="H152" s="848"/>
      <c r="I152" s="848"/>
      <c r="J152" s="822"/>
      <c r="K152" s="822"/>
      <c r="L152" s="809"/>
      <c r="M152" s="809"/>
      <c r="N152" s="850"/>
      <c r="O152" s="850"/>
      <c r="R152" s="1">
        <v>1968</v>
      </c>
      <c r="AD152" s="37"/>
    </row>
    <row r="153" spans="1:30" x14ac:dyDescent="0.15">
      <c r="A153" s="1">
        <v>1969</v>
      </c>
      <c r="B153" s="6"/>
      <c r="C153" s="6"/>
      <c r="D153" s="6"/>
      <c r="E153" s="6"/>
      <c r="F153" s="2"/>
      <c r="G153" s="1">
        <v>1969</v>
      </c>
      <c r="H153" s="809"/>
      <c r="I153" s="809"/>
      <c r="J153" s="822"/>
      <c r="K153" s="822"/>
      <c r="L153" s="809"/>
      <c r="M153" s="809"/>
      <c r="N153" s="850"/>
      <c r="O153" s="850"/>
      <c r="R153" s="1">
        <v>1969</v>
      </c>
      <c r="AD153" s="37"/>
    </row>
    <row r="154" spans="1:30" x14ac:dyDescent="0.15">
      <c r="A154" s="1">
        <v>1970</v>
      </c>
      <c r="B154" s="6"/>
      <c r="C154" s="6"/>
      <c r="D154" s="6"/>
      <c r="E154" s="6"/>
      <c r="F154" s="2"/>
      <c r="G154" s="1">
        <v>1970</v>
      </c>
      <c r="H154" s="809"/>
      <c r="I154" s="809"/>
      <c r="J154" s="822"/>
      <c r="K154" s="822"/>
      <c r="L154" s="809"/>
      <c r="M154" s="809"/>
      <c r="N154" s="850"/>
      <c r="O154" s="850"/>
      <c r="R154" s="1">
        <v>1970</v>
      </c>
      <c r="AD154" s="37"/>
    </row>
    <row r="155" spans="1:30" x14ac:dyDescent="0.15">
      <c r="A155" s="1">
        <v>1971</v>
      </c>
      <c r="B155" s="6"/>
      <c r="C155" s="6"/>
      <c r="D155" s="6"/>
      <c r="E155" s="6"/>
      <c r="F155" s="2"/>
      <c r="G155" s="1">
        <v>1971</v>
      </c>
      <c r="H155" s="809"/>
      <c r="I155" s="809"/>
      <c r="J155" s="822"/>
      <c r="K155" s="822"/>
      <c r="L155" s="809"/>
      <c r="M155" s="809"/>
      <c r="N155" s="850"/>
      <c r="O155" s="850"/>
      <c r="R155" s="1">
        <v>1971</v>
      </c>
      <c r="AD155" s="37"/>
    </row>
    <row r="156" spans="1:30" x14ac:dyDescent="0.15">
      <c r="A156" s="1">
        <v>1972</v>
      </c>
      <c r="B156" s="6"/>
      <c r="C156" s="6"/>
      <c r="D156" s="6"/>
      <c r="E156" s="6"/>
      <c r="F156" s="2"/>
      <c r="G156" s="1">
        <v>1972</v>
      </c>
      <c r="H156" s="809"/>
      <c r="I156" s="809"/>
      <c r="J156" s="822"/>
      <c r="K156" s="822"/>
      <c r="L156" s="809"/>
      <c r="M156" s="809"/>
      <c r="N156" s="850"/>
      <c r="O156" s="850"/>
      <c r="R156" s="1">
        <v>1972</v>
      </c>
      <c r="AD156" s="37"/>
    </row>
    <row r="157" spans="1:30" x14ac:dyDescent="0.15">
      <c r="A157" s="1">
        <v>1973</v>
      </c>
      <c r="B157" s="6"/>
      <c r="C157" s="6"/>
      <c r="D157" s="6"/>
      <c r="E157" s="6"/>
      <c r="F157" s="2"/>
      <c r="G157" s="1">
        <v>1973</v>
      </c>
      <c r="H157" s="809"/>
      <c r="I157" s="809"/>
      <c r="J157" s="809"/>
      <c r="K157" s="809"/>
      <c r="L157" s="809"/>
      <c r="M157" s="809"/>
      <c r="N157" s="850"/>
      <c r="O157" s="850"/>
      <c r="R157" s="1">
        <v>1973</v>
      </c>
      <c r="AD157" s="37"/>
    </row>
    <row r="158" spans="1:30" s="15" customFormat="1" x14ac:dyDescent="0.15">
      <c r="A158" s="15">
        <v>1974</v>
      </c>
      <c r="B158" s="46">
        <f>(K44*($E44/159))+(K45*($E45/159))</f>
        <v>72.426348891095657</v>
      </c>
      <c r="C158" s="46">
        <f>(L44*($E44/159))+(L45*($E45/159))</f>
        <v>0</v>
      </c>
      <c r="D158" s="46">
        <f>(M44*($E44/159))+(M45*($E45/159))</f>
        <v>0</v>
      </c>
      <c r="E158" s="47">
        <f>SUM(B158:D158)</f>
        <v>72.426348891095657</v>
      </c>
      <c r="G158" s="15">
        <v>1974</v>
      </c>
      <c r="H158" s="847">
        <f>(O45/$R45*100*($E45/159))</f>
        <v>25.157232704402517</v>
      </c>
      <c r="I158" s="847"/>
      <c r="J158" s="847">
        <f>(P45/$R45*100*($E45/159))</f>
        <v>0</v>
      </c>
      <c r="K158" s="847"/>
      <c r="L158" s="847">
        <f>(Q45/$R45*100*($E45/159))</f>
        <v>0</v>
      </c>
      <c r="M158" s="847"/>
      <c r="N158" s="849">
        <f>SUM(H158:M158)</f>
        <v>25.157232704402517</v>
      </c>
      <c r="O158" s="849"/>
      <c r="R158" s="15">
        <v>1974</v>
      </c>
      <c r="S158" s="46">
        <f>(O45*($E45/159))</f>
        <v>18.440251572327043</v>
      </c>
      <c r="T158" s="46">
        <f>(P45*($E45/159))</f>
        <v>0</v>
      </c>
      <c r="U158" s="46">
        <f>(Q45*($E45/159))</f>
        <v>0</v>
      </c>
      <c r="V158" s="46"/>
      <c r="W158" s="46">
        <f>SUM(S158:U158)</f>
        <v>18.440251572327043</v>
      </c>
      <c r="Y158" s="231" t="s">
        <v>1233</v>
      </c>
    </row>
    <row r="159" spans="1:30" x14ac:dyDescent="0.15">
      <c r="A159" s="1">
        <v>1975</v>
      </c>
      <c r="B159" s="7">
        <f>(K46*($E46/365))+(K47*($E47/365))</f>
        <v>100</v>
      </c>
      <c r="C159" s="7">
        <f>(L46*($E46/365))+(L47*($E47/365))</f>
        <v>0</v>
      </c>
      <c r="D159" s="7">
        <f>(M46*($E46/365))+(M47*($E47/365))</f>
        <v>0</v>
      </c>
      <c r="E159" s="42">
        <f>SUM(B159:D159)</f>
        <v>100</v>
      </c>
      <c r="G159" s="1">
        <v>1975</v>
      </c>
      <c r="H159" s="823">
        <f>(O46/$R46*100*($E46/365))+(O47/$R47*100*($E47/365))</f>
        <v>100</v>
      </c>
      <c r="I159" s="823"/>
      <c r="J159" s="823">
        <f>(P46/$R46*100*($E46/365))+(P47/$R47*100*($E47/365))</f>
        <v>0</v>
      </c>
      <c r="K159" s="823"/>
      <c r="L159" s="823">
        <f>(Q46/$R46*100*($E46/365))+(Q47/$R47*100*($E47/365))</f>
        <v>0</v>
      </c>
      <c r="M159" s="823"/>
      <c r="N159" s="781">
        <f>SUM(H159:M159)</f>
        <v>100</v>
      </c>
      <c r="O159" s="781"/>
      <c r="R159" s="1">
        <v>1975</v>
      </c>
      <c r="S159" s="7">
        <f>(O46*($E46/365))+(O47*($E47/365))</f>
        <v>73.3</v>
      </c>
      <c r="T159" s="7">
        <f>(P46*($E46/365))+(P47*($E47/365))</f>
        <v>0</v>
      </c>
      <c r="U159" s="7">
        <f>(Q46*($E46/365))+(Q47*($E47/365))</f>
        <v>0</v>
      </c>
      <c r="V159" s="12"/>
      <c r="W159" s="7">
        <f>SUM(S159:U159)</f>
        <v>73.3</v>
      </c>
    </row>
    <row r="160" spans="1:30" x14ac:dyDescent="0.15">
      <c r="A160" s="1">
        <v>1976</v>
      </c>
      <c r="B160" s="7">
        <f>(K48*($E48/366))+(K49*($E49/366))</f>
        <v>100</v>
      </c>
      <c r="C160" s="7">
        <f>(L48*($E48/366))+(L49*($E49/366))</f>
        <v>0</v>
      </c>
      <c r="D160" s="7">
        <f>(M48*($E48/366))+(M49*($E49/366))</f>
        <v>0</v>
      </c>
      <c r="E160" s="42">
        <f t="shared" ref="E160:E197" si="38">SUM(B160:D160)</f>
        <v>100</v>
      </c>
      <c r="G160" s="1">
        <v>1976</v>
      </c>
      <c r="H160" s="823">
        <f>(O48/$R48*100*($E48/366))+(O49/$R49*100*($E49/366))</f>
        <v>100</v>
      </c>
      <c r="I160" s="823"/>
      <c r="J160" s="823">
        <f>(P48/$R48*100*($E48/366))+(P49/$R49*100*($E49/366))</f>
        <v>0</v>
      </c>
      <c r="K160" s="823"/>
      <c r="L160" s="823">
        <f>(Q48/$R48*100*($E48/366))+(Q49/$R49*100*($E49/366))</f>
        <v>0</v>
      </c>
      <c r="M160" s="823"/>
      <c r="N160" s="781">
        <f t="shared" ref="N160:N196" si="39">SUM(H160:M160)</f>
        <v>100</v>
      </c>
      <c r="O160" s="781"/>
      <c r="R160" s="1">
        <v>1976</v>
      </c>
      <c r="S160" s="7">
        <f>(O48*($E48/366))+(O49*($E49/366))</f>
        <v>73.3</v>
      </c>
      <c r="T160" s="7">
        <f>(P48*($E48/366))+(P49*($E49/366))</f>
        <v>0</v>
      </c>
      <c r="U160" s="7">
        <f>(Q48*($E48/366))+(Q49*($E49/366))</f>
        <v>0</v>
      </c>
      <c r="V160" s="12"/>
      <c r="W160" s="7">
        <f t="shared" ref="W160:W197" si="40">SUM(S160:U160)</f>
        <v>73.3</v>
      </c>
    </row>
    <row r="161" spans="1:23" x14ac:dyDescent="0.15">
      <c r="A161" s="1">
        <v>1977</v>
      </c>
      <c r="B161" s="7">
        <f>(K50*($E50/365))+(K51*($E51/365))</f>
        <v>99.576587795765889</v>
      </c>
      <c r="C161" s="7">
        <f>(L50*($E50/365))+(L51*($E51/365))</f>
        <v>0</v>
      </c>
      <c r="D161" s="7">
        <f>(M50*($E50/365))+(M51*($E51/365))</f>
        <v>0</v>
      </c>
      <c r="E161" s="42">
        <f t="shared" si="38"/>
        <v>99.576587795765889</v>
      </c>
      <c r="G161" s="1">
        <v>1977</v>
      </c>
      <c r="H161" s="823">
        <f>(O50/$R50*100*($E50/365))+(O51/$R51*100*($E51/365))</f>
        <v>100.00000000000001</v>
      </c>
      <c r="I161" s="823"/>
      <c r="J161" s="823">
        <f>(P50/$R50*100*($E50/365))+(P51/$R51*100*($E51/365))</f>
        <v>0</v>
      </c>
      <c r="K161" s="823"/>
      <c r="L161" s="823">
        <f>(Q50/$R50*100*($E50/365))+(Q51/$R51*100*($E51/365))</f>
        <v>0</v>
      </c>
      <c r="M161" s="823"/>
      <c r="N161" s="781">
        <f t="shared" si="39"/>
        <v>100.00000000000001</v>
      </c>
      <c r="O161" s="781"/>
      <c r="R161" s="1">
        <v>1977</v>
      </c>
      <c r="S161" s="7">
        <f>(O50*($E50/365))+(O51*($E51/365))</f>
        <v>71.781643835616435</v>
      </c>
      <c r="T161" s="7">
        <f>(P50*($E50/365))+(P51*($E51/365))</f>
        <v>0</v>
      </c>
      <c r="U161" s="7">
        <f>(Q50*($E50/365))+(Q51*($E51/365))</f>
        <v>0</v>
      </c>
      <c r="V161" s="12"/>
      <c r="W161" s="7">
        <f t="shared" si="40"/>
        <v>71.781643835616435</v>
      </c>
    </row>
    <row r="162" spans="1:23" x14ac:dyDescent="0.15">
      <c r="A162" s="1">
        <v>1978</v>
      </c>
      <c r="B162" s="7">
        <f>(K52*($E52/365))+(K53*($E53/365))</f>
        <v>95.454545454545453</v>
      </c>
      <c r="C162" s="7">
        <f>(L52*($E52/365))+(L53*($E53/365))</f>
        <v>0</v>
      </c>
      <c r="D162" s="7">
        <f>(M52*($E52/365))+(M53*($E53/365))</f>
        <v>0</v>
      </c>
      <c r="E162" s="42">
        <f t="shared" si="38"/>
        <v>95.454545454545453</v>
      </c>
      <c r="G162" s="1">
        <v>1978</v>
      </c>
      <c r="H162" s="823">
        <f>(O52/$R52*100*($E52/365))+(O53/$R53*100*($E53/365))</f>
        <v>100</v>
      </c>
      <c r="I162" s="823"/>
      <c r="J162" s="823">
        <f>(P52/$R52*100*($E52/365))+(P53/$R53*100*($E53/365))</f>
        <v>0</v>
      </c>
      <c r="K162" s="823"/>
      <c r="L162" s="823">
        <f>(Q52/$R52*100*($E52/365))+(Q53/$R53*100*($E53/365))</f>
        <v>0</v>
      </c>
      <c r="M162" s="823"/>
      <c r="N162" s="781">
        <f t="shared" si="39"/>
        <v>100</v>
      </c>
      <c r="O162" s="781"/>
      <c r="R162" s="1">
        <v>1978</v>
      </c>
      <c r="S162" s="7">
        <f>(O52*($E52/365))+(O53*($E53/365))</f>
        <v>57</v>
      </c>
      <c r="T162" s="7">
        <f>(P52*($E52/365))+(P53*($E53/365))</f>
        <v>0</v>
      </c>
      <c r="U162" s="7">
        <f>(Q52*($E52/365))+(Q53*($E53/365))</f>
        <v>0</v>
      </c>
      <c r="V162" s="12"/>
      <c r="W162" s="7">
        <f t="shared" si="40"/>
        <v>57</v>
      </c>
    </row>
    <row r="163" spans="1:23" x14ac:dyDescent="0.15">
      <c r="A163" s="1">
        <v>1979</v>
      </c>
      <c r="B163" s="7">
        <f>(K54*($E54/365))+(K55*($E55/365))</f>
        <v>95.454545454545453</v>
      </c>
      <c r="C163" s="7">
        <f>(L54*($E54/365))+(L55*($E55/365))</f>
        <v>0</v>
      </c>
      <c r="D163" s="7">
        <f>(M54*($E54/365))+(M55*($E55/365))</f>
        <v>0</v>
      </c>
      <c r="E163" s="42">
        <f t="shared" si="38"/>
        <v>95.454545454545453</v>
      </c>
      <c r="G163" s="1">
        <v>1979</v>
      </c>
      <c r="H163" s="823">
        <f>(O54/$R54*100*($E54/365))+(O55/$R55*100*($E55/365))</f>
        <v>100</v>
      </c>
      <c r="I163" s="823"/>
      <c r="J163" s="823">
        <f>(P54/$R54*100*($E54/365))+(P55/$R55*100*($E55/365))</f>
        <v>0</v>
      </c>
      <c r="K163" s="823"/>
      <c r="L163" s="823">
        <f>(Q54/$R54*100*($E54/365))+(Q55/$R55*100*($E55/365))</f>
        <v>0</v>
      </c>
      <c r="M163" s="823"/>
      <c r="N163" s="781">
        <f t="shared" si="39"/>
        <v>100</v>
      </c>
      <c r="O163" s="781"/>
      <c r="R163" s="1">
        <v>1979</v>
      </c>
      <c r="S163" s="7">
        <f>(O54*($E54/365))+(O55*($E55/365))</f>
        <v>57</v>
      </c>
      <c r="T163" s="7">
        <f>(P54*($E54/365))+(P55*($E55/365))</f>
        <v>0</v>
      </c>
      <c r="U163" s="7">
        <f>(Q54*($E54/365))+(Q55*($E55/365))</f>
        <v>0</v>
      </c>
      <c r="V163" s="12"/>
      <c r="W163" s="7">
        <f t="shared" si="40"/>
        <v>57</v>
      </c>
    </row>
    <row r="164" spans="1:23" x14ac:dyDescent="0.15">
      <c r="A164" s="1">
        <v>1980</v>
      </c>
      <c r="B164" s="7">
        <f>(K56*($E56/366))+(K57*($E57/366))</f>
        <v>93.001738698460002</v>
      </c>
      <c r="C164" s="7">
        <f>(L56*($E56/366))+(L57*($E57/366))</f>
        <v>0</v>
      </c>
      <c r="D164" s="7">
        <f>(M56*($E56/366))+(M57*($E57/366))</f>
        <v>0</v>
      </c>
      <c r="E164" s="42">
        <f t="shared" si="38"/>
        <v>93.001738698460002</v>
      </c>
      <c r="G164" s="1">
        <v>1980</v>
      </c>
      <c r="H164" s="823">
        <f>(O56/$R56*100*($E56/366))+(O57/$R57*100*($E57/366))</f>
        <v>100</v>
      </c>
      <c r="I164" s="823"/>
      <c r="J164" s="823">
        <f>(P56/$R56*100*($E56/366))+(P57/$R57*100*($E57/366))</f>
        <v>0</v>
      </c>
      <c r="K164" s="823"/>
      <c r="L164" s="823">
        <f>(Q56/$R56*100*($E56/366))+(Q57/$R57*100*($E57/366))</f>
        <v>0</v>
      </c>
      <c r="M164" s="823"/>
      <c r="N164" s="781">
        <f t="shared" si="39"/>
        <v>100</v>
      </c>
      <c r="O164" s="781"/>
      <c r="R164" s="1">
        <v>1980</v>
      </c>
      <c r="S164" s="7">
        <f>(O56*($E56/366))+(O57*($E57/366))</f>
        <v>57</v>
      </c>
      <c r="T164" s="7">
        <f>(P56*($E56/366))+(P57*($E57/366))</f>
        <v>0</v>
      </c>
      <c r="U164" s="7">
        <f>(Q56*($E56/366))+(Q57*($E57/366))</f>
        <v>0</v>
      </c>
      <c r="V164" s="12"/>
      <c r="W164" s="7">
        <f t="shared" si="40"/>
        <v>57</v>
      </c>
    </row>
    <row r="165" spans="1:23" x14ac:dyDescent="0.15">
      <c r="A165" s="1">
        <v>1981</v>
      </c>
      <c r="B165" s="7">
        <f>(K58*($E58/365))+(K59*($E59/365))</f>
        <v>73.584474885844742</v>
      </c>
      <c r="C165" s="7">
        <f>(L58*($E58/365))+(L59*($E59/365))</f>
        <v>0</v>
      </c>
      <c r="D165" s="7">
        <f>(M58*($E58/365))+(M59*($E59/365))</f>
        <v>19.726027397260275</v>
      </c>
      <c r="E165" s="42">
        <f t="shared" si="38"/>
        <v>93.310502283105023</v>
      </c>
      <c r="G165" s="1">
        <v>1981</v>
      </c>
      <c r="H165" s="823">
        <f>(O58/$R58*100*($E58/365))+(O59/$R59*100*($E59/365))</f>
        <v>80.273972602739732</v>
      </c>
      <c r="I165" s="823"/>
      <c r="J165" s="823">
        <f>(P58/$R58*100*($E58/365))+(P59/$R59*100*($E59/365))</f>
        <v>0</v>
      </c>
      <c r="K165" s="823"/>
      <c r="L165" s="823">
        <f>(Q58/$R58*100*($E58/365))+(Q59/$R59*100*($E59/365))</f>
        <v>19.726027397260275</v>
      </c>
      <c r="M165" s="823"/>
      <c r="N165" s="781">
        <f t="shared" si="39"/>
        <v>100</v>
      </c>
      <c r="O165" s="781"/>
      <c r="R165" s="1">
        <v>1981</v>
      </c>
      <c r="S165" s="7">
        <f>(O58*($E58/365))+(O59*($E59/365))</f>
        <v>45.756164383561647</v>
      </c>
      <c r="T165" s="7">
        <f>(P58*($E58/365))+(P59*($E59/365))</f>
        <v>0</v>
      </c>
      <c r="U165" s="7">
        <f>(Q58*($E58/365))+(Q59*($E59/365))</f>
        <v>11.303013698630137</v>
      </c>
      <c r="V165" s="12"/>
      <c r="W165" s="7">
        <f t="shared" si="40"/>
        <v>57.059178082191785</v>
      </c>
    </row>
    <row r="166" spans="1:23" x14ac:dyDescent="0.15">
      <c r="A166" s="1">
        <v>1982</v>
      </c>
      <c r="B166" s="7">
        <f>(K60*($E60/365))+(K61*($E61/365))</f>
        <v>0</v>
      </c>
      <c r="C166" s="7">
        <f>(L60*($E60/365))+(L61*($E61/365))</f>
        <v>0</v>
      </c>
      <c r="D166" s="7">
        <f>(M60*($E60/365))+(M61*($E61/365))</f>
        <v>100</v>
      </c>
      <c r="E166" s="42">
        <f t="shared" si="38"/>
        <v>100</v>
      </c>
      <c r="G166" s="1">
        <v>1982</v>
      </c>
      <c r="H166" s="823">
        <f>(O60/$R60*100*($E60/365))+(O61/$R61*100*($E61/365))</f>
        <v>0</v>
      </c>
      <c r="I166" s="823"/>
      <c r="J166" s="823">
        <f>(P60/$R60*100*($E60/365))+(P61/$R61*100*($E61/365))</f>
        <v>0</v>
      </c>
      <c r="K166" s="823"/>
      <c r="L166" s="823">
        <f>(Q60/$R60*100*($E60/365))+(Q61/$R61*100*($E61/365))</f>
        <v>100</v>
      </c>
      <c r="M166" s="823"/>
      <c r="N166" s="781">
        <f t="shared" si="39"/>
        <v>100</v>
      </c>
      <c r="O166" s="781"/>
      <c r="R166" s="1">
        <v>1982</v>
      </c>
      <c r="S166" s="7">
        <f>(O60*($E60/365))+(O61*($E61/365))</f>
        <v>0</v>
      </c>
      <c r="T166" s="7">
        <f>(P60*($E60/365))+(P61*($E61/365))</f>
        <v>0</v>
      </c>
      <c r="U166" s="7">
        <f>(Q60*($E60/365))+(Q61*($E61/365))</f>
        <v>57.3</v>
      </c>
      <c r="V166" s="12"/>
      <c r="W166" s="7">
        <f t="shared" si="40"/>
        <v>57.3</v>
      </c>
    </row>
    <row r="167" spans="1:23" x14ac:dyDescent="0.15">
      <c r="A167" s="1">
        <v>1983</v>
      </c>
      <c r="B167" s="7">
        <f>(K62*($E62/365))+(K63*($E63/365))</f>
        <v>0</v>
      </c>
      <c r="C167" s="7">
        <f>(L62*($E62/365))+(L63*($E63/365))</f>
        <v>0</v>
      </c>
      <c r="D167" s="7">
        <f>(M62*($E62/365))+(M63*($E63/365))</f>
        <v>100</v>
      </c>
      <c r="E167" s="42">
        <f t="shared" si="38"/>
        <v>100</v>
      </c>
      <c r="G167" s="1">
        <v>1983</v>
      </c>
      <c r="H167" s="823">
        <f>(O62/$R62*100*($E62/365))+(O63/$R63*100*($E63/365))</f>
        <v>0</v>
      </c>
      <c r="I167" s="823"/>
      <c r="J167" s="823">
        <f>(P62/$R62*100*($E62/365))+(P63/$R63*100*($E63/365))</f>
        <v>0</v>
      </c>
      <c r="K167" s="823"/>
      <c r="L167" s="823">
        <f>(Q62/$R62*100*($E62/365))+(Q63/$R63*100*($E63/365))</f>
        <v>100</v>
      </c>
      <c r="M167" s="823"/>
      <c r="N167" s="781">
        <f t="shared" si="39"/>
        <v>100</v>
      </c>
      <c r="O167" s="781"/>
      <c r="R167" s="1">
        <v>1983</v>
      </c>
      <c r="S167" s="7">
        <f>(O62*($E62/365))+(O63*($E63/365))</f>
        <v>0</v>
      </c>
      <c r="T167" s="7">
        <f>(P62*($E62/365))+(P63*($E63/365))</f>
        <v>0</v>
      </c>
      <c r="U167" s="7">
        <f>(Q62*($E62/365))+(Q63*($E63/365))</f>
        <v>57.3</v>
      </c>
      <c r="V167" s="12"/>
      <c r="W167" s="7">
        <f t="shared" si="40"/>
        <v>57.3</v>
      </c>
    </row>
    <row r="168" spans="1:23" x14ac:dyDescent="0.15">
      <c r="A168" s="1">
        <v>1984</v>
      </c>
      <c r="B168" s="7">
        <f>(K64*($E64/366))+(K65*($E65/366))</f>
        <v>0</v>
      </c>
      <c r="C168" s="7">
        <f>(L64*($E64/366))+(L65*($E65/366))</f>
        <v>0</v>
      </c>
      <c r="D168" s="7">
        <f>(M64*($E64/366))+(M65*($E65/366))</f>
        <v>100</v>
      </c>
      <c r="E168" s="42">
        <f t="shared" si="38"/>
        <v>100</v>
      </c>
      <c r="G168" s="1">
        <v>1984</v>
      </c>
      <c r="H168" s="823">
        <f>(O64/$R64*100*($E64/366))+(O65/$R65*100*($E65/366))</f>
        <v>0</v>
      </c>
      <c r="I168" s="823"/>
      <c r="J168" s="823">
        <f>(P64/$R64*100*($E64/366))+(P65/$R65*100*($E65/366))</f>
        <v>0</v>
      </c>
      <c r="K168" s="823"/>
      <c r="L168" s="823">
        <f>(Q64/$R64*100*($E64/366))+(Q65/$R65*100*($E65/366))</f>
        <v>100</v>
      </c>
      <c r="M168" s="823"/>
      <c r="N168" s="781">
        <f t="shared" si="39"/>
        <v>100</v>
      </c>
      <c r="O168" s="781"/>
      <c r="R168" s="1">
        <v>1984</v>
      </c>
      <c r="S168" s="7">
        <f>(O64*($E64/366))+(O65*($E65/366))</f>
        <v>0</v>
      </c>
      <c r="T168" s="7">
        <f>(P64*($E64/366))+(P65*($E65/366))</f>
        <v>0</v>
      </c>
      <c r="U168" s="7">
        <f>(Q64*($E64/366))+(Q65*($E65/366))</f>
        <v>57.3</v>
      </c>
      <c r="V168" s="12"/>
      <c r="W168" s="7">
        <f t="shared" si="40"/>
        <v>57.3</v>
      </c>
    </row>
    <row r="169" spans="1:23" ht="9" customHeight="1" x14ac:dyDescent="0.15">
      <c r="A169" s="1">
        <v>1985</v>
      </c>
      <c r="B169" s="7">
        <f>(K66*($E66/365))+(K67*($E67/365))+(K68*($E68/365))</f>
        <v>0</v>
      </c>
      <c r="C169" s="7">
        <f>(L66*($E66/365))+(L67*($E67/365))+(L68*($E68/365))</f>
        <v>0</v>
      </c>
      <c r="D169" s="7">
        <f>(M66*($E66/365))+(M67*($E67/365))+(M68*($E68/365))</f>
        <v>100</v>
      </c>
      <c r="E169" s="42">
        <f t="shared" si="38"/>
        <v>100</v>
      </c>
      <c r="G169" s="1">
        <v>1985</v>
      </c>
      <c r="H169" s="823">
        <f>(O66/$R66*100*($E66/365))+(O67/$R67*100*($E67/365))+(O68/$R68*100*($E68/365))</f>
        <v>0</v>
      </c>
      <c r="I169" s="823"/>
      <c r="J169" s="823">
        <f>(P66/$R66*100*($E66/365))+(P67/$R67*100*($E67/365))+(P68/$R68*100*($E68/365))</f>
        <v>0</v>
      </c>
      <c r="K169" s="823"/>
      <c r="L169" s="823">
        <f>(Q66/$R66*100*($E66/365))+(Q67/$R67*100*($E67/365))+(Q68/$R68*100*($E68/365))</f>
        <v>100</v>
      </c>
      <c r="M169" s="823"/>
      <c r="N169" s="781">
        <f t="shared" si="39"/>
        <v>100</v>
      </c>
      <c r="O169" s="781"/>
      <c r="R169" s="1">
        <v>1985</v>
      </c>
      <c r="S169" s="7">
        <f>(O66*($E66/365))+(O67*($E67/365))+(O68*($E68/365))</f>
        <v>0</v>
      </c>
      <c r="T169" s="7">
        <f>(P66*($E66/365))+(P67*($E67/365))+(P68*($E68/365))</f>
        <v>0</v>
      </c>
      <c r="U169" s="7">
        <f>(Q66*($E66/365))+(Q67*($E67/365))+(Q68*($E68/365))</f>
        <v>55.228767123287668</v>
      </c>
      <c r="V169" s="12"/>
      <c r="W169" s="7">
        <f t="shared" si="40"/>
        <v>55.228767123287668</v>
      </c>
    </row>
    <row r="170" spans="1:23" ht="9" customHeight="1" x14ac:dyDescent="0.15">
      <c r="A170" s="1">
        <v>1986</v>
      </c>
      <c r="B170" s="7">
        <f>(K69*($E69/365))+(K70*($E70/365))</f>
        <v>0</v>
      </c>
      <c r="C170" s="7">
        <f>(L69*($E69/365))+(L70*($E70/365))</f>
        <v>0</v>
      </c>
      <c r="D170" s="7">
        <f>(M69*($E69/365))+(M70*($E70/365))</f>
        <v>100</v>
      </c>
      <c r="E170" s="42">
        <f t="shared" si="38"/>
        <v>100</v>
      </c>
      <c r="G170" s="1">
        <v>1986</v>
      </c>
      <c r="H170" s="823">
        <f>(O69/$R69*100*($E69/365))+(O70/$R70*100*($E70/365))</f>
        <v>0</v>
      </c>
      <c r="I170" s="823"/>
      <c r="J170" s="823">
        <f>(P69/$R69*100*($E69/365))+(P70/$R70*100*($E70/365))</f>
        <v>0</v>
      </c>
      <c r="K170" s="823"/>
      <c r="L170" s="823">
        <f>(Q69/$R69*100*($E69/365))+(Q70/$R70*100*($E70/365))</f>
        <v>100</v>
      </c>
      <c r="M170" s="823"/>
      <c r="N170" s="781">
        <f t="shared" si="39"/>
        <v>100</v>
      </c>
      <c r="O170" s="781"/>
      <c r="R170" s="1">
        <v>1986</v>
      </c>
      <c r="S170" s="7">
        <f>(O69*($E69/365))+(O70*($E70/365))</f>
        <v>0</v>
      </c>
      <c r="T170" s="7">
        <f>(P69*($E69/365))+(P70*($E70/365))</f>
        <v>0</v>
      </c>
      <c r="U170" s="7">
        <f>(Q69*($E69/365))+(Q70*($E70/365))</f>
        <v>53.7</v>
      </c>
      <c r="V170" s="12"/>
      <c r="W170" s="7">
        <f t="shared" si="40"/>
        <v>53.7</v>
      </c>
    </row>
    <row r="171" spans="1:23" ht="9" customHeight="1" x14ac:dyDescent="0.15">
      <c r="A171" s="1">
        <v>1987</v>
      </c>
      <c r="B171" s="7">
        <f>(K71*($E71/365))+(K72*($E72/365))</f>
        <v>0</v>
      </c>
      <c r="C171" s="7">
        <f>(L71*($E71/365))+(L72*($E72/365))</f>
        <v>0</v>
      </c>
      <c r="D171" s="7">
        <f>(M71*($E71/365))+(M72*($E72/365))</f>
        <v>100</v>
      </c>
      <c r="E171" s="42">
        <f t="shared" si="38"/>
        <v>100</v>
      </c>
      <c r="G171" s="1">
        <v>1987</v>
      </c>
      <c r="H171" s="823">
        <f>(O71/$R71*100*($E71/365))+(O72/$R72*100*($E72/365))</f>
        <v>0</v>
      </c>
      <c r="I171" s="823"/>
      <c r="J171" s="823">
        <f>(P71/$R71*100*($E71/365))+(P72/$R72*100*($E72/365))</f>
        <v>0</v>
      </c>
      <c r="K171" s="823"/>
      <c r="L171" s="823">
        <f>(Q71/$R71*100*($E71/365))+(Q72/$R72*100*($E72/365))</f>
        <v>100</v>
      </c>
      <c r="M171" s="823"/>
      <c r="N171" s="781">
        <f t="shared" si="39"/>
        <v>100</v>
      </c>
      <c r="O171" s="781"/>
      <c r="R171" s="1">
        <v>1987</v>
      </c>
      <c r="S171" s="7">
        <f>(O71*($E71/365))+(O72*($E72/365))</f>
        <v>0</v>
      </c>
      <c r="T171" s="7">
        <f>(P71*($E71/365))+(P72*($E72/365))</f>
        <v>0</v>
      </c>
      <c r="U171" s="7">
        <f>(Q71*($E71/365))+(Q72*($E72/365))</f>
        <v>53.7</v>
      </c>
      <c r="V171" s="12"/>
      <c r="W171" s="7">
        <f t="shared" si="40"/>
        <v>53.7</v>
      </c>
    </row>
    <row r="172" spans="1:23" ht="9" customHeight="1" x14ac:dyDescent="0.15">
      <c r="A172" s="1">
        <v>1988</v>
      </c>
      <c r="B172" s="7">
        <f>(K73*($E73/366))+(K74*($E74/366))</f>
        <v>0</v>
      </c>
      <c r="C172" s="7">
        <f>(L73*($E73/366))+(L74*($E74/366))</f>
        <v>0</v>
      </c>
      <c r="D172" s="7">
        <f>(M73*($E73/366))+(M74*($E74/366))</f>
        <v>100</v>
      </c>
      <c r="E172" s="42">
        <f t="shared" si="38"/>
        <v>100</v>
      </c>
      <c r="G172" s="1">
        <v>1988</v>
      </c>
      <c r="H172" s="823">
        <f>(O73/$R73*100*($E73/366))+(O74/$R74*100*($E74/366))</f>
        <v>0</v>
      </c>
      <c r="I172" s="823"/>
      <c r="J172" s="823">
        <f>(P73/$R73*100*($E73/366))+(P74/$R74*100*($E74/366))</f>
        <v>0</v>
      </c>
      <c r="K172" s="823"/>
      <c r="L172" s="823">
        <f>(Q73/$R73*100*($E73/366))+(Q74/$R74*100*($E74/366))</f>
        <v>100</v>
      </c>
      <c r="M172" s="823"/>
      <c r="N172" s="781">
        <f t="shared" si="39"/>
        <v>100</v>
      </c>
      <c r="O172" s="781"/>
      <c r="R172" s="1">
        <v>1988</v>
      </c>
      <c r="S172" s="7">
        <f>(O73*($E73/366))+(O74*($E74/366))</f>
        <v>0</v>
      </c>
      <c r="T172" s="7">
        <f>(P73*($E73/366))+(P74*($E74/366))</f>
        <v>0</v>
      </c>
      <c r="U172" s="7">
        <f>(Q73*($E73/366))+(Q74*($E74/366))</f>
        <v>53.7</v>
      </c>
      <c r="W172" s="7">
        <f t="shared" si="40"/>
        <v>53.7</v>
      </c>
    </row>
    <row r="173" spans="1:23" ht="9" customHeight="1" x14ac:dyDescent="0.15">
      <c r="A173" s="1">
        <v>1989</v>
      </c>
      <c r="B173" s="7">
        <f>(K75*($E75/365))+(K76*($E76/365))+(K77*($E77/365))+(K78*($E78/365))</f>
        <v>28.646303071556201</v>
      </c>
      <c r="C173" s="7">
        <f>(L75*($E75/365))+(L76*($E76/365))+(L77*($E77/365))+(L78*($E78/365))</f>
        <v>0</v>
      </c>
      <c r="D173" s="7">
        <f>(M75*($E75/365))+(M76*($E76/365))+(M77*($E77/365))+(M78*($E78/365))</f>
        <v>55.945999602938258</v>
      </c>
      <c r="E173" s="42">
        <f t="shared" si="38"/>
        <v>84.592302674494462</v>
      </c>
      <c r="G173" s="15">
        <v>1989</v>
      </c>
      <c r="H173" s="847">
        <f>(O75/$R75*100*($E75/365))+(O76/$R76*100*($E76/365))+(O78/$R78*100*($E78/365))</f>
        <v>28.874044682641507</v>
      </c>
      <c r="I173" s="847"/>
      <c r="J173" s="847">
        <f>(P75/$R75*100*($E75/365))+(P76/$R76*100*($E76/365))+(P78/$R78*100*($E78/365))</f>
        <v>0</v>
      </c>
      <c r="K173" s="847"/>
      <c r="L173" s="847">
        <f>(Q75/$R75*100*($E75/365))+(Q76/$R76*100*($E76/365))+(Q78/$R78*100*($E78/365))</f>
        <v>59.893078605029736</v>
      </c>
      <c r="M173" s="847"/>
      <c r="N173" s="849">
        <f t="shared" si="39"/>
        <v>88.767123287671239</v>
      </c>
      <c r="O173" s="849"/>
      <c r="R173" s="1">
        <v>1989</v>
      </c>
      <c r="S173" s="7">
        <f>(O75*($E75/365))+(O76*($E76/365))+(O77*($E77/365))+(O78*($E78/365))</f>
        <v>18.90027397260274</v>
      </c>
      <c r="T173" s="7">
        <f>(P75*($E75/365))+(P76*($E76/365))+(P77*($E77/365))+(P78*($E78/365))</f>
        <v>0</v>
      </c>
      <c r="U173" s="7">
        <f>(Q75*($E75/365))+(Q76*($E76/365))+(Q77*($E77/365))+(Q78*($E78/365))</f>
        <v>34.854794520547948</v>
      </c>
      <c r="W173" s="7">
        <f t="shared" si="40"/>
        <v>53.755068493150688</v>
      </c>
    </row>
    <row r="174" spans="1:23" ht="9" customHeight="1" x14ac:dyDescent="0.15">
      <c r="A174" s="1">
        <v>1990</v>
      </c>
      <c r="B174" s="7">
        <f>(K79*($E79/365))+(K80*($E80/365))+(K81*($E81/365))</f>
        <v>75.968688845401175</v>
      </c>
      <c r="C174" s="7">
        <f>(L79*($E79/365))+(L80*($E80/365))+(L81*($E81/365))</f>
        <v>0</v>
      </c>
      <c r="D174" s="7">
        <f>(M79*($E79/365))+(M80*($E80/365))+(M81*($E81/365))</f>
        <v>3.926940639269406</v>
      </c>
      <c r="E174" s="42">
        <f t="shared" si="38"/>
        <v>79.895629484670579</v>
      </c>
      <c r="G174" s="15">
        <v>1990</v>
      </c>
      <c r="H174" s="847">
        <f>(O79/$R79*100*($E79/365))+(O81/$R81*100*($E81/365))</f>
        <v>78.451627143428652</v>
      </c>
      <c r="I174" s="847"/>
      <c r="J174" s="847">
        <f>(P79/$R79*100*($E79/365))+(P81/$R81*100*($E81/365))</f>
        <v>0</v>
      </c>
      <c r="K174" s="847"/>
      <c r="L174" s="847">
        <f>(Q79/$R79*100*($E79/365))+(Q81/$R81*100*($E81/365))</f>
        <v>5.9319345004069577</v>
      </c>
      <c r="M174" s="847"/>
      <c r="N174" s="849">
        <f t="shared" si="39"/>
        <v>84.383561643835606</v>
      </c>
      <c r="O174" s="849"/>
      <c r="R174" s="1">
        <v>1990</v>
      </c>
      <c r="S174" s="7">
        <f>(O79*($E79/365))+(O80*($E80/365))+(O81*($E81/365))</f>
        <v>42.327123287671228</v>
      </c>
      <c r="T174" s="7">
        <f>(P79*($E79/365))+(P80*($E80/365))+(P81*($E81/365))</f>
        <v>0</v>
      </c>
      <c r="U174" s="7">
        <f>(Q79*($E79/365))+(Q80*($E80/365))+(Q81*($E81/365))</f>
        <v>5.89041095890411</v>
      </c>
      <c r="W174" s="7">
        <f t="shared" si="40"/>
        <v>48.21753424657534</v>
      </c>
    </row>
    <row r="175" spans="1:23" ht="9" customHeight="1" x14ac:dyDescent="0.15">
      <c r="A175" s="1">
        <v>1991</v>
      </c>
      <c r="B175" s="7">
        <f>(K82*($E82/365))+(K83*($E83/365))</f>
        <v>100</v>
      </c>
      <c r="C175" s="7">
        <f>(L82*($E82/365))+(L83*($E83/365))</f>
        <v>0</v>
      </c>
      <c r="D175" s="7">
        <f>(M82*($E82/365))+(M83*($E83/365))</f>
        <v>0</v>
      </c>
      <c r="E175" s="42">
        <f t="shared" si="38"/>
        <v>100</v>
      </c>
      <c r="G175" s="1">
        <v>1991</v>
      </c>
      <c r="H175" s="823">
        <f>(O82/$R82*100*($E82/365))+(O83/$R83*100*($E83/365))</f>
        <v>100</v>
      </c>
      <c r="I175" s="823"/>
      <c r="J175" s="823">
        <f>(P82/$R82*100*($E82/365))+(P83/$R83*100*($E83/365))</f>
        <v>0</v>
      </c>
      <c r="K175" s="823"/>
      <c r="L175" s="823">
        <f>(Q82/$R82*100*($E82/365))+(Q83/$R83*100*($E83/365))</f>
        <v>0</v>
      </c>
      <c r="M175" s="823"/>
      <c r="N175" s="781">
        <f t="shared" si="39"/>
        <v>100</v>
      </c>
      <c r="O175" s="781"/>
      <c r="R175" s="1">
        <v>1991</v>
      </c>
      <c r="S175" s="7">
        <f>(O82*($E82/365))+(O83*($E83/365))</f>
        <v>50.3</v>
      </c>
      <c r="T175" s="7">
        <f>(P82*($E82/365))+(P83*($E83/365))</f>
        <v>0</v>
      </c>
      <c r="U175" s="7">
        <f>(Q82*($E82/365))+(Q83*($E83/365))</f>
        <v>0</v>
      </c>
      <c r="W175" s="7">
        <f t="shared" si="40"/>
        <v>50.3</v>
      </c>
    </row>
    <row r="176" spans="1:23" ht="9" customHeight="1" x14ac:dyDescent="0.15">
      <c r="A176" s="1">
        <v>1992</v>
      </c>
      <c r="B176" s="7">
        <f>(K84*($E84/366))+(K85*($E85/366))</f>
        <v>100</v>
      </c>
      <c r="C176" s="7">
        <f>(L84*($E84/366))+(L85*($E85/366))</f>
        <v>0</v>
      </c>
      <c r="D176" s="7">
        <f>(M84*($E84/366))+(M85*($E85/366))</f>
        <v>0</v>
      </c>
      <c r="E176" s="42">
        <f t="shared" si="38"/>
        <v>100</v>
      </c>
      <c r="G176" s="1">
        <v>1992</v>
      </c>
      <c r="H176" s="823">
        <f>(O84/$R84*100*($E84/366))+(O85/$R85*100*($E85/366))</f>
        <v>100</v>
      </c>
      <c r="I176" s="823"/>
      <c r="J176" s="823">
        <f>(P84/$R84*100*($E84/366))+(P85/$R85*100*($E85/366))</f>
        <v>0</v>
      </c>
      <c r="K176" s="823"/>
      <c r="L176" s="823">
        <f>(Q84/$R84*100*($E84/366))+(Q85/$R85*100*($E85/366))</f>
        <v>0</v>
      </c>
      <c r="M176" s="823"/>
      <c r="N176" s="781">
        <f t="shared" si="39"/>
        <v>100</v>
      </c>
      <c r="O176" s="781"/>
      <c r="R176" s="1">
        <v>1992</v>
      </c>
      <c r="S176" s="7">
        <f>(O84*($E84/366))+(O85*($E85/366))</f>
        <v>50.3</v>
      </c>
      <c r="T176" s="7">
        <f>(P84*($E84/366))+(P85*($E85/366))</f>
        <v>0</v>
      </c>
      <c r="U176" s="7">
        <f>(Q84*($E84/366))+(Q85*($E85/366))</f>
        <v>0</v>
      </c>
      <c r="W176" s="7">
        <f t="shared" si="40"/>
        <v>50.3</v>
      </c>
    </row>
    <row r="177" spans="1:23" ht="9" customHeight="1" x14ac:dyDescent="0.15">
      <c r="A177" s="1">
        <v>1993</v>
      </c>
      <c r="B177" s="7">
        <f>(K86*($E86/365))+(K87*($E87/365))</f>
        <v>81.369863013698634</v>
      </c>
      <c r="C177" s="7">
        <f>(L86*($E86/365))+(L87*($E87/365))</f>
        <v>0</v>
      </c>
      <c r="D177" s="7">
        <f>(M86*($E86/365))+(M87*($E87/365))</f>
        <v>18.63013698630137</v>
      </c>
      <c r="E177" s="42">
        <f t="shared" si="38"/>
        <v>100</v>
      </c>
      <c r="G177" s="1">
        <v>1993</v>
      </c>
      <c r="H177" s="823">
        <f>(O86/$R86*100*($E86/365))+(O87/$R87*100*($E87/365))</f>
        <v>81.369863013698634</v>
      </c>
      <c r="I177" s="823"/>
      <c r="J177" s="823">
        <f>(P86/$R86*100*($E86/365))+(P87/$R87*100*($E87/365))</f>
        <v>0</v>
      </c>
      <c r="K177" s="823"/>
      <c r="L177" s="823">
        <f>(Q86/$R86*100*($E86/365))+(Q87/$R87*100*($E87/365))</f>
        <v>18.63013698630137</v>
      </c>
      <c r="M177" s="823"/>
      <c r="N177" s="781">
        <f t="shared" si="39"/>
        <v>100</v>
      </c>
      <c r="O177" s="781"/>
      <c r="R177" s="1">
        <v>1993</v>
      </c>
      <c r="S177" s="7">
        <f>(O86*($E86/365))+(O87*($E87/365))</f>
        <v>40.929041095890405</v>
      </c>
      <c r="T177" s="7">
        <f>(P86*($E86/365))+(P87*($E87/365))</f>
        <v>0</v>
      </c>
      <c r="U177" s="7">
        <f>(Q86*($E86/365))+(Q87*($E87/365))</f>
        <v>10.563287671232878</v>
      </c>
      <c r="W177" s="7">
        <f t="shared" si="40"/>
        <v>51.492328767123283</v>
      </c>
    </row>
    <row r="178" spans="1:23" ht="9" customHeight="1" x14ac:dyDescent="0.15">
      <c r="A178" s="1">
        <v>1994</v>
      </c>
      <c r="B178" s="7">
        <f>(K88*($E88/365))+(K89*($E89/365))</f>
        <v>0</v>
      </c>
      <c r="C178" s="7">
        <f>(L88*($E88/365))+(L89*($E89/365))</f>
        <v>0</v>
      </c>
      <c r="D178" s="7">
        <f>(M88*($E88/365))+(M89*($E89/365))</f>
        <v>100</v>
      </c>
      <c r="E178" s="42">
        <f t="shared" si="38"/>
        <v>100</v>
      </c>
      <c r="G178" s="1">
        <v>1994</v>
      </c>
      <c r="H178" s="823">
        <f>(O88/$R88*100*($E88/365))+(O89/$R89*100*($E89/365))</f>
        <v>0</v>
      </c>
      <c r="I178" s="823"/>
      <c r="J178" s="823">
        <f>(P88/$R88*100*($E88/365))+(P89/$R89*100*($E89/365))</f>
        <v>0</v>
      </c>
      <c r="K178" s="823"/>
      <c r="L178" s="823">
        <f>(Q88/$R88*100*($E88/365))+(Q89/$R89*100*($E89/365))</f>
        <v>100</v>
      </c>
      <c r="M178" s="823"/>
      <c r="N178" s="781">
        <f t="shared" si="39"/>
        <v>100</v>
      </c>
      <c r="O178" s="781"/>
      <c r="R178" s="1">
        <v>1994</v>
      </c>
      <c r="S178" s="7">
        <f>(O88*($E88/365))+(O89*($E89/365))</f>
        <v>0</v>
      </c>
      <c r="T178" s="7">
        <f>(P88*($E88/365))+(P89*($E89/365))</f>
        <v>0</v>
      </c>
      <c r="U178" s="7">
        <f>(Q88*($E88/365))+(Q89*($E89/365))</f>
        <v>56.7</v>
      </c>
      <c r="W178" s="7">
        <f t="shared" si="40"/>
        <v>56.7</v>
      </c>
    </row>
    <row r="179" spans="1:23" ht="9" customHeight="1" x14ac:dyDescent="0.15">
      <c r="A179" s="1">
        <v>1995</v>
      </c>
      <c r="B179" s="7">
        <f>(K90*($E90/365))+(K91*($E91/365))</f>
        <v>0</v>
      </c>
      <c r="C179" s="7">
        <f>(L90*($E90/365))+(L91*($E91/365))</f>
        <v>0</v>
      </c>
      <c r="D179" s="7">
        <f>(M90*($E90/365))+(M91*($E91/365))</f>
        <v>100</v>
      </c>
      <c r="E179" s="42">
        <f t="shared" si="38"/>
        <v>100</v>
      </c>
      <c r="G179" s="1">
        <v>1995</v>
      </c>
      <c r="H179" s="823">
        <f>(O90/$R90*100*($E90/365))+(O91/$R91*100*($E91/365))</f>
        <v>0</v>
      </c>
      <c r="I179" s="823"/>
      <c r="J179" s="823">
        <f>(P90/$R90*100*($E90/365))+(P91/$R91*100*($E91/365))</f>
        <v>0</v>
      </c>
      <c r="K179" s="823"/>
      <c r="L179" s="823">
        <f>(Q90/$R90*100*($E90/365))+(Q91/$R91*100*($E91/365))</f>
        <v>100</v>
      </c>
      <c r="M179" s="823"/>
      <c r="N179" s="781">
        <f t="shared" si="39"/>
        <v>100</v>
      </c>
      <c r="O179" s="781"/>
      <c r="R179" s="1">
        <v>1995</v>
      </c>
      <c r="S179" s="7">
        <f>(O90*($E90/365))+(O91*($E91/365))</f>
        <v>0</v>
      </c>
      <c r="T179" s="7">
        <f>(P90*($E90/365))+(P91*($E91/365))</f>
        <v>0</v>
      </c>
      <c r="U179" s="7">
        <f>(Q90*($E90/365))+(Q91*($E91/365))</f>
        <v>56.7</v>
      </c>
      <c r="W179" s="7">
        <f t="shared" si="40"/>
        <v>56.7</v>
      </c>
    </row>
    <row r="180" spans="1:23" ht="9" customHeight="1" x14ac:dyDescent="0.15">
      <c r="A180" s="1">
        <v>1996</v>
      </c>
      <c r="B180" s="7">
        <f>(K92*($E92/366))+(K93*($E93/366))+(K94*($E94/366))</f>
        <v>0</v>
      </c>
      <c r="C180" s="7">
        <f>(L92*($E92/366))+(L93*($E93/366))+(L94*($E94/366))</f>
        <v>0</v>
      </c>
      <c r="D180" s="7">
        <f>(M92*($E92/366))+(M93*($E93/366))+(M94*($E94/366))</f>
        <v>100</v>
      </c>
      <c r="E180" s="42">
        <f t="shared" si="38"/>
        <v>100</v>
      </c>
      <c r="G180" s="1">
        <v>1996</v>
      </c>
      <c r="H180" s="823">
        <f>(O92/$R92*100*($E92/366))+(O93/$R93*100*($E93/366))+(O94/$R94*100*($E94/366))</f>
        <v>0</v>
      </c>
      <c r="I180" s="823"/>
      <c r="J180" s="823">
        <f>(P92/$R92*100*($E92/366))+(P93/$R93*100*($E93/366))+(P94/$R94*100*($E94/366))</f>
        <v>0</v>
      </c>
      <c r="K180" s="823"/>
      <c r="L180" s="823">
        <f>(Q92/$R92*100*($E92/366))+(Q93/$R93*100*($E93/366))+(Q94/$R94*100*($E94/366))</f>
        <v>100</v>
      </c>
      <c r="M180" s="823"/>
      <c r="N180" s="781">
        <f t="shared" si="39"/>
        <v>100</v>
      </c>
      <c r="O180" s="781"/>
      <c r="R180" s="1">
        <v>1996</v>
      </c>
      <c r="S180" s="7">
        <f>(O92*($E92/366))+(O93*($E93/366))+(O94*($E94/366))</f>
        <v>0</v>
      </c>
      <c r="T180" s="7">
        <f>(P92*($E92/366))+(P93*($E93/366))+(P94*($E94/366))</f>
        <v>0</v>
      </c>
      <c r="U180" s="7">
        <f>(Q92*($E92/366))+(Q93*($E93/366))+(Q94*($E94/366))</f>
        <v>54.228688524590169</v>
      </c>
      <c r="W180" s="7">
        <f t="shared" si="40"/>
        <v>54.228688524590169</v>
      </c>
    </row>
    <row r="181" spans="1:23" ht="9" customHeight="1" x14ac:dyDescent="0.15">
      <c r="A181" s="1">
        <v>1997</v>
      </c>
      <c r="B181" s="7">
        <f>(K95*($E95/365))+(K96*($E96/365))</f>
        <v>0</v>
      </c>
      <c r="C181" s="7">
        <f>(L95*($E95/365))+(L96*($E96/365))</f>
        <v>0</v>
      </c>
      <c r="D181" s="7">
        <f>(M95*($E95/365))+(M96*($E96/365))</f>
        <v>100</v>
      </c>
      <c r="E181" s="42">
        <f t="shared" si="38"/>
        <v>100</v>
      </c>
      <c r="G181" s="1">
        <v>1997</v>
      </c>
      <c r="H181" s="823">
        <f>(O95/$R95*100*($E95/365))+(O96/$R96*100*($E96/365))</f>
        <v>0</v>
      </c>
      <c r="I181" s="823"/>
      <c r="J181" s="823">
        <f>(P95/$R95*100*($E95/365))+(P96/$R96*100*($E96/365))</f>
        <v>0</v>
      </c>
      <c r="K181" s="823"/>
      <c r="L181" s="823">
        <f>(Q95/$R95*100*($E95/365))+(Q96/$R96*100*($E96/365))</f>
        <v>100</v>
      </c>
      <c r="M181" s="823"/>
      <c r="N181" s="781">
        <f t="shared" si="39"/>
        <v>100</v>
      </c>
      <c r="O181" s="781"/>
      <c r="R181" s="1">
        <v>1997</v>
      </c>
      <c r="S181" s="7">
        <f>(O95*($E95/365))+(O96*($E96/365))</f>
        <v>0</v>
      </c>
      <c r="T181" s="7">
        <f>(P95*($E95/365))+(P96*($E96/365))</f>
        <v>0</v>
      </c>
      <c r="U181" s="7">
        <f>(Q95*($E95/365))+(Q96*($E96/365))</f>
        <v>54</v>
      </c>
      <c r="W181" s="7">
        <f t="shared" si="40"/>
        <v>54</v>
      </c>
    </row>
    <row r="182" spans="1:23" ht="9" customHeight="1" x14ac:dyDescent="0.15">
      <c r="A182" s="1">
        <v>1998</v>
      </c>
      <c r="B182" s="7">
        <f>(K97*($E97/365))+(K98*($E98/365))</f>
        <v>0</v>
      </c>
      <c r="C182" s="7">
        <f>(L97*($E97/365))+(L98*($E98/365))</f>
        <v>0</v>
      </c>
      <c r="D182" s="7">
        <f>(M97*($E97/365))+(M98*($E98/365))</f>
        <v>100</v>
      </c>
      <c r="E182" s="42">
        <f t="shared" si="38"/>
        <v>100</v>
      </c>
      <c r="G182" s="1">
        <v>1998</v>
      </c>
      <c r="H182" s="823">
        <f>(O97/$R97*100*($E97/365))+(O98/$R98*100*($E98/365))</f>
        <v>0</v>
      </c>
      <c r="I182" s="823"/>
      <c r="J182" s="823">
        <f>(P97/$R97*100*($E97/365))+(P98/$R98*100*($E98/365))</f>
        <v>0</v>
      </c>
      <c r="K182" s="823"/>
      <c r="L182" s="823">
        <f>(Q97/$R97*100*($E97/365))+(Q98/$R98*100*($E98/365))</f>
        <v>100</v>
      </c>
      <c r="M182" s="823"/>
      <c r="N182" s="781">
        <f t="shared" si="39"/>
        <v>100</v>
      </c>
      <c r="O182" s="781"/>
      <c r="R182" s="1">
        <v>1998</v>
      </c>
      <c r="S182" s="7">
        <f>(O97*($E97/365))+(O98*($E98/365))</f>
        <v>0</v>
      </c>
      <c r="T182" s="7">
        <f>(P97*($E97/365))+(P98*($E98/365))</f>
        <v>0</v>
      </c>
      <c r="U182" s="7">
        <f>(Q97*($E97/365))+(Q98*($E98/365))</f>
        <v>54</v>
      </c>
      <c r="W182" s="7">
        <f t="shared" si="40"/>
        <v>54</v>
      </c>
    </row>
    <row r="183" spans="1:23" ht="9" customHeight="1" x14ac:dyDescent="0.15">
      <c r="A183" s="1">
        <v>1999</v>
      </c>
      <c r="B183" s="7">
        <f>(K99*($E99/365))+(K100*($E100/365))</f>
        <v>0</v>
      </c>
      <c r="C183" s="7">
        <f>(L99*($E99/365))+(L100*($E100/365))</f>
        <v>0</v>
      </c>
      <c r="D183" s="7">
        <f>(M99*($E99/365))+(M100*($E100/365))</f>
        <v>100</v>
      </c>
      <c r="E183" s="42">
        <f t="shared" si="38"/>
        <v>100</v>
      </c>
      <c r="G183" s="1">
        <v>1999</v>
      </c>
      <c r="H183" s="823">
        <f>(O99/$R99*100*($E99/365))+(O100/$R100*100*($E100/365))</f>
        <v>0</v>
      </c>
      <c r="I183" s="823"/>
      <c r="J183" s="823">
        <f>(P99/$R99*100*($E99/365))+(P100/$R100*100*($E100/365))</f>
        <v>0</v>
      </c>
      <c r="K183" s="823"/>
      <c r="L183" s="823">
        <f>(Q99/$R99*100*($E99/365))+(Q100/$R100*100*($E100/365))</f>
        <v>100</v>
      </c>
      <c r="M183" s="823"/>
      <c r="N183" s="781">
        <f t="shared" si="39"/>
        <v>100</v>
      </c>
      <c r="O183" s="781"/>
      <c r="R183" s="1">
        <v>1999</v>
      </c>
      <c r="S183" s="7">
        <f>(O99*($E99/365))+(O100*($E100/365))</f>
        <v>0</v>
      </c>
      <c r="T183" s="7">
        <f>(P99*($E99/365))+(P100*($E100/365))</f>
        <v>0</v>
      </c>
      <c r="U183" s="7">
        <f>(Q99*($E99/365))+(Q100*($E100/365))</f>
        <v>54</v>
      </c>
      <c r="W183" s="7">
        <f t="shared" si="40"/>
        <v>54</v>
      </c>
    </row>
    <row r="184" spans="1:23" ht="9" customHeight="1" x14ac:dyDescent="0.15">
      <c r="A184" s="1">
        <v>2000</v>
      </c>
      <c r="B184" s="7">
        <f>(K101*($E101/366))+(K102*($E102/366))</f>
        <v>0</v>
      </c>
      <c r="C184" s="7">
        <f>(L101*($E101/366))+(L102*($E102/366))</f>
        <v>0</v>
      </c>
      <c r="D184" s="7">
        <f>(M101*($E101/366))+(M102*($E102/366))</f>
        <v>100</v>
      </c>
      <c r="E184" s="42">
        <f t="shared" si="38"/>
        <v>100</v>
      </c>
      <c r="G184" s="1">
        <v>2000</v>
      </c>
      <c r="H184" s="823">
        <f>(O101/$R101*100*($E101/366))+(O102/$R102*100*($E102/366))</f>
        <v>0</v>
      </c>
      <c r="I184" s="823"/>
      <c r="J184" s="823">
        <f>(P101/$R101*100*($E101/366))+(P102/$R102*100*($E102/366))</f>
        <v>0</v>
      </c>
      <c r="K184" s="823"/>
      <c r="L184" s="823">
        <f>(Q101/$R101*100*($E101/366))+(Q102/$R102*100*($E102/366))</f>
        <v>100</v>
      </c>
      <c r="M184" s="823"/>
      <c r="N184" s="781">
        <f t="shared" si="39"/>
        <v>100</v>
      </c>
      <c r="O184" s="781"/>
      <c r="R184" s="1">
        <v>2000</v>
      </c>
      <c r="S184" s="7">
        <f>(O101*($E101/366))+(O102*($E102/366))</f>
        <v>0</v>
      </c>
      <c r="T184" s="7">
        <f>(P101*($E101/366))+(P102*($E102/366))</f>
        <v>0</v>
      </c>
      <c r="U184" s="7">
        <f>(Q101*($E101/366))+(Q102*($E102/366))</f>
        <v>53.108469945355196</v>
      </c>
      <c r="W184" s="7">
        <f t="shared" si="40"/>
        <v>53.108469945355196</v>
      </c>
    </row>
    <row r="185" spans="1:23" ht="9" customHeight="1" x14ac:dyDescent="0.15">
      <c r="A185" s="1">
        <v>2001</v>
      </c>
      <c r="B185" s="7">
        <f>(K103*($E103/365))+(K104*($E104/365))</f>
        <v>0</v>
      </c>
      <c r="C185" s="7">
        <f>(L103*($E103/365))+(L104*($E104/365))</f>
        <v>0</v>
      </c>
      <c r="D185" s="7">
        <f>(M103*($E103/365))+(M104*($E104/365))</f>
        <v>100</v>
      </c>
      <c r="E185" s="42">
        <f t="shared" si="38"/>
        <v>100</v>
      </c>
      <c r="G185" s="1">
        <v>2001</v>
      </c>
      <c r="H185" s="823">
        <f>(O103/$R103*100*($E103/365))+(O104/$R104*100*($E104/365))</f>
        <v>0</v>
      </c>
      <c r="I185" s="823"/>
      <c r="J185" s="823">
        <f>(P103/$R103*100*($E103/365))+(P104/$R104*100*($E104/365))</f>
        <v>0</v>
      </c>
      <c r="K185" s="823"/>
      <c r="L185" s="823">
        <f>(Q103/$R103*100*($E103/365))+(Q104/$R104*100*($E104/365))</f>
        <v>100</v>
      </c>
      <c r="M185" s="823"/>
      <c r="N185" s="781">
        <f t="shared" si="39"/>
        <v>100</v>
      </c>
      <c r="O185" s="781"/>
      <c r="R185" s="1">
        <v>2001</v>
      </c>
      <c r="S185" s="7">
        <f>(O103*($E103/365))+(O104*($E104/365))</f>
        <v>0</v>
      </c>
      <c r="T185" s="7">
        <f>(P103*($E103/365))+(P104*($E104/365))</f>
        <v>0</v>
      </c>
      <c r="U185" s="7">
        <f>(Q103*($E103/365))+(Q104*($E104/365))</f>
        <v>52.7</v>
      </c>
      <c r="W185" s="7">
        <f t="shared" si="40"/>
        <v>52.7</v>
      </c>
    </row>
    <row r="186" spans="1:23" ht="9" customHeight="1" x14ac:dyDescent="0.15">
      <c r="A186" s="1">
        <v>2002</v>
      </c>
      <c r="B186" s="7">
        <f>(K105*($E105/365))+(K106*($E106/365))</f>
        <v>0</v>
      </c>
      <c r="C186" s="7">
        <f>(L105*($E105/365))+(L106*($E106/365))</f>
        <v>0</v>
      </c>
      <c r="D186" s="7">
        <f>(M105*($E105/365))+(M106*($E106/365))</f>
        <v>100</v>
      </c>
      <c r="E186" s="42">
        <f t="shared" si="38"/>
        <v>100</v>
      </c>
      <c r="G186" s="1">
        <v>2002</v>
      </c>
      <c r="H186" s="823">
        <f>(O105/$R105*100*($E105/365))+(O106/$R106*100*($E106/365))</f>
        <v>0</v>
      </c>
      <c r="I186" s="823"/>
      <c r="J186" s="823">
        <f>(P105/$R105*100*($E105/365))+(P106/$R106*100*($E106/365))</f>
        <v>0</v>
      </c>
      <c r="K186" s="823"/>
      <c r="L186" s="823">
        <f>(Q105/$R105*100*($E105/365))+(Q106/$R106*100*($E106/365))</f>
        <v>100</v>
      </c>
      <c r="M186" s="823"/>
      <c r="N186" s="781">
        <f t="shared" si="39"/>
        <v>100</v>
      </c>
      <c r="O186" s="781"/>
      <c r="R186" s="1">
        <v>2002</v>
      </c>
      <c r="S186" s="7">
        <f>(O105*($E105/365))+(O106*($E106/365))</f>
        <v>0</v>
      </c>
      <c r="T186" s="7">
        <f>(P105*($E105/365))+(P106*($E106/365))</f>
        <v>0</v>
      </c>
      <c r="U186" s="7">
        <f>(Q105*($E105/365))+(Q106*($E106/365))</f>
        <v>52.7</v>
      </c>
      <c r="W186" s="7">
        <f t="shared" si="40"/>
        <v>52.7</v>
      </c>
    </row>
    <row r="187" spans="1:23" ht="9" customHeight="1" x14ac:dyDescent="0.15">
      <c r="A187" s="1">
        <v>2003</v>
      </c>
      <c r="B187" s="7">
        <f>(K107*($E107/365))+(K108*($E108/365))</f>
        <v>0</v>
      </c>
      <c r="C187" s="7">
        <f>(L107*($E107/365))+(L108*($E108/365))</f>
        <v>0</v>
      </c>
      <c r="D187" s="7">
        <f>(M107*($E107/365))+(M108*($E108/365))</f>
        <v>100</v>
      </c>
      <c r="E187" s="42">
        <f t="shared" si="38"/>
        <v>100</v>
      </c>
      <c r="G187" s="1">
        <v>2003</v>
      </c>
      <c r="H187" s="823">
        <f>(O107/$R107*100*($E107/365))+(O108/$R108*100*($E108/365))</f>
        <v>0</v>
      </c>
      <c r="I187" s="823"/>
      <c r="J187" s="823">
        <f>(P107/$R107*100*($E107/365))+(P108/$R108*100*($E108/365))</f>
        <v>0</v>
      </c>
      <c r="K187" s="823"/>
      <c r="L187" s="823">
        <f>(Q107/$R107*100*($E107/365))+(Q108/$R108*100*($E108/365))</f>
        <v>100</v>
      </c>
      <c r="M187" s="823"/>
      <c r="N187" s="781">
        <f t="shared" si="39"/>
        <v>100</v>
      </c>
      <c r="O187" s="781"/>
      <c r="R187" s="1">
        <v>2003</v>
      </c>
      <c r="S187" s="7">
        <f>(O107*($E107/365))+(O108*($E108/365))</f>
        <v>0</v>
      </c>
      <c r="T187" s="7">
        <f>(P107*($E107/365))+(P108*($E108/365))</f>
        <v>0</v>
      </c>
      <c r="U187" s="7">
        <f>(Q107*($E107/365))+(Q108*($E108/365))</f>
        <v>52.7</v>
      </c>
      <c r="W187" s="7">
        <f t="shared" si="40"/>
        <v>52.7</v>
      </c>
    </row>
    <row r="188" spans="1:23" ht="9" customHeight="1" x14ac:dyDescent="0.15">
      <c r="A188" s="1">
        <v>2004</v>
      </c>
      <c r="B188" s="7">
        <f>(K109*($E109/366))+(K110*($E110/366))</f>
        <v>77.595628415300538</v>
      </c>
      <c r="C188" s="7">
        <f>(L109*($E109/366))+(L110*($E110/366))</f>
        <v>0</v>
      </c>
      <c r="D188" s="7">
        <f>(M109*($E109/366))+(M110*($E110/366))</f>
        <v>22.404371584699454</v>
      </c>
      <c r="E188" s="42">
        <f t="shared" si="38"/>
        <v>100</v>
      </c>
      <c r="G188" s="1">
        <v>2004</v>
      </c>
      <c r="H188" s="823">
        <f>(O109/$R109*100*($E109/366))+(O110/$R110*100*($E110/366))</f>
        <v>77.595628415300538</v>
      </c>
      <c r="I188" s="823"/>
      <c r="J188" s="823">
        <f>(P109/$R109*100*($E109/366))+(P110/$R110*100*($E110/366))</f>
        <v>0</v>
      </c>
      <c r="K188" s="823"/>
      <c r="L188" s="823">
        <f>(Q109/$R109*100*($E109/366))+(Q110/$R110*100*($E110/366))</f>
        <v>22.404371584699454</v>
      </c>
      <c r="M188" s="823"/>
      <c r="N188" s="781">
        <f t="shared" si="39"/>
        <v>100</v>
      </c>
      <c r="O188" s="781"/>
      <c r="R188" s="1">
        <v>2004</v>
      </c>
      <c r="S188" s="7">
        <f>(O109*($E109/366))+(O110*($E110/366))</f>
        <v>42.677595628415297</v>
      </c>
      <c r="T188" s="7">
        <f>(P109*($E109/366))+(P110*($E110/366))</f>
        <v>0</v>
      </c>
      <c r="U188" s="7">
        <f>(Q109*($E109/366))+(Q110*($E110/366))</f>
        <v>11.807103825136613</v>
      </c>
      <c r="W188" s="7">
        <f t="shared" si="40"/>
        <v>54.484699453551912</v>
      </c>
    </row>
    <row r="189" spans="1:23" ht="9" customHeight="1" x14ac:dyDescent="0.15">
      <c r="A189" s="1">
        <v>2005</v>
      </c>
      <c r="B189" s="7">
        <f>(K111*($E111/365))+(K112*($E112/365))</f>
        <v>100</v>
      </c>
      <c r="C189" s="7">
        <f>(L111*($E111/365))+(L112*($E112/365))</f>
        <v>0</v>
      </c>
      <c r="D189" s="7">
        <f>(M111*($E111/365))+(M112*($E112/365))</f>
        <v>0</v>
      </c>
      <c r="E189" s="42">
        <f t="shared" si="38"/>
        <v>100</v>
      </c>
      <c r="G189" s="1">
        <v>2005</v>
      </c>
      <c r="H189" s="823">
        <f>(O111/$R111*100*($E111/365))+(O112/$R112*100*($E112/365))</f>
        <v>100</v>
      </c>
      <c r="I189" s="823"/>
      <c r="J189" s="823">
        <f>(P111/$R111*100*($E111/365))+(P112/$R112*100*($E112/365))</f>
        <v>0</v>
      </c>
      <c r="K189" s="823"/>
      <c r="L189" s="823">
        <f>(Q111/$R111*100*($E111/365))+(Q112/$R112*100*($E112/365))</f>
        <v>0</v>
      </c>
      <c r="M189" s="823"/>
      <c r="N189" s="781">
        <f t="shared" si="39"/>
        <v>100</v>
      </c>
      <c r="O189" s="781"/>
      <c r="R189" s="1">
        <v>2005</v>
      </c>
      <c r="S189" s="7">
        <f>(O111*($E111/365))+(O112*($E112/365))</f>
        <v>55</v>
      </c>
      <c r="T189" s="7">
        <f>(P111*($E111/365))+(P112*($E112/365))</f>
        <v>0</v>
      </c>
      <c r="U189" s="7">
        <f>(Q111*($E111/365))+(Q112*($E112/365))</f>
        <v>0</v>
      </c>
      <c r="W189" s="7">
        <f t="shared" si="40"/>
        <v>55</v>
      </c>
    </row>
    <row r="190" spans="1:23" ht="9" customHeight="1" x14ac:dyDescent="0.15">
      <c r="A190" s="1">
        <v>2006</v>
      </c>
      <c r="B190" s="7">
        <f>(K113*($E113/365))+(K114*($E114/365))</f>
        <v>100</v>
      </c>
      <c r="C190" s="7">
        <f>(L113*($E113/365))+(L114*($E114/365))</f>
        <v>0</v>
      </c>
      <c r="D190" s="7">
        <f>(M113*($E113/365))+(M114*($E114/365))</f>
        <v>0</v>
      </c>
      <c r="E190" s="42">
        <f t="shared" si="38"/>
        <v>100</v>
      </c>
      <c r="G190" s="1">
        <v>2006</v>
      </c>
      <c r="H190" s="823">
        <f>(O113/$R113*100*($E113/365))+(O114/$R114*100*($E114/365))</f>
        <v>100</v>
      </c>
      <c r="I190" s="823"/>
      <c r="J190" s="823">
        <f>(P113/$R113*100*($E113/365))+(P114/$R114*100*($E114/365))</f>
        <v>0</v>
      </c>
      <c r="K190" s="823"/>
      <c r="L190" s="823">
        <f>(Q113/$R113*100*($E113/365))+(Q114/$R114*100*($E114/365))</f>
        <v>0</v>
      </c>
      <c r="M190" s="823"/>
      <c r="N190" s="781">
        <f t="shared" si="39"/>
        <v>100</v>
      </c>
      <c r="O190" s="781"/>
      <c r="R190" s="1">
        <v>2006</v>
      </c>
      <c r="S190" s="7">
        <f>(O113*($E113/365))+(O114*($E114/365))</f>
        <v>55</v>
      </c>
      <c r="T190" s="7">
        <f>(P113*($E113/365))+(P114*($E114/365))</f>
        <v>0</v>
      </c>
      <c r="U190" s="7">
        <f>(Q113*($E113/365))+(Q114*($E114/365))</f>
        <v>0</v>
      </c>
      <c r="W190" s="7">
        <f t="shared" si="40"/>
        <v>55</v>
      </c>
    </row>
    <row r="191" spans="1:23" ht="9" customHeight="1" x14ac:dyDescent="0.15">
      <c r="A191" s="1">
        <v>2007</v>
      </c>
      <c r="B191" s="7">
        <f>(K115*($E115/365))+(K116*($E116/365))</f>
        <v>100</v>
      </c>
      <c r="C191" s="7">
        <f>(L115*($E115/365))+(L116*($E116/365))</f>
        <v>0</v>
      </c>
      <c r="D191" s="7">
        <f>(M115*($E115/365))+(M116*($E116/365))</f>
        <v>0</v>
      </c>
      <c r="E191" s="42">
        <f t="shared" si="38"/>
        <v>100</v>
      </c>
      <c r="G191" s="1">
        <v>2007</v>
      </c>
      <c r="H191" s="823">
        <f>(O115/$R115*100*($E115/365))+(O116/$R116*100*($E116/365))</f>
        <v>100</v>
      </c>
      <c r="I191" s="823"/>
      <c r="J191" s="823">
        <f>(P115/$R115*100*($E115/365))+(P116/$R116*100*($E116/365))</f>
        <v>0</v>
      </c>
      <c r="K191" s="823"/>
      <c r="L191" s="823">
        <f>(Q115/$R115*100*($E115/365))+(Q116/$R116*100*($E116/365))</f>
        <v>0</v>
      </c>
      <c r="M191" s="823"/>
      <c r="N191" s="781">
        <f t="shared" si="39"/>
        <v>100</v>
      </c>
      <c r="O191" s="781"/>
      <c r="R191" s="1">
        <v>2007</v>
      </c>
      <c r="S191" s="7">
        <f>(O115*($E115/365))+(O116*($E116/365))</f>
        <v>53.91616438356165</v>
      </c>
      <c r="T191" s="7">
        <f>(P115*($E115/365))+(P116*($E116/365))</f>
        <v>0</v>
      </c>
      <c r="U191" s="7">
        <f>(Q115*($E115/365))+(Q116*($E116/365))</f>
        <v>0</v>
      </c>
      <c r="W191" s="7">
        <f t="shared" si="40"/>
        <v>53.91616438356165</v>
      </c>
    </row>
    <row r="192" spans="1:23" ht="9" customHeight="1" x14ac:dyDescent="0.15">
      <c r="A192" s="1">
        <v>2008</v>
      </c>
      <c r="B192" s="7">
        <f>(K117*($E117/366))+(K118*($E118/366))</f>
        <v>100</v>
      </c>
      <c r="C192" s="7">
        <f>(L117*($E117/366))+(L118*($E118/366))</f>
        <v>0</v>
      </c>
      <c r="D192" s="7">
        <f>(M117*($E117/366))+(M118*($E118/366))</f>
        <v>0</v>
      </c>
      <c r="E192" s="42">
        <f t="shared" si="38"/>
        <v>100</v>
      </c>
      <c r="G192" s="1">
        <v>2008</v>
      </c>
      <c r="H192" s="823">
        <f>(O117/$R117*100*($E117/366))+(O118/$R118*100*($E118/366))</f>
        <v>100</v>
      </c>
      <c r="I192" s="823"/>
      <c r="J192" s="823">
        <f>(P117/$R117*100*($E117/366))+(P118/$R118*100*($E118/366))</f>
        <v>0</v>
      </c>
      <c r="K192" s="823"/>
      <c r="L192" s="823">
        <f>(Q117/$R117*100*($E117/366))+(Q118/$R118*100*($E118/366))</f>
        <v>0</v>
      </c>
      <c r="M192" s="823"/>
      <c r="N192" s="781">
        <f t="shared" si="39"/>
        <v>100</v>
      </c>
      <c r="O192" s="781"/>
      <c r="R192" s="1">
        <v>2008</v>
      </c>
      <c r="S192" s="7">
        <f>(O117*($E117/366))+(O118*($E118/366))</f>
        <v>50.7</v>
      </c>
      <c r="T192" s="7">
        <f>(P117*($E117/366))+(P118*($E118/366))</f>
        <v>0</v>
      </c>
      <c r="U192" s="7">
        <f>(Q117*($E117/366))+(Q118*($E118/366))</f>
        <v>0</v>
      </c>
      <c r="W192" s="7">
        <f t="shared" si="40"/>
        <v>50.7</v>
      </c>
    </row>
    <row r="193" spans="1:24" ht="9" customHeight="1" x14ac:dyDescent="0.15">
      <c r="A193" s="1">
        <v>2009</v>
      </c>
      <c r="B193" s="7">
        <f>(K119*($E119/365))+(K120*($E120/365))</f>
        <v>79.726027397260268</v>
      </c>
      <c r="C193" s="7">
        <f>(L119*($E119/365))+(L120*($E120/365))</f>
        <v>0</v>
      </c>
      <c r="D193" s="7">
        <f>(M119*($E119/365))+(M120*($E120/365))</f>
        <v>20.273972602739725</v>
      </c>
      <c r="E193" s="42">
        <f t="shared" si="38"/>
        <v>100</v>
      </c>
      <c r="G193" s="1">
        <v>2009</v>
      </c>
      <c r="H193" s="823">
        <f>(O119/$R119*100*($E119/365))+(O120/$R120*100*($E120/365))</f>
        <v>79.726027397260268</v>
      </c>
      <c r="I193" s="823"/>
      <c r="J193" s="823">
        <f>(P119/$R119*100*($E119/365))+(P120/$R120*100*($E120/365))</f>
        <v>0</v>
      </c>
      <c r="K193" s="823"/>
      <c r="L193" s="823">
        <f>(Q119/$R119*100*($E119/365))+(Q120/$R120*100*($E120/365))</f>
        <v>20.273972602739725</v>
      </c>
      <c r="M193" s="823"/>
      <c r="N193" s="781">
        <f t="shared" si="39"/>
        <v>100</v>
      </c>
      <c r="O193" s="781"/>
      <c r="R193" s="1">
        <v>2009</v>
      </c>
      <c r="S193" s="7">
        <f>(O119*($E119/365))+(O120*($E120/365))</f>
        <v>40.42109589041096</v>
      </c>
      <c r="T193" s="7">
        <f>(P119*($E119/365))+(P120*($E120/365))</f>
        <v>0</v>
      </c>
      <c r="U193" s="7">
        <f>(Q119*($E119/365))+(Q120*($E120/365))</f>
        <v>10.806027397260273</v>
      </c>
      <c r="W193" s="7">
        <f t="shared" si="40"/>
        <v>51.227123287671233</v>
      </c>
    </row>
    <row r="194" spans="1:24" ht="9" customHeight="1" x14ac:dyDescent="0.15">
      <c r="A194" s="1">
        <v>2010</v>
      </c>
      <c r="B194" s="7">
        <f>(K121*($E121/365))+(K122*($E122/365))</f>
        <v>0</v>
      </c>
      <c r="C194" s="7">
        <f>(L121*($E121/365))+(L122*($E122/365))</f>
        <v>0</v>
      </c>
      <c r="D194" s="7">
        <f>(M121*($E121/365))+(M122*($E122/365))</f>
        <v>100</v>
      </c>
      <c r="E194" s="42">
        <f t="shared" si="38"/>
        <v>100</v>
      </c>
      <c r="G194" s="1">
        <v>2010</v>
      </c>
      <c r="H194" s="823">
        <f>(O121/$R121*100*($E121/365))+(O122/$R122*100*($E122/365))</f>
        <v>0</v>
      </c>
      <c r="I194" s="823"/>
      <c r="J194" s="823">
        <f>(P121/$R121*100*($E121/365))+(P122/$R122*100*($E122/365))</f>
        <v>0</v>
      </c>
      <c r="K194" s="823"/>
      <c r="L194" s="823">
        <f>(Q121/$R121*100*($E121/365))+(Q122/$R122*100*($E122/365))</f>
        <v>100</v>
      </c>
      <c r="M194" s="823"/>
      <c r="N194" s="781">
        <f t="shared" si="39"/>
        <v>100</v>
      </c>
      <c r="O194" s="781"/>
      <c r="R194" s="1">
        <v>2010</v>
      </c>
      <c r="S194" s="7">
        <f>(O121*($E121/365))+(O122*($E122/365))</f>
        <v>0</v>
      </c>
      <c r="T194" s="7">
        <f>(P121*($E121/365))+(P122*($E122/365))</f>
        <v>0</v>
      </c>
      <c r="U194" s="7">
        <f>(Q121*($E121/365))+(Q122*($E122/365))</f>
        <v>53.3</v>
      </c>
      <c r="W194" s="7">
        <f t="shared" si="40"/>
        <v>53.3</v>
      </c>
    </row>
    <row r="195" spans="1:24" ht="9" customHeight="1" x14ac:dyDescent="0.15">
      <c r="A195" s="1">
        <v>2011</v>
      </c>
      <c r="B195" s="7">
        <f>(K123*($E123/365))+(K124*($E124/365))</f>
        <v>2.1004566210045659</v>
      </c>
      <c r="C195" s="7">
        <f>(L123*($E123/365))+(L124*($E124/365))</f>
        <v>0</v>
      </c>
      <c r="D195" s="7">
        <f>(M123*($E123/365))+(M124*($E124/365))</f>
        <v>95.799086757990864</v>
      </c>
      <c r="E195" s="42">
        <f t="shared" si="38"/>
        <v>97.899543378995432</v>
      </c>
      <c r="G195" s="1">
        <v>2011</v>
      </c>
      <c r="H195" s="823">
        <f>(O123/$R123*100*($E123/365))+(O124/$R124*100*($E124/365))</f>
        <v>5.0211818547264926</v>
      </c>
      <c r="I195" s="823"/>
      <c r="J195" s="823">
        <f>(P123/$R123*100*($E123/365))+(P124/$R124*100*($E124/365))</f>
        <v>0</v>
      </c>
      <c r="K195" s="823"/>
      <c r="L195" s="823">
        <f>(Q123/$R123*100*($E123/365))+(Q124/$R124*100*($E124/365))</f>
        <v>94.978818145273507</v>
      </c>
      <c r="M195" s="823"/>
      <c r="N195" s="781">
        <f t="shared" si="39"/>
        <v>100</v>
      </c>
      <c r="O195" s="781"/>
      <c r="R195" s="1">
        <v>2011</v>
      </c>
      <c r="S195" s="7">
        <f>(O123*($E123/365))+(O124*($E124/365))</f>
        <v>4.4487671232876709</v>
      </c>
      <c r="T195" s="7">
        <f>(P123*($E123/365))+(P124*($E124/365))</f>
        <v>0</v>
      </c>
      <c r="U195" s="7">
        <f>(Q123*($E123/365))+(Q124*($E124/365))</f>
        <v>53.3</v>
      </c>
      <c r="W195" s="7">
        <f t="shared" si="40"/>
        <v>57.748767123287671</v>
      </c>
    </row>
    <row r="196" spans="1:24" ht="9" customHeight="1" x14ac:dyDescent="0.15">
      <c r="A196" s="1">
        <v>2012</v>
      </c>
      <c r="B196" s="7">
        <f>(K125*($E125/366))+(K126*($E126/366))+(K127*($E127/366))</f>
        <v>44.474802671523982</v>
      </c>
      <c r="C196" s="7">
        <f>(L125*($E125/366))+(L126*($E126/366))+(L127*($E127/366))</f>
        <v>0</v>
      </c>
      <c r="D196" s="7">
        <f>(M125*($E125/366))+(M126*($E126/366))+(M127*($E127/366))</f>
        <v>39.496053430479662</v>
      </c>
      <c r="E196" s="42">
        <f t="shared" si="38"/>
        <v>83.970856102003637</v>
      </c>
      <c r="G196" s="15">
        <v>2012</v>
      </c>
      <c r="H196" s="847">
        <f>(O125/$R125*100*($E125/366))+(O127/$R127*100*($E127/366))</f>
        <v>53.435773794702193</v>
      </c>
      <c r="I196" s="847"/>
      <c r="J196" s="847">
        <f>(P125/$R125*100*($E125/366))+(P127/$R127*100*($E127/366))</f>
        <v>0</v>
      </c>
      <c r="K196" s="847"/>
      <c r="L196" s="847">
        <f>(Q125/$R125*100*($E125/366))+(Q127/$R127*100*($E127/366))</f>
        <v>36.728160631527317</v>
      </c>
      <c r="M196" s="847"/>
      <c r="N196" s="849">
        <f t="shared" si="39"/>
        <v>90.163934426229503</v>
      </c>
      <c r="O196" s="849"/>
      <c r="R196" s="1">
        <v>2012</v>
      </c>
      <c r="S196" s="7">
        <f>(O125*($E125/366))+(O126*($E126/366))+(O127*($E127/366))</f>
        <v>35.909289617486337</v>
      </c>
      <c r="T196" s="7">
        <f>(P125*($E125/366))+(P126*($E126/366))+(P127*($E127/366))</f>
        <v>0</v>
      </c>
      <c r="U196" s="7">
        <f>(Q125*($E125/366))+(Q126*($E126/366))+(Q127*($E127/366))</f>
        <v>28.28633879781421</v>
      </c>
      <c r="W196" s="7">
        <f t="shared" si="40"/>
        <v>64.195628415300547</v>
      </c>
    </row>
    <row r="197" spans="1:24" x14ac:dyDescent="0.15">
      <c r="A197" s="1">
        <v>2013</v>
      </c>
      <c r="B197" s="7">
        <f>(K128*($E128/365))+(K129*($E129/365))</f>
        <v>76.270928462709264</v>
      </c>
      <c r="C197" s="7">
        <f>(L128*($E128/365))+(L129*($E129/365))</f>
        <v>0</v>
      </c>
      <c r="D197" s="7">
        <f>(M128*($E128/365))+(M129*($E129/365))</f>
        <v>23.729071537290714</v>
      </c>
      <c r="E197" s="298">
        <f t="shared" si="38"/>
        <v>99.999999999999972</v>
      </c>
      <c r="G197" s="1">
        <v>2013</v>
      </c>
      <c r="H197" s="847">
        <f>(O128/$R128*100*($E128/365))+(O129/$R129*100*($E129/365))</f>
        <v>77.811770168945202</v>
      </c>
      <c r="I197" s="847"/>
      <c r="J197" s="847">
        <f>(P128/$R128*100*($E128/365))+(P129/$R129*100*($E129/365))</f>
        <v>0</v>
      </c>
      <c r="K197" s="847"/>
      <c r="L197" s="847">
        <f>(Q128/$R128*100*($E128/365))+(Q129/$R129*100*($E129/365))</f>
        <v>22.188229831054777</v>
      </c>
      <c r="M197" s="847"/>
      <c r="N197" s="849">
        <f>SUM(H197:M197)</f>
        <v>99.999999999999972</v>
      </c>
      <c r="O197" s="849"/>
      <c r="R197" s="1">
        <v>2013</v>
      </c>
      <c r="S197" s="7">
        <f>(O128*($E128/365))+(O129*($E129/365))</f>
        <v>42.479452054794521</v>
      </c>
      <c r="T197" s="7">
        <f>(P128*($E128/365))+(P129*($E129/365))</f>
        <v>0</v>
      </c>
      <c r="U197" s="7">
        <f>(Q128*($E128/365))+(Q129*($E129/365))</f>
        <v>12.356164383561644</v>
      </c>
      <c r="W197" s="7">
        <f t="shared" si="40"/>
        <v>54.835616438356169</v>
      </c>
      <c r="X197" s="7"/>
    </row>
    <row r="198" spans="1:24" x14ac:dyDescent="0.15">
      <c r="A198" s="1">
        <v>2014</v>
      </c>
      <c r="B198" s="7">
        <f>(K130*($E130/365))+(K131*($E131/365))</f>
        <v>80</v>
      </c>
      <c r="C198" s="7">
        <f>(L130*($E130/365))+(L131*($E131/365))</f>
        <v>0</v>
      </c>
      <c r="D198" s="7">
        <f>(M130*($E130/365))+(M131*($E131/365))</f>
        <v>20</v>
      </c>
      <c r="E198" s="533">
        <f>SUM(B198:D198)</f>
        <v>100</v>
      </c>
      <c r="G198" s="1">
        <v>2014</v>
      </c>
      <c r="H198" s="847">
        <f>(O130/$R130*100*($E130/365))+(O131/$R131*100*($E131/365))</f>
        <v>82.35294117647058</v>
      </c>
      <c r="I198" s="847"/>
      <c r="J198" s="847">
        <f>(P130/$R130*100*($E130/365))+(P131/$R131*100*($E131/365))</f>
        <v>0</v>
      </c>
      <c r="K198" s="847"/>
      <c r="L198" s="847">
        <f>(Q130/$R130*100*($E130/365))+(Q131/$R131*100*($E131/365))</f>
        <v>17.647058823529413</v>
      </c>
      <c r="M198" s="847"/>
      <c r="N198" s="849">
        <f>SUM(H198:M198)</f>
        <v>100</v>
      </c>
      <c r="O198" s="849"/>
      <c r="R198" s="1">
        <v>2014</v>
      </c>
      <c r="S198" s="7">
        <f>(O130*($E130/365))+(O131*($E131/365))</f>
        <v>42</v>
      </c>
      <c r="T198" s="7">
        <f>(P130*($E130/365))+(P131*($E131/365))</f>
        <v>0</v>
      </c>
      <c r="U198" s="7">
        <f>(Q130*($E130/365))+(Q131*($E131/365))</f>
        <v>9</v>
      </c>
      <c r="W198" s="7">
        <f>SUM(S198:U198)</f>
        <v>51</v>
      </c>
      <c r="X198" s="7"/>
    </row>
    <row r="199" spans="1:24" s="735" customFormat="1" x14ac:dyDescent="0.15">
      <c r="A199" s="735">
        <v>2015</v>
      </c>
      <c r="B199" s="731">
        <f>(K132*($E132/365))+(K133*($E133/365))+(K134*($E134/365))+(K135*($E135/365))</f>
        <v>10.91019786910198</v>
      </c>
      <c r="C199" s="731">
        <f>(L132*($E132/365))+(L133*($E133/365))+(L134*($E134/365))+(L135*($E135/365))</f>
        <v>0</v>
      </c>
      <c r="D199" s="731">
        <f>(M132*($E132/365))+(M133*($E133/365))+(M134*($E134/365))+(M135*($E135/365))</f>
        <v>67.196347031963469</v>
      </c>
      <c r="E199" s="724">
        <f>SUM(B199:D199)</f>
        <v>78.106544901065448</v>
      </c>
      <c r="G199" s="735">
        <v>2015</v>
      </c>
      <c r="H199" s="847">
        <f>(O132/$R132*100*($E132/365))+(O133/$R133*100*($E133/365))+(O135/$R135*100*($E135/365))</f>
        <v>12.06145886905964</v>
      </c>
      <c r="I199" s="847"/>
      <c r="J199" s="847">
        <f>(P132/$R132*100*($E132/365))+(P133/$R133*100*($E133/365))+(P135/$R135*100*($E135/365))</f>
        <v>0</v>
      </c>
      <c r="K199" s="847"/>
      <c r="L199" s="847">
        <f>(Q132/$R132*100*($E132/365))+(Q133/$R133*100*($E133/365))+(Q135/$R135*100*($E135/365))</f>
        <v>80.815253459707492</v>
      </c>
      <c r="M199" s="847"/>
      <c r="N199" s="849">
        <f>SUM(H199:M199)</f>
        <v>92.876712328767127</v>
      </c>
      <c r="O199" s="849"/>
      <c r="R199" s="735">
        <v>2015</v>
      </c>
      <c r="S199" s="731">
        <f>(O132*($E132/365))+(O133*($E133/365))+(O135*($E135/365))</f>
        <v>6.3019178082191782</v>
      </c>
      <c r="T199" s="731">
        <f>(P132*($E132/365))+(P133*($E133/365))+(P135*($E135/365))</f>
        <v>0</v>
      </c>
      <c r="U199" s="731">
        <f>(Q132*($E132/365))+(Q133*($E133/365))+(Q135*($E135/365))</f>
        <v>42.988493150684931</v>
      </c>
      <c r="W199" s="731">
        <f>SUM(S199:U199)</f>
        <v>49.290410958904111</v>
      </c>
      <c r="X199" s="731"/>
    </row>
    <row r="200" spans="1:24" x14ac:dyDescent="0.15">
      <c r="O200" s="5"/>
    </row>
  </sheetData>
  <mergeCells count="384">
    <mergeCell ref="H199:I199"/>
    <mergeCell ref="J199:K199"/>
    <mergeCell ref="L199:M199"/>
    <mergeCell ref="N199:O199"/>
    <mergeCell ref="H198:I198"/>
    <mergeCell ref="J198:K198"/>
    <mergeCell ref="L198:M198"/>
    <mergeCell ref="N198:O198"/>
    <mergeCell ref="AT4:AW4"/>
    <mergeCell ref="L145:M145"/>
    <mergeCell ref="L146:M146"/>
    <mergeCell ref="L147:M147"/>
    <mergeCell ref="L148:M148"/>
    <mergeCell ref="N197:O197"/>
    <mergeCell ref="H197:I197"/>
    <mergeCell ref="J197:K197"/>
    <mergeCell ref="L197:M197"/>
    <mergeCell ref="L155:M155"/>
    <mergeCell ref="N157:O157"/>
    <mergeCell ref="L156:M156"/>
    <mergeCell ref="L157:M157"/>
    <mergeCell ref="J155:K155"/>
    <mergeCell ref="H155:I155"/>
    <mergeCell ref="N155:O155"/>
    <mergeCell ref="N156:O156"/>
    <mergeCell ref="N153:O153"/>
    <mergeCell ref="L153:M153"/>
    <mergeCell ref="L154:M154"/>
    <mergeCell ref="AX4:BA4"/>
    <mergeCell ref="C7:D7"/>
    <mergeCell ref="C6:D6"/>
    <mergeCell ref="C29:D29"/>
    <mergeCell ref="N152:O152"/>
    <mergeCell ref="J152:K152"/>
    <mergeCell ref="J144:K144"/>
    <mergeCell ref="J145:K145"/>
    <mergeCell ref="J146:K146"/>
    <mergeCell ref="L144:M144"/>
    <mergeCell ref="L149:M149"/>
    <mergeCell ref="N144:O144"/>
    <mergeCell ref="N145:O145"/>
    <mergeCell ref="N146:O146"/>
    <mergeCell ref="N147:O147"/>
    <mergeCell ref="N148:O148"/>
    <mergeCell ref="N149:O149"/>
    <mergeCell ref="N150:O150"/>
    <mergeCell ref="J147:K147"/>
    <mergeCell ref="J148:K148"/>
    <mergeCell ref="H144:I144"/>
    <mergeCell ref="H145:I145"/>
    <mergeCell ref="H146:I146"/>
    <mergeCell ref="N151:O151"/>
    <mergeCell ref="L150:M150"/>
    <mergeCell ref="J150:K150"/>
    <mergeCell ref="J151:K151"/>
    <mergeCell ref="N154:O154"/>
    <mergeCell ref="L151:M151"/>
    <mergeCell ref="L152:M152"/>
    <mergeCell ref="H147:I147"/>
    <mergeCell ref="H148:I148"/>
    <mergeCell ref="H149:I149"/>
    <mergeCell ref="N196:O196"/>
    <mergeCell ref="N187:O187"/>
    <mergeCell ref="N188:O188"/>
    <mergeCell ref="N189:O189"/>
    <mergeCell ref="N190:O190"/>
    <mergeCell ref="N191:O191"/>
    <mergeCell ref="N192:O192"/>
    <mergeCell ref="N184:O184"/>
    <mergeCell ref="N185:O185"/>
    <mergeCell ref="N186:O186"/>
    <mergeCell ref="N193:O193"/>
    <mergeCell ref="N194:O194"/>
    <mergeCell ref="N195:O195"/>
    <mergeCell ref="H162:I162"/>
    <mergeCell ref="H163:I163"/>
    <mergeCell ref="H164:I164"/>
    <mergeCell ref="N181:O181"/>
    <mergeCell ref="N182:O182"/>
    <mergeCell ref="N183:O183"/>
    <mergeCell ref="H165:I165"/>
    <mergeCell ref="H166:I166"/>
    <mergeCell ref="H167:I167"/>
    <mergeCell ref="H168:I168"/>
    <mergeCell ref="H169:I169"/>
    <mergeCell ref="H170:I170"/>
    <mergeCell ref="H171:I171"/>
    <mergeCell ref="H172:I172"/>
    <mergeCell ref="H173:I173"/>
    <mergeCell ref="H174:I174"/>
    <mergeCell ref="H175:I175"/>
    <mergeCell ref="H177:I177"/>
    <mergeCell ref="H178:I178"/>
    <mergeCell ref="H179:I179"/>
    <mergeCell ref="H180:I180"/>
    <mergeCell ref="J177:K177"/>
    <mergeCell ref="J178:K178"/>
    <mergeCell ref="H176:I176"/>
    <mergeCell ref="N172:O172"/>
    <mergeCell ref="N173:O173"/>
    <mergeCell ref="N174:O174"/>
    <mergeCell ref="N175:O175"/>
    <mergeCell ref="N176:O176"/>
    <mergeCell ref="L176:M176"/>
    <mergeCell ref="J173:K173"/>
    <mergeCell ref="J174:K174"/>
    <mergeCell ref="H196:I196"/>
    <mergeCell ref="H192:I192"/>
    <mergeCell ref="H193:I193"/>
    <mergeCell ref="H194:I194"/>
    <mergeCell ref="H195:I195"/>
    <mergeCell ref="H190:I190"/>
    <mergeCell ref="H191:I191"/>
    <mergeCell ref="J195:K195"/>
    <mergeCell ref="J196:K196"/>
    <mergeCell ref="J192:K192"/>
    <mergeCell ref="J193:K193"/>
    <mergeCell ref="J194:K194"/>
    <mergeCell ref="J190:K190"/>
    <mergeCell ref="J191:K191"/>
    <mergeCell ref="H186:I186"/>
    <mergeCell ref="H187:I187"/>
    <mergeCell ref="H189:I189"/>
    <mergeCell ref="J171:K171"/>
    <mergeCell ref="J172:K172"/>
    <mergeCell ref="H181:I181"/>
    <mergeCell ref="H182:I182"/>
    <mergeCell ref="J165:K165"/>
    <mergeCell ref="J166:K166"/>
    <mergeCell ref="J167:K167"/>
    <mergeCell ref="J168:K168"/>
    <mergeCell ref="J169:K169"/>
    <mergeCell ref="J170:K170"/>
    <mergeCell ref="J189:K189"/>
    <mergeCell ref="J187:K187"/>
    <mergeCell ref="J188:K188"/>
    <mergeCell ref="H183:I183"/>
    <mergeCell ref="H184:I184"/>
    <mergeCell ref="H185:I185"/>
    <mergeCell ref="J181:K181"/>
    <mergeCell ref="J182:K182"/>
    <mergeCell ref="J183:K183"/>
    <mergeCell ref="J184:K184"/>
    <mergeCell ref="J186:K186"/>
    <mergeCell ref="J179:K179"/>
    <mergeCell ref="L167:M167"/>
    <mergeCell ref="L168:M168"/>
    <mergeCell ref="L169:M169"/>
    <mergeCell ref="L170:M170"/>
    <mergeCell ref="L171:M171"/>
    <mergeCell ref="L172:M172"/>
    <mergeCell ref="L173:M173"/>
    <mergeCell ref="J175:K175"/>
    <mergeCell ref="H188:I188"/>
    <mergeCell ref="J180:K180"/>
    <mergeCell ref="L174:M174"/>
    <mergeCell ref="L175:M175"/>
    <mergeCell ref="L177:M177"/>
    <mergeCell ref="L178:M178"/>
    <mergeCell ref="L179:M179"/>
    <mergeCell ref="L180:M180"/>
    <mergeCell ref="J185:K185"/>
    <mergeCell ref="J176:K176"/>
    <mergeCell ref="L181:M181"/>
    <mergeCell ref="L182:M182"/>
    <mergeCell ref="L183:M183"/>
    <mergeCell ref="L184:M184"/>
    <mergeCell ref="L185:M185"/>
    <mergeCell ref="L186:M186"/>
    <mergeCell ref="L196:M196"/>
    <mergeCell ref="L188:M188"/>
    <mergeCell ref="L189:M189"/>
    <mergeCell ref="L190:M190"/>
    <mergeCell ref="L191:M191"/>
    <mergeCell ref="L192:M192"/>
    <mergeCell ref="L193:M193"/>
    <mergeCell ref="L194:M194"/>
    <mergeCell ref="L195:M195"/>
    <mergeCell ref="L187:M187"/>
    <mergeCell ref="N177:O177"/>
    <mergeCell ref="N178:O178"/>
    <mergeCell ref="N179:O179"/>
    <mergeCell ref="N180:O180"/>
    <mergeCell ref="N163:O163"/>
    <mergeCell ref="N164:O164"/>
    <mergeCell ref="L158:M158"/>
    <mergeCell ref="J158:K158"/>
    <mergeCell ref="L164:M164"/>
    <mergeCell ref="L165:M165"/>
    <mergeCell ref="L166:M166"/>
    <mergeCell ref="N162:O162"/>
    <mergeCell ref="N159:O159"/>
    <mergeCell ref="N160:O160"/>
    <mergeCell ref="N158:O158"/>
    <mergeCell ref="L159:M159"/>
    <mergeCell ref="L160:M160"/>
    <mergeCell ref="L161:M161"/>
    <mergeCell ref="L162:M162"/>
    <mergeCell ref="L163:M163"/>
    <mergeCell ref="J159:K159"/>
    <mergeCell ref="J160:K160"/>
    <mergeCell ref="J161:K161"/>
    <mergeCell ref="J162:K162"/>
    <mergeCell ref="J163:K163"/>
    <mergeCell ref="N165:O165"/>
    <mergeCell ref="N166:O166"/>
    <mergeCell ref="J164:K164"/>
    <mergeCell ref="C44:D44"/>
    <mergeCell ref="N171:O171"/>
    <mergeCell ref="N169:O169"/>
    <mergeCell ref="N170:O170"/>
    <mergeCell ref="N167:O167"/>
    <mergeCell ref="N168:O168"/>
    <mergeCell ref="C45:D45"/>
    <mergeCell ref="C46:D46"/>
    <mergeCell ref="C47:D47"/>
    <mergeCell ref="C48:D48"/>
    <mergeCell ref="C49:D49"/>
    <mergeCell ref="C50:D50"/>
    <mergeCell ref="C51:D51"/>
    <mergeCell ref="C52:D52"/>
    <mergeCell ref="C53:D53"/>
    <mergeCell ref="C54:D54"/>
    <mergeCell ref="C55:D55"/>
    <mergeCell ref="C56:D56"/>
    <mergeCell ref="C57:D57"/>
    <mergeCell ref="R140:W140"/>
    <mergeCell ref="H142:I142"/>
    <mergeCell ref="J142:K142"/>
    <mergeCell ref="L142:M142"/>
    <mergeCell ref="N142:O142"/>
    <mergeCell ref="N161:O161"/>
    <mergeCell ref="H158:I158"/>
    <mergeCell ref="H159:I159"/>
    <mergeCell ref="H160:I160"/>
    <mergeCell ref="H161:I161"/>
    <mergeCell ref="L143:M143"/>
    <mergeCell ref="N143:O143"/>
    <mergeCell ref="J156:K156"/>
    <mergeCell ref="J157:K157"/>
    <mergeCell ref="H156:I156"/>
    <mergeCell ref="H157:I157"/>
    <mergeCell ref="H150:I150"/>
    <mergeCell ref="H151:I151"/>
    <mergeCell ref="H153:I153"/>
    <mergeCell ref="H154:I154"/>
    <mergeCell ref="J153:K153"/>
    <mergeCell ref="J154:K154"/>
    <mergeCell ref="H152:I152"/>
    <mergeCell ref="J149:K149"/>
    <mergeCell ref="G3:M3"/>
    <mergeCell ref="O3:Q3"/>
    <mergeCell ref="A4:A5"/>
    <mergeCell ref="B4:B5"/>
    <mergeCell ref="C4:D5"/>
    <mergeCell ref="E4:E5"/>
    <mergeCell ref="F4:F5"/>
    <mergeCell ref="G4:J4"/>
    <mergeCell ref="Z4:AC4"/>
    <mergeCell ref="AD4:AG4"/>
    <mergeCell ref="AH4:AK4"/>
    <mergeCell ref="AL4:AO4"/>
    <mergeCell ref="U4:U5"/>
    <mergeCell ref="V4:Y4"/>
    <mergeCell ref="AP4:AS4"/>
    <mergeCell ref="K4:N4"/>
    <mergeCell ref="O4:R4"/>
    <mergeCell ref="S4:S5"/>
    <mergeCell ref="T4:T5"/>
    <mergeCell ref="C33:D33"/>
    <mergeCell ref="C34:D34"/>
    <mergeCell ref="C35:D35"/>
    <mergeCell ref="C21:D21"/>
    <mergeCell ref="C24:D24"/>
    <mergeCell ref="C25:D25"/>
    <mergeCell ref="C26:D26"/>
    <mergeCell ref="C27:D27"/>
    <mergeCell ref="C28:D28"/>
    <mergeCell ref="C22:D22"/>
    <mergeCell ref="C23:D23"/>
    <mergeCell ref="C43:D43"/>
    <mergeCell ref="C8:D8"/>
    <mergeCell ref="C9:D9"/>
    <mergeCell ref="C10:D10"/>
    <mergeCell ref="C12:D12"/>
    <mergeCell ref="C13:D13"/>
    <mergeCell ref="C14:D14"/>
    <mergeCell ref="C15:D15"/>
    <mergeCell ref="C19:D19"/>
    <mergeCell ref="C20:D20"/>
    <mergeCell ref="C42:D42"/>
    <mergeCell ref="C11:D11"/>
    <mergeCell ref="C16:D16"/>
    <mergeCell ref="C17:D17"/>
    <mergeCell ref="C18:D18"/>
    <mergeCell ref="C36:D36"/>
    <mergeCell ref="C37:D37"/>
    <mergeCell ref="C38:D38"/>
    <mergeCell ref="C39:D39"/>
    <mergeCell ref="C40:D40"/>
    <mergeCell ref="C41:D41"/>
    <mergeCell ref="C30:D30"/>
    <mergeCell ref="C31:D31"/>
    <mergeCell ref="C32:D32"/>
    <mergeCell ref="C58:D58"/>
    <mergeCell ref="C59:D59"/>
    <mergeCell ref="C60:D60"/>
    <mergeCell ref="C61:D61"/>
    <mergeCell ref="C62:D62"/>
    <mergeCell ref="C63:D63"/>
    <mergeCell ref="C64:D64"/>
    <mergeCell ref="C65:D65"/>
    <mergeCell ref="C66:D66"/>
    <mergeCell ref="C68:D68"/>
    <mergeCell ref="C69:D69"/>
    <mergeCell ref="C67:D67"/>
    <mergeCell ref="C70:D70"/>
    <mergeCell ref="C71:D71"/>
    <mergeCell ref="C72:D72"/>
    <mergeCell ref="C73:D73"/>
    <mergeCell ref="C74:D74"/>
    <mergeCell ref="C77:D77"/>
    <mergeCell ref="C76:D76"/>
    <mergeCell ref="C75:D75"/>
    <mergeCell ref="C78:D78"/>
    <mergeCell ref="C79:D79"/>
    <mergeCell ref="C81:D81"/>
    <mergeCell ref="C82:D82"/>
    <mergeCell ref="C83:D83"/>
    <mergeCell ref="C84:D84"/>
    <mergeCell ref="C80:D80"/>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14:D114"/>
    <mergeCell ref="C115:D115"/>
    <mergeCell ref="C116:D116"/>
    <mergeCell ref="C117:D117"/>
    <mergeCell ref="C118:D118"/>
    <mergeCell ref="C119:D119"/>
    <mergeCell ref="C120:D120"/>
    <mergeCell ref="C121:D121"/>
    <mergeCell ref="C109:D109"/>
    <mergeCell ref="C110:D110"/>
    <mergeCell ref="H143:I143"/>
    <mergeCell ref="J143:K143"/>
    <mergeCell ref="C122:D122"/>
    <mergeCell ref="C111:D111"/>
    <mergeCell ref="C112:D112"/>
    <mergeCell ref="C113:D113"/>
    <mergeCell ref="C131:D131"/>
    <mergeCell ref="C132:D132"/>
    <mergeCell ref="C133:D133"/>
    <mergeCell ref="C134:D134"/>
    <mergeCell ref="C135:D135"/>
    <mergeCell ref="C123:D123"/>
    <mergeCell ref="C124:D124"/>
    <mergeCell ref="C125:D125"/>
    <mergeCell ref="C126:D126"/>
    <mergeCell ref="C127:D127"/>
    <mergeCell ref="C128:D128"/>
    <mergeCell ref="C129:D129"/>
    <mergeCell ref="C130:D130"/>
  </mergeCells>
  <phoneticPr fontId="0" type="noConversion"/>
  <pageMargins left="0.78740157499999996" right="0.78740157499999996" top="0.984251969" bottom="0.984251969" header="0.4921259845" footer="0.4921259845"/>
  <pageSetup paperSize="9" orientation="portrait" r:id="rId1"/>
  <headerFooter alignWithMargins="0"/>
  <ignoredErrors>
    <ignoredError sqref="N126" formulaRange="1"/>
  </ignoredErrors>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94"/>
  <sheetViews>
    <sheetView zoomScale="120" zoomScaleNormal="120" workbookViewId="0">
      <pane xSplit="1" ySplit="5" topLeftCell="B57" activePane="bottomRight" state="frozen"/>
      <selection pane="topRight" activeCell="B1" sqref="B1"/>
      <selection pane="bottomLeft" activeCell="A6" sqref="A6"/>
      <selection pane="bottomRight" activeCell="W93" sqref="W93"/>
    </sheetView>
  </sheetViews>
  <sheetFormatPr baseColWidth="10" defaultColWidth="10.7109375" defaultRowHeight="9" x14ac:dyDescent="0.15"/>
  <cols>
    <col min="1" max="1" width="5.85546875" style="1" customWidth="1"/>
    <col min="2" max="6" width="7.85546875" style="1" customWidth="1"/>
    <col min="7" max="18" width="4.5703125" style="1" customWidth="1"/>
    <col min="19" max="21" width="7.85546875" style="1" customWidth="1"/>
    <col min="22" max="53" width="5.7109375" style="1" customWidth="1"/>
    <col min="54" max="16384" width="10.7109375" style="1"/>
  </cols>
  <sheetData>
    <row r="1" spans="1:53" s="2" customFormat="1" ht="15" customHeight="1" x14ac:dyDescent="0.2">
      <c r="B1" s="22" t="s">
        <v>14</v>
      </c>
    </row>
    <row r="2" spans="1:53" s="2" customFormat="1" ht="15" customHeight="1" x14ac:dyDescent="0.2">
      <c r="B2" s="22" t="s">
        <v>141</v>
      </c>
    </row>
    <row r="3" spans="1:53" s="2" customFormat="1" x14ac:dyDescent="0.15">
      <c r="G3" s="814"/>
      <c r="H3" s="814"/>
      <c r="I3" s="814"/>
      <c r="J3" s="814"/>
      <c r="K3" s="814"/>
      <c r="L3" s="814"/>
      <c r="M3" s="814"/>
      <c r="O3" s="814"/>
      <c r="P3" s="814"/>
      <c r="Q3" s="814"/>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1" t="s">
        <v>23</v>
      </c>
      <c r="AU5" s="351" t="s">
        <v>24</v>
      </c>
      <c r="AV5" s="351" t="s">
        <v>25</v>
      </c>
      <c r="AW5" s="353" t="s">
        <v>1217</v>
      </c>
      <c r="AX5" s="351" t="s">
        <v>23</v>
      </c>
      <c r="AY5" s="351" t="s">
        <v>24</v>
      </c>
      <c r="AZ5" s="351" t="s">
        <v>25</v>
      </c>
      <c r="BA5" s="354" t="s">
        <v>1217</v>
      </c>
    </row>
    <row r="6" spans="1:53" s="73" customFormat="1" x14ac:dyDescent="0.15">
      <c r="A6" s="537">
        <v>1990</v>
      </c>
      <c r="B6" s="534"/>
      <c r="C6" s="826" t="s">
        <v>1283</v>
      </c>
      <c r="D6" s="826"/>
      <c r="E6" s="537">
        <v>142</v>
      </c>
      <c r="F6" s="537"/>
      <c r="G6" s="480"/>
      <c r="H6" s="537"/>
      <c r="I6" s="537"/>
      <c r="J6" s="482"/>
      <c r="K6" s="477"/>
      <c r="L6" s="477"/>
      <c r="M6" s="477"/>
      <c r="N6" s="481"/>
      <c r="O6" s="476"/>
      <c r="P6" s="477"/>
      <c r="Q6" s="477"/>
      <c r="R6" s="478"/>
      <c r="S6" s="537"/>
      <c r="T6" s="479"/>
      <c r="U6" s="534"/>
      <c r="V6" s="82"/>
      <c r="Y6" s="83"/>
      <c r="AD6" s="82"/>
      <c r="AG6" s="83"/>
      <c r="AL6" s="82"/>
      <c r="AO6" s="83"/>
      <c r="AP6" s="82"/>
      <c r="AS6" s="83"/>
      <c r="AW6" s="83"/>
      <c r="BA6" s="84"/>
    </row>
    <row r="7" spans="1:53" s="334" customFormat="1" x14ac:dyDescent="0.15">
      <c r="A7" s="538">
        <v>1990</v>
      </c>
      <c r="B7" s="535">
        <v>33016</v>
      </c>
      <c r="C7" s="812" t="s">
        <v>1118</v>
      </c>
      <c r="D7" s="812"/>
      <c r="E7" s="538">
        <v>212</v>
      </c>
      <c r="F7" s="538" t="s">
        <v>348</v>
      </c>
      <c r="G7" s="497">
        <v>9</v>
      </c>
      <c r="H7" s="538">
        <v>1</v>
      </c>
      <c r="I7" s="538">
        <v>4</v>
      </c>
      <c r="J7" s="499">
        <v>17</v>
      </c>
      <c r="K7" s="495">
        <f>G7/J7*100</f>
        <v>52.941176470588239</v>
      </c>
      <c r="L7" s="495">
        <f>H7/J7*100</f>
        <v>5.8823529411764701</v>
      </c>
      <c r="M7" s="495">
        <f>I7/J7*100</f>
        <v>23.52941176470588</v>
      </c>
      <c r="N7" s="498">
        <f>SUM(K7:M7)</f>
        <v>82.352941176470594</v>
      </c>
      <c r="O7" s="494">
        <v>42.5</v>
      </c>
      <c r="P7" s="495">
        <v>5.4</v>
      </c>
      <c r="Q7" s="495">
        <v>11.4</v>
      </c>
      <c r="R7" s="496">
        <f>SUM(O7:Q7)</f>
        <v>59.3</v>
      </c>
      <c r="S7" s="538">
        <v>3</v>
      </c>
      <c r="T7" s="487">
        <v>32971</v>
      </c>
      <c r="U7" s="535">
        <v>33016</v>
      </c>
      <c r="V7" s="343" t="s">
        <v>1126</v>
      </c>
      <c r="W7" s="334" t="s">
        <v>74</v>
      </c>
      <c r="X7" s="334" t="s">
        <v>11</v>
      </c>
      <c r="Y7" s="344">
        <v>42.5</v>
      </c>
      <c r="Z7" s="334" t="s">
        <v>1127</v>
      </c>
      <c r="AA7" s="334" t="s">
        <v>886</v>
      </c>
      <c r="AB7" s="334" t="s">
        <v>12</v>
      </c>
      <c r="AC7" s="334">
        <v>11.4</v>
      </c>
      <c r="AD7" s="343" t="s">
        <v>1128</v>
      </c>
      <c r="AE7" s="334" t="s">
        <v>17</v>
      </c>
      <c r="AF7" s="334" t="s">
        <v>18</v>
      </c>
      <c r="AG7" s="344">
        <v>5.4</v>
      </c>
      <c r="AL7" s="343"/>
      <c r="AO7" s="344"/>
      <c r="AP7" s="343"/>
      <c r="AS7" s="344"/>
      <c r="AW7" s="344"/>
      <c r="BA7" s="345"/>
    </row>
    <row r="8" spans="1:53" s="334" customFormat="1" x14ac:dyDescent="0.15">
      <c r="A8" s="538">
        <v>1990</v>
      </c>
      <c r="B8" s="502">
        <v>33228</v>
      </c>
      <c r="C8" s="812" t="s">
        <v>1118</v>
      </c>
      <c r="D8" s="812"/>
      <c r="E8" s="538">
        <v>11</v>
      </c>
      <c r="F8" s="501">
        <v>0</v>
      </c>
      <c r="G8" s="497">
        <v>11</v>
      </c>
      <c r="H8" s="538">
        <v>1</v>
      </c>
      <c r="I8" s="538">
        <v>4</v>
      </c>
      <c r="J8" s="499">
        <v>19</v>
      </c>
      <c r="K8" s="495">
        <f t="shared" ref="K8:K49" si="0">G8/J8*100</f>
        <v>57.894736842105267</v>
      </c>
      <c r="L8" s="495">
        <f t="shared" ref="L8:L49" si="1">H8/J8*100</f>
        <v>5.2631578947368416</v>
      </c>
      <c r="M8" s="495">
        <f t="shared" ref="M8:M49" si="2">I8/J8*100</f>
        <v>21.052631578947366</v>
      </c>
      <c r="N8" s="498">
        <f t="shared" ref="N8:N56" si="3">SUM(K8:M8)</f>
        <v>84.21052631578948</v>
      </c>
      <c r="O8" s="494">
        <v>42.5</v>
      </c>
      <c r="P8" s="495">
        <v>5.4</v>
      </c>
      <c r="Q8" s="495">
        <v>11.4</v>
      </c>
      <c r="R8" s="496">
        <f t="shared" ref="R8:R35" si="4">SUM(O8:Q8)</f>
        <v>59.3</v>
      </c>
      <c r="S8" s="538">
        <v>3</v>
      </c>
      <c r="T8" s="487"/>
      <c r="U8" s="535"/>
      <c r="V8" s="343" t="s">
        <v>1126</v>
      </c>
      <c r="W8" s="334" t="s">
        <v>74</v>
      </c>
      <c r="X8" s="334" t="s">
        <v>11</v>
      </c>
      <c r="Y8" s="344">
        <v>42.5</v>
      </c>
      <c r="Z8" s="334" t="s">
        <v>1127</v>
      </c>
      <c r="AA8" s="334" t="s">
        <v>886</v>
      </c>
      <c r="AB8" s="334" t="s">
        <v>12</v>
      </c>
      <c r="AC8" s="334">
        <v>11.4</v>
      </c>
      <c r="AD8" s="343" t="s">
        <v>1128</v>
      </c>
      <c r="AE8" s="334" t="s">
        <v>17</v>
      </c>
      <c r="AF8" s="334" t="s">
        <v>18</v>
      </c>
      <c r="AG8" s="344">
        <v>5.4</v>
      </c>
      <c r="AL8" s="343"/>
      <c r="AO8" s="344"/>
      <c r="AP8" s="343"/>
      <c r="AS8" s="344"/>
      <c r="AW8" s="344"/>
      <c r="BA8" s="345"/>
    </row>
    <row r="9" spans="1:53" s="334" customFormat="1" x14ac:dyDescent="0.15">
      <c r="A9" s="538">
        <v>1991</v>
      </c>
      <c r="B9" s="535"/>
      <c r="C9" s="812" t="s">
        <v>1118</v>
      </c>
      <c r="D9" s="812"/>
      <c r="E9" s="538">
        <v>0</v>
      </c>
      <c r="F9" s="538"/>
      <c r="G9" s="497">
        <v>11</v>
      </c>
      <c r="H9" s="538">
        <v>1</v>
      </c>
      <c r="I9" s="538">
        <v>4</v>
      </c>
      <c r="J9" s="499">
        <v>19</v>
      </c>
      <c r="K9" s="495">
        <f t="shared" si="0"/>
        <v>57.894736842105267</v>
      </c>
      <c r="L9" s="495">
        <f t="shared" si="1"/>
        <v>5.2631578947368416</v>
      </c>
      <c r="M9" s="495">
        <f t="shared" si="2"/>
        <v>21.052631578947366</v>
      </c>
      <c r="N9" s="498">
        <f t="shared" si="3"/>
        <v>84.21052631578948</v>
      </c>
      <c r="O9" s="494">
        <v>42.5</v>
      </c>
      <c r="P9" s="495">
        <v>5.4</v>
      </c>
      <c r="Q9" s="495">
        <v>11.4</v>
      </c>
      <c r="R9" s="496">
        <f t="shared" si="4"/>
        <v>59.3</v>
      </c>
      <c r="S9" s="538">
        <v>3</v>
      </c>
      <c r="T9" s="487"/>
      <c r="U9" s="535"/>
      <c r="V9" s="343" t="s">
        <v>1126</v>
      </c>
      <c r="W9" s="334" t="s">
        <v>74</v>
      </c>
      <c r="X9" s="334" t="s">
        <v>11</v>
      </c>
      <c r="Y9" s="344">
        <v>42.5</v>
      </c>
      <c r="Z9" s="334" t="s">
        <v>1127</v>
      </c>
      <c r="AA9" s="334" t="s">
        <v>886</v>
      </c>
      <c r="AB9" s="334" t="s">
        <v>12</v>
      </c>
      <c r="AC9" s="334">
        <v>11.4</v>
      </c>
      <c r="AD9" s="343" t="s">
        <v>1128</v>
      </c>
      <c r="AE9" s="334" t="s">
        <v>17</v>
      </c>
      <c r="AF9" s="334" t="s">
        <v>18</v>
      </c>
      <c r="AG9" s="344">
        <v>5.4</v>
      </c>
      <c r="AL9" s="343"/>
      <c r="AO9" s="344"/>
      <c r="AP9" s="343"/>
      <c r="AS9" s="344"/>
      <c r="AW9" s="344"/>
      <c r="BA9" s="345"/>
    </row>
    <row r="10" spans="1:53" s="334" customFormat="1" x14ac:dyDescent="0.15">
      <c r="A10" s="538">
        <v>1991</v>
      </c>
      <c r="B10" s="535"/>
      <c r="C10" s="812" t="s">
        <v>1118</v>
      </c>
      <c r="D10" s="812"/>
      <c r="E10" s="538">
        <v>365</v>
      </c>
      <c r="F10" s="538"/>
      <c r="G10" s="497">
        <v>11</v>
      </c>
      <c r="H10" s="538">
        <v>1</v>
      </c>
      <c r="I10" s="538">
        <v>4</v>
      </c>
      <c r="J10" s="499">
        <v>19</v>
      </c>
      <c r="K10" s="495">
        <f t="shared" si="0"/>
        <v>57.894736842105267</v>
      </c>
      <c r="L10" s="495">
        <f t="shared" si="1"/>
        <v>5.2631578947368416</v>
      </c>
      <c r="M10" s="495">
        <f t="shared" si="2"/>
        <v>21.052631578947366</v>
      </c>
      <c r="N10" s="498">
        <f t="shared" si="3"/>
        <v>84.21052631578948</v>
      </c>
      <c r="O10" s="494">
        <v>42.5</v>
      </c>
      <c r="P10" s="495">
        <v>5.4</v>
      </c>
      <c r="Q10" s="495">
        <v>11.4</v>
      </c>
      <c r="R10" s="496">
        <f t="shared" si="4"/>
        <v>59.3</v>
      </c>
      <c r="S10" s="538">
        <v>3</v>
      </c>
      <c r="T10" s="487"/>
      <c r="U10" s="535"/>
      <c r="V10" s="343" t="s">
        <v>1126</v>
      </c>
      <c r="W10" s="334" t="s">
        <v>74</v>
      </c>
      <c r="X10" s="334" t="s">
        <v>11</v>
      </c>
      <c r="Y10" s="344">
        <v>42.5</v>
      </c>
      <c r="Z10" s="334" t="s">
        <v>1127</v>
      </c>
      <c r="AA10" s="334" t="s">
        <v>886</v>
      </c>
      <c r="AB10" s="334" t="s">
        <v>12</v>
      </c>
      <c r="AC10" s="334">
        <v>11.4</v>
      </c>
      <c r="AD10" s="343" t="s">
        <v>1128</v>
      </c>
      <c r="AE10" s="334" t="s">
        <v>17</v>
      </c>
      <c r="AF10" s="334" t="s">
        <v>18</v>
      </c>
      <c r="AG10" s="344">
        <v>5.4</v>
      </c>
      <c r="AL10" s="343"/>
      <c r="AO10" s="344"/>
      <c r="AP10" s="343"/>
      <c r="AS10" s="344"/>
      <c r="AW10" s="344"/>
      <c r="BA10" s="345"/>
    </row>
    <row r="11" spans="1:53" s="334" customFormat="1" x14ac:dyDescent="0.15">
      <c r="A11" s="538">
        <v>1992</v>
      </c>
      <c r="B11" s="535"/>
      <c r="C11" s="812" t="s">
        <v>1118</v>
      </c>
      <c r="D11" s="812"/>
      <c r="E11" s="538">
        <v>51</v>
      </c>
      <c r="F11" s="538"/>
      <c r="G11" s="497">
        <v>11</v>
      </c>
      <c r="H11" s="538">
        <v>1</v>
      </c>
      <c r="I11" s="538">
        <v>4</v>
      </c>
      <c r="J11" s="499">
        <v>19</v>
      </c>
      <c r="K11" s="495">
        <f t="shared" si="0"/>
        <v>57.894736842105267</v>
      </c>
      <c r="L11" s="495">
        <f t="shared" si="1"/>
        <v>5.2631578947368416</v>
      </c>
      <c r="M11" s="495">
        <f t="shared" si="2"/>
        <v>21.052631578947366</v>
      </c>
      <c r="N11" s="498">
        <f t="shared" si="3"/>
        <v>84.21052631578948</v>
      </c>
      <c r="O11" s="494">
        <v>42.5</v>
      </c>
      <c r="P11" s="495">
        <v>5.4</v>
      </c>
      <c r="Q11" s="495">
        <v>11.4</v>
      </c>
      <c r="R11" s="496">
        <f t="shared" si="4"/>
        <v>59.3</v>
      </c>
      <c r="S11" s="538">
        <v>3</v>
      </c>
      <c r="T11" s="487"/>
      <c r="U11" s="535"/>
      <c r="V11" s="343" t="s">
        <v>1126</v>
      </c>
      <c r="W11" s="334" t="s">
        <v>74</v>
      </c>
      <c r="X11" s="334" t="s">
        <v>11</v>
      </c>
      <c r="Y11" s="344">
        <v>42.5</v>
      </c>
      <c r="Z11" s="334" t="s">
        <v>1127</v>
      </c>
      <c r="AA11" s="334" t="s">
        <v>886</v>
      </c>
      <c r="AB11" s="334" t="s">
        <v>12</v>
      </c>
      <c r="AC11" s="334">
        <v>11.4</v>
      </c>
      <c r="AD11" s="343" t="s">
        <v>1128</v>
      </c>
      <c r="AE11" s="334" t="s">
        <v>17</v>
      </c>
      <c r="AF11" s="334" t="s">
        <v>18</v>
      </c>
      <c r="AG11" s="344">
        <v>5.4</v>
      </c>
      <c r="AL11" s="343"/>
      <c r="AO11" s="344"/>
      <c r="AP11" s="343"/>
      <c r="AS11" s="344"/>
      <c r="AW11" s="344"/>
      <c r="BA11" s="345"/>
    </row>
    <row r="12" spans="1:53" s="334" customFormat="1" x14ac:dyDescent="0.15">
      <c r="A12" s="538">
        <v>1992</v>
      </c>
      <c r="B12" s="502">
        <v>33655</v>
      </c>
      <c r="C12" s="812" t="s">
        <v>1118</v>
      </c>
      <c r="D12" s="812"/>
      <c r="E12" s="538">
        <v>315</v>
      </c>
      <c r="F12" s="501">
        <v>0</v>
      </c>
      <c r="G12" s="497">
        <v>11</v>
      </c>
      <c r="H12" s="538">
        <v>1</v>
      </c>
      <c r="I12" s="538">
        <v>4</v>
      </c>
      <c r="J12" s="499">
        <v>19</v>
      </c>
      <c r="K12" s="495">
        <f t="shared" si="0"/>
        <v>57.894736842105267</v>
      </c>
      <c r="L12" s="495">
        <f t="shared" si="1"/>
        <v>5.2631578947368416</v>
      </c>
      <c r="M12" s="495">
        <f t="shared" si="2"/>
        <v>21.052631578947366</v>
      </c>
      <c r="N12" s="498">
        <f t="shared" si="3"/>
        <v>84.21052631578948</v>
      </c>
      <c r="O12" s="494">
        <v>42.5</v>
      </c>
      <c r="P12" s="495">
        <v>5.4</v>
      </c>
      <c r="Q12" s="495">
        <v>11.4</v>
      </c>
      <c r="R12" s="496">
        <f t="shared" si="4"/>
        <v>59.3</v>
      </c>
      <c r="S12" s="538">
        <v>3</v>
      </c>
      <c r="T12" s="487"/>
      <c r="U12" s="535"/>
      <c r="V12" s="343" t="s">
        <v>1126</v>
      </c>
      <c r="W12" s="334" t="s">
        <v>74</v>
      </c>
      <c r="X12" s="334" t="s">
        <v>11</v>
      </c>
      <c r="Y12" s="344">
        <v>42.5</v>
      </c>
      <c r="Z12" s="334" t="s">
        <v>1127</v>
      </c>
      <c r="AA12" s="334" t="s">
        <v>886</v>
      </c>
      <c r="AB12" s="334" t="s">
        <v>12</v>
      </c>
      <c r="AC12" s="334">
        <v>11.4</v>
      </c>
      <c r="AD12" s="343" t="s">
        <v>1128</v>
      </c>
      <c r="AE12" s="334" t="s">
        <v>17</v>
      </c>
      <c r="AF12" s="334" t="s">
        <v>18</v>
      </c>
      <c r="AG12" s="344">
        <v>5.4</v>
      </c>
      <c r="AL12" s="343"/>
      <c r="AO12" s="344"/>
      <c r="AP12" s="343"/>
      <c r="AS12" s="344"/>
      <c r="AW12" s="344"/>
      <c r="BA12" s="345"/>
    </row>
    <row r="13" spans="1:53" s="334" customFormat="1" x14ac:dyDescent="0.15">
      <c r="A13" s="538">
        <v>1993</v>
      </c>
      <c r="B13" s="535"/>
      <c r="C13" s="812" t="s">
        <v>1118</v>
      </c>
      <c r="D13" s="812"/>
      <c r="E13" s="538">
        <v>354</v>
      </c>
      <c r="F13" s="538"/>
      <c r="G13" s="497">
        <v>11</v>
      </c>
      <c r="H13" s="538">
        <v>1</v>
      </c>
      <c r="I13" s="538">
        <v>4</v>
      </c>
      <c r="J13" s="499">
        <v>19</v>
      </c>
      <c r="K13" s="495">
        <f t="shared" si="0"/>
        <v>57.894736842105267</v>
      </c>
      <c r="L13" s="495">
        <f t="shared" si="1"/>
        <v>5.2631578947368416</v>
      </c>
      <c r="M13" s="495">
        <f t="shared" si="2"/>
        <v>21.052631578947366</v>
      </c>
      <c r="N13" s="498">
        <f t="shared" si="3"/>
        <v>84.21052631578948</v>
      </c>
      <c r="O13" s="494">
        <v>42.5</v>
      </c>
      <c r="P13" s="495">
        <v>5.4</v>
      </c>
      <c r="Q13" s="495">
        <v>11.4</v>
      </c>
      <c r="R13" s="496">
        <f t="shared" si="4"/>
        <v>59.3</v>
      </c>
      <c r="S13" s="538">
        <v>3</v>
      </c>
      <c r="T13" s="487"/>
      <c r="U13" s="535"/>
      <c r="V13" s="343" t="s">
        <v>1126</v>
      </c>
      <c r="W13" s="334" t="s">
        <v>74</v>
      </c>
      <c r="X13" s="334" t="s">
        <v>11</v>
      </c>
      <c r="Y13" s="344">
        <v>42.5</v>
      </c>
      <c r="Z13" s="334" t="s">
        <v>1127</v>
      </c>
      <c r="AA13" s="334" t="s">
        <v>886</v>
      </c>
      <c r="AB13" s="334" t="s">
        <v>12</v>
      </c>
      <c r="AC13" s="334">
        <v>11.4</v>
      </c>
      <c r="AD13" s="343" t="s">
        <v>1128</v>
      </c>
      <c r="AE13" s="334" t="s">
        <v>17</v>
      </c>
      <c r="AF13" s="334" t="s">
        <v>18</v>
      </c>
      <c r="AG13" s="344">
        <v>5.4</v>
      </c>
      <c r="AL13" s="343"/>
      <c r="AO13" s="344"/>
      <c r="AP13" s="343"/>
      <c r="AS13" s="344"/>
      <c r="AW13" s="344"/>
      <c r="BA13" s="345"/>
    </row>
    <row r="14" spans="1:53" s="238" customFormat="1" x14ac:dyDescent="0.15">
      <c r="A14" s="537">
        <v>1993</v>
      </c>
      <c r="B14" s="534">
        <v>34324</v>
      </c>
      <c r="C14" s="811" t="s">
        <v>1119</v>
      </c>
      <c r="D14" s="811"/>
      <c r="E14" s="537">
        <v>11</v>
      </c>
      <c r="F14" s="537">
        <v>3</v>
      </c>
      <c r="G14" s="480">
        <v>10</v>
      </c>
      <c r="H14" s="537">
        <v>3</v>
      </c>
      <c r="I14" s="537">
        <v>3</v>
      </c>
      <c r="J14" s="482">
        <v>16</v>
      </c>
      <c r="K14" s="477">
        <f t="shared" si="0"/>
        <v>62.5</v>
      </c>
      <c r="L14" s="477">
        <f t="shared" si="1"/>
        <v>18.75</v>
      </c>
      <c r="M14" s="477">
        <f t="shared" si="2"/>
        <v>18.75</v>
      </c>
      <c r="N14" s="481">
        <f t="shared" si="3"/>
        <v>100</v>
      </c>
      <c r="O14" s="476">
        <v>42.5</v>
      </c>
      <c r="P14" s="477">
        <v>5.4</v>
      </c>
      <c r="Q14" s="477">
        <v>11.4</v>
      </c>
      <c r="R14" s="478">
        <f t="shared" si="4"/>
        <v>59.3</v>
      </c>
      <c r="S14" s="537">
        <v>3</v>
      </c>
      <c r="T14" s="479"/>
      <c r="U14" s="534">
        <v>34324</v>
      </c>
      <c r="V14" s="82" t="s">
        <v>1126</v>
      </c>
      <c r="W14" s="238" t="s">
        <v>74</v>
      </c>
      <c r="X14" s="238" t="s">
        <v>11</v>
      </c>
      <c r="Y14" s="83">
        <v>42.5</v>
      </c>
      <c r="Z14" s="238" t="s">
        <v>1127</v>
      </c>
      <c r="AA14" s="238" t="s">
        <v>886</v>
      </c>
      <c r="AB14" s="238" t="s">
        <v>12</v>
      </c>
      <c r="AC14" s="238">
        <v>11.4</v>
      </c>
      <c r="AD14" s="82" t="s">
        <v>1128</v>
      </c>
      <c r="AE14" s="238" t="s">
        <v>17</v>
      </c>
      <c r="AF14" s="238" t="s">
        <v>18</v>
      </c>
      <c r="AG14" s="83">
        <v>5.4</v>
      </c>
      <c r="AL14" s="82"/>
      <c r="AO14" s="83"/>
      <c r="AP14" s="82"/>
      <c r="AS14" s="83"/>
      <c r="AW14" s="83"/>
      <c r="BA14" s="84"/>
    </row>
    <row r="15" spans="1:53" s="238" customFormat="1" x14ac:dyDescent="0.15">
      <c r="A15" s="537">
        <v>1994</v>
      </c>
      <c r="B15" s="534"/>
      <c r="C15" s="811" t="s">
        <v>1119</v>
      </c>
      <c r="D15" s="811"/>
      <c r="E15" s="537">
        <v>195</v>
      </c>
      <c r="F15" s="537"/>
      <c r="G15" s="480">
        <v>10</v>
      </c>
      <c r="H15" s="537">
        <v>3</v>
      </c>
      <c r="I15" s="537">
        <v>3</v>
      </c>
      <c r="J15" s="482">
        <v>16</v>
      </c>
      <c r="K15" s="477">
        <f t="shared" si="0"/>
        <v>62.5</v>
      </c>
      <c r="L15" s="477">
        <f t="shared" si="1"/>
        <v>18.75</v>
      </c>
      <c r="M15" s="477">
        <f t="shared" si="2"/>
        <v>18.75</v>
      </c>
      <c r="N15" s="481">
        <f t="shared" si="3"/>
        <v>100</v>
      </c>
      <c r="O15" s="476">
        <v>42.5</v>
      </c>
      <c r="P15" s="477">
        <v>5.4</v>
      </c>
      <c r="Q15" s="477">
        <v>11.4</v>
      </c>
      <c r="R15" s="478">
        <f t="shared" si="4"/>
        <v>59.3</v>
      </c>
      <c r="S15" s="537">
        <v>3</v>
      </c>
      <c r="T15" s="479"/>
      <c r="U15" s="534"/>
      <c r="V15" s="82" t="s">
        <v>1126</v>
      </c>
      <c r="W15" s="238" t="s">
        <v>74</v>
      </c>
      <c r="X15" s="238" t="s">
        <v>11</v>
      </c>
      <c r="Y15" s="83">
        <v>42.5</v>
      </c>
      <c r="Z15" s="238" t="s">
        <v>1127</v>
      </c>
      <c r="AA15" s="238" t="s">
        <v>886</v>
      </c>
      <c r="AB15" s="238" t="s">
        <v>12</v>
      </c>
      <c r="AC15" s="238">
        <v>11.4</v>
      </c>
      <c r="AD15" s="82" t="s">
        <v>1128</v>
      </c>
      <c r="AE15" s="238" t="s">
        <v>17</v>
      </c>
      <c r="AF15" s="238" t="s">
        <v>18</v>
      </c>
      <c r="AG15" s="83">
        <v>5.4</v>
      </c>
      <c r="AL15" s="82"/>
      <c r="AO15" s="83"/>
      <c r="AP15" s="82"/>
      <c r="AS15" s="83"/>
      <c r="AW15" s="83"/>
      <c r="BA15" s="84"/>
    </row>
    <row r="16" spans="1:53" s="334" customFormat="1" x14ac:dyDescent="0.15">
      <c r="A16" s="538">
        <v>1994</v>
      </c>
      <c r="B16" s="535">
        <v>34530</v>
      </c>
      <c r="C16" s="812" t="s">
        <v>1120</v>
      </c>
      <c r="D16" s="812"/>
      <c r="E16" s="538">
        <v>170</v>
      </c>
      <c r="F16" s="538">
        <v>1</v>
      </c>
      <c r="G16" s="497">
        <v>3</v>
      </c>
      <c r="H16" s="538"/>
      <c r="I16" s="538">
        <v>11</v>
      </c>
      <c r="J16" s="499">
        <v>14</v>
      </c>
      <c r="K16" s="495">
        <f t="shared" si="0"/>
        <v>21.428571428571427</v>
      </c>
      <c r="L16" s="495">
        <f t="shared" si="1"/>
        <v>0</v>
      </c>
      <c r="M16" s="495">
        <f t="shared" si="2"/>
        <v>78.571428571428569</v>
      </c>
      <c r="N16" s="498">
        <f t="shared" si="3"/>
        <v>100</v>
      </c>
      <c r="O16" s="494">
        <v>17.899999999999999</v>
      </c>
      <c r="P16" s="495"/>
      <c r="Q16" s="495">
        <v>54.1</v>
      </c>
      <c r="R16" s="496">
        <f t="shared" si="4"/>
        <v>72</v>
      </c>
      <c r="S16" s="538">
        <v>3</v>
      </c>
      <c r="T16" s="487">
        <v>34482</v>
      </c>
      <c r="U16" s="535">
        <v>34530</v>
      </c>
      <c r="V16" s="343" t="s">
        <v>1129</v>
      </c>
      <c r="W16" s="334" t="s">
        <v>20</v>
      </c>
      <c r="X16" s="334" t="s">
        <v>12</v>
      </c>
      <c r="Y16" s="344">
        <v>54.1</v>
      </c>
      <c r="Z16" s="334" t="s">
        <v>1133</v>
      </c>
      <c r="AA16" s="334" t="s">
        <v>22</v>
      </c>
      <c r="AB16" s="334" t="s">
        <v>11</v>
      </c>
      <c r="AC16" s="334">
        <v>17.899999999999999</v>
      </c>
      <c r="AD16" s="343"/>
      <c r="AG16" s="344"/>
      <c r="AL16" s="343"/>
      <c r="AO16" s="344"/>
      <c r="AP16" s="343"/>
      <c r="AS16" s="344"/>
      <c r="AW16" s="344"/>
      <c r="BA16" s="345"/>
    </row>
    <row r="17" spans="1:53" s="334" customFormat="1" x14ac:dyDescent="0.15">
      <c r="A17" s="538">
        <v>1995</v>
      </c>
      <c r="B17" s="535"/>
      <c r="C17" s="812" t="s">
        <v>1120</v>
      </c>
      <c r="D17" s="812"/>
      <c r="E17" s="538">
        <v>59</v>
      </c>
      <c r="F17" s="538"/>
      <c r="G17" s="497">
        <v>3</v>
      </c>
      <c r="H17" s="538"/>
      <c r="I17" s="538">
        <v>11</v>
      </c>
      <c r="J17" s="499">
        <v>14</v>
      </c>
      <c r="K17" s="495">
        <f t="shared" si="0"/>
        <v>21.428571428571427</v>
      </c>
      <c r="L17" s="495">
        <f t="shared" si="1"/>
        <v>0</v>
      </c>
      <c r="M17" s="495">
        <f t="shared" si="2"/>
        <v>78.571428571428569</v>
      </c>
      <c r="N17" s="498">
        <f t="shared" si="3"/>
        <v>100</v>
      </c>
      <c r="O17" s="494">
        <v>17.899999999999999</v>
      </c>
      <c r="P17" s="495"/>
      <c r="Q17" s="495">
        <v>54.1</v>
      </c>
      <c r="R17" s="496">
        <f t="shared" si="4"/>
        <v>72</v>
      </c>
      <c r="S17" s="538">
        <v>3</v>
      </c>
      <c r="T17" s="487"/>
      <c r="U17" s="535"/>
      <c r="V17" s="343" t="s">
        <v>1129</v>
      </c>
      <c r="W17" s="334" t="s">
        <v>20</v>
      </c>
      <c r="X17" s="334" t="s">
        <v>12</v>
      </c>
      <c r="Y17" s="344">
        <v>54.1</v>
      </c>
      <c r="Z17" s="334" t="s">
        <v>1133</v>
      </c>
      <c r="AA17" s="334" t="s">
        <v>22</v>
      </c>
      <c r="AB17" s="334" t="s">
        <v>11</v>
      </c>
      <c r="AC17" s="334">
        <v>17.899999999999999</v>
      </c>
      <c r="AD17" s="343"/>
      <c r="AG17" s="344"/>
      <c r="AL17" s="343"/>
      <c r="AO17" s="344"/>
      <c r="AP17" s="343"/>
      <c r="AS17" s="344"/>
      <c r="AW17" s="344"/>
      <c r="BA17" s="345"/>
    </row>
    <row r="18" spans="1:53" s="334" customFormat="1" x14ac:dyDescent="0.15">
      <c r="A18" s="538">
        <v>1995</v>
      </c>
      <c r="B18" s="502">
        <v>34759</v>
      </c>
      <c r="C18" s="812" t="s">
        <v>1120</v>
      </c>
      <c r="D18" s="812"/>
      <c r="E18" s="538">
        <v>306</v>
      </c>
      <c r="F18" s="501">
        <v>0</v>
      </c>
      <c r="G18" s="497">
        <v>3</v>
      </c>
      <c r="H18" s="538"/>
      <c r="I18" s="538">
        <v>12</v>
      </c>
      <c r="J18" s="499">
        <v>15</v>
      </c>
      <c r="K18" s="495">
        <f t="shared" si="0"/>
        <v>20</v>
      </c>
      <c r="L18" s="495">
        <f t="shared" si="1"/>
        <v>0</v>
      </c>
      <c r="M18" s="495">
        <f t="shared" si="2"/>
        <v>80</v>
      </c>
      <c r="N18" s="498">
        <f t="shared" si="3"/>
        <v>100</v>
      </c>
      <c r="O18" s="494">
        <v>17.899999999999999</v>
      </c>
      <c r="P18" s="495"/>
      <c r="Q18" s="495">
        <v>54.1</v>
      </c>
      <c r="R18" s="496">
        <f t="shared" si="4"/>
        <v>72</v>
      </c>
      <c r="S18" s="538">
        <v>3</v>
      </c>
      <c r="T18" s="487"/>
      <c r="U18" s="535"/>
      <c r="V18" s="343" t="s">
        <v>1129</v>
      </c>
      <c r="W18" s="334" t="s">
        <v>20</v>
      </c>
      <c r="X18" s="334" t="s">
        <v>12</v>
      </c>
      <c r="Y18" s="344">
        <v>54.1</v>
      </c>
      <c r="Z18" s="334" t="s">
        <v>1133</v>
      </c>
      <c r="AA18" s="334" t="s">
        <v>22</v>
      </c>
      <c r="AB18" s="334" t="s">
        <v>11</v>
      </c>
      <c r="AC18" s="334">
        <v>17.899999999999999</v>
      </c>
      <c r="AD18" s="343"/>
      <c r="AG18" s="344"/>
      <c r="AL18" s="343"/>
      <c r="AO18" s="344"/>
      <c r="AP18" s="343"/>
      <c r="AS18" s="344"/>
      <c r="AW18" s="344"/>
      <c r="BA18" s="345"/>
    </row>
    <row r="19" spans="1:53" s="334" customFormat="1" x14ac:dyDescent="0.15">
      <c r="A19" s="538">
        <v>1996</v>
      </c>
      <c r="B19" s="535"/>
      <c r="C19" s="812" t="s">
        <v>1120</v>
      </c>
      <c r="D19" s="812"/>
      <c r="E19" s="538">
        <v>0</v>
      </c>
      <c r="F19" s="538"/>
      <c r="G19" s="497">
        <v>3</v>
      </c>
      <c r="H19" s="538"/>
      <c r="I19" s="538">
        <v>12</v>
      </c>
      <c r="J19" s="499">
        <v>15</v>
      </c>
      <c r="K19" s="495">
        <f t="shared" si="0"/>
        <v>20</v>
      </c>
      <c r="L19" s="495">
        <f t="shared" si="1"/>
        <v>0</v>
      </c>
      <c r="M19" s="495">
        <f t="shared" si="2"/>
        <v>80</v>
      </c>
      <c r="N19" s="498">
        <f t="shared" si="3"/>
        <v>100</v>
      </c>
      <c r="O19" s="494">
        <v>17.899999999999999</v>
      </c>
      <c r="P19" s="495"/>
      <c r="Q19" s="495">
        <v>54.1</v>
      </c>
      <c r="R19" s="496">
        <f t="shared" si="4"/>
        <v>72</v>
      </c>
      <c r="S19" s="538">
        <v>3</v>
      </c>
      <c r="T19" s="487"/>
      <c r="U19" s="535"/>
      <c r="V19" s="343" t="s">
        <v>1129</v>
      </c>
      <c r="W19" s="334" t="s">
        <v>20</v>
      </c>
      <c r="X19" s="334" t="s">
        <v>12</v>
      </c>
      <c r="Y19" s="344">
        <v>54.1</v>
      </c>
      <c r="Z19" s="334" t="s">
        <v>1133</v>
      </c>
      <c r="AA19" s="334" t="s">
        <v>22</v>
      </c>
      <c r="AB19" s="334" t="s">
        <v>11</v>
      </c>
      <c r="AC19" s="334">
        <v>17.899999999999999</v>
      </c>
      <c r="AD19" s="343"/>
      <c r="AG19" s="344"/>
      <c r="AL19" s="343"/>
      <c r="AO19" s="344"/>
      <c r="AP19" s="343"/>
      <c r="AS19" s="344"/>
      <c r="AW19" s="344"/>
      <c r="BA19" s="345"/>
    </row>
    <row r="20" spans="1:53" s="334" customFormat="1" x14ac:dyDescent="0.15">
      <c r="A20" s="538">
        <v>1996</v>
      </c>
      <c r="B20" s="535"/>
      <c r="C20" s="812" t="s">
        <v>1120</v>
      </c>
      <c r="D20" s="812"/>
      <c r="E20" s="538">
        <v>366</v>
      </c>
      <c r="F20" s="538"/>
      <c r="G20" s="497">
        <v>3</v>
      </c>
      <c r="H20" s="538"/>
      <c r="I20" s="538">
        <v>12</v>
      </c>
      <c r="J20" s="499">
        <v>15</v>
      </c>
      <c r="K20" s="495">
        <f t="shared" si="0"/>
        <v>20</v>
      </c>
      <c r="L20" s="495">
        <f t="shared" si="1"/>
        <v>0</v>
      </c>
      <c r="M20" s="495">
        <f t="shared" si="2"/>
        <v>80</v>
      </c>
      <c r="N20" s="498">
        <f t="shared" si="3"/>
        <v>100</v>
      </c>
      <c r="O20" s="494">
        <v>17.899999999999999</v>
      </c>
      <c r="P20" s="495"/>
      <c r="Q20" s="495">
        <v>54.1</v>
      </c>
      <c r="R20" s="496">
        <f t="shared" si="4"/>
        <v>72</v>
      </c>
      <c r="S20" s="538">
        <v>3</v>
      </c>
      <c r="T20" s="487"/>
      <c r="U20" s="535"/>
      <c r="V20" s="343" t="s">
        <v>1129</v>
      </c>
      <c r="W20" s="334" t="s">
        <v>20</v>
      </c>
      <c r="X20" s="334" t="s">
        <v>12</v>
      </c>
      <c r="Y20" s="344">
        <v>54.1</v>
      </c>
      <c r="Z20" s="334" t="s">
        <v>1133</v>
      </c>
      <c r="AA20" s="334" t="s">
        <v>22</v>
      </c>
      <c r="AB20" s="334" t="s">
        <v>11</v>
      </c>
      <c r="AC20" s="334">
        <v>17.899999999999999</v>
      </c>
      <c r="AD20" s="343"/>
      <c r="AG20" s="344"/>
      <c r="AL20" s="343"/>
      <c r="AO20" s="344"/>
      <c r="AP20" s="343"/>
      <c r="AS20" s="344"/>
      <c r="AW20" s="344"/>
      <c r="BA20" s="345"/>
    </row>
    <row r="21" spans="1:53" s="334" customFormat="1" x14ac:dyDescent="0.15">
      <c r="A21" s="538">
        <v>1997</v>
      </c>
      <c r="B21" s="535"/>
      <c r="C21" s="812" t="s">
        <v>1120</v>
      </c>
      <c r="D21" s="812"/>
      <c r="E21" s="538">
        <v>0</v>
      </c>
      <c r="F21" s="538"/>
      <c r="G21" s="497">
        <v>3</v>
      </c>
      <c r="H21" s="538"/>
      <c r="I21" s="538">
        <v>12</v>
      </c>
      <c r="J21" s="499">
        <v>15</v>
      </c>
      <c r="K21" s="495">
        <f t="shared" si="0"/>
        <v>20</v>
      </c>
      <c r="L21" s="495">
        <f t="shared" si="1"/>
        <v>0</v>
      </c>
      <c r="M21" s="495">
        <f t="shared" si="2"/>
        <v>80</v>
      </c>
      <c r="N21" s="498">
        <f t="shared" si="3"/>
        <v>100</v>
      </c>
      <c r="O21" s="494">
        <v>17.899999999999999</v>
      </c>
      <c r="P21" s="495"/>
      <c r="Q21" s="495">
        <v>54.1</v>
      </c>
      <c r="R21" s="496">
        <f t="shared" si="4"/>
        <v>72</v>
      </c>
      <c r="S21" s="538">
        <v>3</v>
      </c>
      <c r="T21" s="487"/>
      <c r="U21" s="535"/>
      <c r="V21" s="343" t="s">
        <v>1129</v>
      </c>
      <c r="W21" s="334" t="s">
        <v>20</v>
      </c>
      <c r="X21" s="334" t="s">
        <v>12</v>
      </c>
      <c r="Y21" s="344">
        <v>54.1</v>
      </c>
      <c r="Z21" s="334" t="s">
        <v>1133</v>
      </c>
      <c r="AA21" s="334" t="s">
        <v>22</v>
      </c>
      <c r="AB21" s="334" t="s">
        <v>11</v>
      </c>
      <c r="AC21" s="334">
        <v>17.899999999999999</v>
      </c>
      <c r="AD21" s="343"/>
      <c r="AG21" s="344"/>
      <c r="AL21" s="343"/>
      <c r="AO21" s="344"/>
      <c r="AP21" s="343"/>
      <c r="AS21" s="344"/>
      <c r="AW21" s="344"/>
      <c r="BA21" s="345"/>
    </row>
    <row r="22" spans="1:53" s="334" customFormat="1" x14ac:dyDescent="0.15">
      <c r="A22" s="538">
        <v>1997</v>
      </c>
      <c r="B22" s="535"/>
      <c r="C22" s="812" t="s">
        <v>1120</v>
      </c>
      <c r="D22" s="812"/>
      <c r="E22" s="538">
        <v>365</v>
      </c>
      <c r="F22" s="538"/>
      <c r="G22" s="497">
        <v>3</v>
      </c>
      <c r="H22" s="538"/>
      <c r="I22" s="538">
        <v>12</v>
      </c>
      <c r="J22" s="499">
        <v>15</v>
      </c>
      <c r="K22" s="495">
        <f t="shared" si="0"/>
        <v>20</v>
      </c>
      <c r="L22" s="495">
        <f t="shared" si="1"/>
        <v>0</v>
      </c>
      <c r="M22" s="495">
        <f t="shared" si="2"/>
        <v>80</v>
      </c>
      <c r="N22" s="498">
        <f t="shared" si="3"/>
        <v>100</v>
      </c>
      <c r="O22" s="494">
        <v>17.899999999999999</v>
      </c>
      <c r="P22" s="495"/>
      <c r="Q22" s="495">
        <v>54.1</v>
      </c>
      <c r="R22" s="496">
        <f t="shared" si="4"/>
        <v>72</v>
      </c>
      <c r="S22" s="538">
        <v>3</v>
      </c>
      <c r="T22" s="487"/>
      <c r="U22" s="535"/>
      <c r="V22" s="343" t="s">
        <v>1129</v>
      </c>
      <c r="W22" s="334" t="s">
        <v>20</v>
      </c>
      <c r="X22" s="334" t="s">
        <v>12</v>
      </c>
      <c r="Y22" s="344">
        <v>54.1</v>
      </c>
      <c r="Z22" s="334" t="s">
        <v>1133</v>
      </c>
      <c r="AA22" s="334" t="s">
        <v>22</v>
      </c>
      <c r="AB22" s="334" t="s">
        <v>11</v>
      </c>
      <c r="AC22" s="334">
        <v>17.899999999999999</v>
      </c>
      <c r="AD22" s="343"/>
      <c r="AG22" s="344"/>
      <c r="AL22" s="343"/>
      <c r="AO22" s="344"/>
      <c r="AP22" s="343"/>
      <c r="AS22" s="344"/>
      <c r="AW22" s="344"/>
      <c r="BA22" s="345"/>
    </row>
    <row r="23" spans="1:53" s="334" customFormat="1" x14ac:dyDescent="0.15">
      <c r="A23" s="538">
        <v>1998</v>
      </c>
      <c r="B23" s="502">
        <v>35796</v>
      </c>
      <c r="C23" s="812" t="s">
        <v>1120</v>
      </c>
      <c r="D23" s="812"/>
      <c r="E23" s="538">
        <v>186</v>
      </c>
      <c r="F23" s="501">
        <v>0</v>
      </c>
      <c r="G23" s="497">
        <v>3</v>
      </c>
      <c r="H23" s="538"/>
      <c r="I23" s="538">
        <v>11</v>
      </c>
      <c r="J23" s="499">
        <v>14</v>
      </c>
      <c r="K23" s="495">
        <f t="shared" si="0"/>
        <v>21.428571428571427</v>
      </c>
      <c r="L23" s="495">
        <f t="shared" si="1"/>
        <v>0</v>
      </c>
      <c r="M23" s="495">
        <f t="shared" si="2"/>
        <v>78.571428571428569</v>
      </c>
      <c r="N23" s="498">
        <f t="shared" si="3"/>
        <v>100</v>
      </c>
      <c r="O23" s="494">
        <v>17.899999999999999</v>
      </c>
      <c r="P23" s="495"/>
      <c r="Q23" s="495">
        <v>54.1</v>
      </c>
      <c r="R23" s="496">
        <f t="shared" si="4"/>
        <v>72</v>
      </c>
      <c r="S23" s="538">
        <v>3</v>
      </c>
      <c r="T23" s="487"/>
      <c r="U23" s="535"/>
      <c r="V23" s="343" t="s">
        <v>1129</v>
      </c>
      <c r="W23" s="334" t="s">
        <v>20</v>
      </c>
      <c r="X23" s="334" t="s">
        <v>12</v>
      </c>
      <c r="Y23" s="344">
        <v>54.1</v>
      </c>
      <c r="Z23" s="334" t="s">
        <v>1133</v>
      </c>
      <c r="AA23" s="334" t="s">
        <v>22</v>
      </c>
      <c r="AB23" s="334" t="s">
        <v>11</v>
      </c>
      <c r="AC23" s="334">
        <v>17.899999999999999</v>
      </c>
      <c r="AD23" s="343"/>
      <c r="AG23" s="344"/>
      <c r="AL23" s="343"/>
      <c r="AO23" s="344"/>
      <c r="AP23" s="343"/>
      <c r="AS23" s="344"/>
      <c r="AW23" s="344"/>
      <c r="BA23" s="345"/>
    </row>
    <row r="24" spans="1:53" s="238" customFormat="1" x14ac:dyDescent="0.15">
      <c r="A24" s="537">
        <v>1998</v>
      </c>
      <c r="B24" s="534">
        <v>35982</v>
      </c>
      <c r="C24" s="811" t="s">
        <v>1130</v>
      </c>
      <c r="D24" s="811"/>
      <c r="E24" s="537">
        <v>179</v>
      </c>
      <c r="F24" s="537">
        <v>1</v>
      </c>
      <c r="G24" s="480">
        <v>13</v>
      </c>
      <c r="H24" s="537"/>
      <c r="I24" s="537">
        <v>4</v>
      </c>
      <c r="J24" s="482">
        <v>17</v>
      </c>
      <c r="K24" s="477">
        <f t="shared" si="0"/>
        <v>76.470588235294116</v>
      </c>
      <c r="L24" s="477">
        <f t="shared" si="1"/>
        <v>0</v>
      </c>
      <c r="M24" s="477">
        <f t="shared" si="2"/>
        <v>23.52941176470588</v>
      </c>
      <c r="N24" s="481">
        <f t="shared" si="3"/>
        <v>100</v>
      </c>
      <c r="O24" s="476">
        <v>42.7</v>
      </c>
      <c r="P24" s="477"/>
      <c r="Q24" s="477">
        <v>12.4</v>
      </c>
      <c r="R24" s="478">
        <f t="shared" si="4"/>
        <v>55.1</v>
      </c>
      <c r="S24" s="537">
        <v>3</v>
      </c>
      <c r="T24" s="479">
        <v>35939</v>
      </c>
      <c r="U24" s="534">
        <v>35982</v>
      </c>
      <c r="V24" s="82" t="s">
        <v>1132</v>
      </c>
      <c r="W24" s="238" t="s">
        <v>79</v>
      </c>
      <c r="X24" s="238" t="s">
        <v>11</v>
      </c>
      <c r="Y24" s="83">
        <v>38.299999999999997</v>
      </c>
      <c r="Z24" s="238" t="s">
        <v>1127</v>
      </c>
      <c r="AA24" s="238" t="s">
        <v>886</v>
      </c>
      <c r="AB24" s="238" t="s">
        <v>12</v>
      </c>
      <c r="AC24" s="238">
        <v>12.4</v>
      </c>
      <c r="AD24" s="82" t="s">
        <v>1126</v>
      </c>
      <c r="AE24" s="238" t="s">
        <v>74</v>
      </c>
      <c r="AF24" s="238" t="s">
        <v>11</v>
      </c>
      <c r="AG24" s="83">
        <v>4.4000000000000004</v>
      </c>
      <c r="AL24" s="82"/>
      <c r="AO24" s="83"/>
      <c r="AP24" s="82"/>
      <c r="AS24" s="83"/>
      <c r="AW24" s="83"/>
      <c r="BA24" s="84"/>
    </row>
    <row r="25" spans="1:53" s="238" customFormat="1" x14ac:dyDescent="0.15">
      <c r="A25" s="537">
        <v>1999</v>
      </c>
      <c r="B25" s="483">
        <v>36161</v>
      </c>
      <c r="C25" s="811" t="s">
        <v>1130</v>
      </c>
      <c r="D25" s="811"/>
      <c r="E25" s="537">
        <v>0</v>
      </c>
      <c r="F25" s="484">
        <v>0</v>
      </c>
      <c r="G25" s="480">
        <v>14</v>
      </c>
      <c r="H25" s="537"/>
      <c r="I25" s="537">
        <v>4</v>
      </c>
      <c r="J25" s="482">
        <v>18</v>
      </c>
      <c r="K25" s="477">
        <f t="shared" si="0"/>
        <v>77.777777777777786</v>
      </c>
      <c r="L25" s="477">
        <f t="shared" si="1"/>
        <v>0</v>
      </c>
      <c r="M25" s="477">
        <f t="shared" si="2"/>
        <v>22.222222222222221</v>
      </c>
      <c r="N25" s="481">
        <f t="shared" si="3"/>
        <v>100</v>
      </c>
      <c r="O25" s="476">
        <v>42.7</v>
      </c>
      <c r="P25" s="477"/>
      <c r="Q25" s="477">
        <v>12.4</v>
      </c>
      <c r="R25" s="478">
        <f t="shared" si="4"/>
        <v>55.1</v>
      </c>
      <c r="S25" s="537">
        <v>3</v>
      </c>
      <c r="T25" s="479"/>
      <c r="U25" s="534"/>
      <c r="V25" s="82" t="s">
        <v>1132</v>
      </c>
      <c r="W25" s="238" t="s">
        <v>79</v>
      </c>
      <c r="X25" s="238" t="s">
        <v>11</v>
      </c>
      <c r="Y25" s="83">
        <v>38.299999999999997</v>
      </c>
      <c r="Z25" s="238" t="s">
        <v>1127</v>
      </c>
      <c r="AA25" s="238" t="s">
        <v>886</v>
      </c>
      <c r="AB25" s="238" t="s">
        <v>12</v>
      </c>
      <c r="AC25" s="238">
        <v>12.4</v>
      </c>
      <c r="AD25" s="82" t="s">
        <v>1126</v>
      </c>
      <c r="AE25" s="238" t="s">
        <v>74</v>
      </c>
      <c r="AF25" s="238" t="s">
        <v>11</v>
      </c>
      <c r="AG25" s="83">
        <v>4.4000000000000004</v>
      </c>
      <c r="AL25" s="82"/>
      <c r="AO25" s="83"/>
      <c r="AP25" s="82"/>
      <c r="AS25" s="83"/>
      <c r="AW25" s="83"/>
      <c r="BA25" s="84"/>
    </row>
    <row r="26" spans="1:53" s="238" customFormat="1" x14ac:dyDescent="0.15">
      <c r="A26" s="537">
        <v>1999</v>
      </c>
      <c r="B26" s="534"/>
      <c r="C26" s="811" t="s">
        <v>1130</v>
      </c>
      <c r="D26" s="811"/>
      <c r="E26" s="537">
        <v>365</v>
      </c>
      <c r="F26" s="537"/>
      <c r="G26" s="480">
        <v>14</v>
      </c>
      <c r="H26" s="537"/>
      <c r="I26" s="537">
        <v>4</v>
      </c>
      <c r="J26" s="482">
        <v>18</v>
      </c>
      <c r="K26" s="477">
        <f t="shared" si="0"/>
        <v>77.777777777777786</v>
      </c>
      <c r="L26" s="477">
        <f t="shared" si="1"/>
        <v>0</v>
      </c>
      <c r="M26" s="477">
        <f t="shared" si="2"/>
        <v>22.222222222222221</v>
      </c>
      <c r="N26" s="481">
        <f t="shared" si="3"/>
        <v>100</v>
      </c>
      <c r="O26" s="476">
        <v>42.7</v>
      </c>
      <c r="P26" s="477"/>
      <c r="Q26" s="477">
        <v>12.4</v>
      </c>
      <c r="R26" s="478">
        <f t="shared" si="4"/>
        <v>55.1</v>
      </c>
      <c r="S26" s="537">
        <v>3</v>
      </c>
      <c r="T26" s="479"/>
      <c r="U26" s="534"/>
      <c r="V26" s="82" t="s">
        <v>1132</v>
      </c>
      <c r="W26" s="238" t="s">
        <v>79</v>
      </c>
      <c r="X26" s="238" t="s">
        <v>11</v>
      </c>
      <c r="Y26" s="83">
        <v>38.299999999999997</v>
      </c>
      <c r="Z26" s="238" t="s">
        <v>1127</v>
      </c>
      <c r="AA26" s="238" t="s">
        <v>886</v>
      </c>
      <c r="AB26" s="238" t="s">
        <v>12</v>
      </c>
      <c r="AC26" s="238">
        <v>12.4</v>
      </c>
      <c r="AD26" s="82" t="s">
        <v>1126</v>
      </c>
      <c r="AE26" s="238" t="s">
        <v>74</v>
      </c>
      <c r="AF26" s="238" t="s">
        <v>11</v>
      </c>
      <c r="AG26" s="83">
        <v>4.4000000000000004</v>
      </c>
      <c r="AL26" s="82"/>
      <c r="AO26" s="83"/>
      <c r="AP26" s="82"/>
      <c r="AS26" s="83"/>
      <c r="AW26" s="83"/>
      <c r="BA26" s="84"/>
    </row>
    <row r="27" spans="1:53" s="238" customFormat="1" x14ac:dyDescent="0.15">
      <c r="A27" s="537">
        <v>2000</v>
      </c>
      <c r="B27" s="534"/>
      <c r="C27" s="811" t="s">
        <v>1130</v>
      </c>
      <c r="D27" s="811"/>
      <c r="E27" s="537">
        <v>0</v>
      </c>
      <c r="F27" s="537"/>
      <c r="G27" s="480">
        <v>14</v>
      </c>
      <c r="H27" s="537"/>
      <c r="I27" s="537">
        <v>4</v>
      </c>
      <c r="J27" s="482">
        <v>18</v>
      </c>
      <c r="K27" s="477">
        <f t="shared" si="0"/>
        <v>77.777777777777786</v>
      </c>
      <c r="L27" s="477">
        <f t="shared" si="1"/>
        <v>0</v>
      </c>
      <c r="M27" s="477">
        <f t="shared" si="2"/>
        <v>22.222222222222221</v>
      </c>
      <c r="N27" s="481">
        <f t="shared" si="3"/>
        <v>100</v>
      </c>
      <c r="O27" s="476">
        <v>42.7</v>
      </c>
      <c r="P27" s="477"/>
      <c r="Q27" s="477">
        <v>12.4</v>
      </c>
      <c r="R27" s="478">
        <f t="shared" si="4"/>
        <v>55.1</v>
      </c>
      <c r="S27" s="537">
        <v>3</v>
      </c>
      <c r="T27" s="479"/>
      <c r="U27" s="534"/>
      <c r="V27" s="82" t="s">
        <v>1132</v>
      </c>
      <c r="W27" s="238" t="s">
        <v>79</v>
      </c>
      <c r="X27" s="238" t="s">
        <v>11</v>
      </c>
      <c r="Y27" s="83">
        <v>38.299999999999997</v>
      </c>
      <c r="Z27" s="238" t="s">
        <v>1127</v>
      </c>
      <c r="AA27" s="238" t="s">
        <v>886</v>
      </c>
      <c r="AB27" s="238" t="s">
        <v>12</v>
      </c>
      <c r="AC27" s="238">
        <v>12.4</v>
      </c>
      <c r="AD27" s="82" t="s">
        <v>1126</v>
      </c>
      <c r="AE27" s="238" t="s">
        <v>74</v>
      </c>
      <c r="AF27" s="238" t="s">
        <v>11</v>
      </c>
      <c r="AG27" s="83">
        <v>4.4000000000000004</v>
      </c>
      <c r="AL27" s="82"/>
      <c r="AO27" s="83"/>
      <c r="AP27" s="82"/>
      <c r="AS27" s="83"/>
      <c r="AW27" s="83"/>
      <c r="BA27" s="84"/>
    </row>
    <row r="28" spans="1:53" s="238" customFormat="1" x14ac:dyDescent="0.15">
      <c r="A28" s="537">
        <v>2000</v>
      </c>
      <c r="B28" s="534"/>
      <c r="C28" s="811" t="s">
        <v>1130</v>
      </c>
      <c r="D28" s="811"/>
      <c r="E28" s="537">
        <v>366</v>
      </c>
      <c r="F28" s="537"/>
      <c r="G28" s="480">
        <v>14</v>
      </c>
      <c r="H28" s="537"/>
      <c r="I28" s="537">
        <v>4</v>
      </c>
      <c r="J28" s="482">
        <v>18</v>
      </c>
      <c r="K28" s="477">
        <f t="shared" si="0"/>
        <v>77.777777777777786</v>
      </c>
      <c r="L28" s="477">
        <f t="shared" si="1"/>
        <v>0</v>
      </c>
      <c r="M28" s="477">
        <f t="shared" si="2"/>
        <v>22.222222222222221</v>
      </c>
      <c r="N28" s="481">
        <f t="shared" si="3"/>
        <v>100</v>
      </c>
      <c r="O28" s="476">
        <v>42.7</v>
      </c>
      <c r="P28" s="477"/>
      <c r="Q28" s="477">
        <v>12.4</v>
      </c>
      <c r="R28" s="478">
        <f t="shared" si="4"/>
        <v>55.1</v>
      </c>
      <c r="S28" s="537">
        <v>3</v>
      </c>
      <c r="T28" s="479"/>
      <c r="U28" s="534"/>
      <c r="V28" s="82" t="s">
        <v>1132</v>
      </c>
      <c r="W28" s="238" t="s">
        <v>79</v>
      </c>
      <c r="X28" s="238" t="s">
        <v>11</v>
      </c>
      <c r="Y28" s="83">
        <v>38.299999999999997</v>
      </c>
      <c r="Z28" s="238" t="s">
        <v>1127</v>
      </c>
      <c r="AA28" s="238" t="s">
        <v>886</v>
      </c>
      <c r="AB28" s="238" t="s">
        <v>12</v>
      </c>
      <c r="AC28" s="238">
        <v>12.4</v>
      </c>
      <c r="AD28" s="82" t="s">
        <v>1126</v>
      </c>
      <c r="AE28" s="238" t="s">
        <v>74</v>
      </c>
      <c r="AF28" s="238" t="s">
        <v>11</v>
      </c>
      <c r="AG28" s="83">
        <v>4.4000000000000004</v>
      </c>
      <c r="AL28" s="82"/>
      <c r="AO28" s="83"/>
      <c r="AP28" s="82"/>
      <c r="AS28" s="83"/>
      <c r="AW28" s="83"/>
      <c r="BA28" s="84"/>
    </row>
    <row r="29" spans="1:53" s="238" customFormat="1" x14ac:dyDescent="0.15">
      <c r="A29" s="537">
        <v>2001</v>
      </c>
      <c r="B29" s="483">
        <v>36892</v>
      </c>
      <c r="C29" s="811" t="s">
        <v>1130</v>
      </c>
      <c r="D29" s="811"/>
      <c r="E29" s="537">
        <v>0</v>
      </c>
      <c r="F29" s="484">
        <v>0</v>
      </c>
      <c r="G29" s="480">
        <v>14</v>
      </c>
      <c r="H29" s="537"/>
      <c r="I29" s="537">
        <v>4</v>
      </c>
      <c r="J29" s="482">
        <v>18</v>
      </c>
      <c r="K29" s="477">
        <f t="shared" si="0"/>
        <v>77.777777777777786</v>
      </c>
      <c r="L29" s="477">
        <f t="shared" si="1"/>
        <v>0</v>
      </c>
      <c r="M29" s="477">
        <f t="shared" si="2"/>
        <v>22.222222222222221</v>
      </c>
      <c r="N29" s="481">
        <f t="shared" si="3"/>
        <v>100</v>
      </c>
      <c r="O29" s="476">
        <v>42.7</v>
      </c>
      <c r="P29" s="477"/>
      <c r="Q29" s="477">
        <v>12.4</v>
      </c>
      <c r="R29" s="478">
        <f t="shared" si="4"/>
        <v>55.1</v>
      </c>
      <c r="S29" s="537">
        <v>3</v>
      </c>
      <c r="T29" s="479"/>
      <c r="U29" s="534"/>
      <c r="V29" s="82" t="s">
        <v>1132</v>
      </c>
      <c r="W29" s="238" t="s">
        <v>79</v>
      </c>
      <c r="X29" s="238" t="s">
        <v>11</v>
      </c>
      <c r="Y29" s="83">
        <v>38.299999999999997</v>
      </c>
      <c r="Z29" s="238" t="s">
        <v>1127</v>
      </c>
      <c r="AA29" s="238" t="s">
        <v>886</v>
      </c>
      <c r="AB29" s="238" t="s">
        <v>12</v>
      </c>
      <c r="AC29" s="238">
        <v>12.4</v>
      </c>
      <c r="AD29" s="82" t="s">
        <v>1126</v>
      </c>
      <c r="AE29" s="238" t="s">
        <v>74</v>
      </c>
      <c r="AF29" s="238" t="s">
        <v>11</v>
      </c>
      <c r="AG29" s="83">
        <v>4.4000000000000004</v>
      </c>
      <c r="AL29" s="82"/>
      <c r="AO29" s="83"/>
      <c r="AP29" s="82"/>
      <c r="AS29" s="83"/>
      <c r="AW29" s="83"/>
      <c r="BA29" s="84"/>
    </row>
    <row r="30" spans="1:53" s="238" customFormat="1" x14ac:dyDescent="0.15">
      <c r="A30" s="537">
        <v>2001</v>
      </c>
      <c r="B30" s="534"/>
      <c r="C30" s="811" t="s">
        <v>1130</v>
      </c>
      <c r="D30" s="811"/>
      <c r="E30" s="537">
        <v>365</v>
      </c>
      <c r="F30" s="537"/>
      <c r="G30" s="480">
        <v>14</v>
      </c>
      <c r="H30" s="537"/>
      <c r="I30" s="537">
        <v>4</v>
      </c>
      <c r="J30" s="482">
        <v>18</v>
      </c>
      <c r="K30" s="477">
        <f t="shared" si="0"/>
        <v>77.777777777777786</v>
      </c>
      <c r="L30" s="477">
        <f t="shared" si="1"/>
        <v>0</v>
      </c>
      <c r="M30" s="477">
        <f t="shared" si="2"/>
        <v>22.222222222222221</v>
      </c>
      <c r="N30" s="481">
        <f t="shared" si="3"/>
        <v>100</v>
      </c>
      <c r="O30" s="476">
        <v>42.7</v>
      </c>
      <c r="P30" s="477"/>
      <c r="Q30" s="477">
        <v>12.4</v>
      </c>
      <c r="R30" s="478">
        <f t="shared" si="4"/>
        <v>55.1</v>
      </c>
      <c r="S30" s="537">
        <v>3</v>
      </c>
      <c r="T30" s="479"/>
      <c r="U30" s="534"/>
      <c r="V30" s="82" t="s">
        <v>1132</v>
      </c>
      <c r="W30" s="238" t="s">
        <v>79</v>
      </c>
      <c r="X30" s="238" t="s">
        <v>11</v>
      </c>
      <c r="Y30" s="83">
        <v>38.299999999999997</v>
      </c>
      <c r="Z30" s="238" t="s">
        <v>1127</v>
      </c>
      <c r="AA30" s="238" t="s">
        <v>886</v>
      </c>
      <c r="AB30" s="238" t="s">
        <v>12</v>
      </c>
      <c r="AC30" s="238">
        <v>12.4</v>
      </c>
      <c r="AD30" s="82" t="s">
        <v>1126</v>
      </c>
      <c r="AE30" s="238" t="s">
        <v>74</v>
      </c>
      <c r="AF30" s="238" t="s">
        <v>11</v>
      </c>
      <c r="AG30" s="83">
        <v>4.4000000000000004</v>
      </c>
      <c r="AL30" s="82"/>
      <c r="AO30" s="83"/>
      <c r="AP30" s="82"/>
      <c r="AS30" s="83"/>
      <c r="AW30" s="83"/>
      <c r="BA30" s="84"/>
    </row>
    <row r="31" spans="1:53" s="238" customFormat="1" x14ac:dyDescent="0.15">
      <c r="A31" s="537">
        <v>2002</v>
      </c>
      <c r="B31" s="534"/>
      <c r="C31" s="811" t="s">
        <v>1130</v>
      </c>
      <c r="D31" s="811"/>
      <c r="E31" s="537">
        <v>146</v>
      </c>
      <c r="F31" s="537"/>
      <c r="G31" s="480">
        <v>14</v>
      </c>
      <c r="H31" s="537"/>
      <c r="I31" s="537">
        <v>4</v>
      </c>
      <c r="J31" s="482">
        <v>18</v>
      </c>
      <c r="K31" s="477">
        <f t="shared" si="0"/>
        <v>77.777777777777786</v>
      </c>
      <c r="L31" s="477">
        <f t="shared" si="1"/>
        <v>0</v>
      </c>
      <c r="M31" s="477">
        <f t="shared" si="2"/>
        <v>22.222222222222221</v>
      </c>
      <c r="N31" s="481">
        <f t="shared" si="3"/>
        <v>100</v>
      </c>
      <c r="O31" s="476">
        <v>42.7</v>
      </c>
      <c r="P31" s="477"/>
      <c r="Q31" s="477">
        <v>12.4</v>
      </c>
      <c r="R31" s="478">
        <f t="shared" si="4"/>
        <v>55.1</v>
      </c>
      <c r="S31" s="537">
        <v>3</v>
      </c>
      <c r="T31" s="479"/>
      <c r="U31" s="534"/>
      <c r="V31" s="82" t="s">
        <v>1132</v>
      </c>
      <c r="W31" s="238" t="s">
        <v>79</v>
      </c>
      <c r="X31" s="238" t="s">
        <v>11</v>
      </c>
      <c r="Y31" s="83">
        <v>38.299999999999997</v>
      </c>
      <c r="Z31" s="238" t="s">
        <v>1127</v>
      </c>
      <c r="AA31" s="238" t="s">
        <v>886</v>
      </c>
      <c r="AB31" s="238" t="s">
        <v>12</v>
      </c>
      <c r="AC31" s="238">
        <v>12.4</v>
      </c>
      <c r="AD31" s="82" t="s">
        <v>1126</v>
      </c>
      <c r="AE31" s="238" t="s">
        <v>74</v>
      </c>
      <c r="AF31" s="238" t="s">
        <v>11</v>
      </c>
      <c r="AG31" s="83">
        <v>4.4000000000000004</v>
      </c>
      <c r="AL31" s="82"/>
      <c r="AO31" s="83"/>
      <c r="AP31" s="82"/>
      <c r="AS31" s="83"/>
      <c r="AW31" s="83"/>
      <c r="BA31" s="84"/>
    </row>
    <row r="32" spans="1:53" s="334" customFormat="1" x14ac:dyDescent="0.15">
      <c r="A32" s="538">
        <v>2002</v>
      </c>
      <c r="B32" s="535">
        <v>37403</v>
      </c>
      <c r="C32" s="812" t="s">
        <v>1121</v>
      </c>
      <c r="D32" s="812"/>
      <c r="E32" s="538">
        <v>219</v>
      </c>
      <c r="F32" s="538">
        <v>1</v>
      </c>
      <c r="G32" s="497">
        <v>4</v>
      </c>
      <c r="H32" s="538"/>
      <c r="I32" s="538">
        <v>11</v>
      </c>
      <c r="J32" s="499">
        <v>15</v>
      </c>
      <c r="K32" s="495">
        <f t="shared" si="0"/>
        <v>26.666666666666668</v>
      </c>
      <c r="L32" s="495">
        <f t="shared" si="1"/>
        <v>0</v>
      </c>
      <c r="M32" s="495">
        <f t="shared" si="2"/>
        <v>73.333333333333329</v>
      </c>
      <c r="N32" s="498">
        <f t="shared" si="3"/>
        <v>100</v>
      </c>
      <c r="O32" s="494">
        <v>5.2</v>
      </c>
      <c r="P32" s="495"/>
      <c r="Q32" s="495">
        <v>46.1</v>
      </c>
      <c r="R32" s="496">
        <f t="shared" si="4"/>
        <v>51.300000000000004</v>
      </c>
      <c r="S32" s="538">
        <v>2</v>
      </c>
      <c r="T32" s="487">
        <v>37367</v>
      </c>
      <c r="U32" s="535">
        <v>37403</v>
      </c>
      <c r="V32" s="343" t="s">
        <v>1129</v>
      </c>
      <c r="W32" s="334" t="s">
        <v>20</v>
      </c>
      <c r="X32" s="334" t="s">
        <v>12</v>
      </c>
      <c r="Y32" s="344">
        <v>46.1</v>
      </c>
      <c r="Z32" s="334" t="s">
        <v>1133</v>
      </c>
      <c r="AA32" s="334" t="s">
        <v>22</v>
      </c>
      <c r="AB32" s="334" t="s">
        <v>11</v>
      </c>
      <c r="AC32" s="334">
        <v>5.2</v>
      </c>
      <c r="AD32" s="343"/>
      <c r="AG32" s="344"/>
      <c r="AL32" s="343"/>
      <c r="AO32" s="344"/>
      <c r="AP32" s="343"/>
      <c r="AS32" s="344"/>
      <c r="AW32" s="344"/>
      <c r="BA32" s="345"/>
    </row>
    <row r="33" spans="1:53" s="334" customFormat="1" x14ac:dyDescent="0.15">
      <c r="A33" s="538">
        <v>2003</v>
      </c>
      <c r="B33" s="535"/>
      <c r="C33" s="812" t="s">
        <v>1121</v>
      </c>
      <c r="D33" s="812"/>
      <c r="E33" s="538">
        <v>134</v>
      </c>
      <c r="F33" s="538"/>
      <c r="G33" s="497">
        <v>4</v>
      </c>
      <c r="H33" s="538"/>
      <c r="I33" s="538">
        <v>11</v>
      </c>
      <c r="J33" s="499">
        <v>15</v>
      </c>
      <c r="K33" s="495">
        <f t="shared" si="0"/>
        <v>26.666666666666668</v>
      </c>
      <c r="L33" s="495">
        <f t="shared" si="1"/>
        <v>0</v>
      </c>
      <c r="M33" s="495">
        <f t="shared" si="2"/>
        <v>73.333333333333329</v>
      </c>
      <c r="N33" s="498">
        <f t="shared" si="3"/>
        <v>100</v>
      </c>
      <c r="O33" s="494">
        <v>5.2</v>
      </c>
      <c r="P33" s="495"/>
      <c r="Q33" s="495">
        <v>46.1</v>
      </c>
      <c r="R33" s="496">
        <f t="shared" si="4"/>
        <v>51.300000000000004</v>
      </c>
      <c r="S33" s="538">
        <v>2</v>
      </c>
      <c r="T33" s="487"/>
      <c r="U33" s="535"/>
      <c r="V33" s="343" t="s">
        <v>1129</v>
      </c>
      <c r="W33" s="334" t="s">
        <v>20</v>
      </c>
      <c r="X33" s="334" t="s">
        <v>12</v>
      </c>
      <c r="Y33" s="344">
        <v>46.1</v>
      </c>
      <c r="Z33" s="334" t="s">
        <v>1133</v>
      </c>
      <c r="AA33" s="334" t="s">
        <v>22</v>
      </c>
      <c r="AB33" s="334" t="s">
        <v>11</v>
      </c>
      <c r="AC33" s="334">
        <v>5.2</v>
      </c>
      <c r="AD33" s="343"/>
      <c r="AG33" s="344"/>
      <c r="AL33" s="343"/>
      <c r="AO33" s="344"/>
      <c r="AP33" s="343"/>
      <c r="AS33" s="344"/>
      <c r="AW33" s="344"/>
      <c r="BA33" s="345"/>
    </row>
    <row r="34" spans="1:53" s="334" customFormat="1" x14ac:dyDescent="0.15">
      <c r="A34" s="538">
        <v>2003</v>
      </c>
      <c r="B34" s="502">
        <v>37756</v>
      </c>
      <c r="C34" s="812" t="s">
        <v>1121</v>
      </c>
      <c r="D34" s="812"/>
      <c r="E34" s="538">
        <v>231</v>
      </c>
      <c r="F34" s="501">
        <v>0</v>
      </c>
      <c r="G34" s="497">
        <v>4</v>
      </c>
      <c r="H34" s="538"/>
      <c r="I34" s="538">
        <v>13</v>
      </c>
      <c r="J34" s="499">
        <v>17</v>
      </c>
      <c r="K34" s="495">
        <f t="shared" si="0"/>
        <v>23.52941176470588</v>
      </c>
      <c r="L34" s="495">
        <f t="shared" si="1"/>
        <v>0</v>
      </c>
      <c r="M34" s="495">
        <f t="shared" si="2"/>
        <v>76.470588235294116</v>
      </c>
      <c r="N34" s="498">
        <f t="shared" si="3"/>
        <v>100</v>
      </c>
      <c r="O34" s="494">
        <v>5.2</v>
      </c>
      <c r="P34" s="495"/>
      <c r="Q34" s="495">
        <v>46.1</v>
      </c>
      <c r="R34" s="496">
        <f t="shared" si="4"/>
        <v>51.300000000000004</v>
      </c>
      <c r="S34" s="538">
        <v>2</v>
      </c>
      <c r="T34" s="487"/>
      <c r="U34" s="535"/>
      <c r="V34" s="343" t="s">
        <v>1129</v>
      </c>
      <c r="W34" s="334" t="s">
        <v>20</v>
      </c>
      <c r="X34" s="334" t="s">
        <v>12</v>
      </c>
      <c r="Y34" s="344">
        <v>46.1</v>
      </c>
      <c r="Z34" s="334" t="s">
        <v>1133</v>
      </c>
      <c r="AA34" s="334" t="s">
        <v>22</v>
      </c>
      <c r="AB34" s="334" t="s">
        <v>11</v>
      </c>
      <c r="AC34" s="334">
        <v>5.2</v>
      </c>
      <c r="AD34" s="343"/>
      <c r="AG34" s="344"/>
      <c r="AL34" s="343"/>
      <c r="AO34" s="344"/>
      <c r="AP34" s="343"/>
      <c r="AS34" s="344"/>
      <c r="AW34" s="344"/>
      <c r="BA34" s="345"/>
    </row>
    <row r="35" spans="1:53" s="334" customFormat="1" x14ac:dyDescent="0.15">
      <c r="A35" s="538">
        <v>2004</v>
      </c>
      <c r="B35" s="535"/>
      <c r="C35" s="812" t="s">
        <v>1121</v>
      </c>
      <c r="D35" s="812"/>
      <c r="E35" s="538">
        <v>272</v>
      </c>
      <c r="F35" s="538"/>
      <c r="G35" s="497">
        <v>4</v>
      </c>
      <c r="H35" s="538"/>
      <c r="I35" s="538">
        <v>13</v>
      </c>
      <c r="J35" s="499">
        <v>17</v>
      </c>
      <c r="K35" s="495">
        <f t="shared" si="0"/>
        <v>23.52941176470588</v>
      </c>
      <c r="L35" s="495">
        <f t="shared" si="1"/>
        <v>0</v>
      </c>
      <c r="M35" s="495">
        <f t="shared" si="2"/>
        <v>76.470588235294116</v>
      </c>
      <c r="N35" s="498">
        <f t="shared" si="3"/>
        <v>100</v>
      </c>
      <c r="O35" s="494">
        <v>5.2</v>
      </c>
      <c r="P35" s="495"/>
      <c r="Q35" s="495">
        <v>46.1</v>
      </c>
      <c r="R35" s="496">
        <f t="shared" si="4"/>
        <v>51.300000000000004</v>
      </c>
      <c r="S35" s="538">
        <v>2</v>
      </c>
      <c r="T35" s="487"/>
      <c r="U35" s="535"/>
      <c r="V35" s="343" t="s">
        <v>1129</v>
      </c>
      <c r="W35" s="334" t="s">
        <v>20</v>
      </c>
      <c r="X35" s="334" t="s">
        <v>12</v>
      </c>
      <c r="Y35" s="344">
        <v>46.1</v>
      </c>
      <c r="Z35" s="334" t="s">
        <v>1133</v>
      </c>
      <c r="AA35" s="334" t="s">
        <v>22</v>
      </c>
      <c r="AB35" s="334" t="s">
        <v>11</v>
      </c>
      <c r="AC35" s="334">
        <v>5.2</v>
      </c>
      <c r="AD35" s="343"/>
      <c r="AG35" s="344"/>
      <c r="AL35" s="343"/>
      <c r="AO35" s="344"/>
      <c r="AP35" s="343"/>
      <c r="AS35" s="344"/>
      <c r="AW35" s="344"/>
      <c r="BA35" s="345"/>
    </row>
    <row r="36" spans="1:53" s="238" customFormat="1" x14ac:dyDescent="0.15">
      <c r="A36" s="537">
        <v>2004</v>
      </c>
      <c r="B36" s="121">
        <v>38259</v>
      </c>
      <c r="C36" s="811" t="s">
        <v>1122</v>
      </c>
      <c r="D36" s="811"/>
      <c r="E36" s="537">
        <v>94</v>
      </c>
      <c r="F36" s="537">
        <v>2</v>
      </c>
      <c r="G36" s="547">
        <v>4</v>
      </c>
      <c r="H36" s="327"/>
      <c r="I36" s="327">
        <v>14</v>
      </c>
      <c r="J36" s="548">
        <v>18</v>
      </c>
      <c r="K36" s="477">
        <f t="shared" si="0"/>
        <v>22.222222222222221</v>
      </c>
      <c r="L36" s="477">
        <f t="shared" si="1"/>
        <v>0</v>
      </c>
      <c r="M36" s="477">
        <f t="shared" si="2"/>
        <v>77.777777777777786</v>
      </c>
      <c r="N36" s="481">
        <f t="shared" si="3"/>
        <v>100</v>
      </c>
      <c r="O36" s="476">
        <v>5.2</v>
      </c>
      <c r="P36" s="477"/>
      <c r="Q36" s="477">
        <v>46.1</v>
      </c>
      <c r="R36" s="478">
        <f>SUM(O36:Q36)</f>
        <v>51.300000000000004</v>
      </c>
      <c r="S36" s="537">
        <v>2</v>
      </c>
      <c r="T36" s="479"/>
      <c r="U36" s="534">
        <v>38259</v>
      </c>
      <c r="V36" s="82" t="s">
        <v>1129</v>
      </c>
      <c r="W36" s="238" t="s">
        <v>20</v>
      </c>
      <c r="X36" s="238" t="s">
        <v>12</v>
      </c>
      <c r="Y36" s="83">
        <v>46.1</v>
      </c>
      <c r="Z36" s="238" t="s">
        <v>1133</v>
      </c>
      <c r="AA36" s="238" t="s">
        <v>22</v>
      </c>
      <c r="AB36" s="238" t="s">
        <v>11</v>
      </c>
      <c r="AC36" s="238">
        <v>5.2</v>
      </c>
      <c r="AD36" s="82"/>
      <c r="AG36" s="83"/>
      <c r="AL36" s="82"/>
      <c r="AO36" s="83"/>
      <c r="AP36" s="82"/>
      <c r="AS36" s="83"/>
      <c r="AW36" s="83"/>
      <c r="BA36" s="84"/>
    </row>
    <row r="37" spans="1:53" s="238" customFormat="1" x14ac:dyDescent="0.15">
      <c r="A37" s="537">
        <v>2005</v>
      </c>
      <c r="B37" s="121"/>
      <c r="C37" s="811" t="s">
        <v>1122</v>
      </c>
      <c r="D37" s="811"/>
      <c r="E37" s="537">
        <v>0</v>
      </c>
      <c r="F37" s="537"/>
      <c r="G37" s="547">
        <v>4</v>
      </c>
      <c r="H37" s="327"/>
      <c r="I37" s="327">
        <v>14</v>
      </c>
      <c r="J37" s="548">
        <v>18</v>
      </c>
      <c r="K37" s="477">
        <f t="shared" si="0"/>
        <v>22.222222222222221</v>
      </c>
      <c r="L37" s="477">
        <f t="shared" si="1"/>
        <v>0</v>
      </c>
      <c r="M37" s="477">
        <f t="shared" si="2"/>
        <v>77.777777777777786</v>
      </c>
      <c r="N37" s="481">
        <f t="shared" si="3"/>
        <v>100</v>
      </c>
      <c r="O37" s="476">
        <v>5.2</v>
      </c>
      <c r="P37" s="477"/>
      <c r="Q37" s="477">
        <v>46.1</v>
      </c>
      <c r="R37" s="478">
        <f t="shared" ref="R37:R56" si="5">SUM(O37:Q37)</f>
        <v>51.300000000000004</v>
      </c>
      <c r="S37" s="537">
        <v>2</v>
      </c>
      <c r="T37" s="479"/>
      <c r="U37" s="534"/>
      <c r="V37" s="82" t="s">
        <v>1129</v>
      </c>
      <c r="W37" s="238" t="s">
        <v>20</v>
      </c>
      <c r="X37" s="238" t="s">
        <v>12</v>
      </c>
      <c r="Y37" s="83">
        <v>46.1</v>
      </c>
      <c r="Z37" s="238" t="s">
        <v>1133</v>
      </c>
      <c r="AA37" s="238" t="s">
        <v>22</v>
      </c>
      <c r="AB37" s="238" t="s">
        <v>11</v>
      </c>
      <c r="AC37" s="238">
        <v>5.2</v>
      </c>
      <c r="AD37" s="82"/>
      <c r="AG37" s="83"/>
      <c r="AL37" s="82"/>
      <c r="AO37" s="83"/>
      <c r="AP37" s="82"/>
      <c r="AS37" s="83"/>
      <c r="AW37" s="83"/>
      <c r="BA37" s="84"/>
    </row>
    <row r="38" spans="1:53" s="238" customFormat="1" x14ac:dyDescent="0.15">
      <c r="A38" s="537">
        <v>2005</v>
      </c>
      <c r="B38" s="121"/>
      <c r="C38" s="811" t="s">
        <v>1122</v>
      </c>
      <c r="D38" s="811"/>
      <c r="E38" s="537">
        <v>365</v>
      </c>
      <c r="F38" s="537"/>
      <c r="G38" s="547">
        <v>4</v>
      </c>
      <c r="H38" s="327"/>
      <c r="I38" s="327">
        <v>14</v>
      </c>
      <c r="J38" s="548">
        <v>18</v>
      </c>
      <c r="K38" s="477">
        <f t="shared" si="0"/>
        <v>22.222222222222221</v>
      </c>
      <c r="L38" s="477">
        <f t="shared" si="1"/>
        <v>0</v>
      </c>
      <c r="M38" s="477">
        <f t="shared" si="2"/>
        <v>77.777777777777786</v>
      </c>
      <c r="N38" s="481">
        <f t="shared" si="3"/>
        <v>100</v>
      </c>
      <c r="O38" s="476">
        <v>5.2</v>
      </c>
      <c r="P38" s="477"/>
      <c r="Q38" s="477">
        <v>46.1</v>
      </c>
      <c r="R38" s="478">
        <f t="shared" si="5"/>
        <v>51.300000000000004</v>
      </c>
      <c r="S38" s="537">
        <v>2</v>
      </c>
      <c r="T38" s="479"/>
      <c r="U38" s="534"/>
      <c r="V38" s="82" t="s">
        <v>1129</v>
      </c>
      <c r="W38" s="238" t="s">
        <v>20</v>
      </c>
      <c r="X38" s="238" t="s">
        <v>12</v>
      </c>
      <c r="Y38" s="83">
        <v>46.1</v>
      </c>
      <c r="Z38" s="238" t="s">
        <v>1133</v>
      </c>
      <c r="AA38" s="238" t="s">
        <v>22</v>
      </c>
      <c r="AB38" s="238" t="s">
        <v>11</v>
      </c>
      <c r="AC38" s="238">
        <v>5.2</v>
      </c>
      <c r="AD38" s="82"/>
      <c r="AG38" s="83"/>
      <c r="AL38" s="82"/>
      <c r="AO38" s="83"/>
      <c r="AP38" s="82"/>
      <c r="AS38" s="83"/>
      <c r="AW38" s="83"/>
      <c r="BA38" s="84"/>
    </row>
    <row r="39" spans="1:53" s="238" customFormat="1" x14ac:dyDescent="0.15">
      <c r="A39" s="537">
        <v>2006</v>
      </c>
      <c r="B39" s="121"/>
      <c r="C39" s="811" t="s">
        <v>1122</v>
      </c>
      <c r="D39" s="811"/>
      <c r="E39" s="537">
        <v>159</v>
      </c>
      <c r="F39" s="537"/>
      <c r="G39" s="547">
        <v>4</v>
      </c>
      <c r="H39" s="327"/>
      <c r="I39" s="327">
        <v>14</v>
      </c>
      <c r="J39" s="548">
        <v>18</v>
      </c>
      <c r="K39" s="477">
        <f t="shared" si="0"/>
        <v>22.222222222222221</v>
      </c>
      <c r="L39" s="477">
        <f t="shared" si="1"/>
        <v>0</v>
      </c>
      <c r="M39" s="477">
        <f t="shared" si="2"/>
        <v>77.777777777777786</v>
      </c>
      <c r="N39" s="481">
        <f t="shared" si="3"/>
        <v>100</v>
      </c>
      <c r="O39" s="476">
        <v>5.2</v>
      </c>
      <c r="P39" s="477"/>
      <c r="Q39" s="477">
        <v>46.1</v>
      </c>
      <c r="R39" s="478">
        <f t="shared" si="5"/>
        <v>51.300000000000004</v>
      </c>
      <c r="S39" s="537">
        <v>2</v>
      </c>
      <c r="T39" s="479"/>
      <c r="U39" s="534"/>
      <c r="V39" s="82" t="s">
        <v>1129</v>
      </c>
      <c r="W39" s="238" t="s">
        <v>20</v>
      </c>
      <c r="X39" s="238" t="s">
        <v>12</v>
      </c>
      <c r="Y39" s="83">
        <v>46.1</v>
      </c>
      <c r="Z39" s="238" t="s">
        <v>1133</v>
      </c>
      <c r="AA39" s="238" t="s">
        <v>22</v>
      </c>
      <c r="AB39" s="238" t="s">
        <v>11</v>
      </c>
      <c r="AC39" s="238">
        <v>5.2</v>
      </c>
      <c r="AD39" s="82"/>
      <c r="AG39" s="83"/>
      <c r="AL39" s="82"/>
      <c r="AO39" s="83"/>
      <c r="AP39" s="82"/>
      <c r="AS39" s="83"/>
      <c r="AW39" s="83"/>
      <c r="BA39" s="84"/>
    </row>
    <row r="40" spans="1:53" s="334" customFormat="1" x14ac:dyDescent="0.15">
      <c r="A40" s="538">
        <v>2006</v>
      </c>
      <c r="B40" s="335">
        <v>38877</v>
      </c>
      <c r="C40" s="812" t="s">
        <v>1123</v>
      </c>
      <c r="D40" s="812"/>
      <c r="E40" s="538">
        <v>206</v>
      </c>
      <c r="F40" s="538">
        <v>1</v>
      </c>
      <c r="G40" s="549">
        <v>3</v>
      </c>
      <c r="H40" s="550"/>
      <c r="I40" s="550">
        <v>10</v>
      </c>
      <c r="J40" s="551">
        <v>13</v>
      </c>
      <c r="K40" s="495">
        <f t="shared" si="0"/>
        <v>23.076923076923077</v>
      </c>
      <c r="L40" s="495">
        <f t="shared" si="1"/>
        <v>0</v>
      </c>
      <c r="M40" s="495">
        <f t="shared" si="2"/>
        <v>76.923076923076934</v>
      </c>
      <c r="N40" s="498">
        <f t="shared" si="3"/>
        <v>100.00000000000001</v>
      </c>
      <c r="O40" s="494">
        <v>5.3</v>
      </c>
      <c r="P40" s="495"/>
      <c r="Q40" s="495">
        <v>49.2</v>
      </c>
      <c r="R40" s="496">
        <f t="shared" si="5"/>
        <v>54.5</v>
      </c>
      <c r="S40" s="538">
        <v>2</v>
      </c>
      <c r="T40" s="487">
        <v>38830</v>
      </c>
      <c r="U40" s="535">
        <v>38877</v>
      </c>
      <c r="V40" s="343" t="s">
        <v>1129</v>
      </c>
      <c r="W40" s="334" t="s">
        <v>20</v>
      </c>
      <c r="X40" s="334" t="s">
        <v>12</v>
      </c>
      <c r="Y40" s="344">
        <v>49.2</v>
      </c>
      <c r="Z40" s="334" t="s">
        <v>1133</v>
      </c>
      <c r="AA40" s="334" t="s">
        <v>22</v>
      </c>
      <c r="AB40" s="334" t="s">
        <v>11</v>
      </c>
      <c r="AC40" s="334">
        <v>5.2</v>
      </c>
      <c r="AD40" s="343"/>
      <c r="AG40" s="344"/>
      <c r="AL40" s="343"/>
      <c r="AO40" s="344"/>
      <c r="AP40" s="343"/>
      <c r="AS40" s="344"/>
      <c r="AW40" s="344"/>
      <c r="BA40" s="345"/>
    </row>
    <row r="41" spans="1:53" s="334" customFormat="1" x14ac:dyDescent="0.15">
      <c r="A41" s="538">
        <v>2007</v>
      </c>
      <c r="B41" s="335"/>
      <c r="C41" s="812" t="s">
        <v>1123</v>
      </c>
      <c r="D41" s="812"/>
      <c r="E41" s="538">
        <v>181</v>
      </c>
      <c r="F41" s="538"/>
      <c r="G41" s="549">
        <v>3</v>
      </c>
      <c r="H41" s="550"/>
      <c r="I41" s="550">
        <v>10</v>
      </c>
      <c r="J41" s="551">
        <v>13</v>
      </c>
      <c r="K41" s="495">
        <f t="shared" si="0"/>
        <v>23.076923076923077</v>
      </c>
      <c r="L41" s="495">
        <f t="shared" si="1"/>
        <v>0</v>
      </c>
      <c r="M41" s="495">
        <f t="shared" si="2"/>
        <v>76.923076923076934</v>
      </c>
      <c r="N41" s="498">
        <f t="shared" si="3"/>
        <v>100.00000000000001</v>
      </c>
      <c r="O41" s="494">
        <v>5.3</v>
      </c>
      <c r="P41" s="495"/>
      <c r="Q41" s="495">
        <v>49.2</v>
      </c>
      <c r="R41" s="496">
        <f t="shared" si="5"/>
        <v>54.5</v>
      </c>
      <c r="S41" s="538">
        <v>2</v>
      </c>
      <c r="T41" s="487"/>
      <c r="U41" s="535"/>
      <c r="V41" s="343" t="s">
        <v>1129</v>
      </c>
      <c r="W41" s="334" t="s">
        <v>20</v>
      </c>
      <c r="X41" s="334" t="s">
        <v>12</v>
      </c>
      <c r="Y41" s="344">
        <v>49.2</v>
      </c>
      <c r="Z41" s="334" t="s">
        <v>1133</v>
      </c>
      <c r="AA41" s="334" t="s">
        <v>22</v>
      </c>
      <c r="AB41" s="334" t="s">
        <v>11</v>
      </c>
      <c r="AC41" s="334">
        <v>5.2</v>
      </c>
      <c r="AD41" s="343"/>
      <c r="AG41" s="344"/>
      <c r="AL41" s="343"/>
      <c r="AO41" s="344"/>
      <c r="AP41" s="343"/>
      <c r="AS41" s="344"/>
      <c r="AW41" s="344"/>
      <c r="BA41" s="345"/>
    </row>
    <row r="42" spans="1:53" s="334" customFormat="1" x14ac:dyDescent="0.15">
      <c r="A42" s="538">
        <v>2007</v>
      </c>
      <c r="B42" s="440">
        <v>39264</v>
      </c>
      <c r="C42" s="812" t="s">
        <v>1123</v>
      </c>
      <c r="D42" s="812"/>
      <c r="E42" s="538">
        <v>184</v>
      </c>
      <c r="F42" s="501">
        <v>0</v>
      </c>
      <c r="G42" s="549">
        <v>3</v>
      </c>
      <c r="H42" s="550"/>
      <c r="I42" s="550">
        <v>12</v>
      </c>
      <c r="J42" s="551">
        <v>15</v>
      </c>
      <c r="K42" s="495">
        <f t="shared" si="0"/>
        <v>20</v>
      </c>
      <c r="L42" s="495">
        <f>H42/J42*100</f>
        <v>0</v>
      </c>
      <c r="M42" s="495">
        <f t="shared" si="2"/>
        <v>80</v>
      </c>
      <c r="N42" s="498">
        <f t="shared" si="3"/>
        <v>100</v>
      </c>
      <c r="O42" s="494">
        <v>5.3</v>
      </c>
      <c r="P42" s="495"/>
      <c r="Q42" s="495">
        <v>49.2</v>
      </c>
      <c r="R42" s="496">
        <f t="shared" si="5"/>
        <v>54.5</v>
      </c>
      <c r="S42" s="538">
        <v>2</v>
      </c>
      <c r="T42" s="487"/>
      <c r="U42" s="535"/>
      <c r="V42" s="343" t="s">
        <v>1129</v>
      </c>
      <c r="W42" s="334" t="s">
        <v>20</v>
      </c>
      <c r="X42" s="334" t="s">
        <v>12</v>
      </c>
      <c r="Y42" s="344">
        <v>49.2</v>
      </c>
      <c r="Z42" s="334" t="s">
        <v>1133</v>
      </c>
      <c r="AA42" s="334" t="s">
        <v>22</v>
      </c>
      <c r="AB42" s="334" t="s">
        <v>11</v>
      </c>
      <c r="AC42" s="334">
        <v>5.2</v>
      </c>
      <c r="AD42" s="343"/>
      <c r="AG42" s="344"/>
      <c r="AL42" s="343"/>
      <c r="AO42" s="344"/>
      <c r="AP42" s="343"/>
      <c r="AS42" s="344"/>
      <c r="AW42" s="344"/>
      <c r="BA42" s="345"/>
    </row>
    <row r="43" spans="1:53" s="334" customFormat="1" x14ac:dyDescent="0.15">
      <c r="A43" s="538">
        <v>2008</v>
      </c>
      <c r="B43" s="335"/>
      <c r="C43" s="812" t="s">
        <v>1123</v>
      </c>
      <c r="D43" s="812"/>
      <c r="E43" s="538">
        <v>48</v>
      </c>
      <c r="F43" s="538"/>
      <c r="G43" s="549">
        <v>3</v>
      </c>
      <c r="H43" s="550"/>
      <c r="I43" s="550">
        <v>12</v>
      </c>
      <c r="J43" s="551">
        <v>15</v>
      </c>
      <c r="K43" s="495">
        <f>G43/J43*100</f>
        <v>20</v>
      </c>
      <c r="L43" s="495">
        <f>H43/J43*100</f>
        <v>0</v>
      </c>
      <c r="M43" s="495">
        <f>I43/J43*100</f>
        <v>80</v>
      </c>
      <c r="N43" s="498">
        <f t="shared" si="3"/>
        <v>100</v>
      </c>
      <c r="O43" s="494">
        <v>5.3</v>
      </c>
      <c r="P43" s="495"/>
      <c r="Q43" s="495">
        <v>49.2</v>
      </c>
      <c r="R43" s="496">
        <f t="shared" si="5"/>
        <v>54.5</v>
      </c>
      <c r="S43" s="538">
        <v>2</v>
      </c>
      <c r="T43" s="487"/>
      <c r="U43" s="535"/>
      <c r="V43" s="343" t="s">
        <v>1129</v>
      </c>
      <c r="W43" s="334" t="s">
        <v>20</v>
      </c>
      <c r="X43" s="334" t="s">
        <v>12</v>
      </c>
      <c r="Y43" s="344">
        <v>49.2</v>
      </c>
      <c r="Z43" s="334" t="s">
        <v>1133</v>
      </c>
      <c r="AA43" s="334" t="s">
        <v>22</v>
      </c>
      <c r="AB43" s="334" t="s">
        <v>11</v>
      </c>
      <c r="AC43" s="334">
        <v>5.2</v>
      </c>
      <c r="AD43" s="343"/>
      <c r="AG43" s="344"/>
      <c r="AL43" s="343"/>
      <c r="AO43" s="344"/>
      <c r="AP43" s="343"/>
      <c r="AS43" s="344"/>
      <c r="AW43" s="344"/>
      <c r="BA43" s="345"/>
    </row>
    <row r="44" spans="1:53" s="334" customFormat="1" x14ac:dyDescent="0.15">
      <c r="A44" s="538">
        <v>2008</v>
      </c>
      <c r="B44" s="440">
        <v>39496</v>
      </c>
      <c r="C44" s="812" t="s">
        <v>1123</v>
      </c>
      <c r="D44" s="812"/>
      <c r="E44" s="538">
        <v>74</v>
      </c>
      <c r="F44" s="501">
        <v>0</v>
      </c>
      <c r="G44" s="549">
        <v>3</v>
      </c>
      <c r="H44" s="550"/>
      <c r="I44" s="550">
        <v>11</v>
      </c>
      <c r="J44" s="551">
        <v>14</v>
      </c>
      <c r="K44" s="495">
        <f t="shared" si="0"/>
        <v>21.428571428571427</v>
      </c>
      <c r="L44" s="495">
        <f t="shared" si="1"/>
        <v>0</v>
      </c>
      <c r="M44" s="495">
        <f t="shared" si="2"/>
        <v>78.571428571428569</v>
      </c>
      <c r="N44" s="498">
        <f t="shared" si="3"/>
        <v>100</v>
      </c>
      <c r="O44" s="494">
        <v>5.3</v>
      </c>
      <c r="P44" s="495"/>
      <c r="Q44" s="495">
        <v>49.2</v>
      </c>
      <c r="R44" s="496">
        <f t="shared" si="5"/>
        <v>54.5</v>
      </c>
      <c r="S44" s="538">
        <v>2</v>
      </c>
      <c r="T44" s="487"/>
      <c r="U44" s="535"/>
      <c r="V44" s="343" t="s">
        <v>1129</v>
      </c>
      <c r="W44" s="334" t="s">
        <v>20</v>
      </c>
      <c r="X44" s="334" t="s">
        <v>12</v>
      </c>
      <c r="Y44" s="344">
        <v>49.2</v>
      </c>
      <c r="Z44" s="334" t="s">
        <v>1133</v>
      </c>
      <c r="AA44" s="334" t="s">
        <v>22</v>
      </c>
      <c r="AB44" s="334" t="s">
        <v>11</v>
      </c>
      <c r="AC44" s="334">
        <v>5.2</v>
      </c>
      <c r="AD44" s="343"/>
      <c r="AG44" s="344"/>
      <c r="AL44" s="343"/>
      <c r="AO44" s="344"/>
      <c r="AP44" s="343"/>
      <c r="AS44" s="344"/>
      <c r="AW44" s="344"/>
      <c r="BA44" s="345"/>
    </row>
    <row r="45" spans="1:53" s="238" customFormat="1" x14ac:dyDescent="0.15">
      <c r="A45" s="537">
        <v>2008</v>
      </c>
      <c r="B45" s="121">
        <v>39570</v>
      </c>
      <c r="C45" s="811" t="s">
        <v>1124</v>
      </c>
      <c r="D45" s="811"/>
      <c r="E45" s="537">
        <v>244</v>
      </c>
      <c r="F45" s="537">
        <v>4</v>
      </c>
      <c r="G45" s="547"/>
      <c r="H45" s="327"/>
      <c r="I45" s="327">
        <v>16</v>
      </c>
      <c r="J45" s="548">
        <v>16</v>
      </c>
      <c r="K45" s="477">
        <f t="shared" si="0"/>
        <v>0</v>
      </c>
      <c r="L45" s="477">
        <f t="shared" si="1"/>
        <v>0</v>
      </c>
      <c r="M45" s="477">
        <f t="shared" si="2"/>
        <v>100</v>
      </c>
      <c r="N45" s="481">
        <f t="shared" si="3"/>
        <v>100</v>
      </c>
      <c r="O45" s="476"/>
      <c r="P45" s="477"/>
      <c r="Q45" s="477">
        <v>49.2</v>
      </c>
      <c r="R45" s="478">
        <f t="shared" si="5"/>
        <v>49.2</v>
      </c>
      <c r="S45" s="537">
        <v>4</v>
      </c>
      <c r="T45" s="479"/>
      <c r="U45" s="534">
        <v>39570</v>
      </c>
      <c r="V45" s="82" t="s">
        <v>1129</v>
      </c>
      <c r="W45" s="238" t="s">
        <v>20</v>
      </c>
      <c r="X45" s="238" t="s">
        <v>12</v>
      </c>
      <c r="Y45" s="83">
        <v>49.2</v>
      </c>
      <c r="AD45" s="82"/>
      <c r="AG45" s="83"/>
      <c r="AL45" s="82"/>
      <c r="AO45" s="83"/>
      <c r="AP45" s="82"/>
      <c r="AS45" s="83"/>
      <c r="AW45" s="83"/>
      <c r="BA45" s="84"/>
    </row>
    <row r="46" spans="1:53" s="238" customFormat="1" x14ac:dyDescent="0.15">
      <c r="A46" s="537">
        <v>2009</v>
      </c>
      <c r="B46" s="121"/>
      <c r="C46" s="811" t="s">
        <v>1124</v>
      </c>
      <c r="D46" s="811"/>
      <c r="E46" s="537">
        <v>103</v>
      </c>
      <c r="F46" s="537"/>
      <c r="G46" s="547"/>
      <c r="H46" s="327"/>
      <c r="I46" s="327">
        <v>16</v>
      </c>
      <c r="J46" s="548">
        <v>16</v>
      </c>
      <c r="K46" s="477">
        <f t="shared" si="0"/>
        <v>0</v>
      </c>
      <c r="L46" s="477">
        <f t="shared" si="1"/>
        <v>0</v>
      </c>
      <c r="M46" s="477">
        <f t="shared" si="2"/>
        <v>100</v>
      </c>
      <c r="N46" s="481">
        <f t="shared" si="3"/>
        <v>100</v>
      </c>
      <c r="O46" s="476"/>
      <c r="P46" s="477"/>
      <c r="Q46" s="477">
        <v>49.2</v>
      </c>
      <c r="R46" s="478">
        <f t="shared" si="5"/>
        <v>49.2</v>
      </c>
      <c r="S46" s="537">
        <v>4</v>
      </c>
      <c r="T46" s="479"/>
      <c r="U46" s="534"/>
      <c r="V46" s="82" t="s">
        <v>1129</v>
      </c>
      <c r="W46" s="238" t="s">
        <v>20</v>
      </c>
      <c r="X46" s="238" t="s">
        <v>12</v>
      </c>
      <c r="Y46" s="83">
        <v>49.2</v>
      </c>
      <c r="AD46" s="82"/>
      <c r="AG46" s="83"/>
      <c r="AL46" s="82"/>
      <c r="AO46" s="83"/>
      <c r="AP46" s="82"/>
      <c r="AS46" s="83"/>
      <c r="AW46" s="83"/>
      <c r="BA46" s="84"/>
    </row>
    <row r="47" spans="1:53" s="334" customFormat="1" x14ac:dyDescent="0.15">
      <c r="A47" s="538">
        <v>2009</v>
      </c>
      <c r="B47" s="335">
        <v>39917</v>
      </c>
      <c r="C47" s="812" t="s">
        <v>1125</v>
      </c>
      <c r="D47" s="812"/>
      <c r="E47" s="538">
        <v>262</v>
      </c>
      <c r="F47" s="538">
        <v>2</v>
      </c>
      <c r="G47" s="549"/>
      <c r="H47" s="550"/>
      <c r="I47" s="550">
        <v>16</v>
      </c>
      <c r="J47" s="551">
        <v>16</v>
      </c>
      <c r="K47" s="495">
        <f t="shared" si="0"/>
        <v>0</v>
      </c>
      <c r="L47" s="495">
        <f t="shared" si="1"/>
        <v>0</v>
      </c>
      <c r="M47" s="495">
        <f t="shared" si="2"/>
        <v>100</v>
      </c>
      <c r="N47" s="498">
        <f t="shared" si="3"/>
        <v>100</v>
      </c>
      <c r="O47" s="494"/>
      <c r="P47" s="495"/>
      <c r="Q47" s="495">
        <v>49.2</v>
      </c>
      <c r="R47" s="496">
        <f t="shared" si="5"/>
        <v>49.2</v>
      </c>
      <c r="S47" s="538">
        <v>4</v>
      </c>
      <c r="T47" s="487"/>
      <c r="U47" s="535">
        <v>39917</v>
      </c>
      <c r="V47" s="343" t="s">
        <v>1129</v>
      </c>
      <c r="W47" s="334" t="s">
        <v>20</v>
      </c>
      <c r="X47" s="334" t="s">
        <v>12</v>
      </c>
      <c r="Y47" s="344">
        <v>49.2</v>
      </c>
      <c r="AD47" s="343"/>
      <c r="AG47" s="344"/>
      <c r="AL47" s="343"/>
      <c r="AO47" s="344"/>
      <c r="AP47" s="343"/>
      <c r="AS47" s="344"/>
      <c r="AW47" s="344"/>
      <c r="BA47" s="345"/>
    </row>
    <row r="48" spans="1:53" s="334" customFormat="1" x14ac:dyDescent="0.15">
      <c r="A48" s="538">
        <v>2010</v>
      </c>
      <c r="B48" s="335"/>
      <c r="C48" s="812" t="s">
        <v>1125</v>
      </c>
      <c r="D48" s="812"/>
      <c r="E48" s="538">
        <v>148</v>
      </c>
      <c r="F48" s="538"/>
      <c r="G48" s="549"/>
      <c r="H48" s="550"/>
      <c r="I48" s="550">
        <v>16</v>
      </c>
      <c r="J48" s="551">
        <v>16</v>
      </c>
      <c r="K48" s="495">
        <f t="shared" si="0"/>
        <v>0</v>
      </c>
      <c r="L48" s="495">
        <f t="shared" si="1"/>
        <v>0</v>
      </c>
      <c r="M48" s="495">
        <f t="shared" si="2"/>
        <v>100</v>
      </c>
      <c r="N48" s="498">
        <f t="shared" si="3"/>
        <v>100</v>
      </c>
      <c r="O48" s="494"/>
      <c r="P48" s="495"/>
      <c r="Q48" s="495">
        <v>49.2</v>
      </c>
      <c r="R48" s="496">
        <f t="shared" si="5"/>
        <v>49.2</v>
      </c>
      <c r="S48" s="538">
        <v>4</v>
      </c>
      <c r="T48" s="487"/>
      <c r="U48" s="535"/>
      <c r="V48" s="343" t="s">
        <v>1129</v>
      </c>
      <c r="W48" s="334" t="s">
        <v>20</v>
      </c>
      <c r="X48" s="334" t="s">
        <v>12</v>
      </c>
      <c r="Y48" s="344">
        <v>49.2</v>
      </c>
      <c r="AD48" s="343"/>
      <c r="AG48" s="344"/>
      <c r="AL48" s="343"/>
      <c r="AO48" s="344"/>
      <c r="AP48" s="343"/>
      <c r="AS48" s="344"/>
      <c r="AW48" s="344"/>
      <c r="BA48" s="345"/>
    </row>
    <row r="49" spans="1:53" s="238" customFormat="1" x14ac:dyDescent="0.15">
      <c r="A49" s="537">
        <v>2010</v>
      </c>
      <c r="B49" s="121">
        <v>40327</v>
      </c>
      <c r="C49" s="811" t="s">
        <v>1131</v>
      </c>
      <c r="D49" s="811"/>
      <c r="E49" s="537">
        <v>217</v>
      </c>
      <c r="F49" s="537">
        <v>1</v>
      </c>
      <c r="G49" s="547">
        <v>7</v>
      </c>
      <c r="H49" s="327"/>
      <c r="I49" s="327"/>
      <c r="J49" s="548">
        <v>10</v>
      </c>
      <c r="K49" s="477">
        <f t="shared" si="0"/>
        <v>70</v>
      </c>
      <c r="L49" s="477">
        <f t="shared" si="1"/>
        <v>0</v>
      </c>
      <c r="M49" s="477">
        <f t="shared" si="2"/>
        <v>0</v>
      </c>
      <c r="N49" s="481">
        <f t="shared" si="3"/>
        <v>70</v>
      </c>
      <c r="O49" s="476">
        <v>68.099999999999994</v>
      </c>
      <c r="P49" s="477"/>
      <c r="Q49" s="477"/>
      <c r="R49" s="478">
        <f t="shared" si="5"/>
        <v>68.099999999999994</v>
      </c>
      <c r="S49" s="537">
        <v>1</v>
      </c>
      <c r="T49" s="479">
        <v>40293</v>
      </c>
      <c r="U49" s="534">
        <v>40327</v>
      </c>
      <c r="V49" s="82" t="s">
        <v>1132</v>
      </c>
      <c r="W49" s="238" t="s">
        <v>79</v>
      </c>
      <c r="X49" s="238" t="s">
        <v>11</v>
      </c>
      <c r="Y49" s="83">
        <v>68.099999999999994</v>
      </c>
      <c r="AD49" s="82"/>
      <c r="AG49" s="83"/>
      <c r="AL49" s="82"/>
      <c r="AO49" s="83"/>
      <c r="AP49" s="82"/>
      <c r="AS49" s="83"/>
      <c r="AW49" s="83"/>
      <c r="BA49" s="84"/>
    </row>
    <row r="50" spans="1:53" s="238" customFormat="1" x14ac:dyDescent="0.15">
      <c r="A50" s="537">
        <v>2011</v>
      </c>
      <c r="B50" s="121"/>
      <c r="C50" s="811" t="s">
        <v>1131</v>
      </c>
      <c r="D50" s="811"/>
      <c r="E50" s="537">
        <v>356</v>
      </c>
      <c r="F50" s="537"/>
      <c r="G50" s="547">
        <v>7</v>
      </c>
      <c r="H50" s="327"/>
      <c r="I50" s="327"/>
      <c r="J50" s="548">
        <v>10</v>
      </c>
      <c r="K50" s="477">
        <f t="shared" ref="K50:K56" si="6">G50/J50*100</f>
        <v>70</v>
      </c>
      <c r="L50" s="477">
        <f t="shared" ref="L50:L56" si="7">H50/J50*100</f>
        <v>0</v>
      </c>
      <c r="M50" s="477">
        <f t="shared" ref="M50:M56" si="8">I50/J50*100</f>
        <v>0</v>
      </c>
      <c r="N50" s="481">
        <f t="shared" si="3"/>
        <v>70</v>
      </c>
      <c r="O50" s="476">
        <v>68.099999999999994</v>
      </c>
      <c r="P50" s="477"/>
      <c r="Q50" s="477"/>
      <c r="R50" s="478">
        <f t="shared" si="5"/>
        <v>68.099999999999994</v>
      </c>
      <c r="S50" s="537">
        <v>1</v>
      </c>
      <c r="T50" s="479"/>
      <c r="U50" s="534"/>
      <c r="V50" s="82" t="s">
        <v>1132</v>
      </c>
      <c r="W50" s="238" t="s">
        <v>79</v>
      </c>
      <c r="X50" s="238" t="s">
        <v>11</v>
      </c>
      <c r="Y50" s="83">
        <v>68.099999999999994</v>
      </c>
      <c r="AD50" s="82"/>
      <c r="AG50" s="83"/>
      <c r="AL50" s="82"/>
      <c r="AO50" s="83"/>
      <c r="AP50" s="82"/>
      <c r="AS50" s="83"/>
      <c r="AW50" s="83"/>
      <c r="BA50" s="84"/>
    </row>
    <row r="51" spans="1:53" s="321" customFormat="1" x14ac:dyDescent="0.15">
      <c r="A51" s="537">
        <v>2011</v>
      </c>
      <c r="B51" s="154">
        <v>40900</v>
      </c>
      <c r="C51" s="811" t="s">
        <v>1131</v>
      </c>
      <c r="D51" s="811"/>
      <c r="E51" s="537">
        <f>365-E50</f>
        <v>9</v>
      </c>
      <c r="F51" s="484">
        <v>0</v>
      </c>
      <c r="G51" s="547">
        <v>7</v>
      </c>
      <c r="H51" s="327"/>
      <c r="I51" s="327"/>
      <c r="J51" s="548">
        <v>11</v>
      </c>
      <c r="K51" s="477">
        <f t="shared" si="6"/>
        <v>63.636363636363633</v>
      </c>
      <c r="L51" s="477">
        <f t="shared" si="7"/>
        <v>0</v>
      </c>
      <c r="M51" s="477">
        <f t="shared" si="8"/>
        <v>0</v>
      </c>
      <c r="N51" s="481">
        <f t="shared" si="3"/>
        <v>63.636363636363633</v>
      </c>
      <c r="O51" s="476">
        <v>68.099999999999994</v>
      </c>
      <c r="P51" s="477"/>
      <c r="Q51" s="477"/>
      <c r="R51" s="478">
        <f t="shared" si="5"/>
        <v>68.099999999999994</v>
      </c>
      <c r="S51" s="537">
        <v>1</v>
      </c>
      <c r="T51" s="479"/>
      <c r="U51" s="534"/>
      <c r="V51" s="82" t="s">
        <v>1132</v>
      </c>
      <c r="W51" s="321" t="s">
        <v>79</v>
      </c>
      <c r="X51" s="321" t="s">
        <v>11</v>
      </c>
      <c r="Y51" s="83">
        <v>68.099999999999994</v>
      </c>
      <c r="AD51" s="82"/>
      <c r="AG51" s="83"/>
      <c r="AL51" s="82"/>
      <c r="AO51" s="83"/>
      <c r="AP51" s="82"/>
      <c r="AS51" s="83"/>
      <c r="AW51" s="83"/>
      <c r="BA51" s="84"/>
    </row>
    <row r="52" spans="1:53" s="321" customFormat="1" x14ac:dyDescent="0.15">
      <c r="A52" s="537">
        <v>2012</v>
      </c>
      <c r="B52" s="154"/>
      <c r="C52" s="811" t="s">
        <v>1131</v>
      </c>
      <c r="D52" s="811"/>
      <c r="E52" s="537">
        <v>134</v>
      </c>
      <c r="F52" s="484"/>
      <c r="G52" s="547">
        <v>7</v>
      </c>
      <c r="H52" s="327"/>
      <c r="I52" s="327"/>
      <c r="J52" s="548">
        <v>11</v>
      </c>
      <c r="K52" s="477">
        <f>G52/J52*100</f>
        <v>63.636363636363633</v>
      </c>
      <c r="L52" s="477">
        <f t="shared" si="7"/>
        <v>0</v>
      </c>
      <c r="M52" s="477">
        <f t="shared" si="8"/>
        <v>0</v>
      </c>
      <c r="N52" s="481">
        <f t="shared" si="3"/>
        <v>63.636363636363633</v>
      </c>
      <c r="O52" s="476">
        <v>68.099999999999994</v>
      </c>
      <c r="P52" s="477"/>
      <c r="Q52" s="477"/>
      <c r="R52" s="478">
        <f t="shared" si="5"/>
        <v>68.099999999999994</v>
      </c>
      <c r="S52" s="537">
        <v>1</v>
      </c>
      <c r="T52" s="479"/>
      <c r="U52" s="534"/>
      <c r="V52" s="82" t="s">
        <v>1132</v>
      </c>
      <c r="W52" s="321" t="s">
        <v>79</v>
      </c>
      <c r="X52" s="321" t="s">
        <v>11</v>
      </c>
      <c r="Y52" s="83">
        <v>68.099999999999994</v>
      </c>
      <c r="AD52" s="82"/>
      <c r="AG52" s="83"/>
      <c r="AL52" s="82"/>
      <c r="AO52" s="83"/>
      <c r="AP52" s="82"/>
      <c r="AS52" s="83"/>
      <c r="AW52" s="83"/>
      <c r="BA52" s="84"/>
    </row>
    <row r="53" spans="1:53" s="238" customFormat="1" x14ac:dyDescent="0.15">
      <c r="A53" s="537">
        <v>2012</v>
      </c>
      <c r="B53" s="154">
        <v>41043</v>
      </c>
      <c r="C53" s="811" t="s">
        <v>1131</v>
      </c>
      <c r="D53" s="811"/>
      <c r="E53" s="537">
        <v>19</v>
      </c>
      <c r="F53" s="484">
        <v>0</v>
      </c>
      <c r="G53" s="547">
        <v>8</v>
      </c>
      <c r="H53" s="327"/>
      <c r="I53" s="327"/>
      <c r="J53" s="548">
        <v>11</v>
      </c>
      <c r="K53" s="477">
        <f t="shared" si="6"/>
        <v>72.727272727272734</v>
      </c>
      <c r="L53" s="477">
        <f t="shared" si="7"/>
        <v>0</v>
      </c>
      <c r="M53" s="477">
        <f t="shared" si="8"/>
        <v>0</v>
      </c>
      <c r="N53" s="481">
        <f t="shared" si="3"/>
        <v>72.727272727272734</v>
      </c>
      <c r="O53" s="476">
        <v>68.099999999999994</v>
      </c>
      <c r="P53" s="477"/>
      <c r="Q53" s="477"/>
      <c r="R53" s="478">
        <f t="shared" si="5"/>
        <v>68.099999999999994</v>
      </c>
      <c r="S53" s="537">
        <v>1</v>
      </c>
      <c r="T53" s="479"/>
      <c r="U53" s="534"/>
      <c r="V53" s="82" t="s">
        <v>1132</v>
      </c>
      <c r="W53" s="238" t="s">
        <v>79</v>
      </c>
      <c r="X53" s="238" t="s">
        <v>11</v>
      </c>
      <c r="Y53" s="83">
        <v>68.099999999999994</v>
      </c>
      <c r="AD53" s="82"/>
      <c r="AG53" s="83"/>
      <c r="AL53" s="82"/>
      <c r="AO53" s="83"/>
      <c r="AP53" s="82"/>
      <c r="AS53" s="83"/>
      <c r="AW53" s="83"/>
      <c r="BA53" s="84"/>
    </row>
    <row r="54" spans="1:53" s="321" customFormat="1" x14ac:dyDescent="0.15">
      <c r="A54" s="537">
        <v>2012</v>
      </c>
      <c r="B54" s="154">
        <v>41062</v>
      </c>
      <c r="C54" s="811" t="s">
        <v>1131</v>
      </c>
      <c r="D54" s="811"/>
      <c r="E54" s="537">
        <f>366-E53-E52</f>
        <v>213</v>
      </c>
      <c r="F54" s="484">
        <v>0</v>
      </c>
      <c r="G54" s="547">
        <v>9</v>
      </c>
      <c r="H54" s="327"/>
      <c r="I54" s="327"/>
      <c r="J54" s="548">
        <v>11</v>
      </c>
      <c r="K54" s="477">
        <f t="shared" si="6"/>
        <v>81.818181818181827</v>
      </c>
      <c r="L54" s="477">
        <f t="shared" si="7"/>
        <v>0</v>
      </c>
      <c r="M54" s="477">
        <f t="shared" si="8"/>
        <v>0</v>
      </c>
      <c r="N54" s="481">
        <f t="shared" si="3"/>
        <v>81.818181818181827</v>
      </c>
      <c r="O54" s="476">
        <v>68.099999999999994</v>
      </c>
      <c r="P54" s="477"/>
      <c r="Q54" s="477"/>
      <c r="R54" s="478">
        <f t="shared" si="5"/>
        <v>68.099999999999994</v>
      </c>
      <c r="S54" s="537">
        <v>1</v>
      </c>
      <c r="T54" s="479"/>
      <c r="U54" s="534"/>
      <c r="V54" s="82" t="s">
        <v>1132</v>
      </c>
      <c r="W54" s="321" t="s">
        <v>80</v>
      </c>
      <c r="X54" s="321" t="s">
        <v>11</v>
      </c>
      <c r="Y54" s="83">
        <v>68.099999999999994</v>
      </c>
      <c r="AD54" s="82"/>
      <c r="AG54" s="83"/>
      <c r="AL54" s="82"/>
      <c r="AO54" s="83"/>
      <c r="AP54" s="82"/>
      <c r="AS54" s="83"/>
      <c r="AW54" s="83"/>
      <c r="BA54" s="84"/>
    </row>
    <row r="55" spans="1:53" s="238" customFormat="1" x14ac:dyDescent="0.15">
      <c r="A55" s="537">
        <v>2013</v>
      </c>
      <c r="B55" s="154"/>
      <c r="C55" s="811" t="s">
        <v>1131</v>
      </c>
      <c r="D55" s="811"/>
      <c r="E55" s="537">
        <v>61</v>
      </c>
      <c r="F55" s="484"/>
      <c r="G55" s="547">
        <v>9</v>
      </c>
      <c r="H55" s="327"/>
      <c r="I55" s="327"/>
      <c r="J55" s="548">
        <v>11</v>
      </c>
      <c r="K55" s="477">
        <f t="shared" si="6"/>
        <v>81.818181818181827</v>
      </c>
      <c r="L55" s="477">
        <f t="shared" si="7"/>
        <v>0</v>
      </c>
      <c r="M55" s="477">
        <f t="shared" si="8"/>
        <v>0</v>
      </c>
      <c r="N55" s="481">
        <f t="shared" si="3"/>
        <v>81.818181818181827</v>
      </c>
      <c r="O55" s="476">
        <v>68.099999999999994</v>
      </c>
      <c r="P55" s="477"/>
      <c r="Q55" s="477"/>
      <c r="R55" s="478">
        <f t="shared" si="5"/>
        <v>68.099999999999994</v>
      </c>
      <c r="S55" s="537">
        <v>1</v>
      </c>
      <c r="T55" s="479"/>
      <c r="U55" s="534"/>
      <c r="V55" s="82" t="s">
        <v>1132</v>
      </c>
      <c r="W55" s="316" t="s">
        <v>79</v>
      </c>
      <c r="X55" s="316" t="s">
        <v>11</v>
      </c>
      <c r="Y55" s="83">
        <v>68.099999999999994</v>
      </c>
      <c r="AD55" s="82"/>
      <c r="AG55" s="83"/>
      <c r="AL55" s="82"/>
      <c r="AO55" s="83"/>
      <c r="AP55" s="82"/>
      <c r="AS55" s="83"/>
      <c r="AW55" s="83"/>
      <c r="BA55" s="84"/>
    </row>
    <row r="56" spans="1:53" s="316" customFormat="1" x14ac:dyDescent="0.15">
      <c r="A56" s="537">
        <v>2013</v>
      </c>
      <c r="B56" s="154">
        <v>41336</v>
      </c>
      <c r="C56" s="811" t="s">
        <v>1131</v>
      </c>
      <c r="D56" s="811"/>
      <c r="E56" s="537">
        <f>365-E55</f>
        <v>304</v>
      </c>
      <c r="F56" s="484">
        <v>0</v>
      </c>
      <c r="G56" s="547">
        <v>8</v>
      </c>
      <c r="H56" s="327"/>
      <c r="I56" s="327"/>
      <c r="J56" s="548">
        <v>10</v>
      </c>
      <c r="K56" s="477">
        <f t="shared" si="6"/>
        <v>80</v>
      </c>
      <c r="L56" s="477">
        <f t="shared" si="7"/>
        <v>0</v>
      </c>
      <c r="M56" s="477">
        <f t="shared" si="8"/>
        <v>0</v>
      </c>
      <c r="N56" s="481">
        <f t="shared" si="3"/>
        <v>80</v>
      </c>
      <c r="O56" s="476">
        <v>68.099999999999994</v>
      </c>
      <c r="P56" s="477"/>
      <c r="Q56" s="477"/>
      <c r="R56" s="478">
        <f t="shared" si="5"/>
        <v>68.099999999999994</v>
      </c>
      <c r="S56" s="537">
        <v>1</v>
      </c>
      <c r="T56" s="479"/>
      <c r="U56" s="534"/>
      <c r="V56" s="82" t="s">
        <v>1132</v>
      </c>
      <c r="W56" s="316" t="s">
        <v>79</v>
      </c>
      <c r="X56" s="316" t="s">
        <v>11</v>
      </c>
      <c r="Y56" s="83">
        <v>68.099999999999994</v>
      </c>
      <c r="AD56" s="82"/>
      <c r="AG56" s="83"/>
      <c r="AL56" s="82"/>
      <c r="AO56" s="83"/>
      <c r="AP56" s="82"/>
      <c r="AS56" s="83"/>
      <c r="AW56" s="83"/>
      <c r="BA56" s="84"/>
    </row>
    <row r="57" spans="1:53" s="537" customFormat="1" x14ac:dyDescent="0.15">
      <c r="A57" s="537">
        <v>2014</v>
      </c>
      <c r="B57" s="154"/>
      <c r="C57" s="811" t="s">
        <v>1131</v>
      </c>
      <c r="D57" s="811"/>
      <c r="E57" s="537">
        <v>123</v>
      </c>
      <c r="F57" s="484"/>
      <c r="G57" s="547">
        <v>8</v>
      </c>
      <c r="H57" s="327"/>
      <c r="I57" s="327"/>
      <c r="J57" s="548">
        <v>10</v>
      </c>
      <c r="K57" s="477">
        <f>G57/J57*100</f>
        <v>80</v>
      </c>
      <c r="L57" s="477">
        <f>H57/J57*100</f>
        <v>0</v>
      </c>
      <c r="M57" s="477">
        <f>I57/J57*100</f>
        <v>0</v>
      </c>
      <c r="N57" s="481">
        <f>SUM(K57:M57)</f>
        <v>80</v>
      </c>
      <c r="O57" s="476">
        <v>68.099999999999994</v>
      </c>
      <c r="P57" s="477"/>
      <c r="Q57" s="477"/>
      <c r="R57" s="478">
        <f>SUM(O57:Q57)</f>
        <v>68.099999999999994</v>
      </c>
      <c r="S57" s="537">
        <v>1</v>
      </c>
      <c r="T57" s="479"/>
      <c r="U57" s="534"/>
      <c r="V57" s="472" t="s">
        <v>1132</v>
      </c>
      <c r="W57" s="537" t="s">
        <v>79</v>
      </c>
      <c r="X57" s="537" t="s">
        <v>11</v>
      </c>
      <c r="Y57" s="473">
        <v>68.099999999999994</v>
      </c>
      <c r="AD57" s="472"/>
      <c r="AG57" s="473"/>
      <c r="AL57" s="472"/>
      <c r="AO57" s="473"/>
      <c r="AP57" s="472"/>
      <c r="AS57" s="473"/>
      <c r="AW57" s="473"/>
      <c r="BA57" s="474"/>
    </row>
    <row r="58" spans="1:53" s="538" customFormat="1" x14ac:dyDescent="0.15">
      <c r="A58" s="538">
        <v>2014</v>
      </c>
      <c r="B58" s="335">
        <v>41763</v>
      </c>
      <c r="C58" s="812" t="s">
        <v>1308</v>
      </c>
      <c r="D58" s="812"/>
      <c r="E58" s="538">
        <v>242</v>
      </c>
      <c r="F58" s="538">
        <v>1</v>
      </c>
      <c r="G58" s="549">
        <v>7</v>
      </c>
      <c r="H58" s="550"/>
      <c r="I58" s="550"/>
      <c r="J58" s="551">
        <v>11</v>
      </c>
      <c r="K58" s="495">
        <f>G58/J58*100</f>
        <v>63.636363636363633</v>
      </c>
      <c r="L58" s="495">
        <f>H58/J58*100</f>
        <v>0</v>
      </c>
      <c r="M58" s="495">
        <f>I58/J58*100</f>
        <v>0</v>
      </c>
      <c r="N58" s="498">
        <f>SUM(K58:M58)</f>
        <v>63.636363636363633</v>
      </c>
      <c r="O58" s="494">
        <v>66.8</v>
      </c>
      <c r="P58" s="495"/>
      <c r="Q58" s="495"/>
      <c r="R58" s="496">
        <f>SUM(O58:Q58)</f>
        <v>66.8</v>
      </c>
      <c r="S58" s="538">
        <v>1</v>
      </c>
      <c r="T58" s="487">
        <v>41735</v>
      </c>
      <c r="U58" s="535">
        <v>41763</v>
      </c>
      <c r="V58" s="488" t="s">
        <v>1132</v>
      </c>
      <c r="W58" s="538" t="s">
        <v>79</v>
      </c>
      <c r="X58" s="538" t="s">
        <v>11</v>
      </c>
      <c r="Y58" s="489">
        <v>66.8</v>
      </c>
      <c r="AD58" s="488"/>
      <c r="AG58" s="489"/>
      <c r="AL58" s="488"/>
      <c r="AO58" s="489"/>
      <c r="AP58" s="488"/>
      <c r="AS58" s="489"/>
      <c r="AW58" s="489"/>
      <c r="BA58" s="490"/>
    </row>
    <row r="59" spans="1:53" s="730" customFormat="1" x14ac:dyDescent="0.15">
      <c r="A59" s="730">
        <v>2015</v>
      </c>
      <c r="B59" s="335"/>
      <c r="C59" s="812" t="s">
        <v>1308</v>
      </c>
      <c r="D59" s="812"/>
      <c r="E59" s="730">
        <v>0</v>
      </c>
      <c r="G59" s="549">
        <v>8</v>
      </c>
      <c r="H59" s="550"/>
      <c r="I59" s="550"/>
      <c r="J59" s="551">
        <v>11</v>
      </c>
      <c r="K59" s="647">
        <f>G59/J59*100</f>
        <v>72.727272727272734</v>
      </c>
      <c r="L59" s="647">
        <f>H59/J59*100</f>
        <v>0</v>
      </c>
      <c r="M59" s="647">
        <f>I59/J59*100</f>
        <v>0</v>
      </c>
      <c r="N59" s="650">
        <f>SUM(K59:M59)</f>
        <v>72.727272727272734</v>
      </c>
      <c r="O59" s="646">
        <v>66.8</v>
      </c>
      <c r="P59" s="647"/>
      <c r="Q59" s="647"/>
      <c r="R59" s="648">
        <f>SUM(O59:Q59)</f>
        <v>66.8</v>
      </c>
      <c r="S59" s="730">
        <v>1</v>
      </c>
      <c r="T59" s="487"/>
      <c r="U59" s="726"/>
      <c r="V59" s="641" t="s">
        <v>1132</v>
      </c>
      <c r="W59" s="730" t="s">
        <v>79</v>
      </c>
      <c r="X59" s="730" t="s">
        <v>11</v>
      </c>
      <c r="Y59" s="642">
        <v>66.8</v>
      </c>
      <c r="AD59" s="641"/>
      <c r="AG59" s="642"/>
      <c r="AL59" s="641"/>
      <c r="AO59" s="642"/>
      <c r="AP59" s="641"/>
      <c r="AS59" s="642"/>
      <c r="AW59" s="642"/>
      <c r="BA59" s="643"/>
    </row>
    <row r="60" spans="1:53" s="730" customFormat="1" x14ac:dyDescent="0.15">
      <c r="A60" s="730">
        <v>2015</v>
      </c>
      <c r="B60" s="335"/>
      <c r="C60" s="812" t="s">
        <v>1308</v>
      </c>
      <c r="D60" s="812"/>
      <c r="E60" s="730">
        <v>365</v>
      </c>
      <c r="G60" s="549">
        <v>8</v>
      </c>
      <c r="H60" s="550"/>
      <c r="I60" s="550"/>
      <c r="J60" s="551">
        <v>11</v>
      </c>
      <c r="K60" s="647">
        <f>G60/J60*100</f>
        <v>72.727272727272734</v>
      </c>
      <c r="L60" s="647">
        <f>H60/J60*100</f>
        <v>0</v>
      </c>
      <c r="M60" s="647">
        <f>I60/J60*100</f>
        <v>0</v>
      </c>
      <c r="N60" s="650">
        <f>SUM(K60:M60)</f>
        <v>72.727272727272734</v>
      </c>
      <c r="O60" s="646">
        <v>66.8</v>
      </c>
      <c r="P60" s="647"/>
      <c r="Q60" s="647"/>
      <c r="R60" s="648">
        <f>SUM(O60:Q60)</f>
        <v>66.8</v>
      </c>
      <c r="S60" s="730">
        <v>1</v>
      </c>
      <c r="T60" s="487"/>
      <c r="U60" s="726"/>
      <c r="V60" s="641" t="s">
        <v>1132</v>
      </c>
      <c r="W60" s="730" t="s">
        <v>79</v>
      </c>
      <c r="X60" s="730" t="s">
        <v>11</v>
      </c>
      <c r="Y60" s="642">
        <v>66.8</v>
      </c>
      <c r="AD60" s="641"/>
      <c r="AG60" s="642"/>
      <c r="AL60" s="641"/>
      <c r="AO60" s="642"/>
      <c r="AP60" s="641"/>
      <c r="AS60" s="642"/>
      <c r="AW60" s="642"/>
      <c r="BA60" s="643"/>
    </row>
    <row r="62" spans="1:53" x14ac:dyDescent="0.15">
      <c r="B62" s="2"/>
      <c r="C62" s="2"/>
      <c r="D62" s="2"/>
      <c r="E62" s="2"/>
      <c r="F62" s="2"/>
      <c r="G62" s="2"/>
      <c r="H62" s="2"/>
      <c r="I62" s="2"/>
      <c r="J62" s="2"/>
      <c r="K62" s="2"/>
      <c r="L62" s="2"/>
      <c r="M62" s="2"/>
      <c r="N62" s="2"/>
    </row>
    <row r="63" spans="1:53" s="2" customFormat="1" ht="18" customHeight="1" x14ac:dyDescent="0.2">
      <c r="B63" s="22" t="s">
        <v>1284</v>
      </c>
    </row>
    <row r="64" spans="1:53" s="2" customFormat="1" ht="9" customHeight="1" x14ac:dyDescent="0.15"/>
    <row r="65" spans="1:30" s="364" customFormat="1" ht="9" customHeight="1" x14ac:dyDescent="0.15">
      <c r="A65" s="362"/>
      <c r="B65" s="363" t="s">
        <v>1235</v>
      </c>
      <c r="C65" s="363"/>
      <c r="D65" s="363"/>
      <c r="E65" s="363"/>
      <c r="F65" s="363"/>
      <c r="G65" s="363" t="s">
        <v>1236</v>
      </c>
      <c r="H65" s="363"/>
      <c r="I65" s="363"/>
      <c r="J65" s="363"/>
      <c r="K65" s="363"/>
      <c r="L65" s="363"/>
      <c r="M65" s="363"/>
      <c r="N65" s="363"/>
      <c r="R65" s="802" t="s">
        <v>1237</v>
      </c>
      <c r="S65" s="802"/>
      <c r="T65" s="802"/>
      <c r="U65" s="802"/>
      <c r="V65" s="802"/>
      <c r="W65" s="802"/>
      <c r="X65" s="365"/>
      <c r="Y65" s="365"/>
      <c r="AA65" s="365"/>
      <c r="AB65" s="365"/>
      <c r="AC65" s="365"/>
      <c r="AD65" s="365"/>
    </row>
    <row r="66" spans="1:30" s="369" customFormat="1" ht="9" customHeight="1" x14ac:dyDescent="0.15">
      <c r="A66" s="366"/>
      <c r="B66" s="367" t="s">
        <v>1239</v>
      </c>
      <c r="C66" s="368"/>
      <c r="D66" s="368"/>
      <c r="E66" s="368"/>
      <c r="F66" s="368"/>
      <c r="G66" s="367" t="s">
        <v>1238</v>
      </c>
      <c r="H66" s="368"/>
      <c r="I66" s="368"/>
      <c r="J66" s="368"/>
      <c r="K66" s="368"/>
      <c r="L66" s="368"/>
      <c r="M66" s="368"/>
      <c r="N66" s="368"/>
      <c r="R66" s="370" t="s">
        <v>1240</v>
      </c>
      <c r="S66" s="371"/>
      <c r="T66" s="372"/>
      <c r="U66" s="372"/>
      <c r="V66" s="372"/>
      <c r="W66" s="370" t="s">
        <v>1241</v>
      </c>
      <c r="X66" s="372"/>
      <c r="Y66" s="372"/>
      <c r="AA66" s="372"/>
      <c r="AB66" s="372"/>
      <c r="AC66" s="372"/>
      <c r="AD66" s="372"/>
    </row>
    <row r="67" spans="1:30" s="351" customFormat="1" ht="12" customHeight="1" x14ac:dyDescent="0.15">
      <c r="A67" s="373" t="s">
        <v>3</v>
      </c>
      <c r="B67" s="374" t="s">
        <v>8</v>
      </c>
      <c r="C67" s="374" t="s">
        <v>9</v>
      </c>
      <c r="D67" s="374" t="s">
        <v>10</v>
      </c>
      <c r="E67" s="375" t="s">
        <v>1215</v>
      </c>
      <c r="F67" s="374"/>
      <c r="G67" s="351" t="s">
        <v>3</v>
      </c>
      <c r="H67" s="803" t="s">
        <v>0</v>
      </c>
      <c r="I67" s="803"/>
      <c r="J67" s="803" t="s">
        <v>1</v>
      </c>
      <c r="K67" s="803"/>
      <c r="L67" s="803" t="s">
        <v>2</v>
      </c>
      <c r="M67" s="803"/>
      <c r="N67" s="804" t="s">
        <v>1215</v>
      </c>
      <c r="O67" s="804"/>
      <c r="P67" s="376"/>
      <c r="Q67" s="376"/>
      <c r="R67" s="377" t="s">
        <v>3</v>
      </c>
      <c r="S67" s="378" t="s">
        <v>136</v>
      </c>
      <c r="T67" s="376" t="s">
        <v>134</v>
      </c>
      <c r="U67" s="374" t="s">
        <v>135</v>
      </c>
      <c r="V67" s="376"/>
      <c r="W67" s="379" t="s">
        <v>26</v>
      </c>
    </row>
    <row r="68" spans="1:30" ht="9" customHeight="1" x14ac:dyDescent="0.15">
      <c r="A68" s="1">
        <v>1990</v>
      </c>
      <c r="B68" s="8">
        <f>(K7*($E7/223))+(K8*($E8/223))</f>
        <v>53.185522497882801</v>
      </c>
      <c r="C68" s="8">
        <f>(L7*($E7/223))+(L8*($E8/223))</f>
        <v>5.8518096877646499</v>
      </c>
      <c r="D68" s="8">
        <f>(M7*($E7/223))+(M8*($E8/223))</f>
        <v>23.4072387510586</v>
      </c>
      <c r="E68" s="69">
        <f>SUM(B68:D68)</f>
        <v>82.444570936706043</v>
      </c>
      <c r="G68" s="1">
        <v>1990</v>
      </c>
      <c r="H68" s="827">
        <f>(O7/$R7*100*($E7/223))+(O8/$R8*100*($E8/223))</f>
        <v>71.669477234401356</v>
      </c>
      <c r="I68" s="827"/>
      <c r="J68" s="827">
        <f>(P7/$R7*100*($E7/223))+(P8/$R8*100*($E8/223))</f>
        <v>9.1062394603709951</v>
      </c>
      <c r="K68" s="827"/>
      <c r="L68" s="827">
        <f>(Q7/$R7*100*($E7/223))+(Q8/$R8*100*($E8/223))</f>
        <v>19.224283305227658</v>
      </c>
      <c r="M68" s="827"/>
      <c r="N68" s="781">
        <f>SUM(H68:M68)</f>
        <v>100.00000000000001</v>
      </c>
      <c r="O68" s="781"/>
      <c r="R68" s="1">
        <v>1990</v>
      </c>
      <c r="S68" s="8">
        <f>(O7*($E7/223))+(O8*($E8/223))</f>
        <v>42.5</v>
      </c>
      <c r="T68" s="8">
        <f>(P7*($E7/223))+(P8*($E8/223))</f>
        <v>5.4</v>
      </c>
      <c r="U68" s="8">
        <f>(Q7*($E7/223))+(Q8*($E8/223))</f>
        <v>11.4</v>
      </c>
      <c r="W68" s="7">
        <f t="shared" ref="W68:W89" si="9">SUM(S68:U68)</f>
        <v>59.3</v>
      </c>
      <c r="Y68" s="71" t="s">
        <v>1156</v>
      </c>
    </row>
    <row r="69" spans="1:30" ht="9" customHeight="1" x14ac:dyDescent="0.15">
      <c r="A69" s="1">
        <v>1991</v>
      </c>
      <c r="B69" s="8">
        <f>(K9*($E9/365))+(K10*($E10/365))</f>
        <v>57.894736842105267</v>
      </c>
      <c r="C69" s="8">
        <f>(L9*($E9/365))+(L10*($E10/365))</f>
        <v>5.2631578947368416</v>
      </c>
      <c r="D69" s="8">
        <f>(M9*($E9/365))+(M10*($E10/365))</f>
        <v>21.052631578947366</v>
      </c>
      <c r="E69" s="69">
        <f t="shared" ref="E69:E89" si="10">SUM(B69:D69)</f>
        <v>84.21052631578948</v>
      </c>
      <c r="G69" s="1">
        <v>1991</v>
      </c>
      <c r="H69" s="809">
        <f>(O9/$R9*100*($E9/365))+(O10/$R10*100*($E10/365))</f>
        <v>71.669477234401356</v>
      </c>
      <c r="I69" s="809"/>
      <c r="J69" s="809">
        <f>(P9/$R9*100*($E9/365))+(P10/$R10*100*($E10/365))</f>
        <v>9.1062394603709969</v>
      </c>
      <c r="K69" s="809"/>
      <c r="L69" s="809">
        <f>(Q9/$R9*100*($E9/365))+(Q10/$R10*100*($E10/365))</f>
        <v>19.224283305227658</v>
      </c>
      <c r="M69" s="809"/>
      <c r="N69" s="781">
        <f t="shared" ref="N69:N90" si="11">SUM(H69:M69)</f>
        <v>100.00000000000001</v>
      </c>
      <c r="O69" s="781"/>
      <c r="R69" s="1">
        <v>1991</v>
      </c>
      <c r="S69" s="8">
        <f>(O9*($E9/365))+(O10*($E10/365))</f>
        <v>42.5</v>
      </c>
      <c r="T69" s="8">
        <f>(P9*($E9/365))+(P10*($E10/365))</f>
        <v>5.4</v>
      </c>
      <c r="U69" s="8">
        <f>(Q9*($E9/365))+(Q10*($E10/365))</f>
        <v>11.4</v>
      </c>
      <c r="W69" s="7">
        <f t="shared" si="9"/>
        <v>59.3</v>
      </c>
    </row>
    <row r="70" spans="1:30" ht="9" customHeight="1" x14ac:dyDescent="0.15">
      <c r="A70" s="1">
        <v>1992</v>
      </c>
      <c r="B70" s="8">
        <f>(K11*($E11/366))+(K12*($E12/366))</f>
        <v>57.89473684210526</v>
      </c>
      <c r="C70" s="8">
        <f>(L11*($E11/366))+(L12*($E12/366))</f>
        <v>5.2631578947368416</v>
      </c>
      <c r="D70" s="8">
        <f>(M11*($E11/366))+(M12*($E12/366))</f>
        <v>21.052631578947366</v>
      </c>
      <c r="E70" s="69">
        <f t="shared" si="10"/>
        <v>84.210526315789465</v>
      </c>
      <c r="G70" s="1">
        <v>1992</v>
      </c>
      <c r="H70" s="809">
        <f>(O11/$R11*100*($E11/366))+(O12/$R12*100*($E12/366))</f>
        <v>71.669477234401356</v>
      </c>
      <c r="I70" s="809"/>
      <c r="J70" s="809">
        <f>(P11/$R11*100*($E11/366))+(P12/$R12*100*($E12/366))</f>
        <v>9.1062394603709969</v>
      </c>
      <c r="K70" s="809"/>
      <c r="L70" s="809">
        <f>(Q11/$R11*100*($E11/366))+(Q12/$R12*100*($E12/366))</f>
        <v>19.224283305227658</v>
      </c>
      <c r="M70" s="809"/>
      <c r="N70" s="781">
        <f t="shared" si="11"/>
        <v>100.00000000000001</v>
      </c>
      <c r="O70" s="781"/>
      <c r="R70" s="1">
        <v>1992</v>
      </c>
      <c r="S70" s="8">
        <f>(O11*($E11/366))+(O12*($E12/366))</f>
        <v>42.499999999999993</v>
      </c>
      <c r="T70" s="8">
        <f>(P11*($E11/366))+(P12*($E12/366))</f>
        <v>5.4</v>
      </c>
      <c r="U70" s="8">
        <f>(Q11*($E11/366))+(Q12*($E12/366))</f>
        <v>11.4</v>
      </c>
      <c r="W70" s="7">
        <f t="shared" si="9"/>
        <v>59.29999999999999</v>
      </c>
    </row>
    <row r="71" spans="1:30" ht="9" customHeight="1" x14ac:dyDescent="0.15">
      <c r="A71" s="1">
        <v>1993</v>
      </c>
      <c r="B71" s="8">
        <f>(K13*($E13/365))+(K14*($E14/365))</f>
        <v>58.03352559480895</v>
      </c>
      <c r="C71" s="8">
        <f>(L13*($E13/365))+(L14*($E14/365))</f>
        <v>5.6696106705118954</v>
      </c>
      <c r="D71" s="8">
        <f>(M13*($E13/365))+(M14*($E14/365))</f>
        <v>20.983237202595529</v>
      </c>
      <c r="E71" s="69">
        <f t="shared" si="10"/>
        <v>84.686373467916368</v>
      </c>
      <c r="G71" s="1">
        <v>1993</v>
      </c>
      <c r="H71" s="809">
        <f>(O13/$R13*100*($E13/365))+(O14/$R14*100*($E14/365))</f>
        <v>71.669477234401356</v>
      </c>
      <c r="I71" s="809"/>
      <c r="J71" s="809">
        <f>(P13/$R13*100*($E13/365))+(P14/$R14*100*($E14/365))</f>
        <v>9.1062394603709969</v>
      </c>
      <c r="K71" s="809"/>
      <c r="L71" s="809">
        <f>(Q13/$R13*100*($E13/365))+(Q14/$R14*100*($E14/365))</f>
        <v>19.224283305227658</v>
      </c>
      <c r="M71" s="809"/>
      <c r="N71" s="781">
        <f t="shared" si="11"/>
        <v>100.00000000000001</v>
      </c>
      <c r="O71" s="781"/>
      <c r="R71" s="1">
        <v>1993</v>
      </c>
      <c r="S71" s="8">
        <f>(O13*($E13/365))+(O14*($E14/365))</f>
        <v>42.5</v>
      </c>
      <c r="T71" s="8">
        <f>(P13*($E13/365))+(P14*($E14/365))</f>
        <v>5.4</v>
      </c>
      <c r="U71" s="8">
        <f>(Q13*($E13/365))+(Q14*($E14/365))</f>
        <v>11.4</v>
      </c>
      <c r="W71" s="7">
        <f t="shared" si="9"/>
        <v>59.3</v>
      </c>
    </row>
    <row r="72" spans="1:30" ht="9" customHeight="1" x14ac:dyDescent="0.15">
      <c r="A72" s="1">
        <v>1994</v>
      </c>
      <c r="B72" s="8">
        <f>(K15*($E15/365))+(K16*($E16/365))</f>
        <v>43.370841487279847</v>
      </c>
      <c r="C72" s="8">
        <f>(L15*($E15/365))+(L16*($E16/365))</f>
        <v>10.017123287671234</v>
      </c>
      <c r="D72" s="8">
        <f>(M15*($E15/365))+(M16*($E16/365))</f>
        <v>46.61203522504892</v>
      </c>
      <c r="E72" s="69">
        <f t="shared" si="10"/>
        <v>100</v>
      </c>
      <c r="G72" s="1">
        <v>1994</v>
      </c>
      <c r="H72" s="809">
        <f>(O15/$R15*100*($E15/365))+(O16/$R16*100*($E16/365))</f>
        <v>49.868320409855215</v>
      </c>
      <c r="I72" s="809"/>
      <c r="J72" s="809">
        <f>(P15/$R15*100*($E15/365))+(P16/$R16*100*($E16/365))</f>
        <v>4.8649772459516285</v>
      </c>
      <c r="K72" s="809"/>
      <c r="L72" s="809">
        <f>(Q15/$R15*100*($E15/365))+(Q16/$R16*100*($E16/365))</f>
        <v>45.266702344193163</v>
      </c>
      <c r="M72" s="809"/>
      <c r="N72" s="781">
        <f t="shared" si="11"/>
        <v>100</v>
      </c>
      <c r="O72" s="781"/>
      <c r="R72" s="1">
        <v>1994</v>
      </c>
      <c r="S72" s="8">
        <f>(O15*($E15/365))+(O16*($E16/365))</f>
        <v>31.042465753424658</v>
      </c>
      <c r="T72" s="8">
        <f>(P15*($E15/365))+(P16*($E16/365))</f>
        <v>2.8849315068493153</v>
      </c>
      <c r="U72" s="8">
        <f>(Q15*($E15/365))+(Q16*($E16/365))</f>
        <v>31.287671232876711</v>
      </c>
      <c r="W72" s="7">
        <f t="shared" si="9"/>
        <v>65.215068493150682</v>
      </c>
    </row>
    <row r="73" spans="1:30" ht="9" customHeight="1" x14ac:dyDescent="0.15">
      <c r="A73" s="1">
        <v>1995</v>
      </c>
      <c r="B73" s="8">
        <f>(K17*($E17/365))+(K18*($E18/365))</f>
        <v>20.230919765166341</v>
      </c>
      <c r="C73" s="8">
        <f>(L17*($E17/365))+(L18*($E18/365))</f>
        <v>0</v>
      </c>
      <c r="D73" s="8">
        <f>(M17*($E17/365))+(M18*($E18/365))</f>
        <v>79.769080234833652</v>
      </c>
      <c r="E73" s="69">
        <f t="shared" si="10"/>
        <v>100</v>
      </c>
      <c r="G73" s="1">
        <v>1995</v>
      </c>
      <c r="H73" s="809">
        <f>(O17/$R17*100*($E17/365))+(O18/$R18*100*($E18/365))</f>
        <v>24.861111111111107</v>
      </c>
      <c r="I73" s="809"/>
      <c r="J73" s="809">
        <f>(P17/$R17*100*($E17/365))+(P18/$R18*100*($E18/365))</f>
        <v>0</v>
      </c>
      <c r="K73" s="809"/>
      <c r="L73" s="809">
        <f>(Q17/$R17*100*($E17/365))+(Q18/$R18*100*($E18/365))</f>
        <v>75.138888888888886</v>
      </c>
      <c r="M73" s="809"/>
      <c r="N73" s="781">
        <f t="shared" si="11"/>
        <v>100</v>
      </c>
      <c r="O73" s="781"/>
      <c r="R73" s="1">
        <v>1995</v>
      </c>
      <c r="S73" s="8">
        <f>(O17*($E17/365))+(O18*($E18/365))</f>
        <v>17.899999999999999</v>
      </c>
      <c r="T73" s="8">
        <f>(P17*($E17/365))+(P18*($E18/365))</f>
        <v>0</v>
      </c>
      <c r="U73" s="8">
        <f>(Q17*($E17/365))+(Q18*($E18/365))</f>
        <v>54.100000000000009</v>
      </c>
      <c r="W73" s="7">
        <f t="shared" si="9"/>
        <v>72</v>
      </c>
    </row>
    <row r="74" spans="1:30" ht="9" customHeight="1" x14ac:dyDescent="0.15">
      <c r="A74" s="1">
        <v>1996</v>
      </c>
      <c r="B74" s="8">
        <f>(K19*($E19/366))+(K20*($E20/366))</f>
        <v>20</v>
      </c>
      <c r="C74" s="8">
        <f>(L19*($E19/366))+(L20*($E20/366))</f>
        <v>0</v>
      </c>
      <c r="D74" s="8">
        <f>(M19*($E19/366))+(M20*($E20/366))</f>
        <v>80</v>
      </c>
      <c r="E74" s="69">
        <f t="shared" si="10"/>
        <v>100</v>
      </c>
      <c r="G74" s="1">
        <v>1996</v>
      </c>
      <c r="H74" s="809">
        <f>(O19/$R19*100*($E19/366))+(O20/$R20*100*($E20/366))</f>
        <v>24.861111111111107</v>
      </c>
      <c r="I74" s="809"/>
      <c r="J74" s="809">
        <f>(P19/$R19*100*($E19/366))+(P20/$R20*100*($E20/366))</f>
        <v>0</v>
      </c>
      <c r="K74" s="809"/>
      <c r="L74" s="809">
        <f>(Q19/$R19*100*($E19/366))+(Q20/$R20*100*($E20/366))</f>
        <v>75.138888888888886</v>
      </c>
      <c r="M74" s="809"/>
      <c r="N74" s="781">
        <f t="shared" si="11"/>
        <v>100</v>
      </c>
      <c r="O74" s="781"/>
      <c r="R74" s="1">
        <v>1996</v>
      </c>
      <c r="S74" s="8">
        <f>(O19*($E19/366))+(O20*($E20/366))</f>
        <v>17.899999999999999</v>
      </c>
      <c r="T74" s="8">
        <f>(P19*($E19/366))+(P20*($E20/366))</f>
        <v>0</v>
      </c>
      <c r="U74" s="8">
        <f>(Q19*($E19/366))+(Q20*($E20/366))</f>
        <v>54.1</v>
      </c>
      <c r="W74" s="7">
        <f t="shared" si="9"/>
        <v>72</v>
      </c>
    </row>
    <row r="75" spans="1:30" ht="9" customHeight="1" x14ac:dyDescent="0.15">
      <c r="A75" s="1">
        <v>1997</v>
      </c>
      <c r="B75" s="8">
        <f>(K21*($E21/365))+(K22*($E22/365))</f>
        <v>20</v>
      </c>
      <c r="C75" s="8">
        <f>(L21*($E21/365))+(L22*($E22/365))</f>
        <v>0</v>
      </c>
      <c r="D75" s="8">
        <f>(M21*($E21/365))+(M22*($E22/365))</f>
        <v>80</v>
      </c>
      <c r="E75" s="69">
        <f t="shared" si="10"/>
        <v>100</v>
      </c>
      <c r="G75" s="1">
        <v>1997</v>
      </c>
      <c r="H75" s="809">
        <f>(O21/$R21*100*($E21/365))+(O22/$R22*100*($E22/365))</f>
        <v>24.861111111111107</v>
      </c>
      <c r="I75" s="809"/>
      <c r="J75" s="809">
        <f>(P21/$R21*100*($E21/365))+(P22/$R22*100*($E22/365))</f>
        <v>0</v>
      </c>
      <c r="K75" s="809"/>
      <c r="L75" s="809">
        <f>(Q21/$R21*100*($E21/365))+(Q22/$R22*100*($E22/365))</f>
        <v>75.138888888888886</v>
      </c>
      <c r="M75" s="809"/>
      <c r="N75" s="781">
        <f t="shared" si="11"/>
        <v>100</v>
      </c>
      <c r="O75" s="781"/>
      <c r="R75" s="1">
        <v>1997</v>
      </c>
      <c r="S75" s="8">
        <f>(O21*($E21/365))+(O22*($E22/365))</f>
        <v>17.899999999999999</v>
      </c>
      <c r="T75" s="8">
        <f>(P21*($E21/365))+(P22*($E22/365))</f>
        <v>0</v>
      </c>
      <c r="U75" s="8">
        <f>(Q21*($E21/365))+(Q22*($E22/365))</f>
        <v>54.1</v>
      </c>
      <c r="W75" s="7">
        <f t="shared" si="9"/>
        <v>72</v>
      </c>
    </row>
    <row r="76" spans="1:30" ht="9" customHeight="1" x14ac:dyDescent="0.15">
      <c r="A76" s="1">
        <v>1998</v>
      </c>
      <c r="B76" s="8">
        <f>(K23*($E23/365))+(K24*($E24/365))</f>
        <v>48.421779670772409</v>
      </c>
      <c r="C76" s="8">
        <f>(L23*($E23/365))+(L24*($E24/365))</f>
        <v>0</v>
      </c>
      <c r="D76" s="8">
        <f>(M23*($E23/365))+(M24*($E24/365))</f>
        <v>51.578220329227577</v>
      </c>
      <c r="E76" s="69">
        <f t="shared" si="10"/>
        <v>99.999999999999986</v>
      </c>
      <c r="G76" s="1">
        <v>1998</v>
      </c>
      <c r="H76" s="809">
        <f>(O23/$R23*100*($E23/365))+(O24/$R24*100*($E24/365))</f>
        <v>50.673573991663147</v>
      </c>
      <c r="I76" s="809"/>
      <c r="J76" s="809">
        <f>(P23/$R23*100*($E23/365))+(P24/$R24*100*($E24/365))</f>
        <v>0</v>
      </c>
      <c r="K76" s="809"/>
      <c r="L76" s="809">
        <f>(Q23/$R23*100*($E23/365))+(Q24/$R24*100*($E24/365))</f>
        <v>49.32642600833686</v>
      </c>
      <c r="M76" s="809"/>
      <c r="N76" s="781">
        <f t="shared" si="11"/>
        <v>100</v>
      </c>
      <c r="O76" s="781"/>
      <c r="R76" s="1">
        <v>1998</v>
      </c>
      <c r="S76" s="8">
        <f>(O23*($E23/365))+(O24*($E24/365))</f>
        <v>30.062191780821919</v>
      </c>
      <c r="T76" s="8">
        <f>(P23*($E23/365))+(P24*($E24/365))</f>
        <v>0</v>
      </c>
      <c r="U76" s="8">
        <f>(Q23*($E23/365))+(Q24*($E24/365))</f>
        <v>33.649863013698635</v>
      </c>
      <c r="W76" s="7">
        <f t="shared" si="9"/>
        <v>63.712054794520554</v>
      </c>
    </row>
    <row r="77" spans="1:30" ht="9" customHeight="1" x14ac:dyDescent="0.15">
      <c r="A77" s="1">
        <v>1999</v>
      </c>
      <c r="B77" s="8">
        <f>(K25*($E25/365))+(K26*($E26/365))</f>
        <v>77.777777777777786</v>
      </c>
      <c r="C77" s="8">
        <f>(L25*($E25/365))+(L26*($E26/365))</f>
        <v>0</v>
      </c>
      <c r="D77" s="8">
        <f>(M25*($E25/365))+(M26*($E26/365))</f>
        <v>22.222222222222221</v>
      </c>
      <c r="E77" s="69">
        <f t="shared" si="10"/>
        <v>100</v>
      </c>
      <c r="G77" s="1">
        <v>1999</v>
      </c>
      <c r="H77" s="809">
        <f>(O25/$R25*100*($E25/365))+(O26/$R26*100*($E26/365))</f>
        <v>77.495462794918339</v>
      </c>
      <c r="I77" s="809"/>
      <c r="J77" s="809">
        <f>(P25/$R25*100*($E25/365))+(P26/$R26*100*($E26/365))</f>
        <v>0</v>
      </c>
      <c r="K77" s="809"/>
      <c r="L77" s="809">
        <f>(Q25/$R25*100*($E25/365))+(Q26/$R26*100*($E26/365))</f>
        <v>22.504537205081672</v>
      </c>
      <c r="M77" s="809"/>
      <c r="N77" s="781">
        <f t="shared" si="11"/>
        <v>100.00000000000001</v>
      </c>
      <c r="O77" s="781"/>
      <c r="R77" s="1">
        <v>1999</v>
      </c>
      <c r="S77" s="8">
        <f>(O25*($E25/365))+(O26*($E26/365))</f>
        <v>42.7</v>
      </c>
      <c r="T77" s="8">
        <f>(P25*($E25/365))+(P26*($E26/365))</f>
        <v>0</v>
      </c>
      <c r="U77" s="8">
        <f>(Q25*($E25/365))+(Q26*($E26/365))</f>
        <v>12.4</v>
      </c>
      <c r="W77" s="7">
        <f t="shared" si="9"/>
        <v>55.1</v>
      </c>
    </row>
    <row r="78" spans="1:30" ht="9" customHeight="1" x14ac:dyDescent="0.15">
      <c r="A78" s="1">
        <v>2000</v>
      </c>
      <c r="B78" s="8">
        <f>(K27*($E27/366))+(K28*($E28/366))</f>
        <v>77.777777777777786</v>
      </c>
      <c r="C78" s="8">
        <f>(L27*($E27/366))+(L28*($E28/366))</f>
        <v>0</v>
      </c>
      <c r="D78" s="8">
        <f>(M27*($E27/366))+(M28*($E28/366))</f>
        <v>22.222222222222221</v>
      </c>
      <c r="E78" s="69">
        <f t="shared" si="10"/>
        <v>100</v>
      </c>
      <c r="G78" s="1">
        <v>2000</v>
      </c>
      <c r="H78" s="809">
        <f>(O27/$R27*100*($E27/366))+(O28/$R28*100*($E28/366))</f>
        <v>77.495462794918339</v>
      </c>
      <c r="I78" s="809"/>
      <c r="J78" s="809">
        <f>(P27/$R27*100*($E27/366))+(P28/$R28*100*($E28/366))</f>
        <v>0</v>
      </c>
      <c r="K78" s="809"/>
      <c r="L78" s="809">
        <f>(Q27/$R27*100*($E27/366))+(Q28/$R28*100*($E28/366))</f>
        <v>22.504537205081672</v>
      </c>
      <c r="M78" s="809"/>
      <c r="N78" s="781">
        <f t="shared" si="11"/>
        <v>100.00000000000001</v>
      </c>
      <c r="O78" s="781"/>
      <c r="R78" s="1">
        <v>2000</v>
      </c>
      <c r="S78" s="8">
        <f>(O27*($E27/366))+(O28*($E28/366))</f>
        <v>42.7</v>
      </c>
      <c r="T78" s="8">
        <f>(P27*($E27/366))+(P28*($E28/366))</f>
        <v>0</v>
      </c>
      <c r="U78" s="8">
        <f>(Q27*($E27/366))+(Q28*($E28/366))</f>
        <v>12.4</v>
      </c>
      <c r="W78" s="7">
        <f t="shared" si="9"/>
        <v>55.1</v>
      </c>
    </row>
    <row r="79" spans="1:30" ht="9" customHeight="1" x14ac:dyDescent="0.15">
      <c r="A79" s="1">
        <v>2001</v>
      </c>
      <c r="B79" s="8">
        <f>(K29*($E29/365))+(K30*($E30/365))</f>
        <v>77.777777777777786</v>
      </c>
      <c r="C79" s="8">
        <f>(L29*($E29/365))+(L30*($E30/365))</f>
        <v>0</v>
      </c>
      <c r="D79" s="8">
        <f>(M29*($E29/365))+(M30*($E30/365))</f>
        <v>22.222222222222221</v>
      </c>
      <c r="E79" s="69">
        <f t="shared" si="10"/>
        <v>100</v>
      </c>
      <c r="G79" s="1">
        <v>2001</v>
      </c>
      <c r="H79" s="809">
        <f>(O29/$R29*100*($E29/365))+(O30/$R30*100*($E30/365))</f>
        <v>77.495462794918339</v>
      </c>
      <c r="I79" s="809"/>
      <c r="J79" s="809">
        <f>(P29/$R29*100*($E29/365))+(P30/$R30*100*($E30/365))</f>
        <v>0</v>
      </c>
      <c r="K79" s="809"/>
      <c r="L79" s="809">
        <f>(Q29/$R29*100*($E29/365))+(Q30/$R30*100*($E30/365))</f>
        <v>22.504537205081672</v>
      </c>
      <c r="M79" s="809"/>
      <c r="N79" s="781">
        <f t="shared" si="11"/>
        <v>100.00000000000001</v>
      </c>
      <c r="O79" s="781"/>
      <c r="R79" s="1">
        <v>2001</v>
      </c>
      <c r="S79" s="8">
        <f>(O29*($E29/365))+(O30*($E30/365))</f>
        <v>42.7</v>
      </c>
      <c r="T79" s="8">
        <f>(P29*($E29/365))+(P30*($E30/365))</f>
        <v>0</v>
      </c>
      <c r="U79" s="8">
        <f>(Q29*($E29/365))+(Q30*($E30/365))</f>
        <v>12.4</v>
      </c>
      <c r="W79" s="7">
        <f t="shared" si="9"/>
        <v>55.1</v>
      </c>
    </row>
    <row r="80" spans="1:30" ht="9" customHeight="1" x14ac:dyDescent="0.15">
      <c r="A80" s="1">
        <v>2002</v>
      </c>
      <c r="B80" s="8">
        <f>(K31*($E31/365))+(K32*($E32/365))</f>
        <v>47.111111111111114</v>
      </c>
      <c r="C80" s="8">
        <f>(L31*($E31/365))+(L32*($E32/365))</f>
        <v>0</v>
      </c>
      <c r="D80" s="8">
        <f>(M31*($E31/365))+(M32*($E32/365))</f>
        <v>52.888888888888886</v>
      </c>
      <c r="E80" s="69">
        <f t="shared" si="10"/>
        <v>100</v>
      </c>
      <c r="G80" s="1">
        <v>2002</v>
      </c>
      <c r="H80" s="809">
        <f>(O31/$R31*100*($E31/365))+(O32/$R32*100*($E32/365))</f>
        <v>37.080056462996581</v>
      </c>
      <c r="I80" s="809"/>
      <c r="J80" s="809">
        <f>(P31/$R31*100*($E31/365))+(P32/$R32*100*($E32/365))</f>
        <v>0</v>
      </c>
      <c r="K80" s="809"/>
      <c r="L80" s="809">
        <f>(Q31/$R31*100*($E31/365))+(Q32/$R32*100*($E32/365))</f>
        <v>62.919943537003427</v>
      </c>
      <c r="M80" s="809"/>
      <c r="N80" s="781">
        <f t="shared" si="11"/>
        <v>100</v>
      </c>
      <c r="O80" s="781"/>
      <c r="R80" s="1">
        <v>2002</v>
      </c>
      <c r="S80" s="8">
        <f>(O31*($E31/365))+(O32*($E32/365))</f>
        <v>20.200000000000003</v>
      </c>
      <c r="T80" s="8">
        <f>(P31*($E31/365))+(P32*($E32/365))</f>
        <v>0</v>
      </c>
      <c r="U80" s="8">
        <f>(Q31*($E31/365))+(Q32*($E32/365))</f>
        <v>32.620000000000005</v>
      </c>
      <c r="W80" s="7">
        <f t="shared" si="9"/>
        <v>52.820000000000007</v>
      </c>
    </row>
    <row r="81" spans="1:23" ht="9" customHeight="1" x14ac:dyDescent="0.15">
      <c r="A81" s="1">
        <v>2003</v>
      </c>
      <c r="B81" s="8">
        <f>(K33*($E33/365))+(K34*($E34/365))</f>
        <v>24.681171098576414</v>
      </c>
      <c r="C81" s="8">
        <f>(L33*($E33/365))+(L34*($E34/365))</f>
        <v>0</v>
      </c>
      <c r="D81" s="8">
        <f>(M33*($E33/365))+(M34*($E34/365))</f>
        <v>75.318828901423572</v>
      </c>
      <c r="E81" s="69">
        <f t="shared" si="10"/>
        <v>99.999999999999986</v>
      </c>
      <c r="G81" s="1">
        <v>2003</v>
      </c>
      <c r="H81" s="809">
        <f>(O33/$R33*100*($E33/365))+(O34/$R34*100*($E34/365))</f>
        <v>10.1364522417154</v>
      </c>
      <c r="I81" s="809"/>
      <c r="J81" s="809">
        <f>(P33/$R33*100*($E33/365))+(P34/$R34*100*($E34/365))</f>
        <v>0</v>
      </c>
      <c r="K81" s="809"/>
      <c r="L81" s="809">
        <f>(Q33/$R33*100*($E33/365))+(Q34/$R34*100*($E34/365))</f>
        <v>89.863547758284597</v>
      </c>
      <c r="M81" s="809"/>
      <c r="N81" s="781">
        <f t="shared" si="11"/>
        <v>100</v>
      </c>
      <c r="O81" s="781"/>
      <c r="R81" s="1">
        <v>2003</v>
      </c>
      <c r="S81" s="8">
        <f>(O33*($E33/365))+(O34*($E34/365))</f>
        <v>5.1999999999999993</v>
      </c>
      <c r="T81" s="8">
        <f>(P33*($E33/365))+(P34*($E34/365))</f>
        <v>0</v>
      </c>
      <c r="U81" s="8">
        <f>(Q33*($E33/365))+(Q34*($E34/365))</f>
        <v>46.099999999999994</v>
      </c>
      <c r="W81" s="7">
        <f t="shared" si="9"/>
        <v>51.3</v>
      </c>
    </row>
    <row r="82" spans="1:23" ht="9" customHeight="1" x14ac:dyDescent="0.15">
      <c r="A82" s="1">
        <v>2004</v>
      </c>
      <c r="B82" s="8">
        <f>(K35*($E35/366))+(K36*($E36/366))</f>
        <v>23.193685488767454</v>
      </c>
      <c r="C82" s="8">
        <f>(L35*($E35/366))+(L36*($E36/366))</f>
        <v>0</v>
      </c>
      <c r="D82" s="8">
        <f>(M35*($E35/366))+(M36*($E36/366))</f>
        <v>76.806314511232543</v>
      </c>
      <c r="E82" s="69">
        <f t="shared" si="10"/>
        <v>100</v>
      </c>
      <c r="G82" s="1">
        <v>2004</v>
      </c>
      <c r="H82" s="809">
        <f>(O35/$R35*100*($E35/366))+(O36/$R36*100*($E36/366))</f>
        <v>10.1364522417154</v>
      </c>
      <c r="I82" s="809"/>
      <c r="J82" s="809">
        <f>(P35/$R35*100*($E35/366))+(P36/$R36*100*($E36/366))</f>
        <v>0</v>
      </c>
      <c r="K82" s="809"/>
      <c r="L82" s="809">
        <f>(Q35/$R35*100*($E35/366))+(Q36/$R36*100*($E36/366))</f>
        <v>89.863547758284597</v>
      </c>
      <c r="M82" s="809"/>
      <c r="N82" s="781">
        <f t="shared" si="11"/>
        <v>100</v>
      </c>
      <c r="O82" s="781"/>
      <c r="R82" s="1">
        <v>2004</v>
      </c>
      <c r="S82" s="8">
        <f>(O35*($E35/366))+(O36*($E36/366))</f>
        <v>5.2</v>
      </c>
      <c r="T82" s="8">
        <f>(P35*($E35/366))+(P36*($E36/366))</f>
        <v>0</v>
      </c>
      <c r="U82" s="8">
        <f>(Q35*($E35/366))+(Q36*($E36/366))</f>
        <v>46.1</v>
      </c>
      <c r="W82" s="7">
        <f t="shared" si="9"/>
        <v>51.300000000000004</v>
      </c>
    </row>
    <row r="83" spans="1:23" ht="9" customHeight="1" x14ac:dyDescent="0.15">
      <c r="A83" s="1">
        <v>2005</v>
      </c>
      <c r="B83" s="8">
        <f>(K37*($E37/365))+(K38*($E38/365))</f>
        <v>22.222222222222221</v>
      </c>
      <c r="C83" s="8">
        <f>(L37*($E37/365))+(L38*($E38/365))</f>
        <v>0</v>
      </c>
      <c r="D83" s="8">
        <f>(M37*($E37/365))+(M38*($E38/365))</f>
        <v>77.777777777777786</v>
      </c>
      <c r="E83" s="69">
        <f t="shared" si="10"/>
        <v>100</v>
      </c>
      <c r="G83" s="1">
        <v>2005</v>
      </c>
      <c r="H83" s="809">
        <f>(O37/$R37*100*($E37/365))+(O38/$R38*100*($E38/365))</f>
        <v>10.1364522417154</v>
      </c>
      <c r="I83" s="809"/>
      <c r="J83" s="809">
        <f>(P37/$R37*100*($E37/365))+(P38/$R38*100*($E38/365))</f>
        <v>0</v>
      </c>
      <c r="K83" s="809"/>
      <c r="L83" s="809">
        <f>(Q37/$R37*100*($E37/365))+(Q38/$R38*100*($E38/365))</f>
        <v>89.863547758284597</v>
      </c>
      <c r="M83" s="809"/>
      <c r="N83" s="781">
        <f t="shared" si="11"/>
        <v>100</v>
      </c>
      <c r="O83" s="781"/>
      <c r="R83" s="1">
        <v>2005</v>
      </c>
      <c r="S83" s="8">
        <f>(O37*($E37/365))+(O38*($E38/365))</f>
        <v>5.2</v>
      </c>
      <c r="T83" s="8">
        <f>(P37*($E37/365))+(P38*($E38/365))</f>
        <v>0</v>
      </c>
      <c r="U83" s="8">
        <f>(Q37*($E37/365))+(Q38*($E38/365))</f>
        <v>46.1</v>
      </c>
      <c r="W83" s="7">
        <f t="shared" si="9"/>
        <v>51.300000000000004</v>
      </c>
    </row>
    <row r="84" spans="1:23" ht="9" customHeight="1" x14ac:dyDescent="0.15">
      <c r="A84" s="1">
        <v>2006</v>
      </c>
      <c r="B84" s="8">
        <f>(K39*($E39/365))+(K40*($E40/365))</f>
        <v>22.704601334738321</v>
      </c>
      <c r="C84" s="8">
        <f>(L39*($E39/365))+(L40*($E40/365))</f>
        <v>0</v>
      </c>
      <c r="D84" s="8">
        <f>(M39*($E39/365))+(M40*($E40/365))</f>
        <v>77.295398665261686</v>
      </c>
      <c r="E84" s="69">
        <f t="shared" si="10"/>
        <v>100</v>
      </c>
      <c r="G84" s="1">
        <v>2006</v>
      </c>
      <c r="H84" s="809">
        <f>(O39/$R39*100*($E39/365))+(O40/$R40*100*($E40/365))</f>
        <v>9.904105914318702</v>
      </c>
      <c r="I84" s="809"/>
      <c r="J84" s="809">
        <f>(P39/$R39*100*($E39/365))+(P40/$R40*100*($E40/365))</f>
        <v>0</v>
      </c>
      <c r="K84" s="809"/>
      <c r="L84" s="809">
        <f>(Q39/$R39*100*($E39/365))+(Q40/$R40*100*($E40/365))</f>
        <v>90.095894085681294</v>
      </c>
      <c r="M84" s="809"/>
      <c r="N84" s="781">
        <f t="shared" si="11"/>
        <v>100</v>
      </c>
      <c r="O84" s="781"/>
      <c r="R84" s="1">
        <v>2006</v>
      </c>
      <c r="S84" s="8">
        <f>(O39*($E39/365))+(O40*($E40/365))</f>
        <v>5.2564383561643835</v>
      </c>
      <c r="T84" s="8">
        <f>(P39*($E39/365))+(P40*($E40/365))</f>
        <v>0</v>
      </c>
      <c r="U84" s="8">
        <f>(Q39*($E39/365))+(Q40*($E40/365))</f>
        <v>47.849589041095896</v>
      </c>
      <c r="W84" s="7">
        <f t="shared" si="9"/>
        <v>53.106027397260277</v>
      </c>
    </row>
    <row r="85" spans="1:23" ht="9" customHeight="1" x14ac:dyDescent="0.15">
      <c r="A85" s="1">
        <v>2007</v>
      </c>
      <c r="B85" s="8">
        <f>(K41*($E41/365))+(K42*($E42/365))</f>
        <v>21.525816649104321</v>
      </c>
      <c r="C85" s="8">
        <f>(L41*($E41/365))+(L42*($E42/365))</f>
        <v>0</v>
      </c>
      <c r="D85" s="8">
        <f>(M41*($E41/365))+(M42*($E42/365))</f>
        <v>78.474183350895686</v>
      </c>
      <c r="E85" s="69">
        <f t="shared" si="10"/>
        <v>100</v>
      </c>
      <c r="G85" s="1">
        <v>2007</v>
      </c>
      <c r="H85" s="809">
        <f>(O41/$R41*100*($E41/365))+(O42/$R42*100*($E42/365))</f>
        <v>9.7247706422018343</v>
      </c>
      <c r="I85" s="809"/>
      <c r="J85" s="809">
        <f>(P41/$R41*100*($E41/365))+(P42/$R42*100*($E42/365))</f>
        <v>0</v>
      </c>
      <c r="K85" s="809"/>
      <c r="L85" s="809">
        <f>(Q41/$R41*100*($E41/365))+(Q42/$R42*100*($E42/365))</f>
        <v>90.275229357798167</v>
      </c>
      <c r="M85" s="809"/>
      <c r="N85" s="781">
        <f t="shared" si="11"/>
        <v>100</v>
      </c>
      <c r="O85" s="781"/>
      <c r="R85" s="1">
        <v>2007</v>
      </c>
      <c r="S85" s="8">
        <f>(O41*($E41/365))+(O42*($E42/365))</f>
        <v>5.3000000000000007</v>
      </c>
      <c r="T85" s="8">
        <f>(P41*($E41/365))+(P42*($E42/365))</f>
        <v>0</v>
      </c>
      <c r="U85" s="8">
        <f>(Q41*($E41/365))+(Q42*($E42/365))</f>
        <v>49.2</v>
      </c>
      <c r="W85" s="7">
        <f t="shared" si="9"/>
        <v>54.5</v>
      </c>
    </row>
    <row r="86" spans="1:23" ht="9" customHeight="1" x14ac:dyDescent="0.15">
      <c r="A86" s="1">
        <v>2008</v>
      </c>
      <c r="B86" s="8">
        <f>(K43*($E43/366))+(K44*($E44/366))+(K45*($E45/366))</f>
        <v>6.9555035128805622</v>
      </c>
      <c r="C86" s="8">
        <f>(L43*($E43/366))+(L44*($E44/366))+(L45*($E45/366))</f>
        <v>0</v>
      </c>
      <c r="D86" s="8">
        <f>(M43*($E43/366))+(M44*($E44/366))+(M45*($E45/366))</f>
        <v>93.044496487119432</v>
      </c>
      <c r="E86" s="69">
        <f t="shared" si="10"/>
        <v>100</v>
      </c>
      <c r="G86" s="1">
        <v>2008</v>
      </c>
      <c r="H86" s="809">
        <f>(O43/$R43*100*($E43/366))+(O44/$R44*100*($E44/366))+(O45/$R45*100*($E45/366))</f>
        <v>3.2415902140672781</v>
      </c>
      <c r="I86" s="809"/>
      <c r="J86" s="809">
        <f>(P43/$R43*100*($E43/366))+(P44/$R44*100*($E44/366))+(P45/$R45*100*($E45/366))</f>
        <v>0</v>
      </c>
      <c r="K86" s="809"/>
      <c r="L86" s="809">
        <f>(Q43/$R43*100*($E43/366))+(Q44/$R44*100*($E44/366))+(Q45/$R45*100*($E45/366))</f>
        <v>96.758409785932713</v>
      </c>
      <c r="M86" s="809"/>
      <c r="N86" s="781">
        <f t="shared" si="11"/>
        <v>99.999999999999986</v>
      </c>
      <c r="O86" s="781"/>
      <c r="R86" s="1">
        <v>2008</v>
      </c>
      <c r="S86" s="8">
        <f>(O43*($E43/366))+(O44*($E44/366))+(O45*($E45/366))</f>
        <v>1.7666666666666666</v>
      </c>
      <c r="T86" s="8">
        <f>(P43*($E43/366))+(P44*($E44/366))+(P45*($E45/366))</f>
        <v>0</v>
      </c>
      <c r="U86" s="8">
        <f>(Q43*($E43/366))+(Q44*($E44/366))+(Q45*($E45/366))</f>
        <v>49.2</v>
      </c>
      <c r="W86" s="7">
        <f t="shared" si="9"/>
        <v>50.966666666666669</v>
      </c>
    </row>
    <row r="87" spans="1:23" ht="9" customHeight="1" x14ac:dyDescent="0.15">
      <c r="A87" s="1">
        <v>2009</v>
      </c>
      <c r="B87" s="8">
        <f>(K46*($E46/365))+(K47*($E47/365))</f>
        <v>0</v>
      </c>
      <c r="C87" s="8">
        <f>(L46*($E46/365))+(L47*($E47/365))</f>
        <v>0</v>
      </c>
      <c r="D87" s="8">
        <f>(M46*($E46/365))+(M47*($E47/365))</f>
        <v>100</v>
      </c>
      <c r="E87" s="69">
        <f t="shared" si="10"/>
        <v>100</v>
      </c>
      <c r="G87" s="1">
        <v>2009</v>
      </c>
      <c r="H87" s="809">
        <f>(O46/$R46*100*($E46/365))+(O47/$R47*100*($E47/365))</f>
        <v>0</v>
      </c>
      <c r="I87" s="809"/>
      <c r="J87" s="809">
        <f>(P46/$R46*100*($E46/365))+(P47/$R47*100*($E47/365))</f>
        <v>0</v>
      </c>
      <c r="K87" s="809"/>
      <c r="L87" s="809">
        <f>(Q46/$R46*100*($E46/365))+(Q47/$R47*100*($E47/365))</f>
        <v>100</v>
      </c>
      <c r="M87" s="809"/>
      <c r="N87" s="781">
        <f t="shared" si="11"/>
        <v>100</v>
      </c>
      <c r="O87" s="781"/>
      <c r="R87" s="1">
        <v>2009</v>
      </c>
      <c r="S87" s="8">
        <f>(O46*($E46/365))+(O47*($E47/365))</f>
        <v>0</v>
      </c>
      <c r="T87" s="8">
        <f>(P46*($E46/365))+(P47*($E47/365))</f>
        <v>0</v>
      </c>
      <c r="U87" s="8">
        <f>(Q46*($E46/365))+(Q47*($E47/365))</f>
        <v>49.2</v>
      </c>
      <c r="W87" s="7">
        <f t="shared" si="9"/>
        <v>49.2</v>
      </c>
    </row>
    <row r="88" spans="1:23" ht="9" customHeight="1" x14ac:dyDescent="0.15">
      <c r="A88" s="1">
        <v>2010</v>
      </c>
      <c r="B88" s="8">
        <f>(K48*($E48/365))+(K49*($E49/365))</f>
        <v>41.61643835616438</v>
      </c>
      <c r="C88" s="8">
        <f>(L48*($E48/365))+(L49*($E49/365))</f>
        <v>0</v>
      </c>
      <c r="D88" s="8">
        <f>(M48*($E48/365))+(M49*($E49/365))</f>
        <v>40.547945205479451</v>
      </c>
      <c r="E88" s="69">
        <f t="shared" si="10"/>
        <v>82.164383561643831</v>
      </c>
      <c r="G88" s="1">
        <v>2010</v>
      </c>
      <c r="H88" s="809">
        <f>(O48/$R48*100*($E48/365))+(O49/$R49*100*($E49/365))</f>
        <v>59.452054794520549</v>
      </c>
      <c r="I88" s="809"/>
      <c r="J88" s="809">
        <f>(P48/$R48*100*($E48/365))+(P49/$R49*100*($E49/365))</f>
        <v>0</v>
      </c>
      <c r="K88" s="809"/>
      <c r="L88" s="809">
        <f>(Q48/$R48*100*($E48/365))+(Q49/$R49*100*($E49/365))</f>
        <v>40.547945205479451</v>
      </c>
      <c r="M88" s="809"/>
      <c r="N88" s="781">
        <f t="shared" si="11"/>
        <v>100</v>
      </c>
      <c r="O88" s="781"/>
      <c r="R88" s="1">
        <v>2010</v>
      </c>
      <c r="S88" s="8">
        <f>(O48*($E48/365))+(O49*($E49/365))</f>
        <v>40.48684931506849</v>
      </c>
      <c r="T88" s="8">
        <f>(P48*($E48/365))+(P49*($E49/365))</f>
        <v>0</v>
      </c>
      <c r="U88" s="8">
        <f>(Q48*($E48/365))+(Q49*($E49/365))</f>
        <v>19.949589041095891</v>
      </c>
      <c r="W88" s="7">
        <f t="shared" si="9"/>
        <v>60.436438356164381</v>
      </c>
    </row>
    <row r="89" spans="1:23" ht="9" customHeight="1" x14ac:dyDescent="0.15">
      <c r="A89" s="1">
        <v>2011</v>
      </c>
      <c r="B89" s="8">
        <f>(K50*($E50/365))+(K51*($E51/365))</f>
        <v>69.843088418430881</v>
      </c>
      <c r="C89" s="8">
        <f>(L50*($E50/365))+(L51*($E51/365))</f>
        <v>0</v>
      </c>
      <c r="D89" s="8">
        <f>(M50*($E50/365))+(M51*($E51/365))</f>
        <v>0</v>
      </c>
      <c r="E89" s="69">
        <f t="shared" si="10"/>
        <v>69.843088418430881</v>
      </c>
      <c r="G89" s="1">
        <v>2011</v>
      </c>
      <c r="H89" s="809">
        <f>(O50/$R50*100*($E50/365))+(O51/$R51*100*($E51/365))</f>
        <v>100</v>
      </c>
      <c r="I89" s="809"/>
      <c r="J89" s="809">
        <f>(P50/$R50*100*($E50/365))+(P51/$R51*100*($E51/365))</f>
        <v>0</v>
      </c>
      <c r="K89" s="809"/>
      <c r="L89" s="809">
        <f>(Q50/$R50*100*($E50/365))+(Q51/$R51*100*($E51/365))</f>
        <v>0</v>
      </c>
      <c r="M89" s="809"/>
      <c r="N89" s="781">
        <f t="shared" si="11"/>
        <v>100</v>
      </c>
      <c r="O89" s="781"/>
      <c r="R89" s="1">
        <v>2011</v>
      </c>
      <c r="S89" s="8">
        <f>(O50*($E50/365))+(O51*($E51/365))</f>
        <v>68.099999999999994</v>
      </c>
      <c r="T89" s="8">
        <f>(P50*($E50/365))+(P51*($E51/365))</f>
        <v>0</v>
      </c>
      <c r="U89" s="8">
        <f>(Q50*($E50/365))+(Q51*($E51/365))</f>
        <v>0</v>
      </c>
      <c r="W89" s="7">
        <f t="shared" si="9"/>
        <v>68.099999999999994</v>
      </c>
    </row>
    <row r="90" spans="1:23" ht="9" customHeight="1" x14ac:dyDescent="0.15">
      <c r="A90" s="1">
        <v>2012</v>
      </c>
      <c r="B90" s="8">
        <f>(K52*($E52/366))+(K53*($E53/366))+(K54*($E54/366))</f>
        <v>74.689518132141089</v>
      </c>
      <c r="C90" s="8">
        <f>(L52*($E52/366))+(L53*($E53/366))+(L54*($E54/366))</f>
        <v>0</v>
      </c>
      <c r="D90" s="8">
        <f>(M52*($E52/366))+(M53*($E53/366))+(M54*($E54/366))</f>
        <v>0</v>
      </c>
      <c r="E90" s="69">
        <f>SUM(B90:D90)</f>
        <v>74.689518132141089</v>
      </c>
      <c r="G90" s="1">
        <v>2012</v>
      </c>
      <c r="H90" s="809">
        <f>(O52/$R52*100*($E52/366))+(O53/$R53*100*($E53/366))+(O54/$R54*100*($E54/366))</f>
        <v>100</v>
      </c>
      <c r="I90" s="809"/>
      <c r="J90" s="809">
        <f>(P52/$R52*100*($E52/366))+(P53/$R53*100*($E53/366))+(P54/$R54*100*($E54/366))</f>
        <v>0</v>
      </c>
      <c r="K90" s="809"/>
      <c r="L90" s="809">
        <f>(Q52/$R52*100*($E52/366))+(Q53/$R53*100*($E53/366))+(Q54/$R54*100*($E54/366))</f>
        <v>0</v>
      </c>
      <c r="M90" s="809"/>
      <c r="N90" s="781">
        <f t="shared" si="11"/>
        <v>100</v>
      </c>
      <c r="O90" s="781"/>
      <c r="R90" s="1">
        <v>2012</v>
      </c>
      <c r="S90" s="8">
        <f>(O52*($E52/366))+(O53*($E53/366))+(O54*($E54/366))</f>
        <v>68.099999999999994</v>
      </c>
      <c r="T90" s="8">
        <f>(P52*($E52/366))+(P53*($E53/366))+(P54*($E54/366))</f>
        <v>0</v>
      </c>
      <c r="U90" s="8">
        <f>(Q52*($E52/366))+(Q53*($E53/366))+(Q54*($E54/366))</f>
        <v>0</v>
      </c>
      <c r="W90" s="7">
        <f>SUM(S90:U90)</f>
        <v>68.099999999999994</v>
      </c>
    </row>
    <row r="91" spans="1:23" ht="9" customHeight="1" x14ac:dyDescent="0.15">
      <c r="A91" s="1">
        <v>2013</v>
      </c>
      <c r="B91" s="8">
        <f>(K55*($E55/365))+(K56*($E56/365))</f>
        <v>80.303860523038608</v>
      </c>
      <c r="C91" s="8">
        <f>(L55*($E55/365))+(L56*($E56/365))</f>
        <v>0</v>
      </c>
      <c r="D91" s="8">
        <f>(M55*($E55/365))+(M56*($E56/365))</f>
        <v>0</v>
      </c>
      <c r="E91" s="315">
        <f>SUM(B91:D91)</f>
        <v>80.303860523038608</v>
      </c>
      <c r="G91" s="1">
        <v>2013</v>
      </c>
      <c r="H91" s="809">
        <f>(O55/$R55*100*($E55/365))+(O56/$R56*100*($E56/365))</f>
        <v>100</v>
      </c>
      <c r="I91" s="809"/>
      <c r="J91" s="809">
        <f>(P55/$R55*100*($E55/365))+(P56/$R56*100*($E56/365))</f>
        <v>0</v>
      </c>
      <c r="K91" s="809"/>
      <c r="L91" s="809">
        <f>(Q55/$R55*100*($E55/365))+(Q56/$R56*100*($E56/365))</f>
        <v>0</v>
      </c>
      <c r="M91" s="809"/>
      <c r="N91" s="781">
        <f>SUM(H91:M91)</f>
        <v>100</v>
      </c>
      <c r="O91" s="781"/>
      <c r="R91" s="1">
        <v>2013</v>
      </c>
      <c r="S91" s="8">
        <f>(O55*($E55/365))+(O56*($E56/365))</f>
        <v>68.099999999999994</v>
      </c>
      <c r="T91" s="8">
        <f>(P55*($E55/365))+(P56*($E56/365))</f>
        <v>0</v>
      </c>
      <c r="U91" s="8">
        <f>(Q55*($E55/365))+(Q56*($E56/365))</f>
        <v>0</v>
      </c>
      <c r="W91" s="7">
        <f>SUM(S91:U91)</f>
        <v>68.099999999999994</v>
      </c>
    </row>
    <row r="92" spans="1:23" ht="9" customHeight="1" x14ac:dyDescent="0.15">
      <c r="A92" s="1">
        <v>2014</v>
      </c>
      <c r="B92" s="8">
        <f>(K57*($E57/365))+(K58*($E58/365))</f>
        <v>69.150684931506845</v>
      </c>
      <c r="C92" s="8">
        <f>(L57*($E57/365))+(L58*($E58/365))</f>
        <v>0</v>
      </c>
      <c r="D92" s="8">
        <f>(M57*($E57/365))+(M58*($E58/365))</f>
        <v>0</v>
      </c>
      <c r="E92" s="536">
        <f>SUM(B92:D92)</f>
        <v>69.150684931506845</v>
      </c>
      <c r="G92" s="1">
        <v>2014</v>
      </c>
      <c r="H92" s="809">
        <f>(O57/$R57*100*($E57/365))+(O58/$R58*100*($E58/365))</f>
        <v>100</v>
      </c>
      <c r="I92" s="809"/>
      <c r="J92" s="809">
        <f>(P57/$R57*100*($E57/365))+(P58/$R58*100*($E58/365))</f>
        <v>0</v>
      </c>
      <c r="K92" s="809"/>
      <c r="L92" s="809">
        <f>(Q57/$R57*100*($E57/365))+(Q58/$R58*100*($E58/365))</f>
        <v>0</v>
      </c>
      <c r="M92" s="809"/>
      <c r="N92" s="781">
        <f>SUM(H92:M92)</f>
        <v>100</v>
      </c>
      <c r="O92" s="781"/>
      <c r="R92" s="1">
        <v>2014</v>
      </c>
      <c r="S92" s="8">
        <f>(O57*($E57/365))+(O58*($E58/365))</f>
        <v>67.238082191780819</v>
      </c>
      <c r="T92" s="8">
        <f>(P57*($E57/365))+(P58*($E58/365))</f>
        <v>0</v>
      </c>
      <c r="U92" s="8">
        <f>(Q57*($E57/365))+(Q58*($E58/365))</f>
        <v>0</v>
      </c>
      <c r="W92" s="7">
        <f>SUM(S92:U92)</f>
        <v>67.238082191780819</v>
      </c>
    </row>
    <row r="93" spans="1:23" s="735" customFormat="1" ht="9" customHeight="1" x14ac:dyDescent="0.15">
      <c r="A93" s="735">
        <v>2015</v>
      </c>
      <c r="B93" s="727">
        <f>(K59*($E59/365))+(K60*($E60/365))</f>
        <v>72.727272727272734</v>
      </c>
      <c r="C93" s="727">
        <f>(L59*($E59/365))+(L60*($E60/365))</f>
        <v>0</v>
      </c>
      <c r="D93" s="727">
        <f>(M59*($E59/365))+(M60*($E60/365))</f>
        <v>0</v>
      </c>
      <c r="E93" s="728">
        <f>SUM(B93:D93)</f>
        <v>72.727272727272734</v>
      </c>
      <c r="G93" s="735">
        <v>2015</v>
      </c>
      <c r="H93" s="809">
        <f>(O59/$R59*100*($E59/365))+(O60/$R60*100*($E60/365))</f>
        <v>100</v>
      </c>
      <c r="I93" s="809"/>
      <c r="J93" s="809">
        <f>(P59/$R59*100*($E59/365))+(P60/$R60*100*($E60/365))</f>
        <v>0</v>
      </c>
      <c r="K93" s="809"/>
      <c r="L93" s="809">
        <f>(Q59/$R59*100*($E59/365))+(Q60/$R60*100*($E60/365))</f>
        <v>0</v>
      </c>
      <c r="M93" s="809"/>
      <c r="N93" s="781">
        <f>SUM(H93:M93)</f>
        <v>100</v>
      </c>
      <c r="O93" s="781"/>
      <c r="R93" s="735">
        <v>2015</v>
      </c>
      <c r="S93" s="727">
        <f>(O59*($E59/365))+(O60*($E60/365))</f>
        <v>66.8</v>
      </c>
      <c r="T93" s="727">
        <f>(P59*($E59/365))+(P60*($E60/365))</f>
        <v>0</v>
      </c>
      <c r="U93" s="727">
        <f>(Q59*($E59/365))+(Q60*($E60/365))</f>
        <v>0</v>
      </c>
      <c r="W93" s="731">
        <f>SUM(S93:U93)</f>
        <v>66.8</v>
      </c>
    </row>
    <row r="94" spans="1:23" s="735" customFormat="1" ht="9" customHeight="1" x14ac:dyDescent="0.15"/>
  </sheetData>
  <mergeCells count="185">
    <mergeCell ref="C16:D16"/>
    <mergeCell ref="C17:D17"/>
    <mergeCell ref="C18:D18"/>
    <mergeCell ref="AT4:AW4"/>
    <mergeCell ref="H67:I67"/>
    <mergeCell ref="J67:K67"/>
    <mergeCell ref="L67:M67"/>
    <mergeCell ref="N67:O67"/>
    <mergeCell ref="C23:D23"/>
    <mergeCell ref="C25:D25"/>
    <mergeCell ref="C26:D26"/>
    <mergeCell ref="C27:D27"/>
    <mergeCell ref="C39:D39"/>
    <mergeCell ref="C28:D28"/>
    <mergeCell ref="C29:D29"/>
    <mergeCell ref="C30:D30"/>
    <mergeCell ref="C31:D31"/>
    <mergeCell ref="C32:D32"/>
    <mergeCell ref="C19:D19"/>
    <mergeCell ref="C20:D20"/>
    <mergeCell ref="C21:D21"/>
    <mergeCell ref="C22:D22"/>
    <mergeCell ref="C10:D10"/>
    <mergeCell ref="C11:D11"/>
    <mergeCell ref="H93:I93"/>
    <mergeCell ref="J93:K93"/>
    <mergeCell ref="L93:M93"/>
    <mergeCell ref="N93:O93"/>
    <mergeCell ref="H92:I92"/>
    <mergeCell ref="J92:K92"/>
    <mergeCell ref="L92:M92"/>
    <mergeCell ref="N92:O92"/>
    <mergeCell ref="C24:D24"/>
    <mergeCell ref="H82:I82"/>
    <mergeCell ref="H83:I83"/>
    <mergeCell ref="H68:I68"/>
    <mergeCell ref="L68:M68"/>
    <mergeCell ref="N68:O68"/>
    <mergeCell ref="N76:O76"/>
    <mergeCell ref="N77:O77"/>
    <mergeCell ref="N74:O74"/>
    <mergeCell ref="N75:O75"/>
    <mergeCell ref="H77:I77"/>
    <mergeCell ref="H78:I78"/>
    <mergeCell ref="L70:M70"/>
    <mergeCell ref="L71:M71"/>
    <mergeCell ref="L72:M72"/>
    <mergeCell ref="L73:M73"/>
    <mergeCell ref="AX4:BA4"/>
    <mergeCell ref="K4:N4"/>
    <mergeCell ref="O4:R4"/>
    <mergeCell ref="Z4:AC4"/>
    <mergeCell ref="AD4:AG4"/>
    <mergeCell ref="AH4:AK4"/>
    <mergeCell ref="AL4:AO4"/>
    <mergeCell ref="AP4:AS4"/>
    <mergeCell ref="V4:Y4"/>
    <mergeCell ref="S4:S5"/>
    <mergeCell ref="U4:U5"/>
    <mergeCell ref="T4:T5"/>
    <mergeCell ref="C12:D12"/>
    <mergeCell ref="C13:D13"/>
    <mergeCell ref="C6:D6"/>
    <mergeCell ref="C8:D8"/>
    <mergeCell ref="C9:D9"/>
    <mergeCell ref="C14:D14"/>
    <mergeCell ref="C15:D15"/>
    <mergeCell ref="G3:M3"/>
    <mergeCell ref="O3:Q3"/>
    <mergeCell ref="A4:A5"/>
    <mergeCell ref="B4:B5"/>
    <mergeCell ref="C4:D5"/>
    <mergeCell ref="E4:E5"/>
    <mergeCell ref="F4:F5"/>
    <mergeCell ref="G4:J4"/>
    <mergeCell ref="C7:D7"/>
    <mergeCell ref="R65:W65"/>
    <mergeCell ref="C58:D58"/>
    <mergeCell ref="C59:D59"/>
    <mergeCell ref="C60:D60"/>
    <mergeCell ref="C56:D56"/>
    <mergeCell ref="C54:D54"/>
    <mergeCell ref="C57:D57"/>
    <mergeCell ref="C33:D33"/>
    <mergeCell ref="C40:D40"/>
    <mergeCell ref="C41:D41"/>
    <mergeCell ref="C42:D42"/>
    <mergeCell ref="C44:D44"/>
    <mergeCell ref="C45:D45"/>
    <mergeCell ref="C34:D34"/>
    <mergeCell ref="C35:D35"/>
    <mergeCell ref="C36:D36"/>
    <mergeCell ref="C37:D37"/>
    <mergeCell ref="N69:O69"/>
    <mergeCell ref="H72:I72"/>
    <mergeCell ref="H79:I79"/>
    <mergeCell ref="H80:I80"/>
    <mergeCell ref="N71:O71"/>
    <mergeCell ref="C38:D38"/>
    <mergeCell ref="C43:D43"/>
    <mergeCell ref="C46:D46"/>
    <mergeCell ref="C47:D47"/>
    <mergeCell ref="C48:D48"/>
    <mergeCell ref="C49:D49"/>
    <mergeCell ref="C50:D50"/>
    <mergeCell ref="J75:K75"/>
    <mergeCell ref="J76:K76"/>
    <mergeCell ref="C51:D51"/>
    <mergeCell ref="C53:D53"/>
    <mergeCell ref="C55:D55"/>
    <mergeCell ref="C52:D52"/>
    <mergeCell ref="N70:O70"/>
    <mergeCell ref="N78:O78"/>
    <mergeCell ref="N79:O79"/>
    <mergeCell ref="L75:M75"/>
    <mergeCell ref="J77:K77"/>
    <mergeCell ref="J78:K78"/>
    <mergeCell ref="H81:I81"/>
    <mergeCell ref="L69:M69"/>
    <mergeCell ref="L74:M74"/>
    <mergeCell ref="H69:I69"/>
    <mergeCell ref="H70:I70"/>
    <mergeCell ref="H71:I71"/>
    <mergeCell ref="J68:K68"/>
    <mergeCell ref="J69:K69"/>
    <mergeCell ref="J74:K74"/>
    <mergeCell ref="L76:M76"/>
    <mergeCell ref="L77:M77"/>
    <mergeCell ref="L78:M78"/>
    <mergeCell ref="L79:M79"/>
    <mergeCell ref="L80:M80"/>
    <mergeCell ref="J79:K79"/>
    <mergeCell ref="J80:K80"/>
    <mergeCell ref="H73:I73"/>
    <mergeCell ref="H74:I74"/>
    <mergeCell ref="H75:I75"/>
    <mergeCell ref="H76:I76"/>
    <mergeCell ref="J70:K70"/>
    <mergeCell ref="J71:K71"/>
    <mergeCell ref="J72:K72"/>
    <mergeCell ref="J73:K73"/>
    <mergeCell ref="H84:I84"/>
    <mergeCell ref="H85:I85"/>
    <mergeCell ref="H86:I86"/>
    <mergeCell ref="H87:I87"/>
    <mergeCell ref="H89:I89"/>
    <mergeCell ref="H90:I90"/>
    <mergeCell ref="L85:M85"/>
    <mergeCell ref="L86:M86"/>
    <mergeCell ref="J90:K90"/>
    <mergeCell ref="N72:O72"/>
    <mergeCell ref="N73:O73"/>
    <mergeCell ref="N80:O80"/>
    <mergeCell ref="J82:K82"/>
    <mergeCell ref="J83:K83"/>
    <mergeCell ref="L88:M88"/>
    <mergeCell ref="L89:M89"/>
    <mergeCell ref="L90:M90"/>
    <mergeCell ref="N84:O84"/>
    <mergeCell ref="J84:K84"/>
    <mergeCell ref="L81:M81"/>
    <mergeCell ref="L82:M82"/>
    <mergeCell ref="L83:M83"/>
    <mergeCell ref="L84:M84"/>
    <mergeCell ref="N90:O90"/>
    <mergeCell ref="J89:K89"/>
    <mergeCell ref="N88:O88"/>
    <mergeCell ref="J87:K87"/>
    <mergeCell ref="J88:K88"/>
    <mergeCell ref="N81:O81"/>
    <mergeCell ref="N82:O82"/>
    <mergeCell ref="N83:O83"/>
    <mergeCell ref="J81:K81"/>
    <mergeCell ref="H91:I91"/>
    <mergeCell ref="J91:K91"/>
    <mergeCell ref="L91:M91"/>
    <mergeCell ref="L87:M87"/>
    <mergeCell ref="J85:K85"/>
    <mergeCell ref="J86:K86"/>
    <mergeCell ref="N89:O89"/>
    <mergeCell ref="N86:O86"/>
    <mergeCell ref="N87:O87"/>
    <mergeCell ref="H88:I88"/>
    <mergeCell ref="N91:O91"/>
    <mergeCell ref="N85:O85"/>
  </mergeCells>
  <pageMargins left="0.78740157499999996" right="0.78740157499999996" top="0.984251969" bottom="0.984251969" header="0.4921259845" footer="0.4921259845"/>
  <pageSetup paperSize="9" orientation="portrait" r:id="rId1"/>
  <headerFooter alignWithMargins="0"/>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85"/>
  <sheetViews>
    <sheetView zoomScale="120" zoomScaleNormal="120" workbookViewId="0">
      <pane xSplit="1" ySplit="5" topLeftCell="F107" activePane="bottomRight" state="frozen"/>
      <selection pane="topRight" activeCell="B1" sqref="B1"/>
      <selection pane="bottomLeft" activeCell="A6" sqref="A6"/>
      <selection pane="bottomRight" activeCell="S184" sqref="S184:U184"/>
    </sheetView>
  </sheetViews>
  <sheetFormatPr baseColWidth="10" defaultColWidth="10.7109375" defaultRowHeight="9" x14ac:dyDescent="0.15"/>
  <cols>
    <col min="1" max="1" width="5.85546875" style="1" customWidth="1"/>
    <col min="2" max="6" width="7.85546875" style="1" customWidth="1"/>
    <col min="7" max="18" width="4.42578125" style="1" customWidth="1"/>
    <col min="19" max="21" width="7.85546875" style="1" customWidth="1"/>
    <col min="22" max="33" width="5.7109375" style="1" customWidth="1"/>
    <col min="34" max="34" width="5.7109375" style="37" customWidth="1"/>
    <col min="35" max="53" width="5.7109375" style="1" customWidth="1"/>
    <col min="54" max="16384" width="10.7109375" style="1"/>
  </cols>
  <sheetData>
    <row r="1" spans="1:53" s="2" customFormat="1" ht="15" customHeight="1" x14ac:dyDescent="0.2">
      <c r="B1" s="22" t="s">
        <v>14</v>
      </c>
      <c r="AH1" s="36"/>
    </row>
    <row r="2" spans="1:53" s="2" customFormat="1" ht="15" customHeight="1" x14ac:dyDescent="0.2">
      <c r="B2" s="22" t="s">
        <v>57</v>
      </c>
      <c r="AH2" s="36"/>
    </row>
    <row r="3" spans="1:53" s="2" customFormat="1" x14ac:dyDescent="0.15">
      <c r="G3" s="814"/>
      <c r="H3" s="814"/>
      <c r="I3" s="814"/>
      <c r="J3" s="814"/>
      <c r="K3" s="814"/>
      <c r="L3" s="814"/>
      <c r="M3" s="814"/>
      <c r="O3" s="814"/>
      <c r="P3" s="814"/>
      <c r="Q3" s="814"/>
      <c r="AH3" s="36"/>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1" t="s">
        <v>23</v>
      </c>
      <c r="AU5" s="351" t="s">
        <v>24</v>
      </c>
      <c r="AV5" s="351" t="s">
        <v>25</v>
      </c>
      <c r="AW5" s="353" t="s">
        <v>1217</v>
      </c>
      <c r="AX5" s="351" t="s">
        <v>23</v>
      </c>
      <c r="AY5" s="351" t="s">
        <v>24</v>
      </c>
      <c r="AZ5" s="351" t="s">
        <v>25</v>
      </c>
      <c r="BA5" s="354" t="s">
        <v>1217</v>
      </c>
    </row>
    <row r="6" spans="1:53" s="257" customFormat="1" ht="9" customHeight="1" x14ac:dyDescent="0.15">
      <c r="A6" s="263">
        <v>1959</v>
      </c>
      <c r="B6" s="252"/>
      <c r="C6" s="815" t="s">
        <v>1249</v>
      </c>
      <c r="D6" s="815"/>
      <c r="E6" s="257">
        <v>323</v>
      </c>
      <c r="G6" s="265"/>
      <c r="I6" s="257">
        <v>4</v>
      </c>
      <c r="J6" s="272">
        <v>4</v>
      </c>
      <c r="K6" s="248">
        <f t="shared" ref="K6:M8" si="0">G6/$J6*100</f>
        <v>0</v>
      </c>
      <c r="L6" s="248">
        <f t="shared" si="0"/>
        <v>0</v>
      </c>
      <c r="M6" s="248">
        <f t="shared" si="0"/>
        <v>100</v>
      </c>
      <c r="N6" s="267">
        <f>K6+L6+M6</f>
        <v>100</v>
      </c>
      <c r="O6" s="247"/>
      <c r="P6" s="248"/>
      <c r="Q6" s="248">
        <v>15</v>
      </c>
      <c r="R6" s="249">
        <f>O6+P6+Q6</f>
        <v>15</v>
      </c>
      <c r="S6" s="257">
        <v>4</v>
      </c>
      <c r="T6" s="278"/>
      <c r="V6" s="281" t="s">
        <v>112</v>
      </c>
      <c r="W6" s="257" t="s">
        <v>20</v>
      </c>
      <c r="X6" s="257" t="s">
        <v>12</v>
      </c>
      <c r="Y6" s="257">
        <v>15</v>
      </c>
      <c r="AD6" s="256"/>
      <c r="AG6" s="258"/>
      <c r="AH6" s="282"/>
      <c r="AL6" s="256"/>
      <c r="AO6" s="258"/>
      <c r="AP6" s="256"/>
      <c r="AS6" s="258"/>
      <c r="AW6" s="258"/>
      <c r="BA6" s="259"/>
    </row>
    <row r="7" spans="1:53" s="257" customFormat="1" x14ac:dyDescent="0.15">
      <c r="A7" s="263">
        <v>1959</v>
      </c>
      <c r="B7" s="252">
        <v>21874</v>
      </c>
      <c r="C7" s="815" t="s">
        <v>285</v>
      </c>
      <c r="D7" s="815"/>
      <c r="E7" s="257">
        <f>365-E6</f>
        <v>42</v>
      </c>
      <c r="F7" s="257">
        <v>1</v>
      </c>
      <c r="G7" s="265">
        <v>4</v>
      </c>
      <c r="I7" s="257">
        <v>2</v>
      </c>
      <c r="J7" s="272">
        <v>6</v>
      </c>
      <c r="K7" s="248">
        <f t="shared" si="0"/>
        <v>66.666666666666657</v>
      </c>
      <c r="L7" s="248">
        <f t="shared" si="0"/>
        <v>0</v>
      </c>
      <c r="M7" s="248">
        <f t="shared" si="0"/>
        <v>33.333333333333329</v>
      </c>
      <c r="N7" s="267">
        <f>K7+L7+M7</f>
        <v>99.999999999999986</v>
      </c>
      <c r="O7" s="247">
        <v>40</v>
      </c>
      <c r="P7" s="248"/>
      <c r="Q7" s="248">
        <v>15</v>
      </c>
      <c r="R7" s="249">
        <f>O7+P7+Q7</f>
        <v>55</v>
      </c>
      <c r="S7" s="257">
        <v>2</v>
      </c>
      <c r="T7" s="251">
        <v>21849</v>
      </c>
      <c r="U7" s="252">
        <v>21874</v>
      </c>
      <c r="V7" s="256" t="s">
        <v>571</v>
      </c>
      <c r="W7" s="257" t="s">
        <v>74</v>
      </c>
      <c r="X7" s="257" t="s">
        <v>11</v>
      </c>
      <c r="Y7" s="258">
        <v>40</v>
      </c>
      <c r="Z7" s="257" t="s">
        <v>112</v>
      </c>
      <c r="AA7" s="257" t="s">
        <v>20</v>
      </c>
      <c r="AB7" s="257" t="s">
        <v>12</v>
      </c>
      <c r="AC7" s="257">
        <v>15</v>
      </c>
      <c r="AD7" s="256"/>
      <c r="AG7" s="258"/>
      <c r="AH7" s="282"/>
      <c r="AL7" s="256"/>
      <c r="AO7" s="258"/>
      <c r="AP7" s="256"/>
      <c r="AS7" s="258"/>
      <c r="AW7" s="258"/>
      <c r="BA7" s="259"/>
    </row>
    <row r="8" spans="1:53" s="73" customFormat="1" x14ac:dyDescent="0.15">
      <c r="A8" s="102">
        <v>1960</v>
      </c>
      <c r="C8" s="811" t="s">
        <v>285</v>
      </c>
      <c r="D8" s="811"/>
      <c r="E8" s="73">
        <v>0</v>
      </c>
      <c r="G8" s="123">
        <v>4</v>
      </c>
      <c r="I8" s="73">
        <v>2</v>
      </c>
      <c r="J8" s="134">
        <v>6</v>
      </c>
      <c r="K8" s="92">
        <f t="shared" si="0"/>
        <v>66.666666666666657</v>
      </c>
      <c r="L8" s="92">
        <f t="shared" si="0"/>
        <v>0</v>
      </c>
      <c r="M8" s="92">
        <f t="shared" si="0"/>
        <v>33.333333333333329</v>
      </c>
      <c r="N8" s="125">
        <f>K8+L8+M8</f>
        <v>99.999999999999986</v>
      </c>
      <c r="O8" s="91">
        <v>40</v>
      </c>
      <c r="P8" s="92"/>
      <c r="Q8" s="92">
        <v>15</v>
      </c>
      <c r="R8" s="93">
        <f>O8+P8+Q8</f>
        <v>55</v>
      </c>
      <c r="S8" s="73">
        <v>2</v>
      </c>
      <c r="T8" s="81"/>
      <c r="V8" s="82" t="s">
        <v>571</v>
      </c>
      <c r="W8" s="73" t="s">
        <v>74</v>
      </c>
      <c r="X8" s="73" t="s">
        <v>11</v>
      </c>
      <c r="Y8" s="83">
        <v>40</v>
      </c>
      <c r="Z8" s="73" t="s">
        <v>112</v>
      </c>
      <c r="AA8" s="73" t="s">
        <v>20</v>
      </c>
      <c r="AB8" s="73" t="s">
        <v>12</v>
      </c>
      <c r="AC8" s="73">
        <v>15</v>
      </c>
      <c r="AD8" s="82"/>
      <c r="AG8" s="83"/>
      <c r="AH8" s="164"/>
      <c r="AL8" s="82"/>
      <c r="AO8" s="83"/>
      <c r="AP8" s="82"/>
      <c r="AS8" s="83"/>
      <c r="AW8" s="83"/>
      <c r="BA8" s="84"/>
    </row>
    <row r="9" spans="1:53" s="73" customFormat="1" x14ac:dyDescent="0.15">
      <c r="A9" s="102">
        <v>1960</v>
      </c>
      <c r="B9" s="85"/>
      <c r="C9" s="811" t="s">
        <v>285</v>
      </c>
      <c r="D9" s="811"/>
      <c r="E9" s="73">
        <v>366</v>
      </c>
      <c r="G9" s="123">
        <v>4</v>
      </c>
      <c r="I9" s="73">
        <v>2</v>
      </c>
      <c r="J9" s="134">
        <v>6</v>
      </c>
      <c r="K9" s="92">
        <f t="shared" ref="K9:M43" si="1">G9/$J9*100</f>
        <v>66.666666666666657</v>
      </c>
      <c r="L9" s="92">
        <f t="shared" si="1"/>
        <v>0</v>
      </c>
      <c r="M9" s="92">
        <f t="shared" si="1"/>
        <v>33.333333333333329</v>
      </c>
      <c r="N9" s="125">
        <f t="shared" ref="N9:N72" si="2">K9+L9+M9</f>
        <v>99.999999999999986</v>
      </c>
      <c r="O9" s="91">
        <v>40</v>
      </c>
      <c r="P9" s="92"/>
      <c r="Q9" s="92">
        <v>15</v>
      </c>
      <c r="R9" s="93">
        <f t="shared" ref="R9:R73" si="3">O9+P9+Q9</f>
        <v>55</v>
      </c>
      <c r="S9" s="73">
        <v>2</v>
      </c>
      <c r="T9" s="81"/>
      <c r="V9" s="82" t="s">
        <v>571</v>
      </c>
      <c r="W9" s="73" t="s">
        <v>74</v>
      </c>
      <c r="X9" s="73" t="s">
        <v>11</v>
      </c>
      <c r="Y9" s="83">
        <v>40</v>
      </c>
      <c r="Z9" s="73" t="s">
        <v>112</v>
      </c>
      <c r="AA9" s="73" t="s">
        <v>20</v>
      </c>
      <c r="AB9" s="73" t="s">
        <v>12</v>
      </c>
      <c r="AC9" s="73">
        <v>15</v>
      </c>
      <c r="AD9" s="82"/>
      <c r="AG9" s="83"/>
      <c r="AH9" s="164"/>
      <c r="AL9" s="82"/>
      <c r="AO9" s="83"/>
      <c r="AP9" s="82"/>
      <c r="AS9" s="83"/>
      <c r="AW9" s="83"/>
      <c r="BA9" s="84"/>
    </row>
    <row r="10" spans="1:53" s="73" customFormat="1" x14ac:dyDescent="0.15">
      <c r="A10" s="102">
        <v>1961</v>
      </c>
      <c r="B10" s="85"/>
      <c r="C10" s="811" t="s">
        <v>285</v>
      </c>
      <c r="D10" s="811"/>
      <c r="E10" s="73">
        <v>0</v>
      </c>
      <c r="G10" s="123">
        <v>4</v>
      </c>
      <c r="I10" s="73">
        <v>2</v>
      </c>
      <c r="J10" s="134">
        <v>6</v>
      </c>
      <c r="K10" s="92">
        <f t="shared" si="1"/>
        <v>66.666666666666657</v>
      </c>
      <c r="L10" s="92">
        <f t="shared" si="1"/>
        <v>0</v>
      </c>
      <c r="M10" s="92">
        <f t="shared" si="1"/>
        <v>33.333333333333329</v>
      </c>
      <c r="N10" s="125">
        <f t="shared" si="2"/>
        <v>99.999999999999986</v>
      </c>
      <c r="O10" s="91">
        <v>40</v>
      </c>
      <c r="P10" s="92"/>
      <c r="Q10" s="92">
        <v>15</v>
      </c>
      <c r="R10" s="93">
        <f t="shared" si="3"/>
        <v>55</v>
      </c>
      <c r="S10" s="73">
        <v>2</v>
      </c>
      <c r="T10" s="81"/>
      <c r="V10" s="82" t="s">
        <v>571</v>
      </c>
      <c r="W10" s="73" t="s">
        <v>74</v>
      </c>
      <c r="X10" s="73" t="s">
        <v>11</v>
      </c>
      <c r="Y10" s="83">
        <v>40</v>
      </c>
      <c r="Z10" s="73" t="s">
        <v>112</v>
      </c>
      <c r="AA10" s="73" t="s">
        <v>20</v>
      </c>
      <c r="AB10" s="73" t="s">
        <v>12</v>
      </c>
      <c r="AC10" s="73">
        <v>15</v>
      </c>
      <c r="AD10" s="82"/>
      <c r="AG10" s="83"/>
      <c r="AH10" s="164"/>
      <c r="AL10" s="82"/>
      <c r="AO10" s="83"/>
      <c r="AP10" s="82"/>
      <c r="AS10" s="83"/>
      <c r="AW10" s="83"/>
      <c r="BA10" s="84"/>
    </row>
    <row r="11" spans="1:53" s="73" customFormat="1" x14ac:dyDescent="0.15">
      <c r="A11" s="102">
        <v>1961</v>
      </c>
      <c r="B11" s="85"/>
      <c r="C11" s="811" t="s">
        <v>285</v>
      </c>
      <c r="D11" s="811"/>
      <c r="E11" s="73">
        <v>365</v>
      </c>
      <c r="G11" s="123">
        <v>4</v>
      </c>
      <c r="I11" s="73">
        <v>2</v>
      </c>
      <c r="J11" s="134">
        <v>6</v>
      </c>
      <c r="K11" s="92">
        <f t="shared" si="1"/>
        <v>66.666666666666657</v>
      </c>
      <c r="L11" s="92">
        <f t="shared" si="1"/>
        <v>0</v>
      </c>
      <c r="M11" s="92">
        <f t="shared" si="1"/>
        <v>33.333333333333329</v>
      </c>
      <c r="N11" s="125">
        <f t="shared" si="2"/>
        <v>99.999999999999986</v>
      </c>
      <c r="O11" s="91">
        <v>40</v>
      </c>
      <c r="P11" s="92"/>
      <c r="Q11" s="92">
        <v>15</v>
      </c>
      <c r="R11" s="93">
        <f t="shared" si="3"/>
        <v>55</v>
      </c>
      <c r="S11" s="73">
        <v>2</v>
      </c>
      <c r="T11" s="81"/>
      <c r="V11" s="82" t="s">
        <v>571</v>
      </c>
      <c r="W11" s="73" t="s">
        <v>74</v>
      </c>
      <c r="X11" s="73" t="s">
        <v>11</v>
      </c>
      <c r="Y11" s="83">
        <v>40</v>
      </c>
      <c r="Z11" s="73" t="s">
        <v>112</v>
      </c>
      <c r="AA11" s="73" t="s">
        <v>20</v>
      </c>
      <c r="AB11" s="73" t="s">
        <v>12</v>
      </c>
      <c r="AC11" s="73">
        <v>15</v>
      </c>
      <c r="AD11" s="82"/>
      <c r="AG11" s="83"/>
      <c r="AH11" s="164"/>
      <c r="AL11" s="82"/>
      <c r="AO11" s="83"/>
      <c r="AP11" s="82"/>
      <c r="AS11" s="83"/>
      <c r="AW11" s="83"/>
      <c r="BA11" s="84"/>
    </row>
    <row r="12" spans="1:53" s="73" customFormat="1" x14ac:dyDescent="0.15">
      <c r="A12" s="102">
        <v>1962</v>
      </c>
      <c r="B12" s="85"/>
      <c r="C12" s="811" t="s">
        <v>285</v>
      </c>
      <c r="D12" s="811"/>
      <c r="E12" s="73">
        <v>0</v>
      </c>
      <c r="G12" s="123">
        <v>4</v>
      </c>
      <c r="I12" s="73">
        <v>2</v>
      </c>
      <c r="J12" s="134">
        <v>6</v>
      </c>
      <c r="K12" s="92">
        <f t="shared" si="1"/>
        <v>66.666666666666657</v>
      </c>
      <c r="L12" s="92">
        <f t="shared" si="1"/>
        <v>0</v>
      </c>
      <c r="M12" s="92">
        <f t="shared" si="1"/>
        <v>33.333333333333329</v>
      </c>
      <c r="N12" s="125">
        <f t="shared" si="2"/>
        <v>99.999999999999986</v>
      </c>
      <c r="O12" s="91">
        <v>40</v>
      </c>
      <c r="P12" s="92"/>
      <c r="Q12" s="92">
        <v>15</v>
      </c>
      <c r="R12" s="93">
        <f t="shared" si="3"/>
        <v>55</v>
      </c>
      <c r="S12" s="73">
        <v>2</v>
      </c>
      <c r="T12" s="81"/>
      <c r="V12" s="82" t="s">
        <v>571</v>
      </c>
      <c r="W12" s="73" t="s">
        <v>74</v>
      </c>
      <c r="X12" s="73" t="s">
        <v>11</v>
      </c>
      <c r="Y12" s="83">
        <v>40</v>
      </c>
      <c r="Z12" s="73" t="s">
        <v>112</v>
      </c>
      <c r="AA12" s="73" t="s">
        <v>20</v>
      </c>
      <c r="AB12" s="73" t="s">
        <v>12</v>
      </c>
      <c r="AC12" s="73">
        <v>15</v>
      </c>
      <c r="AD12" s="82"/>
      <c r="AG12" s="83"/>
      <c r="AH12" s="164"/>
      <c r="AL12" s="82"/>
      <c r="AO12" s="83"/>
      <c r="AP12" s="82"/>
      <c r="AS12" s="83"/>
      <c r="AW12" s="83"/>
      <c r="BA12" s="84"/>
    </row>
    <row r="13" spans="1:53" s="73" customFormat="1" x14ac:dyDescent="0.15">
      <c r="A13" s="102">
        <v>1962</v>
      </c>
      <c r="B13" s="85"/>
      <c r="C13" s="811" t="s">
        <v>285</v>
      </c>
      <c r="D13" s="811"/>
      <c r="E13" s="73">
        <v>365</v>
      </c>
      <c r="G13" s="123">
        <v>4</v>
      </c>
      <c r="I13" s="73">
        <v>2</v>
      </c>
      <c r="J13" s="134">
        <v>6</v>
      </c>
      <c r="K13" s="92">
        <f t="shared" si="1"/>
        <v>66.666666666666657</v>
      </c>
      <c r="L13" s="92">
        <f t="shared" si="1"/>
        <v>0</v>
      </c>
      <c r="M13" s="92">
        <f t="shared" si="1"/>
        <v>33.333333333333329</v>
      </c>
      <c r="N13" s="125">
        <f t="shared" si="2"/>
        <v>99.999999999999986</v>
      </c>
      <c r="O13" s="91">
        <v>40</v>
      </c>
      <c r="P13" s="92"/>
      <c r="Q13" s="92">
        <v>15</v>
      </c>
      <c r="R13" s="93">
        <f t="shared" si="3"/>
        <v>55</v>
      </c>
      <c r="S13" s="73">
        <v>2</v>
      </c>
      <c r="T13" s="81"/>
      <c r="V13" s="82" t="s">
        <v>571</v>
      </c>
      <c r="W13" s="73" t="s">
        <v>74</v>
      </c>
      <c r="X13" s="73" t="s">
        <v>11</v>
      </c>
      <c r="Y13" s="83">
        <v>40</v>
      </c>
      <c r="Z13" s="73" t="s">
        <v>112</v>
      </c>
      <c r="AA13" s="73" t="s">
        <v>20</v>
      </c>
      <c r="AB13" s="73" t="s">
        <v>12</v>
      </c>
      <c r="AC13" s="73">
        <v>15</v>
      </c>
      <c r="AD13" s="82"/>
      <c r="AG13" s="83"/>
      <c r="AH13" s="164"/>
      <c r="AL13" s="82"/>
      <c r="AO13" s="83"/>
      <c r="AP13" s="82"/>
      <c r="AS13" s="83"/>
      <c r="AW13" s="83"/>
      <c r="BA13" s="84"/>
    </row>
    <row r="14" spans="1:53" s="73" customFormat="1" x14ac:dyDescent="0.15">
      <c r="A14" s="102">
        <v>1962.6</v>
      </c>
      <c r="B14" s="85"/>
      <c r="C14" s="811" t="s">
        <v>285</v>
      </c>
      <c r="D14" s="811"/>
      <c r="E14" s="73">
        <v>317</v>
      </c>
      <c r="G14" s="123">
        <v>4</v>
      </c>
      <c r="I14" s="73">
        <v>2</v>
      </c>
      <c r="J14" s="134">
        <v>6</v>
      </c>
      <c r="K14" s="92">
        <f t="shared" si="1"/>
        <v>66.666666666666657</v>
      </c>
      <c r="L14" s="92">
        <f t="shared" si="1"/>
        <v>0</v>
      </c>
      <c r="M14" s="92">
        <f t="shared" si="1"/>
        <v>33.333333333333329</v>
      </c>
      <c r="N14" s="125">
        <f t="shared" si="2"/>
        <v>99.999999999999986</v>
      </c>
      <c r="O14" s="91">
        <v>40</v>
      </c>
      <c r="P14" s="92"/>
      <c r="Q14" s="92">
        <v>15</v>
      </c>
      <c r="R14" s="93">
        <f t="shared" si="3"/>
        <v>55</v>
      </c>
      <c r="S14" s="73">
        <v>2</v>
      </c>
      <c r="T14" s="81"/>
      <c r="V14" s="82" t="s">
        <v>571</v>
      </c>
      <c r="W14" s="73" t="s">
        <v>74</v>
      </c>
      <c r="X14" s="73" t="s">
        <v>11</v>
      </c>
      <c r="Y14" s="83">
        <v>40</v>
      </c>
      <c r="Z14" s="73" t="s">
        <v>112</v>
      </c>
      <c r="AA14" s="73" t="s">
        <v>20</v>
      </c>
      <c r="AB14" s="73" t="s">
        <v>12</v>
      </c>
      <c r="AC14" s="73">
        <v>15</v>
      </c>
      <c r="AD14" s="82"/>
      <c r="AG14" s="83"/>
      <c r="AH14" s="164"/>
      <c r="AL14" s="82"/>
      <c r="AO14" s="83"/>
      <c r="AP14" s="82"/>
      <c r="AS14" s="83"/>
      <c r="AW14" s="83"/>
      <c r="BA14" s="84"/>
    </row>
    <row r="15" spans="1:53" s="334" customFormat="1" x14ac:dyDescent="0.15">
      <c r="A15" s="386">
        <v>1963.05714285714</v>
      </c>
      <c r="B15" s="355">
        <v>23329</v>
      </c>
      <c r="C15" s="812" t="s">
        <v>286</v>
      </c>
      <c r="D15" s="812"/>
      <c r="E15" s="334">
        <f>365-E14</f>
        <v>48</v>
      </c>
      <c r="F15" s="334">
        <v>3</v>
      </c>
      <c r="G15" s="419">
        <v>4</v>
      </c>
      <c r="I15" s="334">
        <v>3</v>
      </c>
      <c r="J15" s="435">
        <v>7</v>
      </c>
      <c r="K15" s="384">
        <f t="shared" si="1"/>
        <v>57.142857142857139</v>
      </c>
      <c r="L15" s="384">
        <f t="shared" si="1"/>
        <v>0</v>
      </c>
      <c r="M15" s="384">
        <f t="shared" si="1"/>
        <v>42.857142857142854</v>
      </c>
      <c r="N15" s="421">
        <f t="shared" si="2"/>
        <v>100</v>
      </c>
      <c r="O15" s="383">
        <v>40</v>
      </c>
      <c r="P15" s="384"/>
      <c r="Q15" s="384">
        <v>13.3</v>
      </c>
      <c r="R15" s="385">
        <f t="shared" si="3"/>
        <v>53.3</v>
      </c>
      <c r="S15" s="334">
        <v>2</v>
      </c>
      <c r="T15" s="342">
        <v>23171</v>
      </c>
      <c r="U15" s="355">
        <v>23329</v>
      </c>
      <c r="V15" s="343" t="s">
        <v>571</v>
      </c>
      <c r="W15" s="334" t="s">
        <v>74</v>
      </c>
      <c r="X15" s="334" t="s">
        <v>11</v>
      </c>
      <c r="Y15" s="344">
        <v>40</v>
      </c>
      <c r="Z15" s="334" t="s">
        <v>112</v>
      </c>
      <c r="AA15" s="334" t="s">
        <v>20</v>
      </c>
      <c r="AB15" s="334" t="s">
        <v>12</v>
      </c>
      <c r="AC15" s="334">
        <v>13.3</v>
      </c>
      <c r="AD15" s="343"/>
      <c r="AG15" s="344"/>
      <c r="AH15" s="452"/>
      <c r="AL15" s="343"/>
      <c r="AO15" s="344"/>
      <c r="AP15" s="343"/>
      <c r="AS15" s="344"/>
      <c r="AW15" s="344"/>
      <c r="BA15" s="345"/>
    </row>
    <row r="16" spans="1:53" s="334" customFormat="1" x14ac:dyDescent="0.15">
      <c r="A16" s="386">
        <v>1963.5142857142901</v>
      </c>
      <c r="B16" s="355"/>
      <c r="C16" s="812" t="s">
        <v>286</v>
      </c>
      <c r="D16" s="812"/>
      <c r="E16" s="334">
        <v>0</v>
      </c>
      <c r="G16" s="419">
        <v>4</v>
      </c>
      <c r="I16" s="334">
        <v>3</v>
      </c>
      <c r="J16" s="435">
        <v>7</v>
      </c>
      <c r="K16" s="384">
        <f t="shared" si="1"/>
        <v>57.142857142857139</v>
      </c>
      <c r="L16" s="384">
        <f t="shared" si="1"/>
        <v>0</v>
      </c>
      <c r="M16" s="384">
        <f t="shared" si="1"/>
        <v>42.857142857142854</v>
      </c>
      <c r="N16" s="421">
        <f t="shared" si="2"/>
        <v>100</v>
      </c>
      <c r="O16" s="383">
        <v>40</v>
      </c>
      <c r="P16" s="384"/>
      <c r="Q16" s="384">
        <v>13.3</v>
      </c>
      <c r="R16" s="385">
        <f t="shared" si="3"/>
        <v>53.3</v>
      </c>
      <c r="S16" s="334">
        <v>2</v>
      </c>
      <c r="T16" s="357"/>
      <c r="V16" s="343" t="s">
        <v>571</v>
      </c>
      <c r="W16" s="334" t="s">
        <v>74</v>
      </c>
      <c r="X16" s="334" t="s">
        <v>11</v>
      </c>
      <c r="Y16" s="344">
        <v>40</v>
      </c>
      <c r="Z16" s="334" t="s">
        <v>112</v>
      </c>
      <c r="AA16" s="334" t="s">
        <v>20</v>
      </c>
      <c r="AB16" s="334" t="s">
        <v>12</v>
      </c>
      <c r="AC16" s="334">
        <v>13.3</v>
      </c>
      <c r="AD16" s="343"/>
      <c r="AG16" s="344"/>
      <c r="AH16" s="452"/>
      <c r="AL16" s="343"/>
      <c r="AO16" s="344"/>
      <c r="AP16" s="343"/>
      <c r="AS16" s="344"/>
      <c r="AW16" s="344"/>
      <c r="BA16" s="345"/>
    </row>
    <row r="17" spans="1:53" s="334" customFormat="1" x14ac:dyDescent="0.15">
      <c r="A17" s="386">
        <v>1963.9714285714299</v>
      </c>
      <c r="B17" s="355"/>
      <c r="C17" s="812" t="s">
        <v>286</v>
      </c>
      <c r="D17" s="812"/>
      <c r="E17" s="334">
        <v>366</v>
      </c>
      <c r="G17" s="419">
        <v>4</v>
      </c>
      <c r="I17" s="334">
        <v>3</v>
      </c>
      <c r="J17" s="435">
        <v>7</v>
      </c>
      <c r="K17" s="384">
        <f t="shared" si="1"/>
        <v>57.142857142857139</v>
      </c>
      <c r="L17" s="384">
        <f t="shared" si="1"/>
        <v>0</v>
      </c>
      <c r="M17" s="384">
        <f t="shared" si="1"/>
        <v>42.857142857142854</v>
      </c>
      <c r="N17" s="421">
        <f t="shared" si="2"/>
        <v>100</v>
      </c>
      <c r="O17" s="383">
        <v>40</v>
      </c>
      <c r="P17" s="384"/>
      <c r="Q17" s="384">
        <v>13.3</v>
      </c>
      <c r="R17" s="385">
        <f t="shared" si="3"/>
        <v>53.3</v>
      </c>
      <c r="S17" s="334">
        <v>2</v>
      </c>
      <c r="T17" s="357"/>
      <c r="V17" s="343" t="s">
        <v>571</v>
      </c>
      <c r="W17" s="334" t="s">
        <v>74</v>
      </c>
      <c r="X17" s="334" t="s">
        <v>11</v>
      </c>
      <c r="Y17" s="344">
        <v>40</v>
      </c>
      <c r="Z17" s="334" t="s">
        <v>112</v>
      </c>
      <c r="AA17" s="334" t="s">
        <v>20</v>
      </c>
      <c r="AB17" s="334" t="s">
        <v>12</v>
      </c>
      <c r="AC17" s="334">
        <v>13.3</v>
      </c>
      <c r="AD17" s="343"/>
      <c r="AG17" s="344"/>
      <c r="AH17" s="452"/>
      <c r="AL17" s="343"/>
      <c r="AO17" s="344"/>
      <c r="AP17" s="343"/>
      <c r="AS17" s="344"/>
      <c r="AW17" s="344"/>
      <c r="BA17" s="345"/>
    </row>
    <row r="18" spans="1:53" s="334" customFormat="1" x14ac:dyDescent="0.15">
      <c r="A18" s="386">
        <v>1965</v>
      </c>
      <c r="B18" s="355"/>
      <c r="C18" s="812" t="s">
        <v>286</v>
      </c>
      <c r="D18" s="812"/>
      <c r="E18" s="334">
        <v>0</v>
      </c>
      <c r="G18" s="419">
        <v>4</v>
      </c>
      <c r="I18" s="334">
        <v>3</v>
      </c>
      <c r="J18" s="435">
        <v>7</v>
      </c>
      <c r="K18" s="384">
        <f t="shared" si="1"/>
        <v>57.142857142857139</v>
      </c>
      <c r="L18" s="384">
        <f t="shared" si="1"/>
        <v>0</v>
      </c>
      <c r="M18" s="384">
        <f t="shared" si="1"/>
        <v>42.857142857142854</v>
      </c>
      <c r="N18" s="421">
        <f t="shared" si="2"/>
        <v>100</v>
      </c>
      <c r="O18" s="383">
        <v>40</v>
      </c>
      <c r="P18" s="384"/>
      <c r="Q18" s="384">
        <v>13.3</v>
      </c>
      <c r="R18" s="385">
        <f t="shared" si="3"/>
        <v>53.3</v>
      </c>
      <c r="S18" s="334">
        <v>2</v>
      </c>
      <c r="T18" s="357"/>
      <c r="V18" s="343" t="s">
        <v>571</v>
      </c>
      <c r="W18" s="334" t="s">
        <v>74</v>
      </c>
      <c r="X18" s="334" t="s">
        <v>11</v>
      </c>
      <c r="Y18" s="344">
        <v>40</v>
      </c>
      <c r="Z18" s="334" t="s">
        <v>112</v>
      </c>
      <c r="AA18" s="334" t="s">
        <v>20</v>
      </c>
      <c r="AB18" s="334" t="s">
        <v>12</v>
      </c>
      <c r="AC18" s="334">
        <v>13.3</v>
      </c>
      <c r="AD18" s="343"/>
      <c r="AG18" s="344"/>
      <c r="AH18" s="452"/>
      <c r="AL18" s="343"/>
      <c r="AO18" s="344"/>
      <c r="AP18" s="343"/>
      <c r="AS18" s="344"/>
      <c r="AW18" s="344"/>
      <c r="BA18" s="345"/>
    </row>
    <row r="19" spans="1:53" s="334" customFormat="1" x14ac:dyDescent="0.15">
      <c r="A19" s="386">
        <v>1964.88571428572</v>
      </c>
      <c r="B19" s="355"/>
      <c r="C19" s="812" t="s">
        <v>286</v>
      </c>
      <c r="D19" s="812"/>
      <c r="E19" s="334">
        <v>365</v>
      </c>
      <c r="G19" s="419">
        <v>4</v>
      </c>
      <c r="I19" s="334">
        <v>3</v>
      </c>
      <c r="J19" s="435">
        <v>7</v>
      </c>
      <c r="K19" s="384">
        <f t="shared" si="1"/>
        <v>57.142857142857139</v>
      </c>
      <c r="L19" s="384">
        <f t="shared" si="1"/>
        <v>0</v>
      </c>
      <c r="M19" s="384">
        <f t="shared" si="1"/>
        <v>42.857142857142854</v>
      </c>
      <c r="N19" s="421">
        <f t="shared" si="2"/>
        <v>100</v>
      </c>
      <c r="O19" s="383">
        <v>40</v>
      </c>
      <c r="P19" s="384"/>
      <c r="Q19" s="384">
        <v>13.3</v>
      </c>
      <c r="R19" s="385">
        <f t="shared" si="3"/>
        <v>53.3</v>
      </c>
      <c r="S19" s="334">
        <v>2</v>
      </c>
      <c r="T19" s="357"/>
      <c r="V19" s="343" t="s">
        <v>571</v>
      </c>
      <c r="W19" s="334" t="s">
        <v>74</v>
      </c>
      <c r="X19" s="334" t="s">
        <v>11</v>
      </c>
      <c r="Y19" s="344">
        <v>40</v>
      </c>
      <c r="Z19" s="334" t="s">
        <v>112</v>
      </c>
      <c r="AA19" s="334" t="s">
        <v>20</v>
      </c>
      <c r="AB19" s="334" t="s">
        <v>12</v>
      </c>
      <c r="AC19" s="334">
        <v>13.3</v>
      </c>
      <c r="AD19" s="343"/>
      <c r="AG19" s="344"/>
      <c r="AH19" s="452"/>
      <c r="AL19" s="343"/>
      <c r="AO19" s="344"/>
      <c r="AP19" s="343"/>
      <c r="AS19" s="344"/>
      <c r="AW19" s="344"/>
      <c r="BA19" s="345"/>
    </row>
    <row r="20" spans="1:53" s="334" customFormat="1" x14ac:dyDescent="0.15">
      <c r="A20" s="386">
        <v>1966</v>
      </c>
      <c r="B20" s="355"/>
      <c r="C20" s="812" t="s">
        <v>286</v>
      </c>
      <c r="D20" s="812"/>
      <c r="E20" s="334">
        <v>0</v>
      </c>
      <c r="G20" s="419">
        <v>4</v>
      </c>
      <c r="I20" s="334">
        <v>3</v>
      </c>
      <c r="J20" s="435">
        <v>7</v>
      </c>
      <c r="K20" s="384">
        <f t="shared" si="1"/>
        <v>57.142857142857139</v>
      </c>
      <c r="L20" s="384">
        <f t="shared" si="1"/>
        <v>0</v>
      </c>
      <c r="M20" s="384">
        <f t="shared" si="1"/>
        <v>42.857142857142854</v>
      </c>
      <c r="N20" s="421">
        <f t="shared" si="2"/>
        <v>100</v>
      </c>
      <c r="O20" s="383">
        <v>40</v>
      </c>
      <c r="P20" s="384"/>
      <c r="Q20" s="384">
        <v>13.3</v>
      </c>
      <c r="R20" s="385">
        <f t="shared" si="3"/>
        <v>53.3</v>
      </c>
      <c r="S20" s="334">
        <v>2</v>
      </c>
      <c r="T20" s="357"/>
      <c r="V20" s="343" t="s">
        <v>571</v>
      </c>
      <c r="W20" s="334" t="s">
        <v>74</v>
      </c>
      <c r="X20" s="334" t="s">
        <v>11</v>
      </c>
      <c r="Y20" s="344">
        <v>40</v>
      </c>
      <c r="Z20" s="334" t="s">
        <v>112</v>
      </c>
      <c r="AA20" s="334" t="s">
        <v>20</v>
      </c>
      <c r="AB20" s="334" t="s">
        <v>12</v>
      </c>
      <c r="AC20" s="334">
        <v>13.3</v>
      </c>
      <c r="AD20" s="343"/>
      <c r="AG20" s="344"/>
      <c r="AH20" s="452"/>
      <c r="AL20" s="343"/>
      <c r="AO20" s="344"/>
      <c r="AP20" s="343"/>
      <c r="AS20" s="344"/>
      <c r="AW20" s="344"/>
      <c r="BA20" s="345"/>
    </row>
    <row r="21" spans="1:53" s="334" customFormat="1" x14ac:dyDescent="0.15">
      <c r="A21" s="386">
        <v>1965.8</v>
      </c>
      <c r="B21" s="355"/>
      <c r="C21" s="812" t="s">
        <v>286</v>
      </c>
      <c r="D21" s="812"/>
      <c r="E21" s="334">
        <v>365</v>
      </c>
      <c r="G21" s="419">
        <v>4</v>
      </c>
      <c r="I21" s="334">
        <v>3</v>
      </c>
      <c r="J21" s="435">
        <v>7</v>
      </c>
      <c r="K21" s="384">
        <f t="shared" si="1"/>
        <v>57.142857142857139</v>
      </c>
      <c r="L21" s="384">
        <f t="shared" si="1"/>
        <v>0</v>
      </c>
      <c r="M21" s="384">
        <f t="shared" si="1"/>
        <v>42.857142857142854</v>
      </c>
      <c r="N21" s="421">
        <f t="shared" si="2"/>
        <v>100</v>
      </c>
      <c r="O21" s="383">
        <v>40</v>
      </c>
      <c r="P21" s="384"/>
      <c r="Q21" s="384">
        <v>13.3</v>
      </c>
      <c r="R21" s="385">
        <f t="shared" si="3"/>
        <v>53.3</v>
      </c>
      <c r="S21" s="334">
        <v>2</v>
      </c>
      <c r="T21" s="357"/>
      <c r="V21" s="343" t="s">
        <v>571</v>
      </c>
      <c r="W21" s="334" t="s">
        <v>74</v>
      </c>
      <c r="X21" s="334" t="s">
        <v>11</v>
      </c>
      <c r="Y21" s="344">
        <v>40</v>
      </c>
      <c r="Z21" s="334" t="s">
        <v>112</v>
      </c>
      <c r="AA21" s="334" t="s">
        <v>20</v>
      </c>
      <c r="AB21" s="334" t="s">
        <v>12</v>
      </c>
      <c r="AC21" s="334">
        <v>13.3</v>
      </c>
      <c r="AD21" s="343"/>
      <c r="AG21" s="344"/>
      <c r="AH21" s="452"/>
      <c r="AL21" s="343"/>
      <c r="AO21" s="344"/>
      <c r="AP21" s="343"/>
      <c r="AS21" s="344"/>
      <c r="AW21" s="344"/>
      <c r="BA21" s="345"/>
    </row>
    <row r="22" spans="1:53" s="334" customFormat="1" x14ac:dyDescent="0.15">
      <c r="A22" s="386">
        <v>1967</v>
      </c>
      <c r="B22" s="355"/>
      <c r="C22" s="812" t="s">
        <v>286</v>
      </c>
      <c r="D22" s="812"/>
      <c r="E22" s="334">
        <v>162</v>
      </c>
      <c r="G22" s="419">
        <v>4</v>
      </c>
      <c r="I22" s="334">
        <v>3</v>
      </c>
      <c r="J22" s="435">
        <v>7</v>
      </c>
      <c r="K22" s="384">
        <f t="shared" si="1"/>
        <v>57.142857142857139</v>
      </c>
      <c r="L22" s="384">
        <f t="shared" si="1"/>
        <v>0</v>
      </c>
      <c r="M22" s="384">
        <f t="shared" si="1"/>
        <v>42.857142857142854</v>
      </c>
      <c r="N22" s="421">
        <f t="shared" si="2"/>
        <v>100</v>
      </c>
      <c r="O22" s="383">
        <v>40</v>
      </c>
      <c r="P22" s="384"/>
      <c r="Q22" s="384">
        <v>13.3</v>
      </c>
      <c r="R22" s="385">
        <f t="shared" si="3"/>
        <v>53.3</v>
      </c>
      <c r="S22" s="334">
        <v>2</v>
      </c>
      <c r="T22" s="357"/>
      <c r="V22" s="343" t="s">
        <v>571</v>
      </c>
      <c r="W22" s="334" t="s">
        <v>74</v>
      </c>
      <c r="X22" s="334" t="s">
        <v>11</v>
      </c>
      <c r="Y22" s="344">
        <v>40</v>
      </c>
      <c r="Z22" s="334" t="s">
        <v>112</v>
      </c>
      <c r="AA22" s="334" t="s">
        <v>20</v>
      </c>
      <c r="AB22" s="334" t="s">
        <v>12</v>
      </c>
      <c r="AC22" s="334">
        <v>13.3</v>
      </c>
      <c r="AD22" s="343"/>
      <c r="AG22" s="344"/>
      <c r="AH22" s="452"/>
      <c r="AL22" s="343"/>
      <c r="AO22" s="344"/>
      <c r="AP22" s="343"/>
      <c r="AS22" s="344"/>
      <c r="AW22" s="344"/>
      <c r="BA22" s="345"/>
    </row>
    <row r="23" spans="1:53" s="73" customFormat="1" x14ac:dyDescent="0.15">
      <c r="A23" s="102">
        <v>1966.7142857142901</v>
      </c>
      <c r="B23" s="85">
        <v>24635</v>
      </c>
      <c r="C23" s="811" t="s">
        <v>287</v>
      </c>
      <c r="D23" s="811"/>
      <c r="E23" s="73">
        <f>365-E22</f>
        <v>203</v>
      </c>
      <c r="F23" s="73">
        <v>1</v>
      </c>
      <c r="G23" s="123">
        <v>4</v>
      </c>
      <c r="I23" s="73">
        <v>3</v>
      </c>
      <c r="J23" s="134">
        <v>7</v>
      </c>
      <c r="K23" s="92">
        <f t="shared" si="1"/>
        <v>57.142857142857139</v>
      </c>
      <c r="L23" s="92">
        <f t="shared" si="1"/>
        <v>0</v>
      </c>
      <c r="M23" s="92">
        <f t="shared" si="1"/>
        <v>42.857142857142854</v>
      </c>
      <c r="N23" s="125">
        <f t="shared" si="2"/>
        <v>100</v>
      </c>
      <c r="O23" s="91">
        <v>38.299999999999997</v>
      </c>
      <c r="P23" s="92"/>
      <c r="Q23" s="92">
        <v>15</v>
      </c>
      <c r="R23" s="93">
        <f t="shared" si="3"/>
        <v>53.3</v>
      </c>
      <c r="S23" s="73">
        <v>2</v>
      </c>
      <c r="T23" s="95">
        <v>24634</v>
      </c>
      <c r="U23" s="85">
        <v>24635</v>
      </c>
      <c r="V23" s="82" t="s">
        <v>571</v>
      </c>
      <c r="W23" s="73" t="s">
        <v>74</v>
      </c>
      <c r="X23" s="73" t="s">
        <v>11</v>
      </c>
      <c r="Y23" s="83">
        <v>38.299999999999997</v>
      </c>
      <c r="Z23" s="73" t="s">
        <v>112</v>
      </c>
      <c r="AA23" s="73" t="s">
        <v>20</v>
      </c>
      <c r="AB23" s="73" t="s">
        <v>12</v>
      </c>
      <c r="AC23" s="73">
        <v>15</v>
      </c>
      <c r="AD23" s="82"/>
      <c r="AG23" s="83"/>
      <c r="AH23" s="164"/>
      <c r="AL23" s="82"/>
      <c r="AO23" s="83"/>
      <c r="AP23" s="82"/>
      <c r="AS23" s="83"/>
      <c r="AW23" s="83"/>
      <c r="BA23" s="84"/>
    </row>
    <row r="24" spans="1:53" s="73" customFormat="1" x14ac:dyDescent="0.15">
      <c r="A24" s="102">
        <v>1968</v>
      </c>
      <c r="B24" s="85"/>
      <c r="C24" s="811" t="s">
        <v>287</v>
      </c>
      <c r="D24" s="811"/>
      <c r="E24" s="73">
        <v>0</v>
      </c>
      <c r="G24" s="123">
        <v>4</v>
      </c>
      <c r="I24" s="73">
        <v>3</v>
      </c>
      <c r="J24" s="134">
        <v>7</v>
      </c>
      <c r="K24" s="92">
        <f t="shared" si="1"/>
        <v>57.142857142857139</v>
      </c>
      <c r="L24" s="92">
        <f t="shared" si="1"/>
        <v>0</v>
      </c>
      <c r="M24" s="92">
        <f t="shared" si="1"/>
        <v>42.857142857142854</v>
      </c>
      <c r="N24" s="125">
        <f t="shared" si="2"/>
        <v>100</v>
      </c>
      <c r="O24" s="91">
        <v>38.299999999999997</v>
      </c>
      <c r="P24" s="92"/>
      <c r="Q24" s="92">
        <v>15</v>
      </c>
      <c r="R24" s="93">
        <f t="shared" si="3"/>
        <v>53.3</v>
      </c>
      <c r="S24" s="73">
        <v>2</v>
      </c>
      <c r="T24" s="81"/>
      <c r="V24" s="82" t="s">
        <v>571</v>
      </c>
      <c r="W24" s="73" t="s">
        <v>74</v>
      </c>
      <c r="X24" s="73" t="s">
        <v>11</v>
      </c>
      <c r="Y24" s="83">
        <v>38.299999999999997</v>
      </c>
      <c r="Z24" s="73" t="s">
        <v>112</v>
      </c>
      <c r="AA24" s="73" t="s">
        <v>20</v>
      </c>
      <c r="AB24" s="73" t="s">
        <v>12</v>
      </c>
      <c r="AC24" s="73">
        <v>15</v>
      </c>
      <c r="AD24" s="82"/>
      <c r="AG24" s="83"/>
      <c r="AH24" s="164"/>
      <c r="AL24" s="82"/>
      <c r="AO24" s="83"/>
      <c r="AP24" s="82"/>
      <c r="AS24" s="83"/>
      <c r="AW24" s="83"/>
      <c r="BA24" s="84"/>
    </row>
    <row r="25" spans="1:53" s="73" customFormat="1" x14ac:dyDescent="0.15">
      <c r="A25" s="102">
        <v>1967.62857142857</v>
      </c>
      <c r="B25" s="85"/>
      <c r="C25" s="811" t="s">
        <v>287</v>
      </c>
      <c r="D25" s="811"/>
      <c r="E25" s="73">
        <v>366</v>
      </c>
      <c r="G25" s="123">
        <v>4</v>
      </c>
      <c r="I25" s="73">
        <v>3</v>
      </c>
      <c r="J25" s="134">
        <v>7</v>
      </c>
      <c r="K25" s="92">
        <f t="shared" si="1"/>
        <v>57.142857142857139</v>
      </c>
      <c r="L25" s="92">
        <f t="shared" si="1"/>
        <v>0</v>
      </c>
      <c r="M25" s="92">
        <f t="shared" si="1"/>
        <v>42.857142857142854</v>
      </c>
      <c r="N25" s="125">
        <f t="shared" si="2"/>
        <v>100</v>
      </c>
      <c r="O25" s="91">
        <v>38.299999999999997</v>
      </c>
      <c r="P25" s="92"/>
      <c r="Q25" s="92">
        <v>15</v>
      </c>
      <c r="R25" s="93">
        <f t="shared" si="3"/>
        <v>53.3</v>
      </c>
      <c r="S25" s="73">
        <v>2</v>
      </c>
      <c r="T25" s="81"/>
      <c r="V25" s="82" t="s">
        <v>571</v>
      </c>
      <c r="W25" s="73" t="s">
        <v>74</v>
      </c>
      <c r="X25" s="73" t="s">
        <v>11</v>
      </c>
      <c r="Y25" s="83">
        <v>38.299999999999997</v>
      </c>
      <c r="Z25" s="73" t="s">
        <v>112</v>
      </c>
      <c r="AA25" s="73" t="s">
        <v>20</v>
      </c>
      <c r="AB25" s="73" t="s">
        <v>12</v>
      </c>
      <c r="AC25" s="73">
        <v>15</v>
      </c>
      <c r="AD25" s="82"/>
      <c r="AG25" s="83"/>
      <c r="AH25" s="164"/>
      <c r="AL25" s="82"/>
      <c r="AO25" s="83"/>
      <c r="AP25" s="82"/>
      <c r="AS25" s="83"/>
      <c r="AW25" s="83"/>
      <c r="BA25" s="84"/>
    </row>
    <row r="26" spans="1:53" s="73" customFormat="1" x14ac:dyDescent="0.15">
      <c r="A26" s="102">
        <v>1969</v>
      </c>
      <c r="B26" s="85"/>
      <c r="C26" s="811" t="s">
        <v>287</v>
      </c>
      <c r="D26" s="811"/>
      <c r="E26" s="73">
        <v>0</v>
      </c>
      <c r="G26" s="123">
        <v>4</v>
      </c>
      <c r="I26" s="73">
        <v>3</v>
      </c>
      <c r="J26" s="134">
        <v>7</v>
      </c>
      <c r="K26" s="92">
        <f t="shared" si="1"/>
        <v>57.142857142857139</v>
      </c>
      <c r="L26" s="92">
        <f t="shared" si="1"/>
        <v>0</v>
      </c>
      <c r="M26" s="92">
        <f t="shared" si="1"/>
        <v>42.857142857142854</v>
      </c>
      <c r="N26" s="125">
        <f t="shared" si="2"/>
        <v>100</v>
      </c>
      <c r="O26" s="91">
        <v>38.299999999999997</v>
      </c>
      <c r="P26" s="92"/>
      <c r="Q26" s="92">
        <v>15</v>
      </c>
      <c r="R26" s="93">
        <f t="shared" si="3"/>
        <v>53.3</v>
      </c>
      <c r="S26" s="73">
        <v>2</v>
      </c>
      <c r="T26" s="81"/>
      <c r="V26" s="82" t="s">
        <v>571</v>
      </c>
      <c r="W26" s="73" t="s">
        <v>74</v>
      </c>
      <c r="X26" s="73" t="s">
        <v>11</v>
      </c>
      <c r="Y26" s="83">
        <v>38.299999999999997</v>
      </c>
      <c r="Z26" s="73" t="s">
        <v>112</v>
      </c>
      <c r="AA26" s="73" t="s">
        <v>20</v>
      </c>
      <c r="AB26" s="73" t="s">
        <v>12</v>
      </c>
      <c r="AC26" s="73">
        <v>15</v>
      </c>
      <c r="AD26" s="82"/>
      <c r="AG26" s="83"/>
      <c r="AH26" s="164"/>
      <c r="AL26" s="82"/>
      <c r="AO26" s="83"/>
      <c r="AP26" s="82"/>
      <c r="AS26" s="83"/>
      <c r="AW26" s="83"/>
      <c r="BA26" s="84"/>
    </row>
    <row r="27" spans="1:53" s="73" customFormat="1" x14ac:dyDescent="0.15">
      <c r="A27" s="102">
        <v>1968.5428571428599</v>
      </c>
      <c r="B27" s="85"/>
      <c r="C27" s="811" t="s">
        <v>287</v>
      </c>
      <c r="D27" s="811"/>
      <c r="E27" s="73">
        <v>365</v>
      </c>
      <c r="G27" s="123">
        <v>4</v>
      </c>
      <c r="I27" s="73">
        <v>3</v>
      </c>
      <c r="J27" s="134">
        <v>7</v>
      </c>
      <c r="K27" s="92">
        <f t="shared" si="1"/>
        <v>57.142857142857139</v>
      </c>
      <c r="L27" s="92">
        <f t="shared" si="1"/>
        <v>0</v>
      </c>
      <c r="M27" s="92">
        <f t="shared" si="1"/>
        <v>42.857142857142854</v>
      </c>
      <c r="N27" s="125">
        <f t="shared" si="2"/>
        <v>100</v>
      </c>
      <c r="O27" s="91">
        <v>38.299999999999997</v>
      </c>
      <c r="P27" s="92"/>
      <c r="Q27" s="92">
        <v>15</v>
      </c>
      <c r="R27" s="93">
        <f t="shared" si="3"/>
        <v>53.3</v>
      </c>
      <c r="S27" s="73">
        <v>2</v>
      </c>
      <c r="T27" s="81"/>
      <c r="V27" s="82" t="s">
        <v>571</v>
      </c>
      <c r="W27" s="73" t="s">
        <v>74</v>
      </c>
      <c r="X27" s="73" t="s">
        <v>11</v>
      </c>
      <c r="Y27" s="83">
        <v>38.299999999999997</v>
      </c>
      <c r="Z27" s="73" t="s">
        <v>112</v>
      </c>
      <c r="AA27" s="73" t="s">
        <v>20</v>
      </c>
      <c r="AB27" s="73" t="s">
        <v>12</v>
      </c>
      <c r="AC27" s="73">
        <v>15</v>
      </c>
      <c r="AD27" s="82"/>
      <c r="AG27" s="83"/>
      <c r="AH27" s="164"/>
      <c r="AL27" s="82"/>
      <c r="AO27" s="83"/>
      <c r="AP27" s="82"/>
      <c r="AS27" s="83"/>
      <c r="AW27" s="83"/>
      <c r="BA27" s="84"/>
    </row>
    <row r="28" spans="1:53" s="73" customFormat="1" x14ac:dyDescent="0.15">
      <c r="A28" s="102">
        <v>1970</v>
      </c>
      <c r="B28" s="85"/>
      <c r="C28" s="811" t="s">
        <v>287</v>
      </c>
      <c r="D28" s="811"/>
      <c r="E28" s="73">
        <v>282</v>
      </c>
      <c r="G28" s="123">
        <v>4</v>
      </c>
      <c r="I28" s="73">
        <v>3</v>
      </c>
      <c r="J28" s="134">
        <v>7</v>
      </c>
      <c r="K28" s="92">
        <f t="shared" si="1"/>
        <v>57.142857142857139</v>
      </c>
      <c r="L28" s="92">
        <f t="shared" si="1"/>
        <v>0</v>
      </c>
      <c r="M28" s="92">
        <f t="shared" si="1"/>
        <v>42.857142857142854</v>
      </c>
      <c r="N28" s="125">
        <f t="shared" si="2"/>
        <v>100</v>
      </c>
      <c r="O28" s="91">
        <v>38.299999999999997</v>
      </c>
      <c r="P28" s="92"/>
      <c r="Q28" s="92">
        <v>15</v>
      </c>
      <c r="R28" s="93">
        <f t="shared" si="3"/>
        <v>53.3</v>
      </c>
      <c r="S28" s="73">
        <v>2</v>
      </c>
      <c r="T28" s="81"/>
      <c r="V28" s="82" t="s">
        <v>571</v>
      </c>
      <c r="W28" s="73" t="s">
        <v>74</v>
      </c>
      <c r="X28" s="73" t="s">
        <v>11</v>
      </c>
      <c r="Y28" s="83">
        <v>38.299999999999997</v>
      </c>
      <c r="Z28" s="73" t="s">
        <v>112</v>
      </c>
      <c r="AA28" s="73" t="s">
        <v>20</v>
      </c>
      <c r="AB28" s="73" t="s">
        <v>12</v>
      </c>
      <c r="AC28" s="73">
        <v>15</v>
      </c>
      <c r="AD28" s="82"/>
      <c r="AG28" s="83"/>
      <c r="AH28" s="164"/>
      <c r="AL28" s="82"/>
      <c r="AO28" s="83"/>
      <c r="AP28" s="82"/>
      <c r="AS28" s="83"/>
      <c r="AW28" s="83"/>
      <c r="BA28" s="84"/>
    </row>
    <row r="29" spans="1:53" s="334" customFormat="1" x14ac:dyDescent="0.15">
      <c r="A29" s="386">
        <v>1970</v>
      </c>
      <c r="B29" s="355">
        <v>25851</v>
      </c>
      <c r="C29" s="812" t="s">
        <v>288</v>
      </c>
      <c r="D29" s="812"/>
      <c r="E29" s="334">
        <f>365-E28</f>
        <v>83</v>
      </c>
      <c r="F29" s="334">
        <v>3</v>
      </c>
      <c r="G29" s="419">
        <v>4</v>
      </c>
      <c r="I29" s="334">
        <v>3</v>
      </c>
      <c r="J29" s="435">
        <v>7</v>
      </c>
      <c r="K29" s="384">
        <f t="shared" si="1"/>
        <v>57.142857142857139</v>
      </c>
      <c r="L29" s="384">
        <f t="shared" si="1"/>
        <v>0</v>
      </c>
      <c r="M29" s="384">
        <f t="shared" si="1"/>
        <v>42.857142857142854</v>
      </c>
      <c r="N29" s="421">
        <f t="shared" si="2"/>
        <v>100</v>
      </c>
      <c r="O29" s="383">
        <v>38.299999999999997</v>
      </c>
      <c r="P29" s="384"/>
      <c r="Q29" s="384">
        <v>15</v>
      </c>
      <c r="R29" s="385">
        <f t="shared" si="3"/>
        <v>53.3</v>
      </c>
      <c r="S29" s="334">
        <v>2</v>
      </c>
      <c r="T29" s="357"/>
      <c r="U29" s="355">
        <v>25851</v>
      </c>
      <c r="V29" s="343" t="s">
        <v>571</v>
      </c>
      <c r="W29" s="334" t="s">
        <v>74</v>
      </c>
      <c r="X29" s="334" t="s">
        <v>11</v>
      </c>
      <c r="Y29" s="344">
        <v>38.299999999999997</v>
      </c>
      <c r="Z29" s="334" t="s">
        <v>112</v>
      </c>
      <c r="AA29" s="334" t="s">
        <v>20</v>
      </c>
      <c r="AB29" s="334" t="s">
        <v>12</v>
      </c>
      <c r="AC29" s="334">
        <v>15</v>
      </c>
      <c r="AD29" s="343"/>
      <c r="AG29" s="344"/>
      <c r="AH29" s="452"/>
      <c r="AL29" s="343"/>
      <c r="AO29" s="344"/>
      <c r="AP29" s="343"/>
      <c r="AS29" s="344"/>
      <c r="AW29" s="344"/>
      <c r="BA29" s="345"/>
    </row>
    <row r="30" spans="1:53" s="334" customFormat="1" x14ac:dyDescent="0.15">
      <c r="A30" s="386">
        <v>1971</v>
      </c>
      <c r="B30" s="355"/>
      <c r="C30" s="812" t="s">
        <v>288</v>
      </c>
      <c r="D30" s="812"/>
      <c r="E30" s="334">
        <v>164</v>
      </c>
      <c r="G30" s="419">
        <v>4</v>
      </c>
      <c r="I30" s="334">
        <v>3</v>
      </c>
      <c r="J30" s="435">
        <v>7</v>
      </c>
      <c r="K30" s="384">
        <f t="shared" si="1"/>
        <v>57.142857142857139</v>
      </c>
      <c r="L30" s="384">
        <f t="shared" si="1"/>
        <v>0</v>
      </c>
      <c r="M30" s="384">
        <f t="shared" si="1"/>
        <v>42.857142857142854</v>
      </c>
      <c r="N30" s="421">
        <f t="shared" si="2"/>
        <v>100</v>
      </c>
      <c r="O30" s="383">
        <v>38.299999999999997</v>
      </c>
      <c r="P30" s="384"/>
      <c r="Q30" s="384">
        <v>15</v>
      </c>
      <c r="R30" s="385">
        <f t="shared" si="3"/>
        <v>53.3</v>
      </c>
      <c r="S30" s="334">
        <v>2</v>
      </c>
      <c r="T30" s="357"/>
      <c r="V30" s="343" t="s">
        <v>571</v>
      </c>
      <c r="W30" s="334" t="s">
        <v>74</v>
      </c>
      <c r="X30" s="334" t="s">
        <v>11</v>
      </c>
      <c r="Y30" s="344">
        <v>38.299999999999997</v>
      </c>
      <c r="Z30" s="334" t="s">
        <v>112</v>
      </c>
      <c r="AA30" s="334" t="s">
        <v>20</v>
      </c>
      <c r="AB30" s="334" t="s">
        <v>12</v>
      </c>
      <c r="AC30" s="334">
        <v>15</v>
      </c>
      <c r="AD30" s="343"/>
      <c r="AG30" s="344"/>
      <c r="AH30" s="452"/>
      <c r="AL30" s="343"/>
      <c r="AO30" s="344"/>
      <c r="AP30" s="343"/>
      <c r="AS30" s="344"/>
      <c r="AW30" s="344"/>
      <c r="BA30" s="345"/>
    </row>
    <row r="31" spans="1:53" s="73" customFormat="1" x14ac:dyDescent="0.15">
      <c r="A31" s="102">
        <v>1971</v>
      </c>
      <c r="B31" s="85">
        <v>26098</v>
      </c>
      <c r="C31" s="811" t="s">
        <v>1184</v>
      </c>
      <c r="D31" s="811"/>
      <c r="E31" s="73">
        <f>365-E30</f>
        <v>201</v>
      </c>
      <c r="F31" s="73">
        <v>1</v>
      </c>
      <c r="G31" s="123"/>
      <c r="H31" s="73">
        <v>5</v>
      </c>
      <c r="I31" s="73">
        <v>2</v>
      </c>
      <c r="J31" s="134">
        <v>7</v>
      </c>
      <c r="K31" s="92">
        <f t="shared" si="1"/>
        <v>0</v>
      </c>
      <c r="L31" s="92">
        <f t="shared" si="1"/>
        <v>71.428571428571431</v>
      </c>
      <c r="M31" s="92">
        <f t="shared" si="1"/>
        <v>28.571428571428569</v>
      </c>
      <c r="N31" s="125">
        <f t="shared" si="2"/>
        <v>100</v>
      </c>
      <c r="O31" s="91"/>
      <c r="P31" s="92">
        <v>36.6</v>
      </c>
      <c r="Q31" s="92">
        <v>16.7</v>
      </c>
      <c r="R31" s="93">
        <f t="shared" si="3"/>
        <v>53.3</v>
      </c>
      <c r="S31" s="73">
        <v>2</v>
      </c>
      <c r="T31" s="95">
        <v>26097</v>
      </c>
      <c r="U31" s="85">
        <v>26098</v>
      </c>
      <c r="V31" s="82" t="s">
        <v>489</v>
      </c>
      <c r="W31" s="73" t="s">
        <v>289</v>
      </c>
      <c r="X31" s="73" t="s">
        <v>18</v>
      </c>
      <c r="Y31" s="83">
        <v>28.3</v>
      </c>
      <c r="Z31" s="73" t="s">
        <v>572</v>
      </c>
      <c r="AA31" s="73" t="s">
        <v>114</v>
      </c>
      <c r="AB31" s="73" t="s">
        <v>12</v>
      </c>
      <c r="AC31" s="73">
        <v>16.7</v>
      </c>
      <c r="AD31" s="82" t="s">
        <v>575</v>
      </c>
      <c r="AE31" s="73" t="s">
        <v>22</v>
      </c>
      <c r="AF31" s="73" t="s">
        <v>18</v>
      </c>
      <c r="AG31" s="83">
        <v>8.3000000000000007</v>
      </c>
      <c r="AH31" s="164"/>
      <c r="AL31" s="82"/>
      <c r="AO31" s="83"/>
      <c r="AP31" s="82"/>
      <c r="AS31" s="83"/>
      <c r="AW31" s="83"/>
      <c r="BA31" s="84"/>
    </row>
    <row r="32" spans="1:53" s="73" customFormat="1" x14ac:dyDescent="0.15">
      <c r="A32" s="102">
        <v>1972</v>
      </c>
      <c r="B32" s="85"/>
      <c r="C32" s="811" t="s">
        <v>1184</v>
      </c>
      <c r="D32" s="811"/>
      <c r="E32" s="73">
        <v>0</v>
      </c>
      <c r="G32" s="123"/>
      <c r="H32" s="73">
        <v>5</v>
      </c>
      <c r="I32" s="73">
        <v>2</v>
      </c>
      <c r="J32" s="134">
        <v>7</v>
      </c>
      <c r="K32" s="92">
        <f t="shared" si="1"/>
        <v>0</v>
      </c>
      <c r="L32" s="92">
        <f t="shared" si="1"/>
        <v>71.428571428571431</v>
      </c>
      <c r="M32" s="92">
        <f t="shared" si="1"/>
        <v>28.571428571428569</v>
      </c>
      <c r="N32" s="125">
        <f t="shared" si="2"/>
        <v>100</v>
      </c>
      <c r="O32" s="91"/>
      <c r="P32" s="92">
        <v>36.6</v>
      </c>
      <c r="Q32" s="92">
        <v>16.7</v>
      </c>
      <c r="R32" s="93">
        <f t="shared" si="3"/>
        <v>53.3</v>
      </c>
      <c r="S32" s="73">
        <v>2</v>
      </c>
      <c r="T32" s="81"/>
      <c r="V32" s="82" t="s">
        <v>489</v>
      </c>
      <c r="W32" s="73" t="s">
        <v>289</v>
      </c>
      <c r="X32" s="73" t="s">
        <v>18</v>
      </c>
      <c r="Y32" s="83">
        <v>28.3</v>
      </c>
      <c r="Z32" s="73" t="s">
        <v>572</v>
      </c>
      <c r="AA32" s="73" t="s">
        <v>114</v>
      </c>
      <c r="AB32" s="73" t="s">
        <v>12</v>
      </c>
      <c r="AC32" s="73">
        <v>16.7</v>
      </c>
      <c r="AD32" s="82" t="s">
        <v>575</v>
      </c>
      <c r="AE32" s="73" t="s">
        <v>22</v>
      </c>
      <c r="AF32" s="73" t="s">
        <v>18</v>
      </c>
      <c r="AG32" s="83">
        <v>8.3000000000000007</v>
      </c>
      <c r="AH32" s="164"/>
      <c r="AL32" s="82"/>
      <c r="AO32" s="83"/>
      <c r="AP32" s="82"/>
      <c r="AS32" s="83"/>
      <c r="AW32" s="83"/>
      <c r="BA32" s="84"/>
    </row>
    <row r="33" spans="1:53" s="73" customFormat="1" x14ac:dyDescent="0.15">
      <c r="A33" s="102">
        <v>1972</v>
      </c>
      <c r="B33" s="85"/>
      <c r="C33" s="811" t="s">
        <v>1184</v>
      </c>
      <c r="D33" s="811"/>
      <c r="E33" s="73">
        <v>366</v>
      </c>
      <c r="G33" s="123"/>
      <c r="H33" s="73">
        <v>5</v>
      </c>
      <c r="I33" s="73">
        <v>2</v>
      </c>
      <c r="J33" s="134">
        <v>7</v>
      </c>
      <c r="K33" s="92">
        <f t="shared" si="1"/>
        <v>0</v>
      </c>
      <c r="L33" s="92">
        <f t="shared" si="1"/>
        <v>71.428571428571431</v>
      </c>
      <c r="M33" s="92">
        <f t="shared" si="1"/>
        <v>28.571428571428569</v>
      </c>
      <c r="N33" s="125">
        <f t="shared" si="2"/>
        <v>100</v>
      </c>
      <c r="O33" s="91"/>
      <c r="P33" s="92">
        <v>36.6</v>
      </c>
      <c r="Q33" s="92">
        <v>16.7</v>
      </c>
      <c r="R33" s="93">
        <f t="shared" si="3"/>
        <v>53.3</v>
      </c>
      <c r="S33" s="73">
        <v>2</v>
      </c>
      <c r="T33" s="81"/>
      <c r="V33" s="82" t="s">
        <v>489</v>
      </c>
      <c r="W33" s="73" t="s">
        <v>289</v>
      </c>
      <c r="X33" s="73" t="s">
        <v>18</v>
      </c>
      <c r="Y33" s="83">
        <v>28.3</v>
      </c>
      <c r="Z33" s="73" t="s">
        <v>572</v>
      </c>
      <c r="AA33" s="73" t="s">
        <v>114</v>
      </c>
      <c r="AB33" s="73" t="s">
        <v>12</v>
      </c>
      <c r="AC33" s="73">
        <v>16.7</v>
      </c>
      <c r="AD33" s="82" t="s">
        <v>575</v>
      </c>
      <c r="AE33" s="73" t="s">
        <v>22</v>
      </c>
      <c r="AF33" s="73" t="s">
        <v>18</v>
      </c>
      <c r="AG33" s="83">
        <v>8.3000000000000007</v>
      </c>
      <c r="AH33" s="164"/>
      <c r="AL33" s="82"/>
      <c r="AO33" s="83"/>
      <c r="AP33" s="82"/>
      <c r="AS33" s="83"/>
      <c r="AW33" s="83"/>
      <c r="BA33" s="84"/>
    </row>
    <row r="34" spans="1:53" s="73" customFormat="1" x14ac:dyDescent="0.15">
      <c r="A34" s="102">
        <v>1973</v>
      </c>
      <c r="B34" s="85"/>
      <c r="C34" s="811" t="s">
        <v>1184</v>
      </c>
      <c r="D34" s="811"/>
      <c r="E34" s="73">
        <v>0</v>
      </c>
      <c r="G34" s="123"/>
      <c r="H34" s="73">
        <v>5</v>
      </c>
      <c r="I34" s="73">
        <v>2</v>
      </c>
      <c r="J34" s="134">
        <v>7</v>
      </c>
      <c r="K34" s="92">
        <f t="shared" si="1"/>
        <v>0</v>
      </c>
      <c r="L34" s="92">
        <f t="shared" si="1"/>
        <v>71.428571428571431</v>
      </c>
      <c r="M34" s="92">
        <f t="shared" si="1"/>
        <v>28.571428571428569</v>
      </c>
      <c r="N34" s="125">
        <f t="shared" si="2"/>
        <v>100</v>
      </c>
      <c r="O34" s="91"/>
      <c r="P34" s="92">
        <v>36.6</v>
      </c>
      <c r="Q34" s="92">
        <v>16.7</v>
      </c>
      <c r="R34" s="93">
        <f t="shared" si="3"/>
        <v>53.3</v>
      </c>
      <c r="S34" s="73">
        <v>2</v>
      </c>
      <c r="T34" s="81"/>
      <c r="V34" s="82" t="s">
        <v>489</v>
      </c>
      <c r="W34" s="73" t="s">
        <v>289</v>
      </c>
      <c r="X34" s="73" t="s">
        <v>18</v>
      </c>
      <c r="Y34" s="83">
        <v>28.3</v>
      </c>
      <c r="Z34" s="73" t="s">
        <v>572</v>
      </c>
      <c r="AA34" s="73" t="s">
        <v>114</v>
      </c>
      <c r="AB34" s="73" t="s">
        <v>12</v>
      </c>
      <c r="AC34" s="73">
        <v>16.7</v>
      </c>
      <c r="AD34" s="82" t="s">
        <v>575</v>
      </c>
      <c r="AE34" s="73" t="s">
        <v>22</v>
      </c>
      <c r="AF34" s="73" t="s">
        <v>18</v>
      </c>
      <c r="AG34" s="83">
        <v>8.3000000000000007</v>
      </c>
      <c r="AH34" s="164"/>
      <c r="AL34" s="82"/>
      <c r="AO34" s="83"/>
      <c r="AP34" s="82"/>
      <c r="AS34" s="83"/>
      <c r="AW34" s="83"/>
      <c r="BA34" s="84"/>
    </row>
    <row r="35" spans="1:53" s="73" customFormat="1" x14ac:dyDescent="0.15">
      <c r="A35" s="102">
        <v>1973</v>
      </c>
      <c r="B35" s="85"/>
      <c r="C35" s="811" t="s">
        <v>1184</v>
      </c>
      <c r="D35" s="811"/>
      <c r="E35" s="73">
        <v>365</v>
      </c>
      <c r="G35" s="123"/>
      <c r="H35" s="73">
        <v>5</v>
      </c>
      <c r="I35" s="73">
        <v>2</v>
      </c>
      <c r="J35" s="134">
        <v>7</v>
      </c>
      <c r="K35" s="92">
        <f t="shared" si="1"/>
        <v>0</v>
      </c>
      <c r="L35" s="92">
        <f t="shared" si="1"/>
        <v>71.428571428571431</v>
      </c>
      <c r="M35" s="92">
        <f t="shared" si="1"/>
        <v>28.571428571428569</v>
      </c>
      <c r="N35" s="125">
        <f t="shared" si="2"/>
        <v>100</v>
      </c>
      <c r="O35" s="91"/>
      <c r="P35" s="92">
        <v>36.6</v>
      </c>
      <c r="Q35" s="92">
        <v>16.7</v>
      </c>
      <c r="R35" s="93">
        <f t="shared" si="3"/>
        <v>53.3</v>
      </c>
      <c r="S35" s="73">
        <v>2</v>
      </c>
      <c r="T35" s="81"/>
      <c r="V35" s="82" t="s">
        <v>489</v>
      </c>
      <c r="W35" s="73" t="s">
        <v>289</v>
      </c>
      <c r="X35" s="73" t="s">
        <v>18</v>
      </c>
      <c r="Y35" s="83">
        <v>28.3</v>
      </c>
      <c r="Z35" s="73" t="s">
        <v>572</v>
      </c>
      <c r="AA35" s="73" t="s">
        <v>114</v>
      </c>
      <c r="AB35" s="73" t="s">
        <v>12</v>
      </c>
      <c r="AC35" s="73">
        <v>16.7</v>
      </c>
      <c r="AD35" s="82" t="s">
        <v>575</v>
      </c>
      <c r="AE35" s="73" t="s">
        <v>22</v>
      </c>
      <c r="AF35" s="73" t="s">
        <v>18</v>
      </c>
      <c r="AG35" s="83">
        <v>8.3000000000000007</v>
      </c>
      <c r="AH35" s="164"/>
      <c r="AL35" s="82"/>
      <c r="AO35" s="83"/>
      <c r="AP35" s="82"/>
      <c r="AS35" s="83"/>
      <c r="AW35" s="83"/>
      <c r="BA35" s="84"/>
    </row>
    <row r="36" spans="1:53" s="73" customFormat="1" x14ac:dyDescent="0.15">
      <c r="A36" s="102">
        <v>1974</v>
      </c>
      <c r="B36" s="85"/>
      <c r="C36" s="811" t="s">
        <v>1184</v>
      </c>
      <c r="D36" s="811"/>
      <c r="E36" s="73">
        <v>240</v>
      </c>
      <c r="G36" s="123"/>
      <c r="H36" s="73">
        <v>5</v>
      </c>
      <c r="I36" s="73">
        <v>2</v>
      </c>
      <c r="J36" s="134">
        <v>7</v>
      </c>
      <c r="K36" s="92">
        <f t="shared" si="1"/>
        <v>0</v>
      </c>
      <c r="L36" s="92">
        <f t="shared" si="1"/>
        <v>71.428571428571431</v>
      </c>
      <c r="M36" s="92">
        <f t="shared" si="1"/>
        <v>28.571428571428569</v>
      </c>
      <c r="N36" s="125">
        <f t="shared" si="2"/>
        <v>100</v>
      </c>
      <c r="O36" s="91"/>
      <c r="P36" s="92">
        <v>36.6</v>
      </c>
      <c r="Q36" s="92">
        <v>16.7</v>
      </c>
      <c r="R36" s="93">
        <f t="shared" si="3"/>
        <v>53.3</v>
      </c>
      <c r="S36" s="73">
        <v>2</v>
      </c>
      <c r="T36" s="81"/>
      <c r="V36" s="82" t="s">
        <v>489</v>
      </c>
      <c r="W36" s="73" t="s">
        <v>289</v>
      </c>
      <c r="X36" s="73" t="s">
        <v>18</v>
      </c>
      <c r="Y36" s="83">
        <v>28.3</v>
      </c>
      <c r="Z36" s="73" t="s">
        <v>572</v>
      </c>
      <c r="AA36" s="73" t="s">
        <v>114</v>
      </c>
      <c r="AB36" s="73" t="s">
        <v>12</v>
      </c>
      <c r="AC36" s="73">
        <v>16.7</v>
      </c>
      <c r="AD36" s="82" t="s">
        <v>575</v>
      </c>
      <c r="AE36" s="73" t="s">
        <v>22</v>
      </c>
      <c r="AF36" s="73" t="s">
        <v>18</v>
      </c>
      <c r="AG36" s="83">
        <v>8.3000000000000007</v>
      </c>
      <c r="AH36" s="164"/>
      <c r="AL36" s="82"/>
      <c r="AO36" s="83"/>
      <c r="AP36" s="82"/>
      <c r="AS36" s="83"/>
      <c r="AW36" s="83"/>
      <c r="BA36" s="84"/>
    </row>
    <row r="37" spans="1:53" s="334" customFormat="1" x14ac:dyDescent="0.15">
      <c r="A37" s="386">
        <v>1974</v>
      </c>
      <c r="B37" s="355">
        <v>27270</v>
      </c>
      <c r="C37" s="812" t="s">
        <v>1185</v>
      </c>
      <c r="D37" s="812"/>
      <c r="E37" s="334">
        <f>365-E36</f>
        <v>125</v>
      </c>
      <c r="F37" s="334">
        <v>4</v>
      </c>
      <c r="G37" s="419">
        <v>4</v>
      </c>
      <c r="H37" s="334">
        <v>4</v>
      </c>
      <c r="J37" s="435">
        <v>8</v>
      </c>
      <c r="K37" s="384">
        <f t="shared" si="1"/>
        <v>50</v>
      </c>
      <c r="L37" s="384">
        <f t="shared" si="1"/>
        <v>50</v>
      </c>
      <c r="M37" s="384">
        <f t="shared" si="1"/>
        <v>0</v>
      </c>
      <c r="N37" s="421">
        <f t="shared" si="2"/>
        <v>100</v>
      </c>
      <c r="O37" s="383">
        <v>41.7</v>
      </c>
      <c r="P37" s="384">
        <v>28.3</v>
      </c>
      <c r="Q37" s="384"/>
      <c r="R37" s="385">
        <f t="shared" si="3"/>
        <v>70</v>
      </c>
      <c r="S37" s="334">
        <v>2</v>
      </c>
      <c r="T37" s="342">
        <v>27210</v>
      </c>
      <c r="U37" s="355">
        <v>27270</v>
      </c>
      <c r="V37" s="343" t="s">
        <v>571</v>
      </c>
      <c r="W37" s="334" t="s">
        <v>74</v>
      </c>
      <c r="X37" s="334" t="s">
        <v>11</v>
      </c>
      <c r="Y37" s="344">
        <v>41.7</v>
      </c>
      <c r="Z37" s="343" t="s">
        <v>489</v>
      </c>
      <c r="AA37" s="334" t="s">
        <v>289</v>
      </c>
      <c r="AB37" s="334" t="s">
        <v>18</v>
      </c>
      <c r="AC37" s="334">
        <v>28.3</v>
      </c>
      <c r="AD37" s="343"/>
      <c r="AG37" s="344"/>
      <c r="AH37" s="452"/>
      <c r="AL37" s="343"/>
      <c r="AO37" s="344"/>
      <c r="AP37" s="343"/>
      <c r="AS37" s="344"/>
      <c r="AW37" s="344"/>
      <c r="BA37" s="345"/>
    </row>
    <row r="38" spans="1:53" s="334" customFormat="1" x14ac:dyDescent="0.15">
      <c r="A38" s="386">
        <v>1975</v>
      </c>
      <c r="B38" s="355"/>
      <c r="C38" s="812" t="s">
        <v>1185</v>
      </c>
      <c r="D38" s="812"/>
      <c r="E38" s="334">
        <v>0</v>
      </c>
      <c r="G38" s="419">
        <v>4</v>
      </c>
      <c r="H38" s="334">
        <v>4</v>
      </c>
      <c r="J38" s="435">
        <v>8</v>
      </c>
      <c r="K38" s="384">
        <f t="shared" si="1"/>
        <v>50</v>
      </c>
      <c r="L38" s="384">
        <f t="shared" si="1"/>
        <v>50</v>
      </c>
      <c r="M38" s="384">
        <f t="shared" si="1"/>
        <v>0</v>
      </c>
      <c r="N38" s="421">
        <f t="shared" si="2"/>
        <v>100</v>
      </c>
      <c r="O38" s="383">
        <v>41.7</v>
      </c>
      <c r="P38" s="384">
        <v>28.3</v>
      </c>
      <c r="Q38" s="384"/>
      <c r="R38" s="385">
        <f t="shared" si="3"/>
        <v>70</v>
      </c>
      <c r="S38" s="334">
        <v>2</v>
      </c>
      <c r="T38" s="357"/>
      <c r="V38" s="343" t="s">
        <v>571</v>
      </c>
      <c r="W38" s="334" t="s">
        <v>74</v>
      </c>
      <c r="X38" s="334" t="s">
        <v>11</v>
      </c>
      <c r="Y38" s="344">
        <v>41.7</v>
      </c>
      <c r="Z38" s="343" t="s">
        <v>489</v>
      </c>
      <c r="AA38" s="334" t="s">
        <v>289</v>
      </c>
      <c r="AB38" s="334" t="s">
        <v>18</v>
      </c>
      <c r="AC38" s="334">
        <v>28.3</v>
      </c>
      <c r="AD38" s="343"/>
      <c r="AG38" s="344"/>
      <c r="AH38" s="452"/>
      <c r="AL38" s="343"/>
      <c r="AO38" s="344"/>
      <c r="AP38" s="343"/>
      <c r="AS38" s="344"/>
      <c r="AW38" s="344"/>
      <c r="BA38" s="345"/>
    </row>
    <row r="39" spans="1:53" s="334" customFormat="1" x14ac:dyDescent="0.15">
      <c r="A39" s="386">
        <v>1975</v>
      </c>
      <c r="B39" s="355"/>
      <c r="C39" s="812" t="s">
        <v>1185</v>
      </c>
      <c r="D39" s="812"/>
      <c r="E39" s="334">
        <v>365</v>
      </c>
      <c r="G39" s="419">
        <v>4</v>
      </c>
      <c r="H39" s="334">
        <v>4</v>
      </c>
      <c r="J39" s="435">
        <v>8</v>
      </c>
      <c r="K39" s="384">
        <f t="shared" si="1"/>
        <v>50</v>
      </c>
      <c r="L39" s="384">
        <f t="shared" si="1"/>
        <v>50</v>
      </c>
      <c r="M39" s="384">
        <f t="shared" si="1"/>
        <v>0</v>
      </c>
      <c r="N39" s="421">
        <f t="shared" si="2"/>
        <v>100</v>
      </c>
      <c r="O39" s="383">
        <v>41.7</v>
      </c>
      <c r="P39" s="384">
        <v>28.3</v>
      </c>
      <c r="Q39" s="384"/>
      <c r="R39" s="385">
        <f t="shared" si="3"/>
        <v>70</v>
      </c>
      <c r="S39" s="334">
        <v>2</v>
      </c>
      <c r="T39" s="357"/>
      <c r="V39" s="343" t="s">
        <v>571</v>
      </c>
      <c r="W39" s="334" t="s">
        <v>74</v>
      </c>
      <c r="X39" s="334" t="s">
        <v>11</v>
      </c>
      <c r="Y39" s="344">
        <v>41.7</v>
      </c>
      <c r="Z39" s="343" t="s">
        <v>489</v>
      </c>
      <c r="AA39" s="334" t="s">
        <v>289</v>
      </c>
      <c r="AB39" s="334" t="s">
        <v>18</v>
      </c>
      <c r="AC39" s="334">
        <v>28.3</v>
      </c>
      <c r="AD39" s="343"/>
      <c r="AG39" s="344"/>
      <c r="AH39" s="452"/>
      <c r="AL39" s="343"/>
      <c r="AO39" s="344"/>
      <c r="AP39" s="343"/>
      <c r="AS39" s="344"/>
      <c r="AW39" s="344"/>
      <c r="BA39" s="345"/>
    </row>
    <row r="40" spans="1:53" s="334" customFormat="1" x14ac:dyDescent="0.15">
      <c r="A40" s="386">
        <v>1976</v>
      </c>
      <c r="B40" s="355"/>
      <c r="C40" s="812" t="s">
        <v>1185</v>
      </c>
      <c r="D40" s="812"/>
      <c r="E40" s="334">
        <v>0</v>
      </c>
      <c r="G40" s="419">
        <v>4</v>
      </c>
      <c r="H40" s="334">
        <v>4</v>
      </c>
      <c r="J40" s="435">
        <v>8</v>
      </c>
      <c r="K40" s="384">
        <f t="shared" si="1"/>
        <v>50</v>
      </c>
      <c r="L40" s="384">
        <f t="shared" si="1"/>
        <v>50</v>
      </c>
      <c r="M40" s="384">
        <f t="shared" si="1"/>
        <v>0</v>
      </c>
      <c r="N40" s="421">
        <f t="shared" si="2"/>
        <v>100</v>
      </c>
      <c r="O40" s="383">
        <v>41.7</v>
      </c>
      <c r="P40" s="384">
        <v>28.3</v>
      </c>
      <c r="Q40" s="384"/>
      <c r="R40" s="385">
        <f t="shared" si="3"/>
        <v>70</v>
      </c>
      <c r="S40" s="334">
        <v>2</v>
      </c>
      <c r="T40" s="357"/>
      <c r="V40" s="343" t="s">
        <v>571</v>
      </c>
      <c r="W40" s="334" t="s">
        <v>74</v>
      </c>
      <c r="X40" s="334" t="s">
        <v>11</v>
      </c>
      <c r="Y40" s="344">
        <v>41.7</v>
      </c>
      <c r="Z40" s="343" t="s">
        <v>489</v>
      </c>
      <c r="AA40" s="334" t="s">
        <v>289</v>
      </c>
      <c r="AB40" s="334" t="s">
        <v>18</v>
      </c>
      <c r="AC40" s="334">
        <v>28.3</v>
      </c>
      <c r="AD40" s="343"/>
      <c r="AG40" s="344"/>
      <c r="AH40" s="452"/>
      <c r="AL40" s="343"/>
      <c r="AO40" s="344"/>
      <c r="AP40" s="343"/>
      <c r="AS40" s="344"/>
      <c r="AW40" s="344"/>
      <c r="BA40" s="345"/>
    </row>
    <row r="41" spans="1:53" s="334" customFormat="1" x14ac:dyDescent="0.15">
      <c r="A41" s="386">
        <v>1976</v>
      </c>
      <c r="B41" s="355"/>
      <c r="C41" s="812" t="s">
        <v>1185</v>
      </c>
      <c r="D41" s="812"/>
      <c r="E41" s="334">
        <v>366</v>
      </c>
      <c r="G41" s="419">
        <v>4</v>
      </c>
      <c r="H41" s="334">
        <v>4</v>
      </c>
      <c r="J41" s="435">
        <v>8</v>
      </c>
      <c r="K41" s="384">
        <f t="shared" si="1"/>
        <v>50</v>
      </c>
      <c r="L41" s="384">
        <f t="shared" si="1"/>
        <v>50</v>
      </c>
      <c r="M41" s="384">
        <f t="shared" si="1"/>
        <v>0</v>
      </c>
      <c r="N41" s="421">
        <f t="shared" si="2"/>
        <v>100</v>
      </c>
      <c r="O41" s="383">
        <v>41.7</v>
      </c>
      <c r="P41" s="384">
        <v>28.3</v>
      </c>
      <c r="Q41" s="384"/>
      <c r="R41" s="385">
        <f t="shared" si="3"/>
        <v>70</v>
      </c>
      <c r="S41" s="334">
        <v>2</v>
      </c>
      <c r="T41" s="357"/>
      <c r="V41" s="343" t="s">
        <v>571</v>
      </c>
      <c r="W41" s="334" t="s">
        <v>74</v>
      </c>
      <c r="X41" s="334" t="s">
        <v>11</v>
      </c>
      <c r="Y41" s="344">
        <v>41.7</v>
      </c>
      <c r="Z41" s="343" t="s">
        <v>489</v>
      </c>
      <c r="AA41" s="334" t="s">
        <v>289</v>
      </c>
      <c r="AB41" s="334" t="s">
        <v>18</v>
      </c>
      <c r="AC41" s="334">
        <v>28.3</v>
      </c>
      <c r="AD41" s="343"/>
      <c r="AG41" s="344"/>
      <c r="AH41" s="452"/>
      <c r="AL41" s="343"/>
      <c r="AO41" s="344"/>
      <c r="AP41" s="343"/>
      <c r="AS41" s="344"/>
      <c r="AW41" s="344"/>
      <c r="BA41" s="345"/>
    </row>
    <row r="42" spans="1:53" s="334" customFormat="1" x14ac:dyDescent="0.15">
      <c r="A42" s="386">
        <v>1977</v>
      </c>
      <c r="B42" s="355"/>
      <c r="C42" s="812" t="s">
        <v>1185</v>
      </c>
      <c r="D42" s="812"/>
      <c r="E42" s="334">
        <v>0</v>
      </c>
      <c r="G42" s="419">
        <v>4</v>
      </c>
      <c r="H42" s="334">
        <v>4</v>
      </c>
      <c r="J42" s="435">
        <v>8</v>
      </c>
      <c r="K42" s="384">
        <f t="shared" si="1"/>
        <v>50</v>
      </c>
      <c r="L42" s="384">
        <f t="shared" si="1"/>
        <v>50</v>
      </c>
      <c r="M42" s="384">
        <f t="shared" si="1"/>
        <v>0</v>
      </c>
      <c r="N42" s="421">
        <f t="shared" si="2"/>
        <v>100</v>
      </c>
      <c r="O42" s="383">
        <v>41.7</v>
      </c>
      <c r="P42" s="384">
        <v>28.3</v>
      </c>
      <c r="Q42" s="384"/>
      <c r="R42" s="385">
        <f t="shared" si="3"/>
        <v>70</v>
      </c>
      <c r="S42" s="334">
        <v>2</v>
      </c>
      <c r="T42" s="357"/>
      <c r="V42" s="343" t="s">
        <v>571</v>
      </c>
      <c r="W42" s="334" t="s">
        <v>74</v>
      </c>
      <c r="X42" s="334" t="s">
        <v>11</v>
      </c>
      <c r="Y42" s="344">
        <v>41.7</v>
      </c>
      <c r="Z42" s="343" t="s">
        <v>489</v>
      </c>
      <c r="AA42" s="334" t="s">
        <v>289</v>
      </c>
      <c r="AB42" s="334" t="s">
        <v>18</v>
      </c>
      <c r="AC42" s="334">
        <v>28.3</v>
      </c>
      <c r="AD42" s="343"/>
      <c r="AG42" s="344"/>
      <c r="AH42" s="452"/>
      <c r="AL42" s="343"/>
      <c r="AO42" s="344"/>
      <c r="AP42" s="343"/>
      <c r="AS42" s="344"/>
      <c r="AW42" s="344"/>
      <c r="BA42" s="345"/>
    </row>
    <row r="43" spans="1:53" s="334" customFormat="1" x14ac:dyDescent="0.15">
      <c r="A43" s="386">
        <v>1977</v>
      </c>
      <c r="B43" s="355"/>
      <c r="C43" s="812" t="s">
        <v>1185</v>
      </c>
      <c r="D43" s="812"/>
      <c r="E43" s="334">
        <v>365</v>
      </c>
      <c r="G43" s="419">
        <v>4</v>
      </c>
      <c r="H43" s="334">
        <v>4</v>
      </c>
      <c r="J43" s="435">
        <v>8</v>
      </c>
      <c r="K43" s="384">
        <f t="shared" si="1"/>
        <v>50</v>
      </c>
      <c r="L43" s="384">
        <f t="shared" si="1"/>
        <v>50</v>
      </c>
      <c r="M43" s="384">
        <f t="shared" si="1"/>
        <v>0</v>
      </c>
      <c r="N43" s="421">
        <f t="shared" si="2"/>
        <v>100</v>
      </c>
      <c r="O43" s="383">
        <v>41.7</v>
      </c>
      <c r="P43" s="384">
        <v>28.3</v>
      </c>
      <c r="Q43" s="384"/>
      <c r="R43" s="385">
        <f t="shared" si="3"/>
        <v>70</v>
      </c>
      <c r="S43" s="334">
        <v>2</v>
      </c>
      <c r="T43" s="357"/>
      <c r="V43" s="343" t="s">
        <v>571</v>
      </c>
      <c r="W43" s="334" t="s">
        <v>74</v>
      </c>
      <c r="X43" s="334" t="s">
        <v>11</v>
      </c>
      <c r="Y43" s="344">
        <v>41.7</v>
      </c>
      <c r="Z43" s="343" t="s">
        <v>489</v>
      </c>
      <c r="AA43" s="334" t="s">
        <v>289</v>
      </c>
      <c r="AB43" s="334" t="s">
        <v>18</v>
      </c>
      <c r="AC43" s="334">
        <v>28.3</v>
      </c>
      <c r="AD43" s="343"/>
      <c r="AG43" s="344"/>
      <c r="AH43" s="452"/>
      <c r="AL43" s="343"/>
      <c r="AO43" s="344"/>
      <c r="AP43" s="343"/>
      <c r="AS43" s="344"/>
      <c r="AW43" s="344"/>
      <c r="BA43" s="345"/>
    </row>
    <row r="44" spans="1:53" s="334" customFormat="1" x14ac:dyDescent="0.15">
      <c r="A44" s="386">
        <v>1978</v>
      </c>
      <c r="B44" s="355"/>
      <c r="C44" s="812" t="s">
        <v>1185</v>
      </c>
      <c r="D44" s="812"/>
      <c r="E44" s="334">
        <v>242</v>
      </c>
      <c r="G44" s="419">
        <v>4</v>
      </c>
      <c r="H44" s="334">
        <v>4</v>
      </c>
      <c r="J44" s="435">
        <v>8</v>
      </c>
      <c r="K44" s="384">
        <f t="shared" ref="K44:M71" si="4">G44/$J44*100</f>
        <v>50</v>
      </c>
      <c r="L44" s="384">
        <f t="shared" si="4"/>
        <v>50</v>
      </c>
      <c r="M44" s="384">
        <f t="shared" si="4"/>
        <v>0</v>
      </c>
      <c r="N44" s="421">
        <f t="shared" si="2"/>
        <v>100</v>
      </c>
      <c r="O44" s="383">
        <v>41.7</v>
      </c>
      <c r="P44" s="384">
        <v>28.3</v>
      </c>
      <c r="Q44" s="384"/>
      <c r="R44" s="385">
        <f t="shared" si="3"/>
        <v>70</v>
      </c>
      <c r="S44" s="334">
        <v>2</v>
      </c>
      <c r="T44" s="357"/>
      <c r="V44" s="343" t="s">
        <v>571</v>
      </c>
      <c r="W44" s="334" t="s">
        <v>74</v>
      </c>
      <c r="X44" s="334" t="s">
        <v>11</v>
      </c>
      <c r="Y44" s="344">
        <v>41.7</v>
      </c>
      <c r="Z44" s="343" t="s">
        <v>489</v>
      </c>
      <c r="AA44" s="334" t="s">
        <v>289</v>
      </c>
      <c r="AB44" s="334" t="s">
        <v>18</v>
      </c>
      <c r="AC44" s="334">
        <v>28.3</v>
      </c>
      <c r="AD44" s="343"/>
      <c r="AG44" s="344"/>
      <c r="AH44" s="452"/>
      <c r="AL44" s="343"/>
      <c r="AO44" s="344"/>
      <c r="AP44" s="343"/>
      <c r="AS44" s="344"/>
      <c r="AW44" s="344"/>
      <c r="BA44" s="345"/>
    </row>
    <row r="45" spans="1:53" s="73" customFormat="1" x14ac:dyDescent="0.15">
      <c r="A45" s="102">
        <v>1978</v>
      </c>
      <c r="B45" s="85">
        <v>28733</v>
      </c>
      <c r="C45" s="811" t="s">
        <v>1186</v>
      </c>
      <c r="D45" s="811"/>
      <c r="E45" s="73">
        <f>365-E44</f>
        <v>123</v>
      </c>
      <c r="F45" s="73">
        <v>1</v>
      </c>
      <c r="G45" s="123"/>
      <c r="H45" s="73">
        <v>3</v>
      </c>
      <c r="I45" s="73">
        <v>6</v>
      </c>
      <c r="J45" s="134">
        <v>9</v>
      </c>
      <c r="K45" s="92">
        <f t="shared" si="4"/>
        <v>0</v>
      </c>
      <c r="L45" s="92">
        <f t="shared" si="4"/>
        <v>33.333333333333329</v>
      </c>
      <c r="M45" s="92">
        <f t="shared" si="4"/>
        <v>66.666666666666657</v>
      </c>
      <c r="N45" s="125">
        <f t="shared" si="2"/>
        <v>99.999999999999986</v>
      </c>
      <c r="O45" s="91"/>
      <c r="P45" s="92">
        <v>20</v>
      </c>
      <c r="Q45" s="92">
        <v>46.6</v>
      </c>
      <c r="R45" s="93">
        <f t="shared" si="3"/>
        <v>66.599999999999994</v>
      </c>
      <c r="S45" s="73">
        <v>2</v>
      </c>
      <c r="T45" s="95">
        <v>28666</v>
      </c>
      <c r="U45" s="85">
        <v>28733</v>
      </c>
      <c r="V45" s="82" t="s">
        <v>489</v>
      </c>
      <c r="W45" s="73" t="s">
        <v>289</v>
      </c>
      <c r="X45" s="73" t="s">
        <v>18</v>
      </c>
      <c r="Y45" s="83">
        <v>20</v>
      </c>
      <c r="Z45" s="73" t="s">
        <v>112</v>
      </c>
      <c r="AA45" s="73" t="s">
        <v>20</v>
      </c>
      <c r="AB45" s="73" t="s">
        <v>12</v>
      </c>
      <c r="AC45" s="73">
        <v>23.3</v>
      </c>
      <c r="AD45" s="82" t="s">
        <v>572</v>
      </c>
      <c r="AE45" s="73" t="s">
        <v>114</v>
      </c>
      <c r="AF45" s="73" t="s">
        <v>12</v>
      </c>
      <c r="AG45" s="83">
        <v>23.3</v>
      </c>
      <c r="AH45" s="164"/>
      <c r="AL45" s="82"/>
      <c r="AO45" s="83"/>
      <c r="AP45" s="82"/>
      <c r="AS45" s="83"/>
      <c r="AW45" s="83"/>
      <c r="BA45" s="84"/>
    </row>
    <row r="46" spans="1:53" s="73" customFormat="1" x14ac:dyDescent="0.15">
      <c r="A46" s="102">
        <v>1979</v>
      </c>
      <c r="B46" s="85"/>
      <c r="C46" s="811" t="s">
        <v>1186</v>
      </c>
      <c r="D46" s="811"/>
      <c r="E46" s="73">
        <v>287</v>
      </c>
      <c r="G46" s="123"/>
      <c r="H46" s="73">
        <v>3</v>
      </c>
      <c r="I46" s="73">
        <v>6</v>
      </c>
      <c r="J46" s="134">
        <v>9</v>
      </c>
      <c r="K46" s="92">
        <f t="shared" si="4"/>
        <v>0</v>
      </c>
      <c r="L46" s="92">
        <f t="shared" si="4"/>
        <v>33.333333333333329</v>
      </c>
      <c r="M46" s="92">
        <f t="shared" si="4"/>
        <v>66.666666666666657</v>
      </c>
      <c r="N46" s="125">
        <f t="shared" si="2"/>
        <v>99.999999999999986</v>
      </c>
      <c r="O46" s="91"/>
      <c r="P46" s="92">
        <v>20</v>
      </c>
      <c r="Q46" s="92">
        <v>46.6</v>
      </c>
      <c r="R46" s="93">
        <f t="shared" si="3"/>
        <v>66.599999999999994</v>
      </c>
      <c r="S46" s="73">
        <v>2</v>
      </c>
      <c r="T46" s="81"/>
      <c r="V46" s="82" t="s">
        <v>489</v>
      </c>
      <c r="W46" s="73" t="s">
        <v>289</v>
      </c>
      <c r="X46" s="73" t="s">
        <v>18</v>
      </c>
      <c r="Y46" s="83">
        <v>20</v>
      </c>
      <c r="Z46" s="73" t="s">
        <v>112</v>
      </c>
      <c r="AA46" s="73" t="s">
        <v>20</v>
      </c>
      <c r="AB46" s="73" t="s">
        <v>12</v>
      </c>
      <c r="AC46" s="73">
        <v>23.3</v>
      </c>
      <c r="AD46" s="82" t="s">
        <v>572</v>
      </c>
      <c r="AE46" s="73" t="s">
        <v>114</v>
      </c>
      <c r="AF46" s="73" t="s">
        <v>12</v>
      </c>
      <c r="AG46" s="83">
        <v>23.3</v>
      </c>
      <c r="AH46" s="164"/>
      <c r="AL46" s="82"/>
      <c r="AO46" s="83"/>
      <c r="AP46" s="82"/>
      <c r="AS46" s="83"/>
      <c r="AW46" s="83"/>
      <c r="BA46" s="84"/>
    </row>
    <row r="47" spans="1:53" s="334" customFormat="1" x14ac:dyDescent="0.15">
      <c r="A47" s="386">
        <v>1979</v>
      </c>
      <c r="B47" s="355">
        <v>29143</v>
      </c>
      <c r="C47" s="812" t="s">
        <v>290</v>
      </c>
      <c r="D47" s="812"/>
      <c r="E47" s="334">
        <f>365-E46</f>
        <v>78</v>
      </c>
      <c r="F47" s="334">
        <v>4</v>
      </c>
      <c r="G47" s="419"/>
      <c r="I47" s="334">
        <v>6</v>
      </c>
      <c r="J47" s="435">
        <v>6</v>
      </c>
      <c r="K47" s="384">
        <f t="shared" si="4"/>
        <v>0</v>
      </c>
      <c r="L47" s="384">
        <f t="shared" si="4"/>
        <v>0</v>
      </c>
      <c r="M47" s="384">
        <f t="shared" si="4"/>
        <v>100</v>
      </c>
      <c r="N47" s="421">
        <f t="shared" si="2"/>
        <v>100</v>
      </c>
      <c r="O47" s="383"/>
      <c r="P47" s="384"/>
      <c r="Q47" s="384">
        <v>23.3</v>
      </c>
      <c r="R47" s="385">
        <f t="shared" si="3"/>
        <v>23.3</v>
      </c>
      <c r="S47" s="334">
        <v>4</v>
      </c>
      <c r="T47" s="342"/>
      <c r="U47" s="355">
        <v>29143</v>
      </c>
      <c r="V47" s="343" t="s">
        <v>112</v>
      </c>
      <c r="W47" s="334" t="s">
        <v>20</v>
      </c>
      <c r="X47" s="334" t="s">
        <v>12</v>
      </c>
      <c r="Y47" s="344">
        <v>23.3</v>
      </c>
      <c r="AD47" s="343"/>
      <c r="AG47" s="344"/>
      <c r="AH47" s="452"/>
      <c r="AL47" s="343"/>
      <c r="AO47" s="344"/>
      <c r="AP47" s="343"/>
      <c r="AS47" s="344"/>
      <c r="AW47" s="344"/>
      <c r="BA47" s="345"/>
    </row>
    <row r="48" spans="1:53" s="334" customFormat="1" x14ac:dyDescent="0.15">
      <c r="A48" s="386">
        <v>1980</v>
      </c>
      <c r="B48" s="355"/>
      <c r="C48" s="812" t="s">
        <v>290</v>
      </c>
      <c r="D48" s="812"/>
      <c r="E48" s="334">
        <v>38</v>
      </c>
      <c r="G48" s="419"/>
      <c r="I48" s="334">
        <v>6</v>
      </c>
      <c r="J48" s="435">
        <v>6</v>
      </c>
      <c r="K48" s="384">
        <f t="shared" si="4"/>
        <v>0</v>
      </c>
      <c r="L48" s="384">
        <f t="shared" si="4"/>
        <v>0</v>
      </c>
      <c r="M48" s="384">
        <f t="shared" si="4"/>
        <v>100</v>
      </c>
      <c r="N48" s="421">
        <f t="shared" si="2"/>
        <v>100</v>
      </c>
      <c r="O48" s="383"/>
      <c r="P48" s="384"/>
      <c r="Q48" s="384">
        <v>23.3</v>
      </c>
      <c r="R48" s="385">
        <f t="shared" si="3"/>
        <v>23.3</v>
      </c>
      <c r="S48" s="334">
        <v>4</v>
      </c>
      <c r="T48" s="342">
        <v>29191</v>
      </c>
      <c r="V48" s="343" t="s">
        <v>112</v>
      </c>
      <c r="W48" s="334" t="s">
        <v>20</v>
      </c>
      <c r="X48" s="334" t="s">
        <v>12</v>
      </c>
      <c r="Y48" s="344">
        <v>23.3</v>
      </c>
      <c r="AD48" s="343"/>
      <c r="AG48" s="344"/>
      <c r="AH48" s="452"/>
      <c r="AL48" s="343"/>
      <c r="AO48" s="344"/>
      <c r="AP48" s="343"/>
      <c r="AS48" s="344"/>
      <c r="AW48" s="344"/>
      <c r="BA48" s="345"/>
    </row>
    <row r="49" spans="1:53" s="73" customFormat="1" x14ac:dyDescent="0.15">
      <c r="A49" s="102">
        <v>1980</v>
      </c>
      <c r="B49" s="85">
        <v>29259</v>
      </c>
      <c r="C49" s="811" t="s">
        <v>291</v>
      </c>
      <c r="D49" s="811"/>
      <c r="E49" s="73">
        <f>366-E48</f>
        <v>328</v>
      </c>
      <c r="F49" s="73">
        <v>1</v>
      </c>
      <c r="G49" s="123">
        <v>4</v>
      </c>
      <c r="H49" s="73">
        <v>3</v>
      </c>
      <c r="I49" s="73">
        <v>3</v>
      </c>
      <c r="J49" s="134">
        <v>10</v>
      </c>
      <c r="K49" s="92">
        <f t="shared" si="4"/>
        <v>40</v>
      </c>
      <c r="L49" s="92">
        <f t="shared" si="4"/>
        <v>30</v>
      </c>
      <c r="M49" s="92">
        <f t="shared" si="4"/>
        <v>30</v>
      </c>
      <c r="N49" s="125">
        <f t="shared" si="2"/>
        <v>100</v>
      </c>
      <c r="O49" s="91">
        <v>35</v>
      </c>
      <c r="P49" s="92">
        <v>28.3</v>
      </c>
      <c r="Q49" s="92">
        <v>18.3</v>
      </c>
      <c r="R49" s="93">
        <f t="shared" si="3"/>
        <v>81.599999999999994</v>
      </c>
      <c r="S49" s="73">
        <v>3</v>
      </c>
      <c r="T49" s="81"/>
      <c r="U49" s="85">
        <v>29259</v>
      </c>
      <c r="V49" s="82" t="s">
        <v>489</v>
      </c>
      <c r="W49" s="73" t="s">
        <v>289</v>
      </c>
      <c r="X49" s="73" t="s">
        <v>18</v>
      </c>
      <c r="Y49" s="83">
        <v>28.3</v>
      </c>
      <c r="Z49" s="82" t="s">
        <v>571</v>
      </c>
      <c r="AA49" s="73" t="s">
        <v>74</v>
      </c>
      <c r="AB49" s="73" t="s">
        <v>11</v>
      </c>
      <c r="AC49" s="73">
        <v>35</v>
      </c>
      <c r="AD49" s="82" t="s">
        <v>572</v>
      </c>
      <c r="AE49" s="73" t="s">
        <v>114</v>
      </c>
      <c r="AF49" s="73" t="s">
        <v>12</v>
      </c>
      <c r="AG49" s="83">
        <v>18.3</v>
      </c>
      <c r="AH49" s="164"/>
      <c r="AL49" s="82"/>
      <c r="AO49" s="83"/>
      <c r="AP49" s="82"/>
      <c r="AS49" s="83"/>
      <c r="AW49" s="83"/>
      <c r="BA49" s="84"/>
    </row>
    <row r="50" spans="1:53" s="73" customFormat="1" x14ac:dyDescent="0.15">
      <c r="A50" s="102">
        <v>1981</v>
      </c>
      <c r="B50" s="85"/>
      <c r="C50" s="811" t="s">
        <v>291</v>
      </c>
      <c r="D50" s="811"/>
      <c r="E50" s="73">
        <v>0</v>
      </c>
      <c r="G50" s="123">
        <v>4</v>
      </c>
      <c r="H50" s="73">
        <v>3</v>
      </c>
      <c r="I50" s="73">
        <v>3</v>
      </c>
      <c r="J50" s="134">
        <v>10</v>
      </c>
      <c r="K50" s="92">
        <f t="shared" si="4"/>
        <v>40</v>
      </c>
      <c r="L50" s="92">
        <f t="shared" si="4"/>
        <v>30</v>
      </c>
      <c r="M50" s="92">
        <f t="shared" si="4"/>
        <v>30</v>
      </c>
      <c r="N50" s="125">
        <f t="shared" si="2"/>
        <v>100</v>
      </c>
      <c r="O50" s="91">
        <v>35</v>
      </c>
      <c r="P50" s="92">
        <v>28.3</v>
      </c>
      <c r="Q50" s="92">
        <v>18.3</v>
      </c>
      <c r="R50" s="93">
        <f t="shared" si="3"/>
        <v>81.599999999999994</v>
      </c>
      <c r="S50" s="73">
        <v>3</v>
      </c>
      <c r="T50" s="81"/>
      <c r="V50" s="82" t="s">
        <v>489</v>
      </c>
      <c r="W50" s="73" t="s">
        <v>289</v>
      </c>
      <c r="X50" s="73" t="s">
        <v>18</v>
      </c>
      <c r="Y50" s="83">
        <v>28.3</v>
      </c>
      <c r="Z50" s="82" t="s">
        <v>571</v>
      </c>
      <c r="AA50" s="73" t="s">
        <v>74</v>
      </c>
      <c r="AB50" s="73" t="s">
        <v>11</v>
      </c>
      <c r="AC50" s="73">
        <v>35</v>
      </c>
      <c r="AD50" s="82" t="s">
        <v>572</v>
      </c>
      <c r="AE50" s="73" t="s">
        <v>114</v>
      </c>
      <c r="AF50" s="73" t="s">
        <v>12</v>
      </c>
      <c r="AG50" s="83">
        <v>18.3</v>
      </c>
      <c r="AH50" s="164"/>
      <c r="AL50" s="82"/>
      <c r="AO50" s="83"/>
      <c r="AP50" s="82"/>
      <c r="AS50" s="83"/>
      <c r="AW50" s="83"/>
      <c r="BA50" s="84"/>
    </row>
    <row r="51" spans="1:53" s="73" customFormat="1" x14ac:dyDescent="0.15">
      <c r="A51" s="102">
        <v>1981</v>
      </c>
      <c r="B51" s="85"/>
      <c r="C51" s="811" t="s">
        <v>291</v>
      </c>
      <c r="D51" s="811"/>
      <c r="E51" s="73">
        <v>365</v>
      </c>
      <c r="G51" s="123">
        <v>4</v>
      </c>
      <c r="H51" s="73">
        <v>3</v>
      </c>
      <c r="I51" s="73">
        <v>3</v>
      </c>
      <c r="J51" s="134">
        <v>10</v>
      </c>
      <c r="K51" s="92">
        <f t="shared" si="4"/>
        <v>40</v>
      </c>
      <c r="L51" s="92">
        <f t="shared" si="4"/>
        <v>30</v>
      </c>
      <c r="M51" s="92">
        <f t="shared" si="4"/>
        <v>30</v>
      </c>
      <c r="N51" s="125">
        <f t="shared" si="2"/>
        <v>100</v>
      </c>
      <c r="O51" s="91">
        <v>35</v>
      </c>
      <c r="P51" s="92">
        <v>28.3</v>
      </c>
      <c r="Q51" s="92">
        <v>18.3</v>
      </c>
      <c r="R51" s="93">
        <f t="shared" si="3"/>
        <v>81.599999999999994</v>
      </c>
      <c r="S51" s="73">
        <v>3</v>
      </c>
      <c r="T51" s="81"/>
      <c r="V51" s="82" t="s">
        <v>489</v>
      </c>
      <c r="W51" s="73" t="s">
        <v>289</v>
      </c>
      <c r="X51" s="73" t="s">
        <v>18</v>
      </c>
      <c r="Y51" s="83">
        <v>28.3</v>
      </c>
      <c r="Z51" s="82" t="s">
        <v>571</v>
      </c>
      <c r="AA51" s="73" t="s">
        <v>74</v>
      </c>
      <c r="AB51" s="73" t="s">
        <v>11</v>
      </c>
      <c r="AC51" s="73">
        <v>35</v>
      </c>
      <c r="AD51" s="82" t="s">
        <v>572</v>
      </c>
      <c r="AE51" s="73" t="s">
        <v>114</v>
      </c>
      <c r="AF51" s="73" t="s">
        <v>12</v>
      </c>
      <c r="AG51" s="83">
        <v>18.3</v>
      </c>
      <c r="AH51" s="164"/>
      <c r="AL51" s="82"/>
      <c r="AO51" s="83"/>
      <c r="AP51" s="82"/>
      <c r="AS51" s="83"/>
      <c r="AW51" s="83"/>
      <c r="BA51" s="84"/>
    </row>
    <row r="52" spans="1:53" s="73" customFormat="1" x14ac:dyDescent="0.15">
      <c r="A52" s="102">
        <v>1982</v>
      </c>
      <c r="B52" s="85"/>
      <c r="C52" s="811" t="s">
        <v>291</v>
      </c>
      <c r="D52" s="811"/>
      <c r="E52" s="73">
        <v>0</v>
      </c>
      <c r="G52" s="123">
        <v>4</v>
      </c>
      <c r="H52" s="73">
        <v>3</v>
      </c>
      <c r="I52" s="73">
        <v>3</v>
      </c>
      <c r="J52" s="134">
        <v>10</v>
      </c>
      <c r="K52" s="92">
        <f t="shared" si="4"/>
        <v>40</v>
      </c>
      <c r="L52" s="92">
        <f t="shared" si="4"/>
        <v>30</v>
      </c>
      <c r="M52" s="92">
        <f t="shared" si="4"/>
        <v>30</v>
      </c>
      <c r="N52" s="125">
        <f t="shared" si="2"/>
        <v>100</v>
      </c>
      <c r="O52" s="91">
        <v>35</v>
      </c>
      <c r="P52" s="92">
        <v>28.3</v>
      </c>
      <c r="Q52" s="92">
        <v>18.3</v>
      </c>
      <c r="R52" s="93">
        <f t="shared" si="3"/>
        <v>81.599999999999994</v>
      </c>
      <c r="S52" s="73">
        <v>3</v>
      </c>
      <c r="T52" s="81"/>
      <c r="V52" s="82" t="s">
        <v>489</v>
      </c>
      <c r="W52" s="73" t="s">
        <v>289</v>
      </c>
      <c r="X52" s="73" t="s">
        <v>18</v>
      </c>
      <c r="Y52" s="83">
        <v>28.3</v>
      </c>
      <c r="Z52" s="82" t="s">
        <v>571</v>
      </c>
      <c r="AA52" s="73" t="s">
        <v>74</v>
      </c>
      <c r="AB52" s="73" t="s">
        <v>11</v>
      </c>
      <c r="AC52" s="73">
        <v>35</v>
      </c>
      <c r="AD52" s="82" t="s">
        <v>572</v>
      </c>
      <c r="AE52" s="73" t="s">
        <v>114</v>
      </c>
      <c r="AF52" s="73" t="s">
        <v>12</v>
      </c>
      <c r="AG52" s="83">
        <v>18.3</v>
      </c>
      <c r="AH52" s="164"/>
      <c r="AL52" s="82"/>
      <c r="AO52" s="83"/>
      <c r="AP52" s="82"/>
      <c r="AS52" s="83"/>
      <c r="AW52" s="83"/>
      <c r="BA52" s="84"/>
    </row>
    <row r="53" spans="1:53" s="73" customFormat="1" x14ac:dyDescent="0.15">
      <c r="A53" s="102">
        <v>1982</v>
      </c>
      <c r="B53" s="85"/>
      <c r="C53" s="811" t="s">
        <v>291</v>
      </c>
      <c r="D53" s="811"/>
      <c r="E53" s="73">
        <v>365</v>
      </c>
      <c r="G53" s="123">
        <v>4</v>
      </c>
      <c r="H53" s="73">
        <v>3</v>
      </c>
      <c r="I53" s="73">
        <v>3</v>
      </c>
      <c r="J53" s="134">
        <v>10</v>
      </c>
      <c r="K53" s="92">
        <f t="shared" si="4"/>
        <v>40</v>
      </c>
      <c r="L53" s="92">
        <f t="shared" si="4"/>
        <v>30</v>
      </c>
      <c r="M53" s="92">
        <f t="shared" si="4"/>
        <v>30</v>
      </c>
      <c r="N53" s="125">
        <f t="shared" si="2"/>
        <v>100</v>
      </c>
      <c r="O53" s="91">
        <v>35</v>
      </c>
      <c r="P53" s="92">
        <v>28.3</v>
      </c>
      <c r="Q53" s="92">
        <v>18.3</v>
      </c>
      <c r="R53" s="93">
        <f t="shared" si="3"/>
        <v>81.599999999999994</v>
      </c>
      <c r="S53" s="73">
        <v>3</v>
      </c>
      <c r="T53" s="81"/>
      <c r="V53" s="82" t="s">
        <v>489</v>
      </c>
      <c r="W53" s="73" t="s">
        <v>289</v>
      </c>
      <c r="X53" s="73" t="s">
        <v>18</v>
      </c>
      <c r="Y53" s="83">
        <v>28.3</v>
      </c>
      <c r="Z53" s="82" t="s">
        <v>571</v>
      </c>
      <c r="AA53" s="73" t="s">
        <v>74</v>
      </c>
      <c r="AB53" s="73" t="s">
        <v>11</v>
      </c>
      <c r="AC53" s="73">
        <v>35</v>
      </c>
      <c r="AD53" s="82" t="s">
        <v>572</v>
      </c>
      <c r="AE53" s="73" t="s">
        <v>114</v>
      </c>
      <c r="AF53" s="73" t="s">
        <v>12</v>
      </c>
      <c r="AG53" s="83">
        <v>18.3</v>
      </c>
      <c r="AH53" s="164"/>
      <c r="AL53" s="82"/>
      <c r="AO53" s="83"/>
      <c r="AP53" s="82"/>
      <c r="AS53" s="83"/>
      <c r="AW53" s="83"/>
      <c r="BA53" s="84"/>
    </row>
    <row r="54" spans="1:53" s="73" customFormat="1" x14ac:dyDescent="0.15">
      <c r="A54" s="102">
        <v>1983</v>
      </c>
      <c r="B54" s="85"/>
      <c r="C54" s="811" t="s">
        <v>291</v>
      </c>
      <c r="D54" s="811"/>
      <c r="E54" s="73">
        <v>145</v>
      </c>
      <c r="G54" s="123">
        <v>4</v>
      </c>
      <c r="H54" s="73">
        <v>3</v>
      </c>
      <c r="I54" s="73">
        <v>3</v>
      </c>
      <c r="J54" s="134">
        <v>10</v>
      </c>
      <c r="K54" s="92">
        <f t="shared" si="4"/>
        <v>40</v>
      </c>
      <c r="L54" s="92">
        <f t="shared" si="4"/>
        <v>30</v>
      </c>
      <c r="M54" s="92">
        <f t="shared" si="4"/>
        <v>30</v>
      </c>
      <c r="N54" s="125">
        <f t="shared" si="2"/>
        <v>100</v>
      </c>
      <c r="O54" s="91">
        <v>35</v>
      </c>
      <c r="P54" s="92">
        <v>28.3</v>
      </c>
      <c r="Q54" s="92">
        <v>18.3</v>
      </c>
      <c r="R54" s="93">
        <f t="shared" si="3"/>
        <v>81.599999999999994</v>
      </c>
      <c r="S54" s="73">
        <v>3</v>
      </c>
      <c r="T54" s="81"/>
      <c r="V54" s="82" t="s">
        <v>489</v>
      </c>
      <c r="W54" s="73" t="s">
        <v>289</v>
      </c>
      <c r="X54" s="73" t="s">
        <v>18</v>
      </c>
      <c r="Y54" s="83">
        <v>28.3</v>
      </c>
      <c r="Z54" s="82" t="s">
        <v>571</v>
      </c>
      <c r="AA54" s="73" t="s">
        <v>74</v>
      </c>
      <c r="AB54" s="73" t="s">
        <v>11</v>
      </c>
      <c r="AC54" s="73">
        <v>35</v>
      </c>
      <c r="AD54" s="82" t="s">
        <v>572</v>
      </c>
      <c r="AE54" s="73" t="s">
        <v>114</v>
      </c>
      <c r="AF54" s="73" t="s">
        <v>12</v>
      </c>
      <c r="AG54" s="83">
        <v>18.3</v>
      </c>
      <c r="AH54" s="164"/>
      <c r="AL54" s="82"/>
      <c r="AO54" s="83"/>
      <c r="AP54" s="82"/>
      <c r="AS54" s="83"/>
      <c r="AW54" s="83"/>
      <c r="BA54" s="84"/>
    </row>
    <row r="55" spans="1:53" s="334" customFormat="1" x14ac:dyDescent="0.15">
      <c r="A55" s="386">
        <v>1983</v>
      </c>
      <c r="B55" s="355">
        <v>30462</v>
      </c>
      <c r="C55" s="812" t="s">
        <v>292</v>
      </c>
      <c r="D55" s="812"/>
      <c r="E55" s="334">
        <f>365-E54</f>
        <v>220</v>
      </c>
      <c r="F55" s="334">
        <v>5</v>
      </c>
      <c r="G55" s="419">
        <v>6</v>
      </c>
      <c r="H55" s="334">
        <v>4</v>
      </c>
      <c r="J55" s="435">
        <v>10</v>
      </c>
      <c r="K55" s="384">
        <f t="shared" si="4"/>
        <v>60</v>
      </c>
      <c r="L55" s="384">
        <f t="shared" si="4"/>
        <v>40</v>
      </c>
      <c r="M55" s="384">
        <f t="shared" si="4"/>
        <v>0</v>
      </c>
      <c r="N55" s="421">
        <f t="shared" si="2"/>
        <v>100</v>
      </c>
      <c r="O55" s="383">
        <v>38.299999999999997</v>
      </c>
      <c r="P55" s="384">
        <v>23.3</v>
      </c>
      <c r="Q55" s="384"/>
      <c r="R55" s="385">
        <f t="shared" si="3"/>
        <v>61.599999999999994</v>
      </c>
      <c r="S55" s="334">
        <v>2</v>
      </c>
      <c r="T55" s="342">
        <v>30429</v>
      </c>
      <c r="U55" s="355">
        <v>30462</v>
      </c>
      <c r="V55" s="343" t="s">
        <v>489</v>
      </c>
      <c r="W55" s="334" t="s">
        <v>289</v>
      </c>
      <c r="X55" s="334" t="s">
        <v>18</v>
      </c>
      <c r="Y55" s="344">
        <v>23.3</v>
      </c>
      <c r="Z55" s="343" t="s">
        <v>571</v>
      </c>
      <c r="AA55" s="334" t="s">
        <v>74</v>
      </c>
      <c r="AB55" s="334" t="s">
        <v>11</v>
      </c>
      <c r="AC55" s="334">
        <v>38.299999999999997</v>
      </c>
      <c r="AD55" s="343"/>
      <c r="AG55" s="344"/>
      <c r="AH55" s="452"/>
      <c r="AL55" s="343"/>
      <c r="AO55" s="344"/>
      <c r="AP55" s="343"/>
      <c r="AS55" s="344"/>
      <c r="AW55" s="344"/>
      <c r="BA55" s="345"/>
    </row>
    <row r="56" spans="1:53" s="334" customFormat="1" x14ac:dyDescent="0.15">
      <c r="A56" s="386">
        <v>1984</v>
      </c>
      <c r="B56" s="355"/>
      <c r="C56" s="812" t="s">
        <v>292</v>
      </c>
      <c r="D56" s="812"/>
      <c r="E56" s="334">
        <v>0</v>
      </c>
      <c r="G56" s="419">
        <v>6</v>
      </c>
      <c r="H56" s="334">
        <v>4</v>
      </c>
      <c r="J56" s="435">
        <v>10</v>
      </c>
      <c r="K56" s="384">
        <f t="shared" si="4"/>
        <v>60</v>
      </c>
      <c r="L56" s="384">
        <f t="shared" si="4"/>
        <v>40</v>
      </c>
      <c r="M56" s="384">
        <f t="shared" si="4"/>
        <v>0</v>
      </c>
      <c r="N56" s="421">
        <f t="shared" si="2"/>
        <v>100</v>
      </c>
      <c r="O56" s="383">
        <v>38.299999999999997</v>
      </c>
      <c r="P56" s="384">
        <v>23.3</v>
      </c>
      <c r="Q56" s="384"/>
      <c r="R56" s="385">
        <f t="shared" si="3"/>
        <v>61.599999999999994</v>
      </c>
      <c r="S56" s="334">
        <v>2</v>
      </c>
      <c r="T56" s="357"/>
      <c r="V56" s="343" t="s">
        <v>489</v>
      </c>
      <c r="W56" s="334" t="s">
        <v>289</v>
      </c>
      <c r="X56" s="334" t="s">
        <v>18</v>
      </c>
      <c r="Y56" s="344">
        <v>23.3</v>
      </c>
      <c r="Z56" s="343" t="s">
        <v>571</v>
      </c>
      <c r="AA56" s="334" t="s">
        <v>74</v>
      </c>
      <c r="AB56" s="334" t="s">
        <v>11</v>
      </c>
      <c r="AC56" s="334">
        <v>38.299999999999997</v>
      </c>
      <c r="AD56" s="343"/>
      <c r="AG56" s="344"/>
      <c r="AH56" s="452"/>
      <c r="AL56" s="343"/>
      <c r="AO56" s="344"/>
      <c r="AP56" s="343"/>
      <c r="AS56" s="344"/>
      <c r="AW56" s="344"/>
      <c r="BA56" s="345"/>
    </row>
    <row r="57" spans="1:53" s="334" customFormat="1" x14ac:dyDescent="0.15">
      <c r="A57" s="386">
        <v>1984</v>
      </c>
      <c r="B57" s="355"/>
      <c r="C57" s="812" t="s">
        <v>292</v>
      </c>
      <c r="D57" s="812"/>
      <c r="E57" s="334">
        <v>366</v>
      </c>
      <c r="G57" s="419">
        <v>6</v>
      </c>
      <c r="H57" s="334">
        <v>4</v>
      </c>
      <c r="J57" s="435">
        <v>10</v>
      </c>
      <c r="K57" s="384">
        <f t="shared" si="4"/>
        <v>60</v>
      </c>
      <c r="L57" s="384">
        <f t="shared" si="4"/>
        <v>40</v>
      </c>
      <c r="M57" s="384">
        <f t="shared" si="4"/>
        <v>0</v>
      </c>
      <c r="N57" s="421">
        <f t="shared" si="2"/>
        <v>100</v>
      </c>
      <c r="O57" s="383">
        <v>38.299999999999997</v>
      </c>
      <c r="P57" s="384">
        <v>23.3</v>
      </c>
      <c r="Q57" s="384"/>
      <c r="R57" s="385">
        <f t="shared" si="3"/>
        <v>61.599999999999994</v>
      </c>
      <c r="S57" s="334">
        <v>2</v>
      </c>
      <c r="T57" s="357"/>
      <c r="V57" s="343" t="s">
        <v>489</v>
      </c>
      <c r="W57" s="334" t="s">
        <v>289</v>
      </c>
      <c r="X57" s="334" t="s">
        <v>18</v>
      </c>
      <c r="Y57" s="344">
        <v>23.3</v>
      </c>
      <c r="Z57" s="343" t="s">
        <v>571</v>
      </c>
      <c r="AA57" s="334" t="s">
        <v>74</v>
      </c>
      <c r="AB57" s="334" t="s">
        <v>11</v>
      </c>
      <c r="AC57" s="334">
        <v>38.299999999999997</v>
      </c>
      <c r="AD57" s="343"/>
      <c r="AG57" s="344"/>
      <c r="AH57" s="452"/>
      <c r="AL57" s="343"/>
      <c r="AO57" s="344"/>
      <c r="AP57" s="343"/>
      <c r="AS57" s="344"/>
      <c r="AW57" s="344"/>
      <c r="BA57" s="345"/>
    </row>
    <row r="58" spans="1:53" s="334" customFormat="1" x14ac:dyDescent="0.15">
      <c r="A58" s="386">
        <v>1985</v>
      </c>
      <c r="B58" s="355"/>
      <c r="C58" s="812" t="s">
        <v>292</v>
      </c>
      <c r="D58" s="812"/>
      <c r="E58" s="334">
        <v>0</v>
      </c>
      <c r="G58" s="419">
        <v>6</v>
      </c>
      <c r="H58" s="334">
        <v>4</v>
      </c>
      <c r="J58" s="435">
        <v>10</v>
      </c>
      <c r="K58" s="384">
        <f t="shared" si="4"/>
        <v>60</v>
      </c>
      <c r="L58" s="384">
        <f t="shared" si="4"/>
        <v>40</v>
      </c>
      <c r="M58" s="384">
        <f t="shared" si="4"/>
        <v>0</v>
      </c>
      <c r="N58" s="421">
        <f t="shared" si="2"/>
        <v>100</v>
      </c>
      <c r="O58" s="383">
        <v>38.299999999999997</v>
      </c>
      <c r="P58" s="384">
        <v>23.3</v>
      </c>
      <c r="Q58" s="384"/>
      <c r="R58" s="385">
        <f t="shared" si="3"/>
        <v>61.599999999999994</v>
      </c>
      <c r="S58" s="334">
        <v>2</v>
      </c>
      <c r="T58" s="357"/>
      <c r="V58" s="343" t="s">
        <v>489</v>
      </c>
      <c r="W58" s="334" t="s">
        <v>289</v>
      </c>
      <c r="X58" s="334" t="s">
        <v>18</v>
      </c>
      <c r="Y58" s="344">
        <v>23.3</v>
      </c>
      <c r="Z58" s="343" t="s">
        <v>571</v>
      </c>
      <c r="AA58" s="334" t="s">
        <v>74</v>
      </c>
      <c r="AB58" s="334" t="s">
        <v>11</v>
      </c>
      <c r="AC58" s="334">
        <v>38.299999999999997</v>
      </c>
      <c r="AD58" s="343"/>
      <c r="AG58" s="344"/>
      <c r="AH58" s="452"/>
      <c r="AL58" s="343"/>
      <c r="AO58" s="344"/>
      <c r="AP58" s="343"/>
      <c r="AS58" s="344"/>
      <c r="AW58" s="344"/>
      <c r="BA58" s="345"/>
    </row>
    <row r="59" spans="1:53" s="334" customFormat="1" x14ac:dyDescent="0.15">
      <c r="A59" s="386">
        <v>1985</v>
      </c>
      <c r="B59" s="355"/>
      <c r="C59" s="812" t="s">
        <v>292</v>
      </c>
      <c r="D59" s="812"/>
      <c r="E59" s="334">
        <v>365</v>
      </c>
      <c r="G59" s="419">
        <v>6</v>
      </c>
      <c r="H59" s="334">
        <v>4</v>
      </c>
      <c r="J59" s="435">
        <v>10</v>
      </c>
      <c r="K59" s="384">
        <f t="shared" si="4"/>
        <v>60</v>
      </c>
      <c r="L59" s="384">
        <f t="shared" si="4"/>
        <v>40</v>
      </c>
      <c r="M59" s="384">
        <f t="shared" si="4"/>
        <v>0</v>
      </c>
      <c r="N59" s="421">
        <f t="shared" si="2"/>
        <v>100</v>
      </c>
      <c r="O59" s="383">
        <v>38.299999999999997</v>
      </c>
      <c r="P59" s="384">
        <v>23.3</v>
      </c>
      <c r="Q59" s="384"/>
      <c r="R59" s="385">
        <f t="shared" si="3"/>
        <v>61.599999999999994</v>
      </c>
      <c r="S59" s="334">
        <v>2</v>
      </c>
      <c r="T59" s="357"/>
      <c r="V59" s="343" t="s">
        <v>489</v>
      </c>
      <c r="W59" s="334" t="s">
        <v>289</v>
      </c>
      <c r="X59" s="334" t="s">
        <v>18</v>
      </c>
      <c r="Y59" s="344">
        <v>23.3</v>
      </c>
      <c r="Z59" s="343" t="s">
        <v>571</v>
      </c>
      <c r="AA59" s="334" t="s">
        <v>74</v>
      </c>
      <c r="AB59" s="334" t="s">
        <v>11</v>
      </c>
      <c r="AC59" s="334">
        <v>38.299999999999997</v>
      </c>
      <c r="AD59" s="343"/>
      <c r="AG59" s="344"/>
      <c r="AH59" s="452"/>
      <c r="AL59" s="343"/>
      <c r="AO59" s="344"/>
      <c r="AP59" s="343"/>
      <c r="AS59" s="344"/>
      <c r="AW59" s="344"/>
      <c r="BA59" s="345"/>
    </row>
    <row r="60" spans="1:53" s="334" customFormat="1" x14ac:dyDescent="0.15">
      <c r="A60" s="386">
        <v>1986</v>
      </c>
      <c r="B60" s="355"/>
      <c r="C60" s="812" t="s">
        <v>292</v>
      </c>
      <c r="D60" s="812"/>
      <c r="E60" s="334">
        <v>0</v>
      </c>
      <c r="G60" s="419">
        <v>6</v>
      </c>
      <c r="H60" s="334">
        <v>4</v>
      </c>
      <c r="J60" s="435">
        <v>10</v>
      </c>
      <c r="K60" s="384">
        <f t="shared" si="4"/>
        <v>60</v>
      </c>
      <c r="L60" s="384">
        <f t="shared" si="4"/>
        <v>40</v>
      </c>
      <c r="M60" s="384">
        <f t="shared" si="4"/>
        <v>0</v>
      </c>
      <c r="N60" s="421">
        <f t="shared" si="2"/>
        <v>100</v>
      </c>
      <c r="O60" s="383">
        <v>38.299999999999997</v>
      </c>
      <c r="P60" s="384">
        <v>23.3</v>
      </c>
      <c r="Q60" s="384"/>
      <c r="R60" s="385">
        <f t="shared" si="3"/>
        <v>61.599999999999994</v>
      </c>
      <c r="S60" s="334">
        <v>2</v>
      </c>
      <c r="T60" s="357"/>
      <c r="V60" s="343" t="s">
        <v>489</v>
      </c>
      <c r="W60" s="334" t="s">
        <v>289</v>
      </c>
      <c r="X60" s="334" t="s">
        <v>18</v>
      </c>
      <c r="Y60" s="344">
        <v>23.3</v>
      </c>
      <c r="Z60" s="343" t="s">
        <v>571</v>
      </c>
      <c r="AA60" s="334" t="s">
        <v>74</v>
      </c>
      <c r="AB60" s="334" t="s">
        <v>11</v>
      </c>
      <c r="AC60" s="334">
        <v>38.299999999999997</v>
      </c>
      <c r="AD60" s="343"/>
      <c r="AG60" s="344"/>
      <c r="AH60" s="452"/>
      <c r="AL60" s="343"/>
      <c r="AO60" s="344"/>
      <c r="AP60" s="343"/>
      <c r="AS60" s="344"/>
      <c r="AW60" s="344"/>
      <c r="BA60" s="345"/>
    </row>
    <row r="61" spans="1:53" s="334" customFormat="1" x14ac:dyDescent="0.15">
      <c r="A61" s="386">
        <v>1986</v>
      </c>
      <c r="B61" s="355"/>
      <c r="C61" s="812" t="s">
        <v>292</v>
      </c>
      <c r="D61" s="812"/>
      <c r="E61" s="334">
        <v>365</v>
      </c>
      <c r="G61" s="419">
        <v>6</v>
      </c>
      <c r="H61" s="334">
        <v>4</v>
      </c>
      <c r="J61" s="435">
        <v>10</v>
      </c>
      <c r="K61" s="384">
        <f t="shared" si="4"/>
        <v>60</v>
      </c>
      <c r="L61" s="384">
        <f t="shared" si="4"/>
        <v>40</v>
      </c>
      <c r="M61" s="384">
        <f t="shared" si="4"/>
        <v>0</v>
      </c>
      <c r="N61" s="421">
        <f t="shared" si="2"/>
        <v>100</v>
      </c>
      <c r="O61" s="383">
        <v>38.299999999999997</v>
      </c>
      <c r="P61" s="384">
        <v>23.3</v>
      </c>
      <c r="Q61" s="384"/>
      <c r="R61" s="385">
        <f t="shared" si="3"/>
        <v>61.599999999999994</v>
      </c>
      <c r="S61" s="334">
        <v>2</v>
      </c>
      <c r="T61" s="357"/>
      <c r="V61" s="343" t="s">
        <v>489</v>
      </c>
      <c r="W61" s="334" t="s">
        <v>289</v>
      </c>
      <c r="X61" s="334" t="s">
        <v>18</v>
      </c>
      <c r="Y61" s="344">
        <v>23.3</v>
      </c>
      <c r="Z61" s="343" t="s">
        <v>571</v>
      </c>
      <c r="AA61" s="334" t="s">
        <v>74</v>
      </c>
      <c r="AB61" s="334" t="s">
        <v>11</v>
      </c>
      <c r="AC61" s="334">
        <v>38.299999999999997</v>
      </c>
      <c r="AD61" s="343"/>
      <c r="AG61" s="344"/>
      <c r="AH61" s="452"/>
      <c r="AL61" s="343"/>
      <c r="AO61" s="344"/>
      <c r="AP61" s="343"/>
      <c r="AS61" s="344"/>
      <c r="AW61" s="344"/>
      <c r="BA61" s="345"/>
    </row>
    <row r="62" spans="1:53" s="334" customFormat="1" x14ac:dyDescent="0.15">
      <c r="A62" s="386">
        <v>1987</v>
      </c>
      <c r="B62" s="355"/>
      <c r="C62" s="812" t="s">
        <v>292</v>
      </c>
      <c r="D62" s="812"/>
      <c r="E62" s="334">
        <v>188</v>
      </c>
      <c r="G62" s="419">
        <v>6</v>
      </c>
      <c r="H62" s="334">
        <v>4</v>
      </c>
      <c r="J62" s="435">
        <v>10</v>
      </c>
      <c r="K62" s="384">
        <f t="shared" si="4"/>
        <v>60</v>
      </c>
      <c r="L62" s="384">
        <f t="shared" si="4"/>
        <v>40</v>
      </c>
      <c r="M62" s="384">
        <f t="shared" si="4"/>
        <v>0</v>
      </c>
      <c r="N62" s="421">
        <f t="shared" si="2"/>
        <v>100</v>
      </c>
      <c r="O62" s="383">
        <v>38.299999999999997</v>
      </c>
      <c r="P62" s="384">
        <v>23.3</v>
      </c>
      <c r="Q62" s="384"/>
      <c r="R62" s="385">
        <f t="shared" si="3"/>
        <v>61.599999999999994</v>
      </c>
      <c r="S62" s="334">
        <v>2</v>
      </c>
      <c r="T62" s="357"/>
      <c r="V62" s="343" t="s">
        <v>489</v>
      </c>
      <c r="W62" s="334" t="s">
        <v>289</v>
      </c>
      <c r="X62" s="334" t="s">
        <v>18</v>
      </c>
      <c r="Y62" s="344">
        <v>23.3</v>
      </c>
      <c r="Z62" s="343" t="s">
        <v>571</v>
      </c>
      <c r="AA62" s="334" t="s">
        <v>74</v>
      </c>
      <c r="AB62" s="334" t="s">
        <v>11</v>
      </c>
      <c r="AC62" s="334">
        <v>38.299999999999997</v>
      </c>
      <c r="AD62" s="343"/>
      <c r="AG62" s="344"/>
      <c r="AH62" s="452"/>
      <c r="AL62" s="343"/>
      <c r="AO62" s="344"/>
      <c r="AP62" s="343"/>
      <c r="AS62" s="344"/>
      <c r="AW62" s="344"/>
      <c r="BA62" s="345"/>
    </row>
    <row r="63" spans="1:53" s="73" customFormat="1" x14ac:dyDescent="0.15">
      <c r="A63" s="102">
        <v>1987</v>
      </c>
      <c r="B63" s="85">
        <v>31966</v>
      </c>
      <c r="C63" s="811" t="s">
        <v>1187</v>
      </c>
      <c r="D63" s="811"/>
      <c r="E63" s="73">
        <f>365-E62</f>
        <v>177</v>
      </c>
      <c r="F63" s="73">
        <v>1</v>
      </c>
      <c r="G63" s="123">
        <v>4</v>
      </c>
      <c r="H63" s="73">
        <v>4</v>
      </c>
      <c r="I63" s="73">
        <v>3</v>
      </c>
      <c r="J63" s="134">
        <v>11</v>
      </c>
      <c r="K63" s="92">
        <f t="shared" si="4"/>
        <v>36.363636363636367</v>
      </c>
      <c r="L63" s="92">
        <f t="shared" si="4"/>
        <v>36.363636363636367</v>
      </c>
      <c r="M63" s="92">
        <f t="shared" si="4"/>
        <v>27.27272727272727</v>
      </c>
      <c r="N63" s="125">
        <f t="shared" si="2"/>
        <v>100</v>
      </c>
      <c r="O63" s="91">
        <v>28.6</v>
      </c>
      <c r="P63" s="92">
        <v>20.6</v>
      </c>
      <c r="Q63" s="92">
        <v>15.8</v>
      </c>
      <c r="R63" s="93">
        <f t="shared" si="3"/>
        <v>65</v>
      </c>
      <c r="S63" s="73">
        <v>2</v>
      </c>
      <c r="T63" s="95">
        <v>31892</v>
      </c>
      <c r="U63" s="85">
        <v>31966</v>
      </c>
      <c r="V63" s="82" t="s">
        <v>489</v>
      </c>
      <c r="W63" s="73" t="s">
        <v>289</v>
      </c>
      <c r="X63" s="73" t="s">
        <v>18</v>
      </c>
      <c r="Y63" s="83">
        <v>20.6</v>
      </c>
      <c r="Z63" s="82" t="s">
        <v>571</v>
      </c>
      <c r="AA63" s="73" t="s">
        <v>74</v>
      </c>
      <c r="AB63" s="73" t="s">
        <v>11</v>
      </c>
      <c r="AC63" s="73">
        <v>28.6</v>
      </c>
      <c r="AD63" s="82" t="s">
        <v>112</v>
      </c>
      <c r="AE63" s="73" t="s">
        <v>20</v>
      </c>
      <c r="AF63" s="73" t="s">
        <v>12</v>
      </c>
      <c r="AG63" s="83">
        <v>15.8</v>
      </c>
      <c r="AH63" s="164"/>
      <c r="AL63" s="82"/>
      <c r="AO63" s="83"/>
      <c r="AP63" s="82"/>
      <c r="AS63" s="83"/>
      <c r="AW63" s="83"/>
      <c r="BA63" s="84"/>
    </row>
    <row r="64" spans="1:53" s="73" customFormat="1" x14ac:dyDescent="0.15">
      <c r="A64" s="102">
        <v>1988</v>
      </c>
      <c r="B64" s="85"/>
      <c r="C64" s="811" t="s">
        <v>1187</v>
      </c>
      <c r="D64" s="811"/>
      <c r="E64" s="73">
        <v>272</v>
      </c>
      <c r="G64" s="123">
        <v>4</v>
      </c>
      <c r="H64" s="73">
        <v>4</v>
      </c>
      <c r="I64" s="73">
        <v>3</v>
      </c>
      <c r="J64" s="134">
        <v>11</v>
      </c>
      <c r="K64" s="92">
        <f t="shared" si="4"/>
        <v>36.363636363636367</v>
      </c>
      <c r="L64" s="92">
        <f t="shared" si="4"/>
        <v>36.363636363636367</v>
      </c>
      <c r="M64" s="92">
        <f t="shared" si="4"/>
        <v>27.27272727272727</v>
      </c>
      <c r="N64" s="125">
        <f t="shared" si="2"/>
        <v>100</v>
      </c>
      <c r="O64" s="91">
        <v>28.6</v>
      </c>
      <c r="P64" s="92">
        <v>20.6</v>
      </c>
      <c r="Q64" s="92">
        <v>15.8</v>
      </c>
      <c r="R64" s="93">
        <f t="shared" si="3"/>
        <v>65</v>
      </c>
      <c r="S64" s="73">
        <v>2</v>
      </c>
      <c r="T64" s="81"/>
      <c r="V64" s="82" t="s">
        <v>489</v>
      </c>
      <c r="W64" s="73" t="s">
        <v>289</v>
      </c>
      <c r="X64" s="73" t="s">
        <v>18</v>
      </c>
      <c r="Y64" s="83">
        <v>20.6</v>
      </c>
      <c r="Z64" s="82" t="s">
        <v>571</v>
      </c>
      <c r="AA64" s="73" t="s">
        <v>74</v>
      </c>
      <c r="AB64" s="73" t="s">
        <v>11</v>
      </c>
      <c r="AC64" s="73">
        <v>28.6</v>
      </c>
      <c r="AD64" s="82" t="s">
        <v>112</v>
      </c>
      <c r="AE64" s="73" t="s">
        <v>20</v>
      </c>
      <c r="AF64" s="73" t="s">
        <v>12</v>
      </c>
      <c r="AG64" s="83">
        <v>15.8</v>
      </c>
      <c r="AH64" s="164"/>
      <c r="AL64" s="82"/>
      <c r="AO64" s="83"/>
      <c r="AP64" s="82"/>
      <c r="AS64" s="83"/>
      <c r="AW64" s="83"/>
      <c r="BA64" s="84"/>
    </row>
    <row r="65" spans="1:53" s="334" customFormat="1" x14ac:dyDescent="0.15">
      <c r="A65" s="386">
        <v>1988</v>
      </c>
      <c r="B65" s="355">
        <v>32415</v>
      </c>
      <c r="C65" s="812" t="s">
        <v>293</v>
      </c>
      <c r="D65" s="812"/>
      <c r="E65" s="334">
        <f>366-E64</f>
        <v>94</v>
      </c>
      <c r="F65" s="334">
        <v>5</v>
      </c>
      <c r="G65" s="419"/>
      <c r="H65" s="334">
        <v>3</v>
      </c>
      <c r="I65" s="334">
        <v>6</v>
      </c>
      <c r="J65" s="435">
        <v>9</v>
      </c>
      <c r="K65" s="384">
        <f t="shared" si="4"/>
        <v>0</v>
      </c>
      <c r="L65" s="384">
        <f t="shared" si="4"/>
        <v>33.333333333333329</v>
      </c>
      <c r="M65" s="384">
        <f t="shared" si="4"/>
        <v>66.666666666666657</v>
      </c>
      <c r="N65" s="421">
        <f t="shared" si="2"/>
        <v>99.999999999999986</v>
      </c>
      <c r="O65" s="383"/>
      <c r="P65" s="384">
        <v>20.6</v>
      </c>
      <c r="Q65" s="384">
        <v>28.5</v>
      </c>
      <c r="R65" s="385">
        <f t="shared" si="3"/>
        <v>49.1</v>
      </c>
      <c r="S65" s="334">
        <v>5</v>
      </c>
      <c r="T65" s="357"/>
      <c r="U65" s="355">
        <v>32415</v>
      </c>
      <c r="V65" s="343" t="s">
        <v>489</v>
      </c>
      <c r="W65" s="334" t="s">
        <v>289</v>
      </c>
      <c r="X65" s="334" t="s">
        <v>18</v>
      </c>
      <c r="Y65" s="344">
        <v>20.6</v>
      </c>
      <c r="Z65" s="334" t="s">
        <v>112</v>
      </c>
      <c r="AA65" s="334" t="s">
        <v>20</v>
      </c>
      <c r="AB65" s="334" t="s">
        <v>12</v>
      </c>
      <c r="AC65" s="334">
        <v>15.8</v>
      </c>
      <c r="AD65" s="343" t="s">
        <v>572</v>
      </c>
      <c r="AE65" s="334" t="s">
        <v>114</v>
      </c>
      <c r="AF65" s="334" t="s">
        <v>12</v>
      </c>
      <c r="AG65" s="344">
        <v>12.7</v>
      </c>
      <c r="AH65" s="452"/>
      <c r="AL65" s="343"/>
      <c r="AO65" s="344"/>
      <c r="AP65" s="343"/>
      <c r="AS65" s="344"/>
      <c r="AW65" s="344"/>
      <c r="BA65" s="345"/>
    </row>
    <row r="66" spans="1:53" s="334" customFormat="1" x14ac:dyDescent="0.15">
      <c r="A66" s="386">
        <v>1989</v>
      </c>
      <c r="B66" s="355"/>
      <c r="C66" s="812" t="s">
        <v>293</v>
      </c>
      <c r="D66" s="812"/>
      <c r="E66" s="334">
        <v>270</v>
      </c>
      <c r="G66" s="419"/>
      <c r="H66" s="334">
        <v>3</v>
      </c>
      <c r="I66" s="334">
        <v>6</v>
      </c>
      <c r="J66" s="435">
        <v>9</v>
      </c>
      <c r="K66" s="384">
        <f t="shared" si="4"/>
        <v>0</v>
      </c>
      <c r="L66" s="384">
        <f t="shared" si="4"/>
        <v>33.333333333333329</v>
      </c>
      <c r="M66" s="384">
        <f t="shared" si="4"/>
        <v>66.666666666666657</v>
      </c>
      <c r="N66" s="421">
        <f t="shared" si="2"/>
        <v>99.999999999999986</v>
      </c>
      <c r="O66" s="383"/>
      <c r="P66" s="384">
        <v>20.6</v>
      </c>
      <c r="Q66" s="384">
        <v>28.5</v>
      </c>
      <c r="R66" s="385">
        <f t="shared" si="3"/>
        <v>49.1</v>
      </c>
      <c r="S66" s="334">
        <v>5</v>
      </c>
      <c r="T66" s="357"/>
      <c r="V66" s="343" t="s">
        <v>489</v>
      </c>
      <c r="W66" s="334" t="s">
        <v>289</v>
      </c>
      <c r="X66" s="334" t="s">
        <v>18</v>
      </c>
      <c r="Y66" s="344">
        <v>20.6</v>
      </c>
      <c r="Z66" s="334" t="s">
        <v>112</v>
      </c>
      <c r="AA66" s="334" t="s">
        <v>20</v>
      </c>
      <c r="AB66" s="334" t="s">
        <v>12</v>
      </c>
      <c r="AC66" s="334">
        <v>15.8</v>
      </c>
      <c r="AD66" s="343" t="s">
        <v>572</v>
      </c>
      <c r="AE66" s="334" t="s">
        <v>114</v>
      </c>
      <c r="AF66" s="334" t="s">
        <v>12</v>
      </c>
      <c r="AG66" s="344">
        <v>12.7</v>
      </c>
      <c r="AH66" s="452"/>
      <c r="AL66" s="343"/>
      <c r="AO66" s="344"/>
      <c r="AP66" s="343"/>
      <c r="AS66" s="344"/>
      <c r="AW66" s="344"/>
      <c r="BA66" s="345"/>
    </row>
    <row r="67" spans="1:53" s="73" customFormat="1" x14ac:dyDescent="0.15">
      <c r="A67" s="102">
        <v>1989</v>
      </c>
      <c r="B67" s="85">
        <v>32779</v>
      </c>
      <c r="C67" s="811" t="s">
        <v>294</v>
      </c>
      <c r="D67" s="811"/>
      <c r="E67" s="73">
        <f>365-E66</f>
        <v>95</v>
      </c>
      <c r="F67" s="73">
        <v>7</v>
      </c>
      <c r="G67" s="123">
        <v>2</v>
      </c>
      <c r="H67" s="73">
        <v>3</v>
      </c>
      <c r="I67" s="73">
        <v>6</v>
      </c>
      <c r="J67" s="134">
        <v>11</v>
      </c>
      <c r="K67" s="92">
        <f t="shared" si="4"/>
        <v>18.181818181818183</v>
      </c>
      <c r="L67" s="92">
        <f t="shared" si="4"/>
        <v>27.27272727272727</v>
      </c>
      <c r="M67" s="92">
        <f t="shared" si="4"/>
        <v>54.54545454545454</v>
      </c>
      <c r="N67" s="125">
        <f t="shared" si="2"/>
        <v>100</v>
      </c>
      <c r="O67" s="91">
        <v>11.1</v>
      </c>
      <c r="P67" s="92">
        <v>20.6</v>
      </c>
      <c r="Q67" s="92">
        <v>28.5</v>
      </c>
      <c r="R67" s="93">
        <f t="shared" si="3"/>
        <v>60.2</v>
      </c>
      <c r="S67" s="73">
        <v>2</v>
      </c>
      <c r="T67" s="81"/>
      <c r="U67" s="85">
        <v>32779</v>
      </c>
      <c r="V67" s="82" t="s">
        <v>489</v>
      </c>
      <c r="W67" s="73" t="s">
        <v>289</v>
      </c>
      <c r="X67" s="73" t="s">
        <v>18</v>
      </c>
      <c r="Y67" s="83">
        <v>20.6</v>
      </c>
      <c r="Z67" s="73" t="s">
        <v>112</v>
      </c>
      <c r="AA67" s="73" t="s">
        <v>20</v>
      </c>
      <c r="AB67" s="73" t="s">
        <v>12</v>
      </c>
      <c r="AC67" s="73">
        <v>15.8</v>
      </c>
      <c r="AD67" s="82" t="s">
        <v>514</v>
      </c>
      <c r="AE67" s="73" t="s">
        <v>118</v>
      </c>
      <c r="AF67" s="73" t="s">
        <v>11</v>
      </c>
      <c r="AG67" s="83">
        <v>11.1</v>
      </c>
      <c r="AH67" s="73" t="s">
        <v>572</v>
      </c>
      <c r="AI67" s="73" t="s">
        <v>114</v>
      </c>
      <c r="AJ67" s="73" t="s">
        <v>12</v>
      </c>
      <c r="AK67" s="73">
        <v>12.7</v>
      </c>
      <c r="AL67" s="82"/>
      <c r="AO67" s="83"/>
      <c r="AP67" s="82"/>
      <c r="AS67" s="83"/>
      <c r="AW67" s="83"/>
      <c r="BA67" s="84"/>
    </row>
    <row r="68" spans="1:53" s="151" customFormat="1" x14ac:dyDescent="0.15">
      <c r="A68" s="151">
        <v>1990</v>
      </c>
      <c r="C68" s="852" t="s">
        <v>294</v>
      </c>
      <c r="D68" s="852"/>
      <c r="E68" s="151">
        <v>0</v>
      </c>
      <c r="G68" s="165">
        <v>2</v>
      </c>
      <c r="H68" s="151">
        <v>3</v>
      </c>
      <c r="I68" s="151">
        <v>6</v>
      </c>
      <c r="J68" s="166">
        <v>11</v>
      </c>
      <c r="K68" s="167">
        <f t="shared" si="4"/>
        <v>18.181818181818183</v>
      </c>
      <c r="L68" s="167">
        <f t="shared" si="4"/>
        <v>27.27272727272727</v>
      </c>
      <c r="M68" s="167">
        <f t="shared" si="4"/>
        <v>54.54545454545454</v>
      </c>
      <c r="N68" s="168">
        <f t="shared" si="2"/>
        <v>100</v>
      </c>
      <c r="O68" s="169">
        <v>11.1</v>
      </c>
      <c r="P68" s="167">
        <v>20.6</v>
      </c>
      <c r="Q68" s="167">
        <v>28.5</v>
      </c>
      <c r="R68" s="170">
        <f t="shared" si="3"/>
        <v>60.2</v>
      </c>
      <c r="S68" s="151">
        <v>2</v>
      </c>
      <c r="T68" s="171"/>
      <c r="V68" s="172" t="s">
        <v>489</v>
      </c>
      <c r="W68" s="151" t="s">
        <v>289</v>
      </c>
      <c r="X68" s="151" t="s">
        <v>18</v>
      </c>
      <c r="Y68" s="173">
        <v>20.6</v>
      </c>
      <c r="Z68" s="151" t="s">
        <v>112</v>
      </c>
      <c r="AA68" s="151" t="s">
        <v>20</v>
      </c>
      <c r="AB68" s="151" t="s">
        <v>12</v>
      </c>
      <c r="AC68" s="151">
        <v>15.8</v>
      </c>
      <c r="AD68" s="172" t="s">
        <v>514</v>
      </c>
      <c r="AE68" s="151" t="s">
        <v>118</v>
      </c>
      <c r="AF68" s="151" t="s">
        <v>11</v>
      </c>
      <c r="AG68" s="173">
        <v>11.1</v>
      </c>
      <c r="AH68" s="151" t="s">
        <v>572</v>
      </c>
      <c r="AI68" s="151" t="s">
        <v>114</v>
      </c>
      <c r="AJ68" s="151" t="s">
        <v>12</v>
      </c>
      <c r="AK68" s="151">
        <v>12.7</v>
      </c>
      <c r="AL68" s="172"/>
      <c r="AO68" s="173"/>
      <c r="AP68" s="172"/>
      <c r="AS68" s="173"/>
      <c r="AW68" s="173"/>
      <c r="BA68" s="174"/>
    </row>
    <row r="69" spans="1:53" s="73" customFormat="1" x14ac:dyDescent="0.15">
      <c r="A69" s="73">
        <v>1990</v>
      </c>
      <c r="C69" s="811" t="s">
        <v>294</v>
      </c>
      <c r="D69" s="811"/>
      <c r="E69" s="73">
        <f>365-E68</f>
        <v>365</v>
      </c>
      <c r="G69" s="123">
        <v>2</v>
      </c>
      <c r="H69" s="73">
        <v>3</v>
      </c>
      <c r="I69" s="73">
        <v>6</v>
      </c>
      <c r="J69" s="134">
        <v>11</v>
      </c>
      <c r="K69" s="92">
        <f t="shared" si="4"/>
        <v>18.181818181818183</v>
      </c>
      <c r="L69" s="92">
        <f t="shared" si="4"/>
        <v>27.27272727272727</v>
      </c>
      <c r="M69" s="92">
        <f t="shared" si="4"/>
        <v>54.54545454545454</v>
      </c>
      <c r="N69" s="125">
        <f t="shared" si="2"/>
        <v>100</v>
      </c>
      <c r="O69" s="91">
        <v>11.1</v>
      </c>
      <c r="P69" s="92">
        <v>20.6</v>
      </c>
      <c r="Q69" s="92">
        <v>28.5</v>
      </c>
      <c r="R69" s="93">
        <f t="shared" si="3"/>
        <v>60.2</v>
      </c>
      <c r="S69" s="73">
        <v>2</v>
      </c>
      <c r="T69" s="81"/>
      <c r="V69" s="82" t="s">
        <v>489</v>
      </c>
      <c r="W69" s="73" t="s">
        <v>289</v>
      </c>
      <c r="X69" s="73" t="s">
        <v>18</v>
      </c>
      <c r="Y69" s="83">
        <v>20.6</v>
      </c>
      <c r="Z69" s="73" t="s">
        <v>112</v>
      </c>
      <c r="AA69" s="73" t="s">
        <v>20</v>
      </c>
      <c r="AB69" s="73" t="s">
        <v>12</v>
      </c>
      <c r="AC69" s="73">
        <v>15.8</v>
      </c>
      <c r="AD69" s="82" t="s">
        <v>514</v>
      </c>
      <c r="AE69" s="73" t="s">
        <v>118</v>
      </c>
      <c r="AF69" s="73" t="s">
        <v>11</v>
      </c>
      <c r="AG69" s="83">
        <v>11.1</v>
      </c>
      <c r="AH69" s="73" t="s">
        <v>572</v>
      </c>
      <c r="AI69" s="73" t="s">
        <v>114</v>
      </c>
      <c r="AJ69" s="73" t="s">
        <v>12</v>
      </c>
      <c r="AK69" s="73">
        <v>12.7</v>
      </c>
      <c r="AL69" s="82"/>
      <c r="AO69" s="83"/>
      <c r="AP69" s="82"/>
      <c r="AS69" s="83"/>
      <c r="AW69" s="83"/>
      <c r="BA69" s="84"/>
    </row>
    <row r="70" spans="1:53" s="73" customFormat="1" x14ac:dyDescent="0.15">
      <c r="A70" s="73">
        <v>1991</v>
      </c>
      <c r="C70" s="811" t="s">
        <v>294</v>
      </c>
      <c r="D70" s="811"/>
      <c r="E70" s="73">
        <v>119</v>
      </c>
      <c r="G70" s="123">
        <v>2</v>
      </c>
      <c r="H70" s="73">
        <v>3</v>
      </c>
      <c r="I70" s="73">
        <v>6</v>
      </c>
      <c r="J70" s="134">
        <v>11</v>
      </c>
      <c r="K70" s="92">
        <f t="shared" si="4"/>
        <v>18.181818181818183</v>
      </c>
      <c r="L70" s="92">
        <f t="shared" si="4"/>
        <v>27.27272727272727</v>
      </c>
      <c r="M70" s="92">
        <f t="shared" si="4"/>
        <v>54.54545454545454</v>
      </c>
      <c r="N70" s="125">
        <f t="shared" si="2"/>
        <v>100</v>
      </c>
      <c r="O70" s="91">
        <v>11.1</v>
      </c>
      <c r="P70" s="92">
        <v>20.6</v>
      </c>
      <c r="Q70" s="92">
        <v>28.5</v>
      </c>
      <c r="R70" s="93">
        <f t="shared" si="3"/>
        <v>60.2</v>
      </c>
      <c r="S70" s="73">
        <v>2</v>
      </c>
      <c r="T70" s="81"/>
      <c r="V70" s="82" t="s">
        <v>489</v>
      </c>
      <c r="W70" s="73" t="s">
        <v>289</v>
      </c>
      <c r="X70" s="73" t="s">
        <v>18</v>
      </c>
      <c r="Y70" s="83">
        <v>20.6</v>
      </c>
      <c r="Z70" s="73" t="s">
        <v>112</v>
      </c>
      <c r="AA70" s="73" t="s">
        <v>20</v>
      </c>
      <c r="AB70" s="73" t="s">
        <v>12</v>
      </c>
      <c r="AC70" s="73">
        <v>15.8</v>
      </c>
      <c r="AD70" s="82" t="s">
        <v>514</v>
      </c>
      <c r="AE70" s="73" t="s">
        <v>118</v>
      </c>
      <c r="AF70" s="73" t="s">
        <v>11</v>
      </c>
      <c r="AG70" s="83">
        <v>11.1</v>
      </c>
      <c r="AH70" s="73" t="s">
        <v>572</v>
      </c>
      <c r="AI70" s="73" t="s">
        <v>114</v>
      </c>
      <c r="AJ70" s="73" t="s">
        <v>12</v>
      </c>
      <c r="AK70" s="73">
        <v>12.7</v>
      </c>
      <c r="AL70" s="82"/>
      <c r="AO70" s="83"/>
      <c r="AP70" s="82"/>
      <c r="AS70" s="83"/>
      <c r="AW70" s="83"/>
      <c r="BA70" s="84"/>
    </row>
    <row r="71" spans="1:53" s="334" customFormat="1" x14ac:dyDescent="0.15">
      <c r="A71" s="334">
        <v>1991</v>
      </c>
      <c r="B71" s="355">
        <v>33358</v>
      </c>
      <c r="C71" s="812" t="s">
        <v>295</v>
      </c>
      <c r="D71" s="812"/>
      <c r="E71" s="334">
        <f>365-E70</f>
        <v>246</v>
      </c>
      <c r="F71" s="334">
        <v>1</v>
      </c>
      <c r="G71" s="419">
        <v>5</v>
      </c>
      <c r="I71" s="334">
        <v>5</v>
      </c>
      <c r="J71" s="435">
        <v>10</v>
      </c>
      <c r="K71" s="384">
        <f t="shared" si="4"/>
        <v>50</v>
      </c>
      <c r="L71" s="384">
        <f t="shared" si="4"/>
        <v>0</v>
      </c>
      <c r="M71" s="384">
        <f t="shared" si="4"/>
        <v>50</v>
      </c>
      <c r="N71" s="421">
        <f t="shared" si="2"/>
        <v>100</v>
      </c>
      <c r="O71" s="383">
        <v>41.3</v>
      </c>
      <c r="P71" s="384"/>
      <c r="Q71" s="384">
        <v>15.9</v>
      </c>
      <c r="R71" s="385">
        <f t="shared" si="3"/>
        <v>57.199999999999996</v>
      </c>
      <c r="S71" s="334">
        <v>2</v>
      </c>
      <c r="T71" s="342">
        <v>33348</v>
      </c>
      <c r="U71" s="355">
        <v>33358</v>
      </c>
      <c r="V71" s="343" t="s">
        <v>571</v>
      </c>
      <c r="W71" s="334" t="s">
        <v>74</v>
      </c>
      <c r="X71" s="334" t="s">
        <v>11</v>
      </c>
      <c r="Y71" s="344">
        <v>41.3</v>
      </c>
      <c r="Z71" s="334" t="s">
        <v>112</v>
      </c>
      <c r="AA71" s="334" t="s">
        <v>20</v>
      </c>
      <c r="AB71" s="334" t="s">
        <v>12</v>
      </c>
      <c r="AC71" s="334">
        <v>15.9</v>
      </c>
      <c r="AD71" s="343"/>
      <c r="AG71" s="344"/>
      <c r="AH71" s="452"/>
      <c r="AL71" s="343"/>
      <c r="AO71" s="344"/>
      <c r="AP71" s="343"/>
      <c r="AS71" s="344"/>
      <c r="AW71" s="344"/>
      <c r="BA71" s="345"/>
    </row>
    <row r="72" spans="1:53" s="334" customFormat="1" x14ac:dyDescent="0.15">
      <c r="A72" s="334">
        <v>1992</v>
      </c>
      <c r="C72" s="812" t="s">
        <v>295</v>
      </c>
      <c r="D72" s="812"/>
      <c r="E72" s="334">
        <v>0</v>
      </c>
      <c r="G72" s="419">
        <v>5</v>
      </c>
      <c r="I72" s="334">
        <v>5</v>
      </c>
      <c r="J72" s="435">
        <v>10</v>
      </c>
      <c r="K72" s="384">
        <f t="shared" ref="K72:M115" si="5">G72/$J72*100</f>
        <v>50</v>
      </c>
      <c r="L72" s="384">
        <f t="shared" si="5"/>
        <v>0</v>
      </c>
      <c r="M72" s="384">
        <f t="shared" si="5"/>
        <v>50</v>
      </c>
      <c r="N72" s="421">
        <f t="shared" si="2"/>
        <v>100</v>
      </c>
      <c r="O72" s="383">
        <v>41.3</v>
      </c>
      <c r="P72" s="384"/>
      <c r="Q72" s="384">
        <v>15.9</v>
      </c>
      <c r="R72" s="385">
        <f t="shared" si="3"/>
        <v>57.199999999999996</v>
      </c>
      <c r="S72" s="334">
        <v>2</v>
      </c>
      <c r="T72" s="357"/>
      <c r="V72" s="343" t="s">
        <v>571</v>
      </c>
      <c r="W72" s="334" t="s">
        <v>74</v>
      </c>
      <c r="X72" s="334" t="s">
        <v>11</v>
      </c>
      <c r="Y72" s="344">
        <v>41.3</v>
      </c>
      <c r="Z72" s="334" t="s">
        <v>112</v>
      </c>
      <c r="AA72" s="334" t="s">
        <v>20</v>
      </c>
      <c r="AB72" s="334" t="s">
        <v>12</v>
      </c>
      <c r="AC72" s="334">
        <v>15.9</v>
      </c>
      <c r="AD72" s="343"/>
      <c r="AG72" s="344"/>
      <c r="AH72" s="452"/>
      <c r="AL72" s="343"/>
      <c r="AO72" s="344"/>
      <c r="AP72" s="343"/>
      <c r="AS72" s="344"/>
      <c r="AW72" s="344"/>
      <c r="BA72" s="345"/>
    </row>
    <row r="73" spans="1:53" s="334" customFormat="1" x14ac:dyDescent="0.15">
      <c r="A73" s="334">
        <v>1992</v>
      </c>
      <c r="C73" s="812" t="s">
        <v>295</v>
      </c>
      <c r="D73" s="812"/>
      <c r="E73" s="334">
        <v>366</v>
      </c>
      <c r="G73" s="419">
        <v>5</v>
      </c>
      <c r="I73" s="334">
        <v>5</v>
      </c>
      <c r="J73" s="435">
        <v>10</v>
      </c>
      <c r="K73" s="384">
        <f t="shared" si="5"/>
        <v>50</v>
      </c>
      <c r="L73" s="384">
        <f t="shared" si="5"/>
        <v>0</v>
      </c>
      <c r="M73" s="384">
        <f t="shared" si="5"/>
        <v>50</v>
      </c>
      <c r="N73" s="421">
        <f t="shared" ref="N73:N115" si="6">K73+L73+M73</f>
        <v>100</v>
      </c>
      <c r="O73" s="383">
        <v>41.3</v>
      </c>
      <c r="P73" s="384"/>
      <c r="Q73" s="384">
        <v>15.9</v>
      </c>
      <c r="R73" s="385">
        <f t="shared" si="3"/>
        <v>57.199999999999996</v>
      </c>
      <c r="S73" s="334">
        <v>2</v>
      </c>
      <c r="T73" s="357"/>
      <c r="V73" s="343" t="s">
        <v>571</v>
      </c>
      <c r="W73" s="334" t="s">
        <v>74</v>
      </c>
      <c r="X73" s="334" t="s">
        <v>11</v>
      </c>
      <c r="Y73" s="344">
        <v>41.3</v>
      </c>
      <c r="Z73" s="334" t="s">
        <v>112</v>
      </c>
      <c r="AA73" s="334" t="s">
        <v>20</v>
      </c>
      <c r="AB73" s="334" t="s">
        <v>12</v>
      </c>
      <c r="AC73" s="334">
        <v>15.9</v>
      </c>
      <c r="AD73" s="343"/>
      <c r="AG73" s="344"/>
      <c r="AH73" s="452"/>
      <c r="AL73" s="343"/>
      <c r="AO73" s="344"/>
      <c r="AP73" s="343"/>
      <c r="AS73" s="344"/>
      <c r="AW73" s="344"/>
      <c r="BA73" s="345"/>
    </row>
    <row r="74" spans="1:53" s="334" customFormat="1" x14ac:dyDescent="0.15">
      <c r="A74" s="334">
        <v>1993</v>
      </c>
      <c r="C74" s="812" t="s">
        <v>295</v>
      </c>
      <c r="D74" s="812"/>
      <c r="E74" s="334">
        <v>0</v>
      </c>
      <c r="G74" s="419">
        <v>5</v>
      </c>
      <c r="I74" s="334">
        <v>5</v>
      </c>
      <c r="J74" s="435">
        <v>10</v>
      </c>
      <c r="K74" s="384">
        <f t="shared" si="5"/>
        <v>50</v>
      </c>
      <c r="L74" s="384">
        <f t="shared" si="5"/>
        <v>0</v>
      </c>
      <c r="M74" s="384">
        <f t="shared" si="5"/>
        <v>50</v>
      </c>
      <c r="N74" s="421">
        <f t="shared" si="6"/>
        <v>100</v>
      </c>
      <c r="O74" s="383">
        <v>41.3</v>
      </c>
      <c r="P74" s="384"/>
      <c r="Q74" s="384">
        <v>15.9</v>
      </c>
      <c r="R74" s="385">
        <f t="shared" ref="R74:R114" si="7">O74+P74+Q74</f>
        <v>57.199999999999996</v>
      </c>
      <c r="S74" s="334">
        <v>2</v>
      </c>
      <c r="T74" s="357"/>
      <c r="V74" s="343" t="s">
        <v>571</v>
      </c>
      <c r="W74" s="334" t="s">
        <v>74</v>
      </c>
      <c r="X74" s="334" t="s">
        <v>11</v>
      </c>
      <c r="Y74" s="344">
        <v>41.3</v>
      </c>
      <c r="Z74" s="334" t="s">
        <v>112</v>
      </c>
      <c r="AA74" s="334" t="s">
        <v>20</v>
      </c>
      <c r="AB74" s="334" t="s">
        <v>12</v>
      </c>
      <c r="AC74" s="334">
        <v>15.9</v>
      </c>
      <c r="AD74" s="343"/>
      <c r="AG74" s="344"/>
      <c r="AH74" s="452"/>
      <c r="AL74" s="343"/>
      <c r="AO74" s="344"/>
      <c r="AP74" s="343"/>
      <c r="AS74" s="344"/>
      <c r="AW74" s="344"/>
      <c r="BA74" s="345"/>
    </row>
    <row r="75" spans="1:53" s="334" customFormat="1" x14ac:dyDescent="0.15">
      <c r="A75" s="334">
        <v>1993</v>
      </c>
      <c r="C75" s="812" t="s">
        <v>295</v>
      </c>
      <c r="D75" s="812"/>
      <c r="E75" s="334">
        <f>365-E74</f>
        <v>365</v>
      </c>
      <c r="G75" s="419">
        <v>5</v>
      </c>
      <c r="I75" s="334">
        <v>5</v>
      </c>
      <c r="J75" s="435">
        <v>10</v>
      </c>
      <c r="K75" s="384">
        <f t="shared" si="5"/>
        <v>50</v>
      </c>
      <c r="L75" s="384">
        <f t="shared" si="5"/>
        <v>0</v>
      </c>
      <c r="M75" s="384">
        <f t="shared" si="5"/>
        <v>50</v>
      </c>
      <c r="N75" s="421">
        <f t="shared" si="6"/>
        <v>100</v>
      </c>
      <c r="O75" s="383">
        <v>41.3</v>
      </c>
      <c r="P75" s="384"/>
      <c r="Q75" s="384">
        <v>15.9</v>
      </c>
      <c r="R75" s="385">
        <f t="shared" si="7"/>
        <v>57.199999999999996</v>
      </c>
      <c r="S75" s="334">
        <v>2</v>
      </c>
      <c r="T75" s="357"/>
      <c r="V75" s="343" t="s">
        <v>571</v>
      </c>
      <c r="W75" s="334" t="s">
        <v>74</v>
      </c>
      <c r="X75" s="334" t="s">
        <v>11</v>
      </c>
      <c r="Y75" s="344">
        <v>41.3</v>
      </c>
      <c r="Z75" s="334" t="s">
        <v>112</v>
      </c>
      <c r="AA75" s="334" t="s">
        <v>20</v>
      </c>
      <c r="AB75" s="334" t="s">
        <v>12</v>
      </c>
      <c r="AC75" s="334">
        <v>15.9</v>
      </c>
      <c r="AD75" s="343"/>
      <c r="AG75" s="344"/>
      <c r="AH75" s="452"/>
      <c r="AL75" s="343"/>
      <c r="AO75" s="344"/>
      <c r="AP75" s="343"/>
      <c r="AS75" s="344"/>
      <c r="AW75" s="344"/>
      <c r="BA75" s="345"/>
    </row>
    <row r="76" spans="1:53" s="334" customFormat="1" x14ac:dyDescent="0.15">
      <c r="A76" s="334">
        <v>1994</v>
      </c>
      <c r="C76" s="812" t="s">
        <v>295</v>
      </c>
      <c r="D76" s="812"/>
      <c r="E76" s="334">
        <v>174</v>
      </c>
      <c r="G76" s="419">
        <v>5</v>
      </c>
      <c r="I76" s="334">
        <v>5</v>
      </c>
      <c r="J76" s="435">
        <v>10</v>
      </c>
      <c r="K76" s="384">
        <f t="shared" si="5"/>
        <v>50</v>
      </c>
      <c r="L76" s="384">
        <f t="shared" si="5"/>
        <v>0</v>
      </c>
      <c r="M76" s="384">
        <f t="shared" si="5"/>
        <v>50</v>
      </c>
      <c r="N76" s="421">
        <f t="shared" si="6"/>
        <v>100</v>
      </c>
      <c r="O76" s="383">
        <v>41.3</v>
      </c>
      <c r="P76" s="384"/>
      <c r="Q76" s="384">
        <v>15.9</v>
      </c>
      <c r="R76" s="385">
        <f t="shared" si="7"/>
        <v>57.199999999999996</v>
      </c>
      <c r="S76" s="334">
        <v>2</v>
      </c>
      <c r="T76" s="357"/>
      <c r="V76" s="343" t="s">
        <v>571</v>
      </c>
      <c r="W76" s="334" t="s">
        <v>74</v>
      </c>
      <c r="X76" s="334" t="s">
        <v>11</v>
      </c>
      <c r="Y76" s="344">
        <v>41.3</v>
      </c>
      <c r="Z76" s="334" t="s">
        <v>112</v>
      </c>
      <c r="AA76" s="334" t="s">
        <v>20</v>
      </c>
      <c r="AB76" s="334" t="s">
        <v>12</v>
      </c>
      <c r="AC76" s="334">
        <v>15.9</v>
      </c>
      <c r="AD76" s="343"/>
      <c r="AG76" s="344"/>
      <c r="AH76" s="452"/>
      <c r="AL76" s="343"/>
      <c r="AO76" s="344"/>
      <c r="AP76" s="343"/>
      <c r="AS76" s="344"/>
      <c r="AW76" s="344"/>
      <c r="BA76" s="345"/>
    </row>
    <row r="77" spans="1:53" s="334" customFormat="1" x14ac:dyDescent="0.15">
      <c r="A77" s="334">
        <v>1994</v>
      </c>
      <c r="B77" s="445">
        <v>34509</v>
      </c>
      <c r="C77" s="812" t="s">
        <v>295</v>
      </c>
      <c r="D77" s="812"/>
      <c r="E77" s="334">
        <f>365-E76</f>
        <v>191</v>
      </c>
      <c r="F77" s="441">
        <v>0</v>
      </c>
      <c r="G77" s="419">
        <v>5</v>
      </c>
      <c r="I77" s="334">
        <v>4</v>
      </c>
      <c r="J77" s="435">
        <v>9</v>
      </c>
      <c r="K77" s="384">
        <f t="shared" si="5"/>
        <v>55.555555555555557</v>
      </c>
      <c r="L77" s="384">
        <f t="shared" si="5"/>
        <v>0</v>
      </c>
      <c r="M77" s="384">
        <f t="shared" si="5"/>
        <v>44.444444444444443</v>
      </c>
      <c r="N77" s="421">
        <f t="shared" si="6"/>
        <v>100</v>
      </c>
      <c r="O77" s="383">
        <v>41.3</v>
      </c>
      <c r="P77" s="384"/>
      <c r="Q77" s="384">
        <v>15.9</v>
      </c>
      <c r="R77" s="385">
        <f t="shared" si="7"/>
        <v>57.199999999999996</v>
      </c>
      <c r="S77" s="334">
        <v>2</v>
      </c>
      <c r="T77" s="357"/>
      <c r="V77" s="343" t="s">
        <v>571</v>
      </c>
      <c r="W77" s="334" t="s">
        <v>74</v>
      </c>
      <c r="X77" s="334" t="s">
        <v>11</v>
      </c>
      <c r="Y77" s="344">
        <v>41.3</v>
      </c>
      <c r="Z77" s="334" t="s">
        <v>112</v>
      </c>
      <c r="AA77" s="334" t="s">
        <v>20</v>
      </c>
      <c r="AB77" s="334" t="s">
        <v>12</v>
      </c>
      <c r="AC77" s="334">
        <v>15.9</v>
      </c>
      <c r="AD77" s="343"/>
      <c r="AG77" s="344"/>
      <c r="AH77" s="452"/>
      <c r="AL77" s="343"/>
      <c r="AO77" s="344"/>
      <c r="AP77" s="343"/>
      <c r="AS77" s="344"/>
      <c r="AW77" s="344"/>
      <c r="BA77" s="345"/>
    </row>
    <row r="78" spans="1:53" s="334" customFormat="1" x14ac:dyDescent="0.15">
      <c r="A78" s="334">
        <v>1995</v>
      </c>
      <c r="C78" s="812" t="s">
        <v>295</v>
      </c>
      <c r="D78" s="812"/>
      <c r="E78" s="334">
        <v>112</v>
      </c>
      <c r="G78" s="419">
        <v>5</v>
      </c>
      <c r="I78" s="334">
        <v>4</v>
      </c>
      <c r="J78" s="435">
        <v>9</v>
      </c>
      <c r="K78" s="384">
        <f t="shared" si="5"/>
        <v>55.555555555555557</v>
      </c>
      <c r="L78" s="384">
        <f t="shared" si="5"/>
        <v>0</v>
      </c>
      <c r="M78" s="384">
        <f t="shared" si="5"/>
        <v>44.444444444444443</v>
      </c>
      <c r="N78" s="421">
        <f t="shared" si="6"/>
        <v>100</v>
      </c>
      <c r="O78" s="383">
        <v>41.3</v>
      </c>
      <c r="P78" s="384"/>
      <c r="Q78" s="384">
        <v>15.9</v>
      </c>
      <c r="R78" s="385">
        <f t="shared" si="7"/>
        <v>57.199999999999996</v>
      </c>
      <c r="S78" s="334">
        <v>2</v>
      </c>
      <c r="T78" s="357"/>
      <c r="V78" s="343" t="s">
        <v>571</v>
      </c>
      <c r="W78" s="334" t="s">
        <v>74</v>
      </c>
      <c r="X78" s="334" t="s">
        <v>11</v>
      </c>
      <c r="Y78" s="344">
        <v>41.3</v>
      </c>
      <c r="Z78" s="334" t="s">
        <v>112</v>
      </c>
      <c r="AA78" s="334" t="s">
        <v>20</v>
      </c>
      <c r="AB78" s="334" t="s">
        <v>12</v>
      </c>
      <c r="AC78" s="334">
        <v>15.9</v>
      </c>
      <c r="AD78" s="343"/>
      <c r="AG78" s="344"/>
      <c r="AH78" s="452"/>
      <c r="AL78" s="343"/>
      <c r="AO78" s="344"/>
      <c r="AP78" s="343"/>
      <c r="AS78" s="344"/>
      <c r="AW78" s="344"/>
      <c r="BA78" s="345"/>
    </row>
    <row r="79" spans="1:53" s="73" customFormat="1" x14ac:dyDescent="0.15">
      <c r="A79" s="73">
        <v>1995</v>
      </c>
      <c r="B79" s="85">
        <v>34812</v>
      </c>
      <c r="C79" s="811" t="s">
        <v>296</v>
      </c>
      <c r="D79" s="811"/>
      <c r="E79" s="73">
        <f>365-E78</f>
        <v>253</v>
      </c>
      <c r="F79" s="73">
        <v>1</v>
      </c>
      <c r="G79" s="123">
        <v>5</v>
      </c>
      <c r="H79" s="73">
        <v>5</v>
      </c>
      <c r="J79" s="134">
        <v>10</v>
      </c>
      <c r="K79" s="92">
        <f t="shared" si="5"/>
        <v>50</v>
      </c>
      <c r="L79" s="92">
        <f t="shared" si="5"/>
        <v>50</v>
      </c>
      <c r="M79" s="92">
        <f t="shared" si="5"/>
        <v>0</v>
      </c>
      <c r="N79" s="125">
        <f t="shared" si="6"/>
        <v>100</v>
      </c>
      <c r="O79" s="91">
        <v>39.700000000000003</v>
      </c>
      <c r="P79" s="92">
        <v>23.8</v>
      </c>
      <c r="Q79" s="92"/>
      <c r="R79" s="93">
        <f t="shared" si="7"/>
        <v>63.5</v>
      </c>
      <c r="S79" s="73">
        <v>2</v>
      </c>
      <c r="T79" s="95">
        <v>34797</v>
      </c>
      <c r="U79" s="85">
        <v>34812</v>
      </c>
      <c r="V79" s="82" t="s">
        <v>571</v>
      </c>
      <c r="W79" s="73" t="s">
        <v>74</v>
      </c>
      <c r="X79" s="73" t="s">
        <v>11</v>
      </c>
      <c r="Y79" s="83">
        <v>39.700000000000003</v>
      </c>
      <c r="Z79" s="82" t="s">
        <v>489</v>
      </c>
      <c r="AA79" s="73" t="s">
        <v>289</v>
      </c>
      <c r="AB79" s="73" t="s">
        <v>18</v>
      </c>
      <c r="AC79" s="73">
        <v>23.8</v>
      </c>
      <c r="AD79" s="82"/>
      <c r="AG79" s="83"/>
      <c r="AH79" s="164"/>
      <c r="AL79" s="82"/>
      <c r="AO79" s="83"/>
      <c r="AP79" s="82"/>
      <c r="AS79" s="83"/>
      <c r="AW79" s="83"/>
      <c r="BA79" s="84"/>
    </row>
    <row r="80" spans="1:53" s="73" customFormat="1" x14ac:dyDescent="0.15">
      <c r="A80" s="73">
        <v>1996</v>
      </c>
      <c r="C80" s="811" t="s">
        <v>296</v>
      </c>
      <c r="D80" s="811"/>
      <c r="E80" s="73">
        <v>0</v>
      </c>
      <c r="G80" s="123">
        <v>5</v>
      </c>
      <c r="H80" s="73">
        <v>5</v>
      </c>
      <c r="J80" s="134">
        <v>10</v>
      </c>
      <c r="K80" s="92">
        <f t="shared" si="5"/>
        <v>50</v>
      </c>
      <c r="L80" s="92">
        <f t="shared" si="5"/>
        <v>50</v>
      </c>
      <c r="M80" s="92">
        <f t="shared" si="5"/>
        <v>0</v>
      </c>
      <c r="N80" s="125">
        <f t="shared" si="6"/>
        <v>100</v>
      </c>
      <c r="O80" s="91">
        <v>39.700000000000003</v>
      </c>
      <c r="P80" s="92">
        <v>23.8</v>
      </c>
      <c r="Q80" s="92"/>
      <c r="R80" s="93">
        <f t="shared" si="7"/>
        <v>63.5</v>
      </c>
      <c r="S80" s="73">
        <v>2</v>
      </c>
      <c r="T80" s="81"/>
      <c r="V80" s="82" t="s">
        <v>571</v>
      </c>
      <c r="W80" s="73" t="s">
        <v>74</v>
      </c>
      <c r="X80" s="73" t="s">
        <v>11</v>
      </c>
      <c r="Y80" s="83">
        <v>39.700000000000003</v>
      </c>
      <c r="Z80" s="82" t="s">
        <v>489</v>
      </c>
      <c r="AA80" s="73" t="s">
        <v>289</v>
      </c>
      <c r="AB80" s="73" t="s">
        <v>18</v>
      </c>
      <c r="AC80" s="73">
        <v>23.8</v>
      </c>
      <c r="AD80" s="82"/>
      <c r="AG80" s="83"/>
      <c r="AH80" s="164"/>
      <c r="AL80" s="82"/>
      <c r="AO80" s="83"/>
      <c r="AP80" s="82"/>
      <c r="AS80" s="83"/>
      <c r="AW80" s="83"/>
      <c r="BA80" s="84"/>
    </row>
    <row r="81" spans="1:53" s="73" customFormat="1" x14ac:dyDescent="0.15">
      <c r="A81" s="73">
        <v>1996</v>
      </c>
      <c r="C81" s="811" t="s">
        <v>296</v>
      </c>
      <c r="D81" s="811"/>
      <c r="E81" s="73">
        <v>366</v>
      </c>
      <c r="G81" s="123">
        <v>5</v>
      </c>
      <c r="H81" s="73">
        <v>5</v>
      </c>
      <c r="J81" s="134">
        <v>10</v>
      </c>
      <c r="K81" s="92">
        <f t="shared" si="5"/>
        <v>50</v>
      </c>
      <c r="L81" s="92">
        <f t="shared" si="5"/>
        <v>50</v>
      </c>
      <c r="M81" s="92">
        <f t="shared" si="5"/>
        <v>0</v>
      </c>
      <c r="N81" s="125">
        <f t="shared" si="6"/>
        <v>100</v>
      </c>
      <c r="O81" s="91">
        <v>39.700000000000003</v>
      </c>
      <c r="P81" s="92">
        <v>23.8</v>
      </c>
      <c r="Q81" s="92"/>
      <c r="R81" s="93">
        <f t="shared" si="7"/>
        <v>63.5</v>
      </c>
      <c r="S81" s="73">
        <v>2</v>
      </c>
      <c r="T81" s="81"/>
      <c r="V81" s="82" t="s">
        <v>571</v>
      </c>
      <c r="W81" s="73" t="s">
        <v>74</v>
      </c>
      <c r="X81" s="73" t="s">
        <v>11</v>
      </c>
      <c r="Y81" s="83">
        <v>39.700000000000003</v>
      </c>
      <c r="Z81" s="82" t="s">
        <v>489</v>
      </c>
      <c r="AA81" s="73" t="s">
        <v>289</v>
      </c>
      <c r="AB81" s="73" t="s">
        <v>18</v>
      </c>
      <c r="AC81" s="73">
        <v>23.8</v>
      </c>
      <c r="AD81" s="82"/>
      <c r="AG81" s="83"/>
      <c r="AH81" s="164"/>
      <c r="AL81" s="82"/>
      <c r="AO81" s="83"/>
      <c r="AP81" s="82"/>
      <c r="AS81" s="83"/>
      <c r="AW81" s="83"/>
      <c r="BA81" s="84"/>
    </row>
    <row r="82" spans="1:53" s="73" customFormat="1" x14ac:dyDescent="0.15">
      <c r="A82" s="73">
        <v>1997</v>
      </c>
      <c r="C82" s="811" t="s">
        <v>296</v>
      </c>
      <c r="D82" s="811"/>
      <c r="E82" s="73">
        <v>0</v>
      </c>
      <c r="G82" s="123">
        <v>5</v>
      </c>
      <c r="H82" s="73">
        <v>5</v>
      </c>
      <c r="J82" s="134">
        <v>10</v>
      </c>
      <c r="K82" s="92">
        <f t="shared" si="5"/>
        <v>50</v>
      </c>
      <c r="L82" s="92">
        <f t="shared" si="5"/>
        <v>50</v>
      </c>
      <c r="M82" s="92">
        <f t="shared" si="5"/>
        <v>0</v>
      </c>
      <c r="N82" s="125">
        <f t="shared" si="6"/>
        <v>100</v>
      </c>
      <c r="O82" s="91">
        <v>39.700000000000003</v>
      </c>
      <c r="P82" s="92">
        <v>23.8</v>
      </c>
      <c r="Q82" s="92"/>
      <c r="R82" s="93">
        <f t="shared" si="7"/>
        <v>63.5</v>
      </c>
      <c r="S82" s="73">
        <v>2</v>
      </c>
      <c r="T82" s="81"/>
      <c r="V82" s="82" t="s">
        <v>571</v>
      </c>
      <c r="W82" s="73" t="s">
        <v>74</v>
      </c>
      <c r="X82" s="73" t="s">
        <v>11</v>
      </c>
      <c r="Y82" s="83">
        <v>39.700000000000003</v>
      </c>
      <c r="Z82" s="82" t="s">
        <v>489</v>
      </c>
      <c r="AA82" s="73" t="s">
        <v>289</v>
      </c>
      <c r="AB82" s="73" t="s">
        <v>18</v>
      </c>
      <c r="AC82" s="73">
        <v>23.8</v>
      </c>
      <c r="AD82" s="82"/>
      <c r="AG82" s="83"/>
      <c r="AH82" s="164"/>
      <c r="AL82" s="82"/>
      <c r="AO82" s="83"/>
      <c r="AP82" s="82"/>
      <c r="AS82" s="83"/>
      <c r="AW82" s="83"/>
      <c r="BA82" s="84"/>
    </row>
    <row r="83" spans="1:53" s="73" customFormat="1" x14ac:dyDescent="0.15">
      <c r="A83" s="73">
        <v>1997</v>
      </c>
      <c r="C83" s="811" t="s">
        <v>296</v>
      </c>
      <c r="D83" s="811"/>
      <c r="E83" s="73">
        <f>365-E82</f>
        <v>365</v>
      </c>
      <c r="G83" s="123">
        <v>5</v>
      </c>
      <c r="H83" s="73">
        <v>5</v>
      </c>
      <c r="J83" s="134">
        <v>10</v>
      </c>
      <c r="K83" s="92">
        <f t="shared" si="5"/>
        <v>50</v>
      </c>
      <c r="L83" s="92">
        <f t="shared" si="5"/>
        <v>50</v>
      </c>
      <c r="M83" s="92">
        <f t="shared" si="5"/>
        <v>0</v>
      </c>
      <c r="N83" s="125">
        <f t="shared" si="6"/>
        <v>100</v>
      </c>
      <c r="O83" s="91">
        <v>39.700000000000003</v>
      </c>
      <c r="P83" s="92">
        <v>23.8</v>
      </c>
      <c r="Q83" s="92"/>
      <c r="R83" s="93">
        <f t="shared" si="7"/>
        <v>63.5</v>
      </c>
      <c r="S83" s="73">
        <v>2</v>
      </c>
      <c r="T83" s="81"/>
      <c r="V83" s="82" t="s">
        <v>571</v>
      </c>
      <c r="W83" s="73" t="s">
        <v>74</v>
      </c>
      <c r="X83" s="73" t="s">
        <v>11</v>
      </c>
      <c r="Y83" s="83">
        <v>39.700000000000003</v>
      </c>
      <c r="Z83" s="82" t="s">
        <v>489</v>
      </c>
      <c r="AA83" s="73" t="s">
        <v>289</v>
      </c>
      <c r="AB83" s="73" t="s">
        <v>18</v>
      </c>
      <c r="AC83" s="73">
        <v>23.8</v>
      </c>
      <c r="AD83" s="82"/>
      <c r="AG83" s="83"/>
      <c r="AH83" s="164"/>
      <c r="AL83" s="82"/>
      <c r="AO83" s="83"/>
      <c r="AP83" s="82"/>
      <c r="AS83" s="83"/>
      <c r="AW83" s="83"/>
      <c r="BA83" s="84"/>
    </row>
    <row r="84" spans="1:53" s="73" customFormat="1" x14ac:dyDescent="0.15">
      <c r="A84" s="73">
        <v>1998</v>
      </c>
      <c r="C84" s="811" t="s">
        <v>296</v>
      </c>
      <c r="D84" s="811"/>
      <c r="E84" s="73">
        <v>0</v>
      </c>
      <c r="G84" s="123">
        <v>5</v>
      </c>
      <c r="H84" s="73">
        <v>5</v>
      </c>
      <c r="J84" s="134">
        <v>10</v>
      </c>
      <c r="K84" s="92">
        <f t="shared" si="5"/>
        <v>50</v>
      </c>
      <c r="L84" s="92">
        <f t="shared" si="5"/>
        <v>50</v>
      </c>
      <c r="M84" s="92">
        <f t="shared" si="5"/>
        <v>0</v>
      </c>
      <c r="N84" s="125">
        <f t="shared" si="6"/>
        <v>100</v>
      </c>
      <c r="O84" s="91">
        <v>39.700000000000003</v>
      </c>
      <c r="P84" s="92">
        <v>23.8</v>
      </c>
      <c r="Q84" s="92"/>
      <c r="R84" s="93">
        <f t="shared" si="7"/>
        <v>63.5</v>
      </c>
      <c r="S84" s="73">
        <v>2</v>
      </c>
      <c r="T84" s="81"/>
      <c r="V84" s="82" t="s">
        <v>571</v>
      </c>
      <c r="W84" s="73" t="s">
        <v>74</v>
      </c>
      <c r="X84" s="73" t="s">
        <v>11</v>
      </c>
      <c r="Y84" s="83">
        <v>39.700000000000003</v>
      </c>
      <c r="Z84" s="82" t="s">
        <v>489</v>
      </c>
      <c r="AA84" s="73" t="s">
        <v>289</v>
      </c>
      <c r="AB84" s="73" t="s">
        <v>18</v>
      </c>
      <c r="AC84" s="73">
        <v>23.8</v>
      </c>
      <c r="AD84" s="82"/>
      <c r="AG84" s="83"/>
      <c r="AH84" s="164"/>
      <c r="AL84" s="82"/>
      <c r="AO84" s="83"/>
      <c r="AP84" s="82"/>
      <c r="AS84" s="83"/>
      <c r="AW84" s="83"/>
      <c r="BA84" s="84"/>
    </row>
    <row r="85" spans="1:53" s="73" customFormat="1" x14ac:dyDescent="0.15">
      <c r="A85" s="73">
        <v>1998</v>
      </c>
      <c r="C85" s="811" t="s">
        <v>296</v>
      </c>
      <c r="D85" s="811"/>
      <c r="E85" s="73">
        <f>365-E84</f>
        <v>365</v>
      </c>
      <c r="G85" s="123">
        <v>5</v>
      </c>
      <c r="H85" s="73">
        <v>5</v>
      </c>
      <c r="J85" s="134">
        <v>10</v>
      </c>
      <c r="K85" s="92">
        <f t="shared" si="5"/>
        <v>50</v>
      </c>
      <c r="L85" s="92">
        <f t="shared" si="5"/>
        <v>50</v>
      </c>
      <c r="M85" s="92">
        <f t="shared" si="5"/>
        <v>0</v>
      </c>
      <c r="N85" s="125">
        <f t="shared" si="6"/>
        <v>100</v>
      </c>
      <c r="O85" s="91">
        <v>39.700000000000003</v>
      </c>
      <c r="P85" s="92">
        <v>23.8</v>
      </c>
      <c r="Q85" s="92"/>
      <c r="R85" s="93">
        <f t="shared" si="7"/>
        <v>63.5</v>
      </c>
      <c r="S85" s="73">
        <v>2</v>
      </c>
      <c r="T85" s="81"/>
      <c r="V85" s="82" t="s">
        <v>571</v>
      </c>
      <c r="W85" s="73" t="s">
        <v>74</v>
      </c>
      <c r="X85" s="73" t="s">
        <v>11</v>
      </c>
      <c r="Y85" s="83">
        <v>39.700000000000003</v>
      </c>
      <c r="Z85" s="82" t="s">
        <v>489</v>
      </c>
      <c r="AA85" s="73" t="s">
        <v>289</v>
      </c>
      <c r="AB85" s="73" t="s">
        <v>18</v>
      </c>
      <c r="AC85" s="73">
        <v>23.8</v>
      </c>
      <c r="AD85" s="82"/>
      <c r="AG85" s="83"/>
      <c r="AH85" s="164"/>
      <c r="AL85" s="82"/>
      <c r="AO85" s="83"/>
      <c r="AP85" s="82"/>
      <c r="AS85" s="83"/>
      <c r="AW85" s="83"/>
      <c r="BA85" s="84"/>
    </row>
    <row r="86" spans="1:53" s="73" customFormat="1" x14ac:dyDescent="0.15">
      <c r="A86" s="73">
        <v>1999</v>
      </c>
      <c r="C86" s="811" t="s">
        <v>296</v>
      </c>
      <c r="D86" s="811"/>
      <c r="E86" s="73">
        <v>147</v>
      </c>
      <c r="G86" s="123">
        <v>5</v>
      </c>
      <c r="H86" s="73">
        <v>5</v>
      </c>
      <c r="J86" s="134">
        <v>10</v>
      </c>
      <c r="K86" s="92">
        <f t="shared" si="5"/>
        <v>50</v>
      </c>
      <c r="L86" s="92">
        <f t="shared" si="5"/>
        <v>50</v>
      </c>
      <c r="M86" s="92">
        <f t="shared" si="5"/>
        <v>0</v>
      </c>
      <c r="N86" s="125">
        <f t="shared" si="6"/>
        <v>100</v>
      </c>
      <c r="O86" s="91">
        <v>39.700000000000003</v>
      </c>
      <c r="P86" s="92">
        <v>23.8</v>
      </c>
      <c r="Q86" s="92"/>
      <c r="R86" s="93">
        <f t="shared" si="7"/>
        <v>63.5</v>
      </c>
      <c r="S86" s="73">
        <v>2</v>
      </c>
      <c r="T86" s="81"/>
      <c r="V86" s="82" t="s">
        <v>571</v>
      </c>
      <c r="W86" s="73" t="s">
        <v>74</v>
      </c>
      <c r="X86" s="73" t="s">
        <v>11</v>
      </c>
      <c r="Y86" s="83">
        <v>39.700000000000003</v>
      </c>
      <c r="Z86" s="82" t="s">
        <v>489</v>
      </c>
      <c r="AA86" s="73" t="s">
        <v>289</v>
      </c>
      <c r="AB86" s="73" t="s">
        <v>18</v>
      </c>
      <c r="AC86" s="73">
        <v>23.8</v>
      </c>
      <c r="AD86" s="82"/>
      <c r="AG86" s="83"/>
      <c r="AH86" s="164"/>
      <c r="AL86" s="82"/>
      <c r="AO86" s="83"/>
      <c r="AP86" s="82"/>
      <c r="AS86" s="83"/>
      <c r="AW86" s="83"/>
      <c r="BA86" s="84"/>
    </row>
    <row r="87" spans="1:53" s="334" customFormat="1" x14ac:dyDescent="0.15">
      <c r="A87" s="334">
        <v>1999</v>
      </c>
      <c r="B87" s="355">
        <v>36308</v>
      </c>
      <c r="C87" s="812" t="s">
        <v>297</v>
      </c>
      <c r="D87" s="812"/>
      <c r="E87" s="334">
        <f>365-E86</f>
        <v>218</v>
      </c>
      <c r="F87" s="334">
        <v>1</v>
      </c>
      <c r="G87" s="419">
        <v>6</v>
      </c>
      <c r="H87" s="334">
        <v>6</v>
      </c>
      <c r="J87" s="435">
        <v>12</v>
      </c>
      <c r="K87" s="384">
        <f t="shared" si="5"/>
        <v>50</v>
      </c>
      <c r="L87" s="384">
        <f t="shared" si="5"/>
        <v>50</v>
      </c>
      <c r="M87" s="384">
        <f t="shared" si="5"/>
        <v>0</v>
      </c>
      <c r="N87" s="421">
        <f t="shared" si="6"/>
        <v>100</v>
      </c>
      <c r="O87" s="383">
        <v>41.3</v>
      </c>
      <c r="P87" s="384">
        <v>19</v>
      </c>
      <c r="Q87" s="384"/>
      <c r="R87" s="385">
        <f t="shared" si="7"/>
        <v>60.3</v>
      </c>
      <c r="S87" s="334">
        <v>2</v>
      </c>
      <c r="T87" s="342">
        <v>36288</v>
      </c>
      <c r="U87" s="355">
        <v>36308</v>
      </c>
      <c r="V87" s="343" t="s">
        <v>571</v>
      </c>
      <c r="W87" s="334" t="s">
        <v>74</v>
      </c>
      <c r="X87" s="334" t="s">
        <v>11</v>
      </c>
      <c r="Y87" s="344">
        <v>41.3</v>
      </c>
      <c r="Z87" s="343" t="s">
        <v>489</v>
      </c>
      <c r="AA87" s="334" t="s">
        <v>289</v>
      </c>
      <c r="AB87" s="334" t="s">
        <v>18</v>
      </c>
      <c r="AC87" s="334">
        <v>19</v>
      </c>
      <c r="AD87" s="343"/>
      <c r="AG87" s="344"/>
      <c r="AH87" s="452"/>
      <c r="AL87" s="343"/>
      <c r="AO87" s="344"/>
      <c r="AP87" s="343"/>
      <c r="AS87" s="344"/>
      <c r="AW87" s="344"/>
      <c r="BA87" s="345"/>
    </row>
    <row r="88" spans="1:53" s="334" customFormat="1" x14ac:dyDescent="0.15">
      <c r="A88" s="334">
        <v>2000</v>
      </c>
      <c r="C88" s="812" t="s">
        <v>297</v>
      </c>
      <c r="D88" s="812"/>
      <c r="E88" s="334">
        <v>0</v>
      </c>
      <c r="G88" s="419">
        <v>6</v>
      </c>
      <c r="H88" s="334">
        <v>6</v>
      </c>
      <c r="J88" s="435">
        <v>12</v>
      </c>
      <c r="K88" s="384">
        <f t="shared" si="5"/>
        <v>50</v>
      </c>
      <c r="L88" s="384">
        <f t="shared" si="5"/>
        <v>50</v>
      </c>
      <c r="M88" s="384">
        <f t="shared" si="5"/>
        <v>0</v>
      </c>
      <c r="N88" s="421">
        <f t="shared" si="6"/>
        <v>100</v>
      </c>
      <c r="O88" s="383">
        <v>41.3</v>
      </c>
      <c r="P88" s="384">
        <v>19</v>
      </c>
      <c r="Q88" s="384"/>
      <c r="R88" s="385">
        <f t="shared" si="7"/>
        <v>60.3</v>
      </c>
      <c r="S88" s="334">
        <v>2</v>
      </c>
      <c r="T88" s="357"/>
      <c r="V88" s="343" t="s">
        <v>571</v>
      </c>
      <c r="W88" s="334" t="s">
        <v>74</v>
      </c>
      <c r="X88" s="334" t="s">
        <v>11</v>
      </c>
      <c r="Y88" s="344">
        <v>41.3</v>
      </c>
      <c r="Z88" s="343" t="s">
        <v>489</v>
      </c>
      <c r="AA88" s="334" t="s">
        <v>289</v>
      </c>
      <c r="AB88" s="334" t="s">
        <v>18</v>
      </c>
      <c r="AC88" s="334">
        <v>19</v>
      </c>
      <c r="AD88" s="343"/>
      <c r="AG88" s="344"/>
      <c r="AH88" s="452"/>
      <c r="AL88" s="343"/>
      <c r="AO88" s="344"/>
      <c r="AP88" s="343"/>
      <c r="AS88" s="344"/>
      <c r="AW88" s="344"/>
      <c r="BA88" s="345"/>
    </row>
    <row r="89" spans="1:53" s="334" customFormat="1" x14ac:dyDescent="0.15">
      <c r="A89" s="334">
        <v>2000</v>
      </c>
      <c r="C89" s="812" t="s">
        <v>297</v>
      </c>
      <c r="D89" s="812"/>
      <c r="E89" s="334">
        <v>366</v>
      </c>
      <c r="G89" s="419">
        <v>6</v>
      </c>
      <c r="H89" s="334">
        <v>6</v>
      </c>
      <c r="J89" s="435">
        <v>12</v>
      </c>
      <c r="K89" s="384">
        <f t="shared" si="5"/>
        <v>50</v>
      </c>
      <c r="L89" s="384">
        <f t="shared" si="5"/>
        <v>50</v>
      </c>
      <c r="M89" s="384">
        <f t="shared" si="5"/>
        <v>0</v>
      </c>
      <c r="N89" s="421">
        <f t="shared" si="6"/>
        <v>100</v>
      </c>
      <c r="O89" s="383">
        <v>41.3</v>
      </c>
      <c r="P89" s="384">
        <v>19</v>
      </c>
      <c r="Q89" s="384"/>
      <c r="R89" s="385">
        <f t="shared" si="7"/>
        <v>60.3</v>
      </c>
      <c r="S89" s="334">
        <v>2</v>
      </c>
      <c r="T89" s="357"/>
      <c r="V89" s="343" t="s">
        <v>571</v>
      </c>
      <c r="W89" s="334" t="s">
        <v>74</v>
      </c>
      <c r="X89" s="334" t="s">
        <v>11</v>
      </c>
      <c r="Y89" s="344">
        <v>41.3</v>
      </c>
      <c r="Z89" s="343" t="s">
        <v>489</v>
      </c>
      <c r="AA89" s="334" t="s">
        <v>289</v>
      </c>
      <c r="AB89" s="334" t="s">
        <v>18</v>
      </c>
      <c r="AC89" s="334">
        <v>19</v>
      </c>
      <c r="AD89" s="343"/>
      <c r="AG89" s="344"/>
      <c r="AH89" s="452"/>
      <c r="AL89" s="343"/>
      <c r="AO89" s="344"/>
      <c r="AP89" s="343"/>
      <c r="AS89" s="344"/>
      <c r="AW89" s="344"/>
      <c r="BA89" s="345"/>
    </row>
    <row r="90" spans="1:53" s="334" customFormat="1" x14ac:dyDescent="0.15">
      <c r="A90" s="334">
        <v>2001</v>
      </c>
      <c r="C90" s="812" t="s">
        <v>297</v>
      </c>
      <c r="D90" s="812"/>
      <c r="E90" s="334">
        <v>0</v>
      </c>
      <c r="G90" s="419">
        <v>6</v>
      </c>
      <c r="H90" s="334">
        <v>6</v>
      </c>
      <c r="J90" s="435">
        <v>12</v>
      </c>
      <c r="K90" s="384">
        <f t="shared" si="5"/>
        <v>50</v>
      </c>
      <c r="L90" s="384">
        <f t="shared" si="5"/>
        <v>50</v>
      </c>
      <c r="M90" s="384">
        <f t="shared" si="5"/>
        <v>0</v>
      </c>
      <c r="N90" s="421">
        <f t="shared" si="6"/>
        <v>100</v>
      </c>
      <c r="O90" s="383">
        <v>41.3</v>
      </c>
      <c r="P90" s="384">
        <v>19</v>
      </c>
      <c r="Q90" s="384"/>
      <c r="R90" s="385">
        <f t="shared" si="7"/>
        <v>60.3</v>
      </c>
      <c r="S90" s="334">
        <v>2</v>
      </c>
      <c r="T90" s="357"/>
      <c r="V90" s="343" t="s">
        <v>571</v>
      </c>
      <c r="W90" s="334" t="s">
        <v>74</v>
      </c>
      <c r="X90" s="334" t="s">
        <v>11</v>
      </c>
      <c r="Y90" s="344">
        <v>41.3</v>
      </c>
      <c r="Z90" s="343" t="s">
        <v>489</v>
      </c>
      <c r="AA90" s="334" t="s">
        <v>289</v>
      </c>
      <c r="AB90" s="334" t="s">
        <v>18</v>
      </c>
      <c r="AC90" s="334">
        <v>19</v>
      </c>
      <c r="AD90" s="343"/>
      <c r="AG90" s="344"/>
      <c r="AH90" s="452"/>
      <c r="AL90" s="343"/>
      <c r="AO90" s="344"/>
      <c r="AP90" s="343"/>
      <c r="AS90" s="344"/>
      <c r="AW90" s="344"/>
      <c r="BA90" s="345"/>
    </row>
    <row r="91" spans="1:53" s="334" customFormat="1" x14ac:dyDescent="0.15">
      <c r="A91" s="334">
        <v>2001</v>
      </c>
      <c r="C91" s="812" t="s">
        <v>297</v>
      </c>
      <c r="D91" s="812"/>
      <c r="E91" s="334">
        <f>365-E90</f>
        <v>365</v>
      </c>
      <c r="G91" s="419">
        <v>6</v>
      </c>
      <c r="H91" s="334">
        <v>6</v>
      </c>
      <c r="J91" s="435">
        <v>12</v>
      </c>
      <c r="K91" s="384">
        <f t="shared" si="5"/>
        <v>50</v>
      </c>
      <c r="L91" s="384">
        <f t="shared" si="5"/>
        <v>50</v>
      </c>
      <c r="M91" s="384">
        <f t="shared" si="5"/>
        <v>0</v>
      </c>
      <c r="N91" s="421">
        <f t="shared" si="6"/>
        <v>100</v>
      </c>
      <c r="O91" s="383">
        <v>41.3</v>
      </c>
      <c r="P91" s="384">
        <v>19</v>
      </c>
      <c r="Q91" s="384"/>
      <c r="R91" s="385">
        <f t="shared" si="7"/>
        <v>60.3</v>
      </c>
      <c r="S91" s="334">
        <v>2</v>
      </c>
      <c r="T91" s="357"/>
      <c r="V91" s="343" t="s">
        <v>571</v>
      </c>
      <c r="W91" s="334" t="s">
        <v>74</v>
      </c>
      <c r="X91" s="334" t="s">
        <v>11</v>
      </c>
      <c r="Y91" s="344">
        <v>41.3</v>
      </c>
      <c r="Z91" s="343" t="s">
        <v>489</v>
      </c>
      <c r="AA91" s="334" t="s">
        <v>289</v>
      </c>
      <c r="AB91" s="334" t="s">
        <v>18</v>
      </c>
      <c r="AC91" s="334">
        <v>19</v>
      </c>
      <c r="AD91" s="343"/>
      <c r="AG91" s="344"/>
      <c r="AH91" s="452"/>
      <c r="AL91" s="343"/>
      <c r="AO91" s="344"/>
      <c r="AP91" s="343"/>
      <c r="AS91" s="344"/>
      <c r="AW91" s="344"/>
      <c r="BA91" s="345"/>
    </row>
    <row r="92" spans="1:53" s="334" customFormat="1" x14ac:dyDescent="0.15">
      <c r="A92" s="334">
        <v>2002</v>
      </c>
      <c r="C92" s="812" t="s">
        <v>297</v>
      </c>
      <c r="D92" s="812"/>
      <c r="E92" s="334">
        <v>0</v>
      </c>
      <c r="G92" s="419">
        <v>6</v>
      </c>
      <c r="H92" s="334">
        <v>6</v>
      </c>
      <c r="J92" s="435">
        <v>12</v>
      </c>
      <c r="K92" s="384">
        <f t="shared" si="5"/>
        <v>50</v>
      </c>
      <c r="L92" s="384">
        <f t="shared" si="5"/>
        <v>50</v>
      </c>
      <c r="M92" s="384">
        <f t="shared" si="5"/>
        <v>0</v>
      </c>
      <c r="N92" s="421">
        <f t="shared" si="6"/>
        <v>100</v>
      </c>
      <c r="O92" s="383">
        <v>41.3</v>
      </c>
      <c r="P92" s="384">
        <v>19</v>
      </c>
      <c r="Q92" s="384"/>
      <c r="R92" s="385">
        <f t="shared" si="7"/>
        <v>60.3</v>
      </c>
      <c r="S92" s="334">
        <v>2</v>
      </c>
      <c r="T92" s="357"/>
      <c r="V92" s="343" t="s">
        <v>571</v>
      </c>
      <c r="W92" s="334" t="s">
        <v>74</v>
      </c>
      <c r="X92" s="334" t="s">
        <v>11</v>
      </c>
      <c r="Y92" s="344">
        <v>41.3</v>
      </c>
      <c r="Z92" s="343" t="s">
        <v>489</v>
      </c>
      <c r="AA92" s="334" t="s">
        <v>289</v>
      </c>
      <c r="AB92" s="334" t="s">
        <v>18</v>
      </c>
      <c r="AC92" s="334">
        <v>19</v>
      </c>
      <c r="AD92" s="343"/>
      <c r="AG92" s="344"/>
      <c r="AH92" s="452"/>
      <c r="AL92" s="343"/>
      <c r="AO92" s="344"/>
      <c r="AP92" s="343"/>
      <c r="AS92" s="344"/>
      <c r="AW92" s="344"/>
      <c r="BA92" s="345"/>
    </row>
    <row r="93" spans="1:53" s="334" customFormat="1" x14ac:dyDescent="0.15">
      <c r="A93" s="334">
        <v>2002</v>
      </c>
      <c r="C93" s="812" t="s">
        <v>297</v>
      </c>
      <c r="D93" s="812"/>
      <c r="E93" s="334">
        <f>365-E92</f>
        <v>365</v>
      </c>
      <c r="G93" s="419">
        <v>6</v>
      </c>
      <c r="H93" s="334">
        <v>6</v>
      </c>
      <c r="J93" s="435">
        <v>12</v>
      </c>
      <c r="K93" s="384">
        <f t="shared" si="5"/>
        <v>50</v>
      </c>
      <c r="L93" s="384">
        <f t="shared" si="5"/>
        <v>50</v>
      </c>
      <c r="M93" s="384">
        <f t="shared" si="5"/>
        <v>0</v>
      </c>
      <c r="N93" s="421">
        <f t="shared" si="6"/>
        <v>100</v>
      </c>
      <c r="O93" s="383">
        <v>41.3</v>
      </c>
      <c r="P93" s="384">
        <v>19</v>
      </c>
      <c r="Q93" s="384"/>
      <c r="R93" s="385">
        <f t="shared" si="7"/>
        <v>60.3</v>
      </c>
      <c r="S93" s="334">
        <v>2</v>
      </c>
      <c r="T93" s="357"/>
      <c r="V93" s="343" t="s">
        <v>571</v>
      </c>
      <c r="W93" s="334" t="s">
        <v>74</v>
      </c>
      <c r="X93" s="334" t="s">
        <v>11</v>
      </c>
      <c r="Y93" s="344">
        <v>41.3</v>
      </c>
      <c r="Z93" s="343" t="s">
        <v>489</v>
      </c>
      <c r="AA93" s="334" t="s">
        <v>289</v>
      </c>
      <c r="AB93" s="334" t="s">
        <v>18</v>
      </c>
      <c r="AC93" s="334">
        <v>19</v>
      </c>
      <c r="AD93" s="343"/>
      <c r="AG93" s="344"/>
      <c r="AH93" s="452"/>
      <c r="AL93" s="343"/>
      <c r="AO93" s="344"/>
      <c r="AP93" s="343"/>
      <c r="AS93" s="344"/>
      <c r="AW93" s="344"/>
      <c r="BA93" s="345"/>
    </row>
    <row r="94" spans="1:53" s="334" customFormat="1" x14ac:dyDescent="0.15">
      <c r="A94" s="334">
        <v>2003</v>
      </c>
      <c r="C94" s="812" t="s">
        <v>297</v>
      </c>
      <c r="D94" s="812"/>
      <c r="E94" s="334">
        <v>142</v>
      </c>
      <c r="G94" s="419">
        <v>6</v>
      </c>
      <c r="H94" s="334">
        <v>6</v>
      </c>
      <c r="J94" s="435">
        <v>12</v>
      </c>
      <c r="K94" s="384">
        <f t="shared" si="5"/>
        <v>50</v>
      </c>
      <c r="L94" s="384">
        <f t="shared" si="5"/>
        <v>50</v>
      </c>
      <c r="M94" s="384">
        <f t="shared" si="5"/>
        <v>0</v>
      </c>
      <c r="N94" s="421">
        <f t="shared" si="6"/>
        <v>100</v>
      </c>
      <c r="O94" s="383">
        <v>41.3</v>
      </c>
      <c r="P94" s="384">
        <v>19</v>
      </c>
      <c r="Q94" s="384"/>
      <c r="R94" s="385">
        <f t="shared" si="7"/>
        <v>60.3</v>
      </c>
      <c r="S94" s="334">
        <v>2</v>
      </c>
      <c r="T94" s="357"/>
      <c r="V94" s="343" t="s">
        <v>571</v>
      </c>
      <c r="W94" s="334" t="s">
        <v>74</v>
      </c>
      <c r="X94" s="334" t="s">
        <v>11</v>
      </c>
      <c r="Y94" s="344">
        <v>41.3</v>
      </c>
      <c r="Z94" s="343" t="s">
        <v>489</v>
      </c>
      <c r="AA94" s="334" t="s">
        <v>289</v>
      </c>
      <c r="AB94" s="334" t="s">
        <v>18</v>
      </c>
      <c r="AC94" s="334">
        <v>19</v>
      </c>
      <c r="AD94" s="343"/>
      <c r="AG94" s="344"/>
      <c r="AH94" s="452"/>
      <c r="AL94" s="343"/>
      <c r="AO94" s="344"/>
      <c r="AP94" s="343"/>
      <c r="AS94" s="344"/>
      <c r="AW94" s="344"/>
      <c r="BA94" s="345"/>
    </row>
    <row r="95" spans="1:53" s="73" customFormat="1" x14ac:dyDescent="0.15">
      <c r="A95" s="73">
        <v>2003</v>
      </c>
      <c r="B95" s="85">
        <v>37764</v>
      </c>
      <c r="C95" s="811" t="s">
        <v>298</v>
      </c>
      <c r="D95" s="811"/>
      <c r="E95" s="73">
        <f>365-E94</f>
        <v>223</v>
      </c>
      <c r="F95" s="73">
        <v>1</v>
      </c>
      <c r="G95" s="123">
        <v>6</v>
      </c>
      <c r="H95" s="73">
        <v>6</v>
      </c>
      <c r="J95" s="134">
        <v>12</v>
      </c>
      <c r="K95" s="92">
        <f t="shared" si="5"/>
        <v>50</v>
      </c>
      <c r="L95" s="92">
        <f t="shared" si="5"/>
        <v>50</v>
      </c>
      <c r="M95" s="92">
        <f t="shared" si="5"/>
        <v>0</v>
      </c>
      <c r="N95" s="125">
        <f t="shared" si="6"/>
        <v>100</v>
      </c>
      <c r="O95" s="91">
        <v>34.9</v>
      </c>
      <c r="P95" s="92">
        <v>19</v>
      </c>
      <c r="Q95" s="92"/>
      <c r="R95" s="93">
        <f t="shared" si="7"/>
        <v>53.9</v>
      </c>
      <c r="S95" s="73">
        <v>2</v>
      </c>
      <c r="T95" s="95">
        <v>37751</v>
      </c>
      <c r="U95" s="85">
        <v>37764</v>
      </c>
      <c r="V95" s="82" t="s">
        <v>571</v>
      </c>
      <c r="W95" s="73" t="s">
        <v>74</v>
      </c>
      <c r="X95" s="73" t="s">
        <v>11</v>
      </c>
      <c r="Y95" s="83">
        <v>34.9</v>
      </c>
      <c r="Z95" s="82" t="s">
        <v>489</v>
      </c>
      <c r="AA95" s="73" t="s">
        <v>289</v>
      </c>
      <c r="AB95" s="73" t="s">
        <v>18</v>
      </c>
      <c r="AC95" s="73">
        <v>19</v>
      </c>
      <c r="AD95" s="82"/>
      <c r="AG95" s="83"/>
      <c r="AH95" s="164"/>
      <c r="AL95" s="82"/>
      <c r="AO95" s="83"/>
      <c r="AP95" s="82"/>
      <c r="AS95" s="83"/>
      <c r="AW95" s="83"/>
      <c r="BA95" s="84"/>
    </row>
    <row r="96" spans="1:53" s="73" customFormat="1" x14ac:dyDescent="0.15">
      <c r="A96" s="73">
        <v>2004</v>
      </c>
      <c r="C96" s="811" t="s">
        <v>298</v>
      </c>
      <c r="D96" s="811"/>
      <c r="E96" s="73">
        <v>258</v>
      </c>
      <c r="G96" s="123">
        <v>6</v>
      </c>
      <c r="H96" s="73">
        <v>6</v>
      </c>
      <c r="J96" s="134">
        <v>12</v>
      </c>
      <c r="K96" s="92">
        <f t="shared" si="5"/>
        <v>50</v>
      </c>
      <c r="L96" s="92">
        <f t="shared" si="5"/>
        <v>50</v>
      </c>
      <c r="M96" s="92">
        <f t="shared" si="5"/>
        <v>0</v>
      </c>
      <c r="N96" s="125">
        <f t="shared" si="6"/>
        <v>100</v>
      </c>
      <c r="O96" s="91">
        <v>34.9</v>
      </c>
      <c r="P96" s="92">
        <v>19</v>
      </c>
      <c r="Q96" s="92"/>
      <c r="R96" s="93">
        <f t="shared" si="7"/>
        <v>53.9</v>
      </c>
      <c r="S96" s="73">
        <v>2</v>
      </c>
      <c r="T96" s="81"/>
      <c r="V96" s="82" t="s">
        <v>571</v>
      </c>
      <c r="W96" s="73" t="s">
        <v>74</v>
      </c>
      <c r="X96" s="73" t="s">
        <v>11</v>
      </c>
      <c r="Y96" s="83">
        <v>34.9</v>
      </c>
      <c r="Z96" s="82" t="s">
        <v>489</v>
      </c>
      <c r="AA96" s="73" t="s">
        <v>289</v>
      </c>
      <c r="AB96" s="73" t="s">
        <v>18</v>
      </c>
      <c r="AC96" s="73">
        <v>19</v>
      </c>
      <c r="AD96" s="82"/>
      <c r="AG96" s="83"/>
      <c r="AH96" s="164"/>
      <c r="AL96" s="82"/>
      <c r="AO96" s="83"/>
      <c r="AP96" s="82"/>
      <c r="AS96" s="83"/>
      <c r="AW96" s="83"/>
      <c r="BA96" s="84"/>
    </row>
    <row r="97" spans="1:53" s="334" customFormat="1" x14ac:dyDescent="0.15">
      <c r="A97" s="334">
        <v>2004</v>
      </c>
      <c r="B97" s="355">
        <v>38245</v>
      </c>
      <c r="C97" s="812" t="s">
        <v>1188</v>
      </c>
      <c r="D97" s="812"/>
      <c r="E97" s="334">
        <f>366-E96</f>
        <v>108</v>
      </c>
      <c r="F97" s="334">
        <v>2</v>
      </c>
      <c r="G97" s="419">
        <v>7</v>
      </c>
      <c r="H97" s="334">
        <v>5</v>
      </c>
      <c r="J97" s="435">
        <v>12</v>
      </c>
      <c r="K97" s="384">
        <f t="shared" si="5"/>
        <v>58.333333333333336</v>
      </c>
      <c r="L97" s="384">
        <f t="shared" si="5"/>
        <v>41.666666666666671</v>
      </c>
      <c r="M97" s="384">
        <f t="shared" si="5"/>
        <v>0</v>
      </c>
      <c r="N97" s="421">
        <f t="shared" si="6"/>
        <v>100</v>
      </c>
      <c r="O97" s="383">
        <v>34.9</v>
      </c>
      <c r="P97" s="384">
        <v>19</v>
      </c>
      <c r="Q97" s="384"/>
      <c r="R97" s="385">
        <f t="shared" si="7"/>
        <v>53.9</v>
      </c>
      <c r="S97" s="334">
        <v>2</v>
      </c>
      <c r="T97" s="357"/>
      <c r="U97" s="355">
        <v>38245</v>
      </c>
      <c r="V97" s="343" t="s">
        <v>571</v>
      </c>
      <c r="W97" s="334" t="s">
        <v>74</v>
      </c>
      <c r="X97" s="334" t="s">
        <v>11</v>
      </c>
      <c r="Y97" s="344">
        <v>34.9</v>
      </c>
      <c r="Z97" s="343" t="s">
        <v>489</v>
      </c>
      <c r="AA97" s="334" t="s">
        <v>289</v>
      </c>
      <c r="AB97" s="334" t="s">
        <v>18</v>
      </c>
      <c r="AC97" s="334">
        <v>19</v>
      </c>
      <c r="AD97" s="343"/>
      <c r="AG97" s="344"/>
      <c r="AH97" s="452"/>
      <c r="AL97" s="343"/>
      <c r="AO97" s="344"/>
      <c r="AP97" s="343"/>
      <c r="AS97" s="344"/>
      <c r="AW97" s="344"/>
      <c r="BA97" s="345"/>
    </row>
    <row r="98" spans="1:53" s="334" customFormat="1" x14ac:dyDescent="0.15">
      <c r="A98" s="334">
        <v>2005</v>
      </c>
      <c r="C98" s="812" t="s">
        <v>1188</v>
      </c>
      <c r="D98" s="812"/>
      <c r="E98" s="334">
        <v>0</v>
      </c>
      <c r="G98" s="419">
        <v>7</v>
      </c>
      <c r="H98" s="334">
        <v>5</v>
      </c>
      <c r="J98" s="435">
        <v>12</v>
      </c>
      <c r="K98" s="384">
        <f t="shared" si="5"/>
        <v>58.333333333333336</v>
      </c>
      <c r="L98" s="384">
        <f t="shared" si="5"/>
        <v>41.666666666666671</v>
      </c>
      <c r="M98" s="384">
        <f t="shared" si="5"/>
        <v>0</v>
      </c>
      <c r="N98" s="421">
        <f t="shared" si="6"/>
        <v>100</v>
      </c>
      <c r="O98" s="383">
        <v>34.9</v>
      </c>
      <c r="P98" s="384">
        <v>19</v>
      </c>
      <c r="Q98" s="384"/>
      <c r="R98" s="385">
        <f t="shared" si="7"/>
        <v>53.9</v>
      </c>
      <c r="S98" s="334">
        <v>2</v>
      </c>
      <c r="T98" s="357"/>
      <c r="V98" s="343" t="s">
        <v>571</v>
      </c>
      <c r="W98" s="334" t="s">
        <v>74</v>
      </c>
      <c r="X98" s="334" t="s">
        <v>11</v>
      </c>
      <c r="Y98" s="344">
        <v>34.9</v>
      </c>
      <c r="Z98" s="343" t="s">
        <v>489</v>
      </c>
      <c r="AA98" s="334" t="s">
        <v>289</v>
      </c>
      <c r="AB98" s="334" t="s">
        <v>18</v>
      </c>
      <c r="AC98" s="334">
        <v>19</v>
      </c>
      <c r="AD98" s="343"/>
      <c r="AG98" s="344"/>
      <c r="AH98" s="452"/>
      <c r="AL98" s="343"/>
      <c r="AO98" s="344"/>
      <c r="AP98" s="343"/>
      <c r="AS98" s="344"/>
      <c r="AW98" s="344"/>
      <c r="BA98" s="345"/>
    </row>
    <row r="99" spans="1:53" s="334" customFormat="1" x14ac:dyDescent="0.15">
      <c r="A99" s="334">
        <v>2005</v>
      </c>
      <c r="C99" s="812" t="s">
        <v>1188</v>
      </c>
      <c r="D99" s="812"/>
      <c r="E99" s="334">
        <v>365</v>
      </c>
      <c r="G99" s="419">
        <v>7</v>
      </c>
      <c r="H99" s="334">
        <v>5</v>
      </c>
      <c r="J99" s="435">
        <v>12</v>
      </c>
      <c r="K99" s="384">
        <f t="shared" si="5"/>
        <v>58.333333333333336</v>
      </c>
      <c r="L99" s="384">
        <f t="shared" si="5"/>
        <v>41.666666666666671</v>
      </c>
      <c r="M99" s="384">
        <f t="shared" si="5"/>
        <v>0</v>
      </c>
      <c r="N99" s="421">
        <f t="shared" si="6"/>
        <v>100</v>
      </c>
      <c r="O99" s="383">
        <v>34.9</v>
      </c>
      <c r="P99" s="384">
        <v>19</v>
      </c>
      <c r="Q99" s="384"/>
      <c r="R99" s="385">
        <f t="shared" si="7"/>
        <v>53.9</v>
      </c>
      <c r="S99" s="334">
        <v>2</v>
      </c>
      <c r="T99" s="357"/>
      <c r="V99" s="343" t="s">
        <v>571</v>
      </c>
      <c r="W99" s="334" t="s">
        <v>74</v>
      </c>
      <c r="X99" s="334" t="s">
        <v>11</v>
      </c>
      <c r="Y99" s="344">
        <v>34.9</v>
      </c>
      <c r="Z99" s="343" t="s">
        <v>489</v>
      </c>
      <c r="AA99" s="334" t="s">
        <v>289</v>
      </c>
      <c r="AB99" s="334" t="s">
        <v>18</v>
      </c>
      <c r="AC99" s="334">
        <v>19</v>
      </c>
      <c r="AD99" s="343"/>
      <c r="AG99" s="344"/>
      <c r="AH99" s="452"/>
      <c r="AL99" s="343"/>
      <c r="AO99" s="344"/>
      <c r="AP99" s="343"/>
      <c r="AS99" s="344"/>
      <c r="AW99" s="344"/>
      <c r="BA99" s="345"/>
    </row>
    <row r="100" spans="1:53" s="334" customFormat="1" x14ac:dyDescent="0.15">
      <c r="A100" s="334">
        <v>2006</v>
      </c>
      <c r="C100" s="812" t="s">
        <v>1188</v>
      </c>
      <c r="D100" s="812"/>
      <c r="E100" s="334">
        <v>165</v>
      </c>
      <c r="G100" s="419">
        <v>7</v>
      </c>
      <c r="H100" s="334">
        <v>5</v>
      </c>
      <c r="J100" s="435">
        <v>12</v>
      </c>
      <c r="K100" s="384">
        <f t="shared" si="5"/>
        <v>58.333333333333336</v>
      </c>
      <c r="L100" s="384">
        <f t="shared" si="5"/>
        <v>41.666666666666671</v>
      </c>
      <c r="M100" s="384">
        <f t="shared" si="5"/>
        <v>0</v>
      </c>
      <c r="N100" s="421">
        <f t="shared" si="6"/>
        <v>100</v>
      </c>
      <c r="O100" s="383">
        <v>34.9</v>
      </c>
      <c r="P100" s="384">
        <v>19</v>
      </c>
      <c r="Q100" s="384"/>
      <c r="R100" s="385">
        <f t="shared" si="7"/>
        <v>53.9</v>
      </c>
      <c r="S100" s="334">
        <v>2</v>
      </c>
      <c r="T100" s="357"/>
      <c r="V100" s="343" t="s">
        <v>571</v>
      </c>
      <c r="W100" s="334" t="s">
        <v>74</v>
      </c>
      <c r="X100" s="334" t="s">
        <v>11</v>
      </c>
      <c r="Y100" s="344">
        <v>34.9</v>
      </c>
      <c r="Z100" s="343" t="s">
        <v>489</v>
      </c>
      <c r="AA100" s="334" t="s">
        <v>289</v>
      </c>
      <c r="AB100" s="334" t="s">
        <v>18</v>
      </c>
      <c r="AC100" s="334">
        <v>19</v>
      </c>
      <c r="AD100" s="343"/>
      <c r="AG100" s="344"/>
      <c r="AH100" s="452"/>
      <c r="AL100" s="343"/>
      <c r="AO100" s="344"/>
      <c r="AP100" s="343"/>
      <c r="AS100" s="344"/>
      <c r="AW100" s="344"/>
      <c r="BA100" s="345"/>
    </row>
    <row r="101" spans="1:53" s="73" customFormat="1" x14ac:dyDescent="0.15">
      <c r="A101" s="73">
        <v>2006</v>
      </c>
      <c r="B101" s="85">
        <v>38883</v>
      </c>
      <c r="C101" s="811" t="s">
        <v>299</v>
      </c>
      <c r="D101" s="811"/>
      <c r="E101" s="73">
        <f>365-E100</f>
        <v>200</v>
      </c>
      <c r="F101" s="73">
        <v>2</v>
      </c>
      <c r="G101" s="123">
        <v>6</v>
      </c>
      <c r="H101" s="73">
        <v>6</v>
      </c>
      <c r="J101" s="134">
        <v>12</v>
      </c>
      <c r="K101" s="92">
        <f t="shared" si="5"/>
        <v>50</v>
      </c>
      <c r="L101" s="92">
        <f t="shared" si="5"/>
        <v>50</v>
      </c>
      <c r="M101" s="92">
        <f t="shared" si="5"/>
        <v>0</v>
      </c>
      <c r="N101" s="125">
        <f t="shared" si="6"/>
        <v>100</v>
      </c>
      <c r="O101" s="91">
        <v>36.5</v>
      </c>
      <c r="P101" s="92">
        <v>19</v>
      </c>
      <c r="Q101" s="92"/>
      <c r="R101" s="93">
        <f t="shared" si="7"/>
        <v>55.5</v>
      </c>
      <c r="S101" s="73">
        <v>2</v>
      </c>
      <c r="T101" s="81"/>
      <c r="U101" s="85">
        <v>38883</v>
      </c>
      <c r="V101" s="82" t="s">
        <v>571</v>
      </c>
      <c r="W101" s="73" t="s">
        <v>74</v>
      </c>
      <c r="X101" s="73" t="s">
        <v>11</v>
      </c>
      <c r="Y101" s="83">
        <v>34.9</v>
      </c>
      <c r="Z101" s="82" t="s">
        <v>489</v>
      </c>
      <c r="AA101" s="73" t="s">
        <v>289</v>
      </c>
      <c r="AB101" s="73" t="s">
        <v>18</v>
      </c>
      <c r="AC101" s="73">
        <v>19</v>
      </c>
      <c r="AD101" s="82"/>
      <c r="AG101" s="83"/>
      <c r="AH101" s="164"/>
      <c r="AL101" s="82"/>
      <c r="AO101" s="83"/>
      <c r="AP101" s="82"/>
      <c r="AS101" s="83"/>
      <c r="AW101" s="83"/>
      <c r="BA101" s="84"/>
    </row>
    <row r="102" spans="1:53" s="73" customFormat="1" x14ac:dyDescent="0.15">
      <c r="A102" s="73">
        <v>2007</v>
      </c>
      <c r="C102" s="811" t="s">
        <v>299</v>
      </c>
      <c r="D102" s="811"/>
      <c r="E102" s="73">
        <v>143</v>
      </c>
      <c r="G102" s="123">
        <v>6</v>
      </c>
      <c r="H102" s="73">
        <v>6</v>
      </c>
      <c r="J102" s="134">
        <v>12</v>
      </c>
      <c r="K102" s="92">
        <f t="shared" si="5"/>
        <v>50</v>
      </c>
      <c r="L102" s="92">
        <f t="shared" si="5"/>
        <v>50</v>
      </c>
      <c r="M102" s="92">
        <f t="shared" si="5"/>
        <v>0</v>
      </c>
      <c r="N102" s="125">
        <f t="shared" si="6"/>
        <v>100</v>
      </c>
      <c r="O102" s="91">
        <v>36.5</v>
      </c>
      <c r="P102" s="92">
        <v>19</v>
      </c>
      <c r="Q102" s="92"/>
      <c r="R102" s="93">
        <f t="shared" si="7"/>
        <v>55.5</v>
      </c>
      <c r="S102" s="73">
        <v>2</v>
      </c>
      <c r="T102" s="81"/>
      <c r="V102" s="82" t="s">
        <v>571</v>
      </c>
      <c r="W102" s="73" t="s">
        <v>74</v>
      </c>
      <c r="X102" s="73" t="s">
        <v>11</v>
      </c>
      <c r="Y102" s="83">
        <v>34.9</v>
      </c>
      <c r="Z102" s="82" t="s">
        <v>489</v>
      </c>
      <c r="AA102" s="73" t="s">
        <v>289</v>
      </c>
      <c r="AB102" s="73" t="s">
        <v>18</v>
      </c>
      <c r="AC102" s="73">
        <v>19</v>
      </c>
      <c r="AD102" s="82"/>
      <c r="AG102" s="83"/>
      <c r="AH102" s="164"/>
      <c r="AL102" s="82"/>
      <c r="AO102" s="83"/>
      <c r="AP102" s="82"/>
      <c r="AS102" s="83"/>
      <c r="AW102" s="83"/>
      <c r="BA102" s="84"/>
    </row>
    <row r="103" spans="1:53" s="334" customFormat="1" x14ac:dyDescent="0.15">
      <c r="A103" s="334">
        <v>2007</v>
      </c>
      <c r="B103" s="355">
        <v>39226</v>
      </c>
      <c r="C103" s="812" t="s">
        <v>300</v>
      </c>
      <c r="D103" s="812"/>
      <c r="E103" s="334">
        <v>222</v>
      </c>
      <c r="F103" s="334">
        <v>1</v>
      </c>
      <c r="G103" s="419">
        <v>6</v>
      </c>
      <c r="I103" s="334">
        <v>6</v>
      </c>
      <c r="J103" s="435">
        <v>12</v>
      </c>
      <c r="K103" s="384">
        <f t="shared" si="5"/>
        <v>50</v>
      </c>
      <c r="L103" s="384">
        <f t="shared" si="5"/>
        <v>0</v>
      </c>
      <c r="M103" s="384">
        <f t="shared" si="5"/>
        <v>50</v>
      </c>
      <c r="N103" s="421">
        <f t="shared" si="6"/>
        <v>100</v>
      </c>
      <c r="O103" s="383">
        <v>39.700000000000003</v>
      </c>
      <c r="P103" s="384"/>
      <c r="Q103" s="384">
        <v>28.6</v>
      </c>
      <c r="R103" s="385">
        <f t="shared" si="7"/>
        <v>68.300000000000011</v>
      </c>
      <c r="S103" s="334">
        <v>2</v>
      </c>
      <c r="T103" s="342">
        <v>39214</v>
      </c>
      <c r="U103" s="355">
        <v>39226</v>
      </c>
      <c r="V103" s="343" t="s">
        <v>571</v>
      </c>
      <c r="W103" s="334" t="s">
        <v>74</v>
      </c>
      <c r="X103" s="334" t="s">
        <v>11</v>
      </c>
      <c r="Y103" s="344">
        <v>39.700000000000003</v>
      </c>
      <c r="Z103" s="343" t="s">
        <v>573</v>
      </c>
      <c r="AA103" s="334" t="s">
        <v>116</v>
      </c>
      <c r="AB103" s="334" t="s">
        <v>12</v>
      </c>
      <c r="AC103" s="334">
        <v>28.6</v>
      </c>
      <c r="AD103" s="343"/>
      <c r="AG103" s="344"/>
      <c r="AH103" s="452"/>
      <c r="AL103" s="343"/>
      <c r="AO103" s="344"/>
      <c r="AP103" s="343"/>
      <c r="AS103" s="344"/>
      <c r="AW103" s="344"/>
      <c r="BA103" s="345"/>
    </row>
    <row r="104" spans="1:53" s="334" customFormat="1" x14ac:dyDescent="0.15">
      <c r="A104" s="334">
        <v>2008</v>
      </c>
      <c r="C104" s="812" t="s">
        <v>300</v>
      </c>
      <c r="D104" s="812"/>
      <c r="E104" s="334">
        <v>0</v>
      </c>
      <c r="G104" s="419">
        <v>6</v>
      </c>
      <c r="I104" s="334">
        <v>6</v>
      </c>
      <c r="J104" s="435">
        <v>12</v>
      </c>
      <c r="K104" s="384">
        <f t="shared" si="5"/>
        <v>50</v>
      </c>
      <c r="L104" s="384">
        <f t="shared" si="5"/>
        <v>0</v>
      </c>
      <c r="M104" s="384">
        <f t="shared" si="5"/>
        <v>50</v>
      </c>
      <c r="N104" s="421">
        <f t="shared" si="6"/>
        <v>100</v>
      </c>
      <c r="O104" s="383">
        <v>39.700000000000003</v>
      </c>
      <c r="P104" s="384"/>
      <c r="Q104" s="384">
        <v>28.6</v>
      </c>
      <c r="R104" s="385">
        <f t="shared" si="7"/>
        <v>68.300000000000011</v>
      </c>
      <c r="S104" s="334">
        <v>2</v>
      </c>
      <c r="T104" s="357"/>
      <c r="V104" s="343" t="s">
        <v>571</v>
      </c>
      <c r="W104" s="334" t="s">
        <v>74</v>
      </c>
      <c r="X104" s="334" t="s">
        <v>11</v>
      </c>
      <c r="Y104" s="344">
        <v>39.700000000000003</v>
      </c>
      <c r="Z104" s="334" t="s">
        <v>573</v>
      </c>
      <c r="AA104" s="334" t="s">
        <v>116</v>
      </c>
      <c r="AB104" s="334" t="s">
        <v>12</v>
      </c>
      <c r="AC104" s="334">
        <v>28.6</v>
      </c>
      <c r="AD104" s="343"/>
      <c r="AG104" s="344"/>
      <c r="AH104" s="452"/>
      <c r="AL104" s="343"/>
      <c r="AO104" s="344"/>
      <c r="AP104" s="343"/>
      <c r="AS104" s="344"/>
      <c r="AW104" s="344"/>
      <c r="BA104" s="345"/>
    </row>
    <row r="105" spans="1:53" s="334" customFormat="1" x14ac:dyDescent="0.15">
      <c r="A105" s="334">
        <v>2008</v>
      </c>
      <c r="C105" s="812" t="s">
        <v>300</v>
      </c>
      <c r="D105" s="812"/>
      <c r="E105" s="334">
        <v>366</v>
      </c>
      <c r="G105" s="419">
        <v>6</v>
      </c>
      <c r="I105" s="334">
        <v>6</v>
      </c>
      <c r="J105" s="435">
        <v>12</v>
      </c>
      <c r="K105" s="384">
        <f t="shared" si="5"/>
        <v>50</v>
      </c>
      <c r="L105" s="384">
        <f t="shared" si="5"/>
        <v>0</v>
      </c>
      <c r="M105" s="384">
        <f t="shared" si="5"/>
        <v>50</v>
      </c>
      <c r="N105" s="421">
        <f t="shared" si="6"/>
        <v>100</v>
      </c>
      <c r="O105" s="383">
        <v>39.700000000000003</v>
      </c>
      <c r="P105" s="384"/>
      <c r="Q105" s="384">
        <v>28.6</v>
      </c>
      <c r="R105" s="385">
        <f t="shared" si="7"/>
        <v>68.300000000000011</v>
      </c>
      <c r="S105" s="334">
        <v>2</v>
      </c>
      <c r="T105" s="357"/>
      <c r="V105" s="343" t="s">
        <v>571</v>
      </c>
      <c r="W105" s="334" t="s">
        <v>74</v>
      </c>
      <c r="X105" s="334" t="s">
        <v>11</v>
      </c>
      <c r="Y105" s="344">
        <v>39.700000000000003</v>
      </c>
      <c r="Z105" s="334" t="s">
        <v>573</v>
      </c>
      <c r="AA105" s="334" t="s">
        <v>116</v>
      </c>
      <c r="AB105" s="334" t="s">
        <v>12</v>
      </c>
      <c r="AC105" s="334">
        <v>28.6</v>
      </c>
      <c r="AD105" s="343"/>
      <c r="AG105" s="344"/>
      <c r="AH105" s="452"/>
      <c r="AL105" s="343"/>
      <c r="AO105" s="344"/>
      <c r="AP105" s="343"/>
      <c r="AS105" s="344"/>
      <c r="AW105" s="344"/>
      <c r="BA105" s="345"/>
    </row>
    <row r="106" spans="1:53" s="334" customFormat="1" x14ac:dyDescent="0.15">
      <c r="A106" s="334">
        <v>2009</v>
      </c>
      <c r="C106" s="812" t="s">
        <v>300</v>
      </c>
      <c r="D106" s="812"/>
      <c r="E106" s="334">
        <v>31</v>
      </c>
      <c r="G106" s="419">
        <v>6</v>
      </c>
      <c r="I106" s="334">
        <v>6</v>
      </c>
      <c r="J106" s="435">
        <v>12</v>
      </c>
      <c r="K106" s="384">
        <f t="shared" si="5"/>
        <v>50</v>
      </c>
      <c r="L106" s="384">
        <f t="shared" si="5"/>
        <v>0</v>
      </c>
      <c r="M106" s="384">
        <f t="shared" si="5"/>
        <v>50</v>
      </c>
      <c r="N106" s="421">
        <f t="shared" si="6"/>
        <v>100</v>
      </c>
      <c r="O106" s="383">
        <v>39.700000000000003</v>
      </c>
      <c r="P106" s="384"/>
      <c r="Q106" s="384">
        <v>28.6</v>
      </c>
      <c r="R106" s="385">
        <f t="shared" si="7"/>
        <v>68.300000000000011</v>
      </c>
      <c r="S106" s="334">
        <v>2</v>
      </c>
      <c r="T106" s="357"/>
      <c r="V106" s="343" t="s">
        <v>571</v>
      </c>
      <c r="W106" s="334" t="s">
        <v>74</v>
      </c>
      <c r="X106" s="334" t="s">
        <v>11</v>
      </c>
      <c r="Y106" s="344">
        <v>39.700000000000003</v>
      </c>
      <c r="Z106" s="334" t="s">
        <v>573</v>
      </c>
      <c r="AA106" s="334" t="s">
        <v>116</v>
      </c>
      <c r="AB106" s="334" t="s">
        <v>12</v>
      </c>
      <c r="AC106" s="334">
        <v>28.6</v>
      </c>
      <c r="AD106" s="343"/>
      <c r="AG106" s="344"/>
      <c r="AH106" s="452"/>
      <c r="AL106" s="343"/>
      <c r="AO106" s="344"/>
      <c r="AP106" s="343"/>
      <c r="AS106" s="344"/>
      <c r="AW106" s="344"/>
      <c r="BA106" s="345"/>
    </row>
    <row r="107" spans="1:53" s="73" customFormat="1" x14ac:dyDescent="0.15">
      <c r="A107" s="73">
        <v>2009</v>
      </c>
      <c r="B107" s="85">
        <v>39845</v>
      </c>
      <c r="C107" s="811" t="s">
        <v>1189</v>
      </c>
      <c r="D107" s="811"/>
      <c r="E107" s="73">
        <v>98</v>
      </c>
      <c r="F107" s="73">
        <v>2</v>
      </c>
      <c r="G107" s="123"/>
      <c r="I107" s="73">
        <v>8</v>
      </c>
      <c r="J107" s="134">
        <v>10</v>
      </c>
      <c r="K107" s="92">
        <f t="shared" si="5"/>
        <v>0</v>
      </c>
      <c r="L107" s="92">
        <f t="shared" si="5"/>
        <v>0</v>
      </c>
      <c r="M107" s="92">
        <f t="shared" si="5"/>
        <v>80</v>
      </c>
      <c r="N107" s="125">
        <f t="shared" si="6"/>
        <v>80</v>
      </c>
      <c r="O107" s="91"/>
      <c r="P107" s="92"/>
      <c r="Q107" s="92">
        <v>42.9</v>
      </c>
      <c r="R107" s="93">
        <f t="shared" si="7"/>
        <v>42.9</v>
      </c>
      <c r="S107" s="73">
        <v>5</v>
      </c>
      <c r="T107" s="81"/>
      <c r="U107" s="85">
        <v>39845</v>
      </c>
      <c r="V107" s="82" t="s">
        <v>573</v>
      </c>
      <c r="W107" s="73" t="s">
        <v>116</v>
      </c>
      <c r="X107" s="73" t="s">
        <v>12</v>
      </c>
      <c r="Y107" s="83">
        <v>28.6</v>
      </c>
      <c r="Z107" s="73" t="s">
        <v>574</v>
      </c>
      <c r="AA107" s="73" t="s">
        <v>114</v>
      </c>
      <c r="AB107" s="73" t="s">
        <v>12</v>
      </c>
      <c r="AC107" s="73">
        <v>14.3</v>
      </c>
      <c r="AD107" s="82"/>
      <c r="AG107" s="83"/>
      <c r="AH107" s="164"/>
      <c r="AL107" s="82"/>
      <c r="AO107" s="83"/>
      <c r="AP107" s="82"/>
      <c r="AS107" s="83"/>
      <c r="AW107" s="83"/>
      <c r="BA107" s="84"/>
    </row>
    <row r="108" spans="1:53" s="334" customFormat="1" x14ac:dyDescent="0.15">
      <c r="A108" s="334">
        <v>2009</v>
      </c>
      <c r="B108" s="355">
        <v>39943</v>
      </c>
      <c r="C108" s="812" t="s">
        <v>1190</v>
      </c>
      <c r="D108" s="812"/>
      <c r="E108" s="334">
        <f>365-E106-E107</f>
        <v>236</v>
      </c>
      <c r="F108" s="334">
        <v>1</v>
      </c>
      <c r="G108" s="419"/>
      <c r="I108" s="334">
        <v>10</v>
      </c>
      <c r="J108" s="435">
        <v>12</v>
      </c>
      <c r="K108" s="384">
        <f t="shared" si="5"/>
        <v>0</v>
      </c>
      <c r="L108" s="384">
        <f t="shared" si="5"/>
        <v>0</v>
      </c>
      <c r="M108" s="384">
        <f t="shared" si="5"/>
        <v>83.333333333333343</v>
      </c>
      <c r="N108" s="421">
        <f t="shared" si="6"/>
        <v>83.333333333333343</v>
      </c>
      <c r="O108" s="383"/>
      <c r="P108" s="384"/>
      <c r="Q108" s="384">
        <v>53.9</v>
      </c>
      <c r="R108" s="385">
        <f t="shared" si="7"/>
        <v>53.9</v>
      </c>
      <c r="S108" s="334">
        <v>2</v>
      </c>
      <c r="T108" s="342">
        <v>39928</v>
      </c>
      <c r="U108" s="355">
        <v>39943</v>
      </c>
      <c r="V108" s="343" t="s">
        <v>573</v>
      </c>
      <c r="W108" s="334" t="s">
        <v>116</v>
      </c>
      <c r="X108" s="334" t="s">
        <v>12</v>
      </c>
      <c r="Y108" s="344">
        <v>31.7</v>
      </c>
      <c r="Z108" s="334" t="s">
        <v>574</v>
      </c>
      <c r="AA108" s="334" t="s">
        <v>114</v>
      </c>
      <c r="AB108" s="334" t="s">
        <v>12</v>
      </c>
      <c r="AC108" s="334">
        <v>22.2</v>
      </c>
      <c r="AD108" s="343"/>
      <c r="AG108" s="344"/>
      <c r="AH108" s="452"/>
      <c r="AL108" s="343"/>
      <c r="AO108" s="344"/>
      <c r="AP108" s="343"/>
      <c r="AS108" s="344"/>
      <c r="AW108" s="344"/>
      <c r="BA108" s="345"/>
    </row>
    <row r="109" spans="1:53" s="334" customFormat="1" x14ac:dyDescent="0.15">
      <c r="A109" s="334">
        <v>2010</v>
      </c>
      <c r="C109" s="812" t="s">
        <v>1190</v>
      </c>
      <c r="D109" s="812"/>
      <c r="E109" s="334">
        <v>244</v>
      </c>
      <c r="G109" s="419"/>
      <c r="I109" s="334">
        <v>10</v>
      </c>
      <c r="J109" s="435">
        <v>12</v>
      </c>
      <c r="K109" s="384">
        <f t="shared" si="5"/>
        <v>0</v>
      </c>
      <c r="L109" s="384">
        <f t="shared" si="5"/>
        <v>0</v>
      </c>
      <c r="M109" s="384">
        <f t="shared" si="5"/>
        <v>83.333333333333343</v>
      </c>
      <c r="N109" s="421">
        <f t="shared" si="6"/>
        <v>83.333333333333343</v>
      </c>
      <c r="O109" s="383"/>
      <c r="P109" s="384"/>
      <c r="Q109" s="384">
        <v>53.9</v>
      </c>
      <c r="R109" s="385">
        <f t="shared" si="7"/>
        <v>53.9</v>
      </c>
      <c r="S109" s="334">
        <v>2</v>
      </c>
      <c r="T109" s="357"/>
      <c r="V109" s="343" t="s">
        <v>573</v>
      </c>
      <c r="W109" s="334" t="s">
        <v>116</v>
      </c>
      <c r="X109" s="334" t="s">
        <v>12</v>
      </c>
      <c r="Y109" s="344">
        <v>31.7</v>
      </c>
      <c r="Z109" s="334" t="s">
        <v>574</v>
      </c>
      <c r="AA109" s="334" t="s">
        <v>114</v>
      </c>
      <c r="AB109" s="334" t="s">
        <v>12</v>
      </c>
      <c r="AC109" s="334">
        <v>22.2</v>
      </c>
      <c r="AD109" s="343"/>
      <c r="AG109" s="344"/>
      <c r="AH109" s="452"/>
      <c r="AL109" s="343"/>
      <c r="AO109" s="344"/>
      <c r="AP109" s="343"/>
      <c r="AS109" s="344"/>
      <c r="AW109" s="344"/>
      <c r="BA109" s="345"/>
    </row>
    <row r="110" spans="1:53" s="334" customFormat="1" x14ac:dyDescent="0.15">
      <c r="A110" s="334">
        <v>2010</v>
      </c>
      <c r="B110" s="445">
        <v>40423</v>
      </c>
      <c r="C110" s="812" t="s">
        <v>1190</v>
      </c>
      <c r="D110" s="812"/>
      <c r="E110" s="334">
        <f>365-E109</f>
        <v>121</v>
      </c>
      <c r="F110" s="441">
        <v>0</v>
      </c>
      <c r="G110" s="419"/>
      <c r="I110" s="334">
        <v>10</v>
      </c>
      <c r="J110" s="435">
        <v>10</v>
      </c>
      <c r="K110" s="384">
        <f t="shared" si="5"/>
        <v>0</v>
      </c>
      <c r="L110" s="384">
        <f t="shared" si="5"/>
        <v>0</v>
      </c>
      <c r="M110" s="384">
        <f t="shared" si="5"/>
        <v>100</v>
      </c>
      <c r="N110" s="421">
        <f t="shared" si="6"/>
        <v>100</v>
      </c>
      <c r="O110" s="383"/>
      <c r="P110" s="384"/>
      <c r="Q110" s="384">
        <v>53.9</v>
      </c>
      <c r="R110" s="385">
        <f t="shared" si="7"/>
        <v>53.9</v>
      </c>
      <c r="S110" s="334">
        <v>2</v>
      </c>
      <c r="T110" s="357"/>
      <c r="V110" s="343" t="s">
        <v>573</v>
      </c>
      <c r="W110" s="334" t="s">
        <v>116</v>
      </c>
      <c r="X110" s="334" t="s">
        <v>12</v>
      </c>
      <c r="Y110" s="344">
        <v>31.7</v>
      </c>
      <c r="Z110" s="334" t="s">
        <v>574</v>
      </c>
      <c r="AA110" s="334" t="s">
        <v>114</v>
      </c>
      <c r="AB110" s="334" t="s">
        <v>12</v>
      </c>
      <c r="AC110" s="334">
        <v>22.2</v>
      </c>
      <c r="AD110" s="343"/>
      <c r="AG110" s="344"/>
      <c r="AH110" s="452"/>
      <c r="AL110" s="343"/>
      <c r="AO110" s="344"/>
      <c r="AP110" s="343"/>
      <c r="AS110" s="344"/>
      <c r="AW110" s="344"/>
      <c r="BA110" s="345"/>
    </row>
    <row r="111" spans="1:53" s="334" customFormat="1" x14ac:dyDescent="0.15">
      <c r="A111" s="334">
        <v>2011</v>
      </c>
      <c r="B111" s="445"/>
      <c r="C111" s="812" t="s">
        <v>1190</v>
      </c>
      <c r="D111" s="812"/>
      <c r="E111" s="334">
        <v>364</v>
      </c>
      <c r="F111" s="441"/>
      <c r="G111" s="419"/>
      <c r="I111" s="334">
        <v>10</v>
      </c>
      <c r="J111" s="435">
        <v>10</v>
      </c>
      <c r="K111" s="384">
        <f t="shared" si="5"/>
        <v>0</v>
      </c>
      <c r="L111" s="384">
        <f t="shared" si="5"/>
        <v>0</v>
      </c>
      <c r="M111" s="384">
        <f t="shared" si="5"/>
        <v>100</v>
      </c>
      <c r="N111" s="421">
        <f t="shared" si="6"/>
        <v>100</v>
      </c>
      <c r="O111" s="383"/>
      <c r="P111" s="384"/>
      <c r="Q111" s="384">
        <v>53.9</v>
      </c>
      <c r="R111" s="385">
        <f t="shared" si="7"/>
        <v>53.9</v>
      </c>
      <c r="S111" s="334">
        <v>2</v>
      </c>
      <c r="T111" s="357"/>
      <c r="V111" s="343" t="s">
        <v>573</v>
      </c>
      <c r="W111" s="334" t="s">
        <v>116</v>
      </c>
      <c r="X111" s="334" t="s">
        <v>12</v>
      </c>
      <c r="Y111" s="344">
        <v>31.7</v>
      </c>
      <c r="Z111" s="334" t="s">
        <v>574</v>
      </c>
      <c r="AA111" s="334" t="s">
        <v>114</v>
      </c>
      <c r="AB111" s="334" t="s">
        <v>12</v>
      </c>
      <c r="AC111" s="334">
        <v>22.2</v>
      </c>
      <c r="AD111" s="343"/>
      <c r="AG111" s="344"/>
      <c r="AH111" s="452"/>
      <c r="AL111" s="343"/>
      <c r="AO111" s="344"/>
      <c r="AP111" s="343"/>
      <c r="AS111" s="344"/>
      <c r="AW111" s="344"/>
      <c r="BA111" s="345"/>
    </row>
    <row r="112" spans="1:53" s="334" customFormat="1" x14ac:dyDescent="0.15">
      <c r="A112" s="334">
        <v>2011</v>
      </c>
      <c r="B112" s="445">
        <v>40908</v>
      </c>
      <c r="C112" s="812" t="s">
        <v>1190</v>
      </c>
      <c r="D112" s="812"/>
      <c r="E112" s="334">
        <f>365-E111</f>
        <v>1</v>
      </c>
      <c r="F112" s="441">
        <v>0</v>
      </c>
      <c r="G112" s="419"/>
      <c r="I112" s="334">
        <v>9</v>
      </c>
      <c r="J112" s="435">
        <v>9</v>
      </c>
      <c r="K112" s="384">
        <f t="shared" si="5"/>
        <v>0</v>
      </c>
      <c r="L112" s="384">
        <f t="shared" si="5"/>
        <v>0</v>
      </c>
      <c r="M112" s="384">
        <f t="shared" si="5"/>
        <v>100</v>
      </c>
      <c r="N112" s="421">
        <f t="shared" si="6"/>
        <v>100</v>
      </c>
      <c r="O112" s="383"/>
      <c r="P112" s="384"/>
      <c r="Q112" s="384">
        <v>53.9</v>
      </c>
      <c r="R112" s="385">
        <f t="shared" si="7"/>
        <v>53.9</v>
      </c>
      <c r="S112" s="334">
        <v>2</v>
      </c>
      <c r="T112" s="357"/>
      <c r="V112" s="343" t="s">
        <v>573</v>
      </c>
      <c r="W112" s="334" t="s">
        <v>116</v>
      </c>
      <c r="X112" s="334" t="s">
        <v>12</v>
      </c>
      <c r="Y112" s="344">
        <v>31.7</v>
      </c>
      <c r="Z112" s="334" t="s">
        <v>574</v>
      </c>
      <c r="AA112" s="334" t="s">
        <v>114</v>
      </c>
      <c r="AB112" s="334" t="s">
        <v>12</v>
      </c>
      <c r="AC112" s="334">
        <v>22.2</v>
      </c>
      <c r="AD112" s="343"/>
      <c r="AG112" s="344"/>
      <c r="AH112" s="452"/>
      <c r="AL112" s="343"/>
      <c r="AO112" s="344"/>
      <c r="AP112" s="343"/>
      <c r="AS112" s="344"/>
      <c r="AW112" s="344"/>
      <c r="BA112" s="345"/>
    </row>
    <row r="113" spans="1:53" s="334" customFormat="1" x14ac:dyDescent="0.15">
      <c r="A113" s="334">
        <v>2012</v>
      </c>
      <c r="C113" s="812" t="s">
        <v>1190</v>
      </c>
      <c r="D113" s="812"/>
      <c r="E113" s="334">
        <v>0</v>
      </c>
      <c r="G113" s="419"/>
      <c r="I113" s="334">
        <v>9</v>
      </c>
      <c r="J113" s="435">
        <v>9</v>
      </c>
      <c r="K113" s="384">
        <f t="shared" si="5"/>
        <v>0</v>
      </c>
      <c r="L113" s="384">
        <f t="shared" si="5"/>
        <v>0</v>
      </c>
      <c r="M113" s="384">
        <f t="shared" si="5"/>
        <v>100</v>
      </c>
      <c r="N113" s="421">
        <f t="shared" si="6"/>
        <v>100</v>
      </c>
      <c r="O113" s="383"/>
      <c r="P113" s="384"/>
      <c r="Q113" s="384">
        <v>53.9</v>
      </c>
      <c r="R113" s="385">
        <f t="shared" si="7"/>
        <v>53.9</v>
      </c>
      <c r="S113" s="334">
        <v>2</v>
      </c>
      <c r="T113" s="357"/>
      <c r="V113" s="343" t="s">
        <v>573</v>
      </c>
      <c r="W113" s="334" t="s">
        <v>116</v>
      </c>
      <c r="X113" s="334" t="s">
        <v>12</v>
      </c>
      <c r="Y113" s="344">
        <v>31.7</v>
      </c>
      <c r="Z113" s="334" t="s">
        <v>574</v>
      </c>
      <c r="AA113" s="334" t="s">
        <v>114</v>
      </c>
      <c r="AB113" s="334" t="s">
        <v>12</v>
      </c>
      <c r="AC113" s="334">
        <v>22.2</v>
      </c>
      <c r="AD113" s="343"/>
      <c r="AG113" s="344"/>
      <c r="AH113" s="452"/>
      <c r="AL113" s="343"/>
      <c r="AO113" s="344"/>
      <c r="AP113" s="343"/>
      <c r="AS113" s="344"/>
      <c r="AW113" s="344"/>
      <c r="BA113" s="345"/>
    </row>
    <row r="114" spans="1:53" s="334" customFormat="1" x14ac:dyDescent="0.15">
      <c r="A114" s="334">
        <v>2012</v>
      </c>
      <c r="C114" s="812" t="s">
        <v>1190</v>
      </c>
      <c r="D114" s="812"/>
      <c r="E114" s="334">
        <v>366</v>
      </c>
      <c r="G114" s="419"/>
      <c r="I114" s="334">
        <v>9</v>
      </c>
      <c r="J114" s="435">
        <v>9</v>
      </c>
      <c r="K114" s="384">
        <f t="shared" si="5"/>
        <v>0</v>
      </c>
      <c r="L114" s="384">
        <f t="shared" si="5"/>
        <v>0</v>
      </c>
      <c r="M114" s="384">
        <f t="shared" si="5"/>
        <v>100</v>
      </c>
      <c r="N114" s="421">
        <f t="shared" si="6"/>
        <v>100</v>
      </c>
      <c r="O114" s="383"/>
      <c r="P114" s="384"/>
      <c r="Q114" s="384">
        <v>53.9</v>
      </c>
      <c r="R114" s="385">
        <f t="shared" si="7"/>
        <v>53.9</v>
      </c>
      <c r="S114" s="334">
        <v>2</v>
      </c>
      <c r="T114" s="357"/>
      <c r="V114" s="343" t="s">
        <v>573</v>
      </c>
      <c r="W114" s="334" t="s">
        <v>116</v>
      </c>
      <c r="X114" s="334" t="s">
        <v>12</v>
      </c>
      <c r="Y114" s="344">
        <v>31.7</v>
      </c>
      <c r="Z114" s="334" t="s">
        <v>574</v>
      </c>
      <c r="AA114" s="334" t="s">
        <v>114</v>
      </c>
      <c r="AB114" s="334" t="s">
        <v>12</v>
      </c>
      <c r="AC114" s="334">
        <v>22.2</v>
      </c>
      <c r="AD114" s="343"/>
      <c r="AG114" s="344"/>
      <c r="AH114" s="452"/>
      <c r="AL114" s="343"/>
      <c r="AO114" s="344"/>
      <c r="AP114" s="343"/>
      <c r="AS114" s="344"/>
      <c r="AW114" s="344"/>
      <c r="BA114" s="345"/>
    </row>
    <row r="115" spans="1:53" s="334" customFormat="1" x14ac:dyDescent="0.15">
      <c r="A115" s="334">
        <v>2013</v>
      </c>
      <c r="C115" s="812" t="s">
        <v>1190</v>
      </c>
      <c r="D115" s="812"/>
      <c r="E115" s="334">
        <v>142</v>
      </c>
      <c r="G115" s="419"/>
      <c r="I115" s="334">
        <v>9</v>
      </c>
      <c r="J115" s="435">
        <v>9</v>
      </c>
      <c r="K115" s="384">
        <f t="shared" si="5"/>
        <v>0</v>
      </c>
      <c r="L115" s="384">
        <f t="shared" si="5"/>
        <v>0</v>
      </c>
      <c r="M115" s="384">
        <f t="shared" si="5"/>
        <v>100</v>
      </c>
      <c r="N115" s="421">
        <f t="shared" si="6"/>
        <v>100</v>
      </c>
      <c r="O115" s="383"/>
      <c r="P115" s="384"/>
      <c r="Q115" s="384">
        <v>53.9</v>
      </c>
      <c r="R115" s="385">
        <f>O115+P115+Q115</f>
        <v>53.9</v>
      </c>
      <c r="S115" s="334">
        <v>2</v>
      </c>
      <c r="T115" s="357"/>
      <c r="V115" s="343" t="s">
        <v>573</v>
      </c>
      <c r="W115" s="334" t="s">
        <v>310</v>
      </c>
      <c r="X115" s="334" t="s">
        <v>12</v>
      </c>
      <c r="Y115" s="344">
        <v>31.7</v>
      </c>
      <c r="Z115" s="334" t="s">
        <v>574</v>
      </c>
      <c r="AA115" s="334" t="s">
        <v>114</v>
      </c>
      <c r="AB115" s="334" t="s">
        <v>12</v>
      </c>
      <c r="AC115" s="334">
        <v>22.2</v>
      </c>
      <c r="AD115" s="343"/>
      <c r="AG115" s="344"/>
      <c r="AH115" s="452"/>
      <c r="AL115" s="343"/>
      <c r="AO115" s="344"/>
      <c r="AP115" s="343"/>
      <c r="AS115" s="344"/>
      <c r="AW115" s="344"/>
      <c r="BA115" s="345"/>
    </row>
    <row r="116" spans="1:53" s="321" customFormat="1" x14ac:dyDescent="0.15">
      <c r="A116" s="321">
        <v>2013</v>
      </c>
      <c r="B116" s="320">
        <v>41417</v>
      </c>
      <c r="C116" s="811" t="s">
        <v>1262</v>
      </c>
      <c r="D116" s="811"/>
      <c r="E116" s="321">
        <f>365-E115</f>
        <v>223</v>
      </c>
      <c r="F116" s="321">
        <v>1</v>
      </c>
      <c r="G116" s="123">
        <v>5</v>
      </c>
      <c r="H116" s="321">
        <v>4</v>
      </c>
      <c r="J116" s="134">
        <v>9</v>
      </c>
      <c r="K116" s="92">
        <f t="shared" ref="K116:M118" si="8">G116/$J116*100</f>
        <v>55.555555555555557</v>
      </c>
      <c r="L116" s="92">
        <f t="shared" si="8"/>
        <v>44.444444444444443</v>
      </c>
      <c r="M116" s="92">
        <f t="shared" si="8"/>
        <v>0</v>
      </c>
      <c r="N116" s="125">
        <f>K116+L116+M116</f>
        <v>100</v>
      </c>
      <c r="O116" s="91">
        <v>30.2</v>
      </c>
      <c r="P116" s="92">
        <v>30.2</v>
      </c>
      <c r="Q116" s="92"/>
      <c r="R116" s="93">
        <f>O116+P116+Q116</f>
        <v>60.4</v>
      </c>
      <c r="S116" s="321">
        <v>2</v>
      </c>
      <c r="T116" s="95">
        <v>41391</v>
      </c>
      <c r="U116" s="320">
        <v>41417</v>
      </c>
      <c r="V116" s="82" t="s">
        <v>489</v>
      </c>
      <c r="W116" s="321" t="s">
        <v>289</v>
      </c>
      <c r="X116" s="321" t="s">
        <v>18</v>
      </c>
      <c r="Y116" s="83">
        <v>30.2</v>
      </c>
      <c r="Z116" s="321" t="s">
        <v>571</v>
      </c>
      <c r="AA116" s="321" t="s">
        <v>74</v>
      </c>
      <c r="AB116" s="321" t="s">
        <v>11</v>
      </c>
      <c r="AC116" s="321">
        <v>30.2</v>
      </c>
      <c r="AD116" s="82"/>
      <c r="AG116" s="83"/>
      <c r="AH116" s="164"/>
      <c r="AL116" s="82"/>
      <c r="AO116" s="83"/>
      <c r="AP116" s="82"/>
      <c r="AS116" s="83"/>
      <c r="AW116" s="83"/>
      <c r="BA116" s="84"/>
    </row>
    <row r="117" spans="1:53" s="537" customFormat="1" x14ac:dyDescent="0.15">
      <c r="A117" s="537">
        <v>2014</v>
      </c>
      <c r="B117" s="483"/>
      <c r="C117" s="811" t="s">
        <v>1262</v>
      </c>
      <c r="D117" s="811"/>
      <c r="E117" s="537">
        <v>364</v>
      </c>
      <c r="F117" s="484"/>
      <c r="G117" s="480">
        <v>5</v>
      </c>
      <c r="H117" s="537">
        <v>4</v>
      </c>
      <c r="J117" s="482">
        <v>9</v>
      </c>
      <c r="K117" s="477">
        <f t="shared" si="8"/>
        <v>55.555555555555557</v>
      </c>
      <c r="L117" s="477">
        <f t="shared" si="8"/>
        <v>44.444444444444443</v>
      </c>
      <c r="M117" s="477">
        <f t="shared" si="8"/>
        <v>0</v>
      </c>
      <c r="N117" s="481">
        <f>K117+L117+M117</f>
        <v>100</v>
      </c>
      <c r="O117" s="476">
        <v>30.2</v>
      </c>
      <c r="P117" s="477">
        <v>30.2</v>
      </c>
      <c r="Q117" s="477"/>
      <c r="R117" s="478">
        <f>O117+P117+Q117</f>
        <v>60.4</v>
      </c>
      <c r="S117" s="537">
        <v>2</v>
      </c>
      <c r="T117" s="479"/>
      <c r="U117" s="534"/>
      <c r="V117" s="472" t="s">
        <v>489</v>
      </c>
      <c r="W117" s="537" t="s">
        <v>289</v>
      </c>
      <c r="X117" s="537" t="s">
        <v>18</v>
      </c>
      <c r="Y117" s="473">
        <v>30.2</v>
      </c>
      <c r="Z117" s="537" t="s">
        <v>571</v>
      </c>
      <c r="AA117" s="537" t="s">
        <v>74</v>
      </c>
      <c r="AB117" s="537" t="s">
        <v>11</v>
      </c>
      <c r="AC117" s="537">
        <v>30.2</v>
      </c>
      <c r="AD117" s="472"/>
      <c r="AG117" s="473"/>
      <c r="AH117" s="164"/>
      <c r="AL117" s="472"/>
      <c r="AO117" s="473"/>
      <c r="AP117" s="472"/>
      <c r="AS117" s="473"/>
      <c r="AW117" s="473"/>
      <c r="BA117" s="474"/>
    </row>
    <row r="118" spans="1:53" s="537" customFormat="1" x14ac:dyDescent="0.15">
      <c r="A118" s="537">
        <v>2014</v>
      </c>
      <c r="B118" s="483">
        <v>42004</v>
      </c>
      <c r="C118" s="811" t="s">
        <v>1262</v>
      </c>
      <c r="D118" s="811"/>
      <c r="E118" s="537">
        <v>1</v>
      </c>
      <c r="F118" s="484">
        <v>0</v>
      </c>
      <c r="G118" s="480">
        <v>5</v>
      </c>
      <c r="H118" s="537">
        <v>5</v>
      </c>
      <c r="J118" s="482">
        <v>10</v>
      </c>
      <c r="K118" s="477">
        <f t="shared" si="8"/>
        <v>50</v>
      </c>
      <c r="L118" s="477">
        <f t="shared" si="8"/>
        <v>50</v>
      </c>
      <c r="M118" s="477">
        <f t="shared" si="8"/>
        <v>0</v>
      </c>
      <c r="N118" s="481">
        <f>K118+L118+M118</f>
        <v>100</v>
      </c>
      <c r="O118" s="476">
        <v>30.2</v>
      </c>
      <c r="P118" s="477">
        <v>30.2</v>
      </c>
      <c r="Q118" s="477"/>
      <c r="R118" s="478">
        <f>O118+P118+Q118</f>
        <v>60.4</v>
      </c>
      <c r="S118" s="537">
        <v>2</v>
      </c>
      <c r="T118" s="479"/>
      <c r="U118" s="534"/>
      <c r="V118" s="472" t="s">
        <v>489</v>
      </c>
      <c r="W118" s="537" t="s">
        <v>289</v>
      </c>
      <c r="X118" s="537" t="s">
        <v>18</v>
      </c>
      <c r="Y118" s="473">
        <v>30.2</v>
      </c>
      <c r="Z118" s="537" t="s">
        <v>571</v>
      </c>
      <c r="AA118" s="537" t="s">
        <v>74</v>
      </c>
      <c r="AB118" s="537" t="s">
        <v>11</v>
      </c>
      <c r="AC118" s="537">
        <v>30.2</v>
      </c>
      <c r="AD118" s="472"/>
      <c r="AG118" s="473"/>
      <c r="AH118" s="164"/>
      <c r="AL118" s="472"/>
      <c r="AO118" s="473"/>
      <c r="AP118" s="472"/>
      <c r="AS118" s="473"/>
      <c r="AW118" s="473"/>
      <c r="BA118" s="474"/>
    </row>
    <row r="119" spans="1:53" s="729" customFormat="1" x14ac:dyDescent="0.15">
      <c r="A119" s="729">
        <v>2015</v>
      </c>
      <c r="B119" s="603"/>
      <c r="C119" s="811" t="s">
        <v>1262</v>
      </c>
      <c r="D119" s="811"/>
      <c r="E119" s="729">
        <v>0</v>
      </c>
      <c r="F119" s="604"/>
      <c r="G119" s="600">
        <v>5</v>
      </c>
      <c r="H119" s="729">
        <v>5</v>
      </c>
      <c r="J119" s="602">
        <v>10</v>
      </c>
      <c r="K119" s="597">
        <f t="shared" ref="K119:K120" si="9">G119/$J119*100</f>
        <v>50</v>
      </c>
      <c r="L119" s="597">
        <f t="shared" ref="L119:L120" si="10">H119/$J119*100</f>
        <v>50</v>
      </c>
      <c r="M119" s="597">
        <f t="shared" ref="M119:M120" si="11">I119/$J119*100</f>
        <v>0</v>
      </c>
      <c r="N119" s="601">
        <f t="shared" ref="N119:N120" si="12">K119+L119+M119</f>
        <v>100</v>
      </c>
      <c r="O119" s="596">
        <v>30.2</v>
      </c>
      <c r="P119" s="597">
        <v>30.2</v>
      </c>
      <c r="Q119" s="597"/>
      <c r="R119" s="598">
        <f t="shared" ref="R119:R120" si="13">O119+P119+Q119</f>
        <v>60.4</v>
      </c>
      <c r="S119" s="729">
        <v>2</v>
      </c>
      <c r="T119" s="599"/>
      <c r="U119" s="725"/>
      <c r="V119" s="592" t="s">
        <v>489</v>
      </c>
      <c r="W119" s="729" t="s">
        <v>289</v>
      </c>
      <c r="X119" s="729" t="s">
        <v>18</v>
      </c>
      <c r="Y119" s="593">
        <v>30.2</v>
      </c>
      <c r="Z119" s="729" t="s">
        <v>571</v>
      </c>
      <c r="AA119" s="729" t="s">
        <v>74</v>
      </c>
      <c r="AB119" s="729" t="s">
        <v>11</v>
      </c>
      <c r="AC119" s="729">
        <v>30.2</v>
      </c>
      <c r="AD119" s="592"/>
      <c r="AG119" s="593"/>
      <c r="AH119" s="164"/>
      <c r="AL119" s="592"/>
      <c r="AO119" s="593"/>
      <c r="AP119" s="592"/>
      <c r="AS119" s="593"/>
      <c r="AW119" s="593"/>
      <c r="BA119" s="594"/>
    </row>
    <row r="120" spans="1:53" s="729" customFormat="1" x14ac:dyDescent="0.15">
      <c r="A120" s="729">
        <v>2015</v>
      </c>
      <c r="B120" s="603"/>
      <c r="C120" s="811" t="s">
        <v>1262</v>
      </c>
      <c r="D120" s="811"/>
      <c r="E120" s="729">
        <v>365</v>
      </c>
      <c r="F120" s="604"/>
      <c r="G120" s="600">
        <v>5</v>
      </c>
      <c r="H120" s="729">
        <v>5</v>
      </c>
      <c r="J120" s="602">
        <v>10</v>
      </c>
      <c r="K120" s="597">
        <f t="shared" si="9"/>
        <v>50</v>
      </c>
      <c r="L120" s="597">
        <f t="shared" si="10"/>
        <v>50</v>
      </c>
      <c r="M120" s="597">
        <f t="shared" si="11"/>
        <v>0</v>
      </c>
      <c r="N120" s="601">
        <f t="shared" si="12"/>
        <v>100</v>
      </c>
      <c r="O120" s="596">
        <v>30.2</v>
      </c>
      <c r="P120" s="597">
        <v>30.2</v>
      </c>
      <c r="Q120" s="597"/>
      <c r="R120" s="598">
        <f t="shared" si="13"/>
        <v>60.4</v>
      </c>
      <c r="S120" s="729">
        <v>2</v>
      </c>
      <c r="T120" s="599"/>
      <c r="U120" s="725"/>
      <c r="V120" s="592" t="s">
        <v>489</v>
      </c>
      <c r="W120" s="729" t="s">
        <v>289</v>
      </c>
      <c r="X120" s="729" t="s">
        <v>18</v>
      </c>
      <c r="Y120" s="593">
        <v>30.2</v>
      </c>
      <c r="Z120" s="729" t="s">
        <v>571</v>
      </c>
      <c r="AA120" s="729" t="s">
        <v>74</v>
      </c>
      <c r="AB120" s="729" t="s">
        <v>11</v>
      </c>
      <c r="AC120" s="729">
        <v>30.2</v>
      </c>
      <c r="AD120" s="592"/>
      <c r="AG120" s="593"/>
      <c r="AH120" s="164"/>
      <c r="AL120" s="592"/>
      <c r="AO120" s="593"/>
      <c r="AP120" s="592"/>
      <c r="AS120" s="593"/>
      <c r="AW120" s="593"/>
      <c r="BA120" s="594"/>
    </row>
    <row r="121" spans="1:53" x14ac:dyDescent="0.15">
      <c r="C121" s="848"/>
      <c r="D121" s="848"/>
      <c r="I121" s="17"/>
    </row>
    <row r="122" spans="1:53" x14ac:dyDescent="0.15">
      <c r="C122" s="848"/>
      <c r="D122" s="848"/>
      <c r="I122" s="17"/>
    </row>
    <row r="123" spans="1:53" s="2" customFormat="1" ht="18" customHeight="1" x14ac:dyDescent="0.2">
      <c r="B123" s="22" t="s">
        <v>1284</v>
      </c>
    </row>
    <row r="124" spans="1:53" s="2" customFormat="1" ht="8.25" customHeight="1" x14ac:dyDescent="0.2">
      <c r="B124" s="22"/>
    </row>
    <row r="125" spans="1:53" s="364" customFormat="1" ht="9" customHeight="1" x14ac:dyDescent="0.15">
      <c r="A125" s="362"/>
      <c r="B125" s="363" t="s">
        <v>1235</v>
      </c>
      <c r="C125" s="363"/>
      <c r="D125" s="363"/>
      <c r="E125" s="363"/>
      <c r="F125" s="363"/>
      <c r="G125" s="363" t="s">
        <v>1236</v>
      </c>
      <c r="H125" s="363"/>
      <c r="I125" s="363"/>
      <c r="J125" s="363"/>
      <c r="K125" s="363"/>
      <c r="L125" s="363"/>
      <c r="M125" s="363"/>
      <c r="N125" s="363"/>
      <c r="R125" s="802" t="s">
        <v>1237</v>
      </c>
      <c r="S125" s="802"/>
      <c r="T125" s="802"/>
      <c r="U125" s="802"/>
      <c r="V125" s="802"/>
      <c r="W125" s="802"/>
      <c r="X125" s="365"/>
      <c r="Y125" s="365"/>
      <c r="AA125" s="365"/>
      <c r="AB125" s="365"/>
      <c r="AC125" s="365"/>
      <c r="AD125" s="365"/>
    </row>
    <row r="126" spans="1:53" s="369" customFormat="1" ht="9" customHeight="1" x14ac:dyDescent="0.15">
      <c r="A126" s="366"/>
      <c r="B126" s="367" t="s">
        <v>1239</v>
      </c>
      <c r="C126" s="368"/>
      <c r="D126" s="368"/>
      <c r="E126" s="368"/>
      <c r="F126" s="368"/>
      <c r="G126" s="367" t="s">
        <v>1238</v>
      </c>
      <c r="H126" s="368"/>
      <c r="I126" s="368"/>
      <c r="J126" s="368"/>
      <c r="K126" s="368"/>
      <c r="L126" s="368"/>
      <c r="M126" s="368"/>
      <c r="N126" s="368"/>
      <c r="R126" s="370" t="s">
        <v>1240</v>
      </c>
      <c r="S126" s="371"/>
      <c r="T126" s="372"/>
      <c r="U126" s="372"/>
      <c r="V126" s="372"/>
      <c r="W126" s="370" t="s">
        <v>1241</v>
      </c>
      <c r="X126" s="372"/>
      <c r="Y126" s="372"/>
      <c r="AA126" s="372"/>
      <c r="AB126" s="372"/>
      <c r="AC126" s="372"/>
      <c r="AD126" s="372"/>
    </row>
    <row r="127" spans="1:53" s="351" customFormat="1" ht="12" customHeight="1" x14ac:dyDescent="0.15">
      <c r="A127" s="373" t="s">
        <v>3</v>
      </c>
      <c r="B127" s="374" t="s">
        <v>8</v>
      </c>
      <c r="C127" s="374" t="s">
        <v>9</v>
      </c>
      <c r="D127" s="374" t="s">
        <v>10</v>
      </c>
      <c r="E127" s="375" t="s">
        <v>1215</v>
      </c>
      <c r="F127" s="374"/>
      <c r="G127" s="351" t="s">
        <v>3</v>
      </c>
      <c r="H127" s="803" t="s">
        <v>0</v>
      </c>
      <c r="I127" s="803"/>
      <c r="J127" s="803" t="s">
        <v>1</v>
      </c>
      <c r="K127" s="803"/>
      <c r="L127" s="803" t="s">
        <v>2</v>
      </c>
      <c r="M127" s="803"/>
      <c r="N127" s="804" t="s">
        <v>1215</v>
      </c>
      <c r="O127" s="804"/>
      <c r="P127" s="376"/>
      <c r="Q127" s="376"/>
      <c r="R127" s="377" t="s">
        <v>3</v>
      </c>
      <c r="S127" s="378" t="s">
        <v>136</v>
      </c>
      <c r="T127" s="376" t="s">
        <v>134</v>
      </c>
      <c r="U127" s="374" t="s">
        <v>135</v>
      </c>
      <c r="V127" s="376"/>
      <c r="W127" s="379" t="s">
        <v>26</v>
      </c>
    </row>
    <row r="128" spans="1:53" s="273" customFormat="1" x14ac:dyDescent="0.15">
      <c r="A128" s="273">
        <v>1959</v>
      </c>
      <c r="B128" s="274">
        <f>K6*($E6/365)+K7*($E7/365)</f>
        <v>7.6712328767123275</v>
      </c>
      <c r="C128" s="274">
        <f>L6*($E6/365)+L7*($E7/365)</f>
        <v>0</v>
      </c>
      <c r="D128" s="274">
        <f>M6*($E6/365)+M7*($E7/365)</f>
        <v>92.328767123287676</v>
      </c>
      <c r="E128" s="276">
        <f>B128+C128+D128</f>
        <v>100</v>
      </c>
      <c r="G128" s="273">
        <v>1959</v>
      </c>
      <c r="H128" s="819">
        <f>(O6/$R6*100*($E6/365))+(O7/$R7*100*($E7/365))</f>
        <v>8.3686176836861783</v>
      </c>
      <c r="I128" s="819"/>
      <c r="J128" s="819">
        <f>(P6/$R6*100*($E6/365))+(P7/$R7*100*($E7/365))</f>
        <v>0</v>
      </c>
      <c r="K128" s="819"/>
      <c r="L128" s="819">
        <f>(Q6/$R6*100*($E6/365))+(Q7/$R7*100*($E7/365))</f>
        <v>91.631382316313818</v>
      </c>
      <c r="M128" s="819"/>
      <c r="N128" s="813">
        <f>H128+J128+L128</f>
        <v>100</v>
      </c>
      <c r="O128" s="813"/>
      <c r="R128" s="273">
        <v>1959</v>
      </c>
      <c r="S128" s="274">
        <f>(O6*($E6/365)) + (O7*($E7/365))</f>
        <v>4.602739726027397</v>
      </c>
      <c r="T128" s="274">
        <f>(P6*($E6/365)) + (P7*($E7/365))</f>
        <v>0</v>
      </c>
      <c r="U128" s="274">
        <f>(Q6*($E6/365)) + (Q7*($E7/365))</f>
        <v>15.000000000000002</v>
      </c>
      <c r="V128" s="274"/>
      <c r="W128" s="274">
        <f>S128+T128+U128</f>
        <v>19.602739726027398</v>
      </c>
      <c r="AH128" s="280"/>
    </row>
    <row r="129" spans="1:23" x14ac:dyDescent="0.15">
      <c r="A129" s="1">
        <v>1960</v>
      </c>
      <c r="B129" s="7">
        <f>K8*($E8/366)+K9*($E9/366)</f>
        <v>66.666666666666657</v>
      </c>
      <c r="C129" s="7">
        <f>L8*($E8/366)+L9*($E9/366)</f>
        <v>0</v>
      </c>
      <c r="D129" s="7">
        <f>M8*($E8/366)+M9*($E9/366)</f>
        <v>33.333333333333329</v>
      </c>
      <c r="E129" s="51">
        <f>B129+C129+D129</f>
        <v>99.999999999999986</v>
      </c>
      <c r="G129" s="1">
        <v>1960</v>
      </c>
      <c r="H129" s="809">
        <f>(O8*100*($E8/366)/($O8+$P8+$Q8))+(O9*100*($E9/366)/($O9+$P9+$Q9))</f>
        <v>72.727272727272734</v>
      </c>
      <c r="I129" s="809"/>
      <c r="J129" s="809">
        <f>(P8*100*($E8/366)/($O8+$P8+$Q8))+(P9*100*($E9/366)/($O9+$P9+$Q9))</f>
        <v>0</v>
      </c>
      <c r="K129" s="809"/>
      <c r="L129" s="809">
        <f>(Q8*100*($E8/366)/($O8+$P8+$Q8))+(Q9*100*($E9/366)/($O9+$P9+$Q9))</f>
        <v>27.272727272727273</v>
      </c>
      <c r="M129" s="809"/>
      <c r="N129" s="810">
        <f>H129+J129+L129</f>
        <v>100</v>
      </c>
      <c r="O129" s="810"/>
      <c r="R129" s="1">
        <v>1960</v>
      </c>
      <c r="S129" s="7">
        <f>(O8*($E8/366)) + (O9*($E9/366))</f>
        <v>40</v>
      </c>
      <c r="T129" s="7">
        <f>(P8*($E8/366)) + (P9*($E9/366))</f>
        <v>0</v>
      </c>
      <c r="U129" s="7">
        <f>(Q8*($E8/366)) + (Q9*($E9/366))</f>
        <v>15</v>
      </c>
      <c r="V129" s="7"/>
      <c r="W129" s="7">
        <f>S129+T129+U129</f>
        <v>55</v>
      </c>
    </row>
    <row r="130" spans="1:23" x14ac:dyDescent="0.15">
      <c r="A130" s="1">
        <v>1961</v>
      </c>
      <c r="B130" s="7">
        <f>K10*($E10/365)+K11*($E11/365)</f>
        <v>66.666666666666657</v>
      </c>
      <c r="C130" s="7">
        <f>L10*($E10/365)+L11*($E11/365)</f>
        <v>0</v>
      </c>
      <c r="D130" s="7">
        <f>M10*($E10/365)+M11*($E11/365)</f>
        <v>33.333333333333329</v>
      </c>
      <c r="E130" s="51">
        <f t="shared" ref="E130:E182" si="14">B130+C130+D130</f>
        <v>99.999999999999986</v>
      </c>
      <c r="G130" s="1">
        <v>1961</v>
      </c>
      <c r="H130" s="809">
        <f>(O10*100*($E10/365)/($O10+$P10+$Q10))+(O11*100*($E11/365)/($O11+$P11+$Q11))</f>
        <v>72.727272727272734</v>
      </c>
      <c r="I130" s="809"/>
      <c r="J130" s="809">
        <f>(P10*100*($E10/365)/($O10+$P10+$Q10))+(P11*100*($E11/365)/($O11+$P11+$Q11))</f>
        <v>0</v>
      </c>
      <c r="K130" s="809"/>
      <c r="L130" s="809">
        <f>(Q10*100*($E10/365)/($O10+$P10+$Q10))+(Q11*100*($E11/365)/($O11+$P11+$Q11))</f>
        <v>27.272727272727273</v>
      </c>
      <c r="M130" s="809"/>
      <c r="N130" s="810">
        <f>H130+J130+L130</f>
        <v>100</v>
      </c>
      <c r="O130" s="810"/>
      <c r="R130" s="1">
        <v>1961</v>
      </c>
      <c r="S130" s="7">
        <f>(O10*($E10/365)) + (O11*($E11/365))</f>
        <v>40</v>
      </c>
      <c r="T130" s="7">
        <f>(P10*($E10/365)) + (P11*($E11/365))</f>
        <v>0</v>
      </c>
      <c r="U130" s="7">
        <f>(Q10*($E10/365)) + (Q11*($E11/365))</f>
        <v>15</v>
      </c>
      <c r="V130" s="7"/>
      <c r="W130" s="7">
        <f t="shared" ref="W130:W182" si="15">S130+T130+U130</f>
        <v>55</v>
      </c>
    </row>
    <row r="131" spans="1:23" x14ac:dyDescent="0.15">
      <c r="A131" s="1">
        <v>1962</v>
      </c>
      <c r="B131" s="7">
        <f>K12*($E12/365)+K13*($E13/365)</f>
        <v>66.666666666666657</v>
      </c>
      <c r="C131" s="7">
        <f>L12*($E12/365)+L13*($E13/365)</f>
        <v>0</v>
      </c>
      <c r="D131" s="7">
        <f>M12*($E12/365)+M13*($E13/365)</f>
        <v>33.333333333333329</v>
      </c>
      <c r="E131" s="51">
        <f t="shared" si="14"/>
        <v>99.999999999999986</v>
      </c>
      <c r="F131" s="2"/>
      <c r="G131" s="2">
        <v>1962</v>
      </c>
      <c r="H131" s="809">
        <f>(O12*100*($E12/365)/($O12+$P12+$Q12))+(O13*100*($E13/365)/($O13+$P13+$Q13))</f>
        <v>72.727272727272734</v>
      </c>
      <c r="I131" s="809"/>
      <c r="J131" s="809">
        <f>(P12*100*($E12/365)/($O12+$P12+$Q12))+(P13*100*($E13/365)/($O13+$P13+$Q13))</f>
        <v>0</v>
      </c>
      <c r="K131" s="809"/>
      <c r="L131" s="809">
        <f>(Q12*100*($E12/365)/($O12+$P12+$Q12))+(Q13*100*($E13/365)/($O13+$P13+$Q13))</f>
        <v>27.272727272727273</v>
      </c>
      <c r="M131" s="809"/>
      <c r="N131" s="810">
        <f t="shared" ref="N131:N181" si="16">H131+J131+L131</f>
        <v>100</v>
      </c>
      <c r="O131" s="810"/>
      <c r="R131" s="2">
        <v>1962</v>
      </c>
      <c r="S131" s="7">
        <f>(O12*($E12/365)) + (O13*($E13/365))</f>
        <v>40</v>
      </c>
      <c r="T131" s="7">
        <f>(P12*($E12/365)) + (P13*($E13/365))</f>
        <v>0</v>
      </c>
      <c r="U131" s="7">
        <f>(Q12*($E12/365)) + (Q13*($E13/365))</f>
        <v>15</v>
      </c>
      <c r="V131" s="7"/>
      <c r="W131" s="7">
        <f t="shared" si="15"/>
        <v>55</v>
      </c>
    </row>
    <row r="132" spans="1:23" x14ac:dyDescent="0.15">
      <c r="A132" s="1">
        <v>1963</v>
      </c>
      <c r="B132" s="7">
        <f>K14*($E14/365)+K15*($E15/365)</f>
        <v>65.414220482713617</v>
      </c>
      <c r="C132" s="7">
        <f>L14*($E14/365)+L15*($E15/365)</f>
        <v>0</v>
      </c>
      <c r="D132" s="7">
        <f>M14*($E14/365)+M15*($E15/365)</f>
        <v>34.585779517286362</v>
      </c>
      <c r="E132" s="51">
        <f t="shared" si="14"/>
        <v>99.999999999999972</v>
      </c>
      <c r="F132" s="6"/>
      <c r="G132" s="2">
        <v>1963</v>
      </c>
      <c r="H132" s="809">
        <f>(O14*100*($E14/365)/($O14+$P14+$Q14))+(O15*100*($E15/365)/($O15+$P15+$Q15))</f>
        <v>73.032320168972348</v>
      </c>
      <c r="I132" s="809"/>
      <c r="J132" s="809">
        <f>(P14*100*($E14/365)/($O14+$P14+$Q14))+(P15*100*($E15/365)/($O15+$P15+$Q15))</f>
        <v>0</v>
      </c>
      <c r="K132" s="809"/>
      <c r="L132" s="809">
        <f>(Q14*100*($E14/365)/($O14+$P14+$Q14))+(Q15*100*($E15/365)/($O15+$P15+$Q15))</f>
        <v>26.967679831027638</v>
      </c>
      <c r="M132" s="809"/>
      <c r="N132" s="810">
        <f t="shared" si="16"/>
        <v>99.999999999999986</v>
      </c>
      <c r="O132" s="810"/>
      <c r="P132" s="5"/>
      <c r="Q132" s="5"/>
      <c r="R132" s="2">
        <v>1963</v>
      </c>
      <c r="S132" s="7">
        <f>(O14*($E14/365)) + (O15*($E15/365))</f>
        <v>40</v>
      </c>
      <c r="T132" s="7">
        <f>(P14*($E14/365)) + (P15*($E15/365))</f>
        <v>0</v>
      </c>
      <c r="U132" s="7">
        <f>(Q14*($E14/365)) + (Q15*($E15/365))</f>
        <v>14.776438356164382</v>
      </c>
      <c r="V132" s="7"/>
      <c r="W132" s="7">
        <f t="shared" si="15"/>
        <v>54.776438356164384</v>
      </c>
    </row>
    <row r="133" spans="1:23" x14ac:dyDescent="0.15">
      <c r="A133" s="1">
        <v>1964</v>
      </c>
      <c r="B133" s="7">
        <f>K16*($E16/366)+K17*($E17/366)</f>
        <v>57.142857142857139</v>
      </c>
      <c r="C133" s="7">
        <f>L16*($E16/366)+L17*($E17/366)</f>
        <v>0</v>
      </c>
      <c r="D133" s="7">
        <f>M16*($E16/366)+M17*($E17/366)</f>
        <v>42.857142857142854</v>
      </c>
      <c r="E133" s="51">
        <f t="shared" si="14"/>
        <v>100</v>
      </c>
      <c r="F133" s="6"/>
      <c r="G133" s="2">
        <v>1964</v>
      </c>
      <c r="H133" s="809">
        <f>(O16*100*($E16/366)/($O16+$P16+$Q16))+(O17*100*($E17/366)/($O17+$P17+$Q17))</f>
        <v>75.046904315196997</v>
      </c>
      <c r="I133" s="809"/>
      <c r="J133" s="809">
        <f>(P16*100*($E16/366)/($O16+$P16+$Q16))+(P17*100*($E17/366)/($O17+$P17+$Q17))</f>
        <v>0</v>
      </c>
      <c r="K133" s="809"/>
      <c r="L133" s="809">
        <f>(Q16*100*($E16/366)/($O16+$P16+$Q16))+(Q17*100*($E17/366)/($O17+$P17+$Q17))</f>
        <v>24.953095684803003</v>
      </c>
      <c r="M133" s="809"/>
      <c r="N133" s="810">
        <f t="shared" si="16"/>
        <v>100</v>
      </c>
      <c r="O133" s="810"/>
      <c r="P133" s="5"/>
      <c r="Q133" s="5"/>
      <c r="R133" s="2">
        <v>1964</v>
      </c>
      <c r="S133" s="7">
        <f>(O16*($E16/366)) + (O17*($E17/366))</f>
        <v>40</v>
      </c>
      <c r="T133" s="7">
        <f>(P16*($E16/366)) + (P17*($E17/366))</f>
        <v>0</v>
      </c>
      <c r="U133" s="7">
        <f>(Q16*($E16/366)) + (Q17*($E17/366))</f>
        <v>13.3</v>
      </c>
      <c r="V133" s="7"/>
      <c r="W133" s="7">
        <f t="shared" si="15"/>
        <v>53.3</v>
      </c>
    </row>
    <row r="134" spans="1:23" x14ac:dyDescent="0.15">
      <c r="A134" s="1">
        <v>1965</v>
      </c>
      <c r="B134" s="7">
        <f>K18*($E18/365)+K19*($E19/365)</f>
        <v>57.142857142857139</v>
      </c>
      <c r="C134" s="7">
        <f>L18*($E18/365)+L19*($E19/365)</f>
        <v>0</v>
      </c>
      <c r="D134" s="7">
        <f>M18*($E18/365)+M19*($E19/365)</f>
        <v>42.857142857142854</v>
      </c>
      <c r="E134" s="51">
        <f t="shared" si="14"/>
        <v>100</v>
      </c>
      <c r="F134" s="6"/>
      <c r="G134" s="2">
        <v>1965</v>
      </c>
      <c r="H134" s="809">
        <f>(O18*100*($E18/365)/($O18+$P18+$Q18))+(O19*100*($E19/365)/($O19+$P19+$Q19))</f>
        <v>75.046904315196997</v>
      </c>
      <c r="I134" s="809"/>
      <c r="J134" s="809">
        <f>(P18*100*($E18/366)/($O18+$P18+$Q18))+(P19*100*($E19/366)/($O19+$P19+$Q19))</f>
        <v>0</v>
      </c>
      <c r="K134" s="809"/>
      <c r="L134" s="809">
        <f>(Q18*100*($E18/365)/($O18+$P18+$Q18))+(Q19*100*($E19/365)/($O19+$P19+$Q19))</f>
        <v>24.953095684803003</v>
      </c>
      <c r="M134" s="809"/>
      <c r="N134" s="810">
        <f>H134+J134+L134</f>
        <v>100</v>
      </c>
      <c r="O134" s="810"/>
      <c r="P134" s="5"/>
      <c r="Q134" s="5"/>
      <c r="R134" s="2">
        <v>1965</v>
      </c>
      <c r="S134" s="7">
        <f>(O18*($E18/365)) + (O19*($E19/365))</f>
        <v>40</v>
      </c>
      <c r="T134" s="7">
        <f>(P18*($E18/365)) + (P19*($E19/365))</f>
        <v>0</v>
      </c>
      <c r="U134" s="7">
        <f>(Q18*($E18/365)) + (Q19*($E19/365))</f>
        <v>13.3</v>
      </c>
      <c r="V134" s="7"/>
      <c r="W134" s="7">
        <f t="shared" si="15"/>
        <v>53.3</v>
      </c>
    </row>
    <row r="135" spans="1:23" x14ac:dyDescent="0.15">
      <c r="A135" s="1">
        <v>1966</v>
      </c>
      <c r="B135" s="7">
        <f>K20*($E20/365)+K21*($E21/365)</f>
        <v>57.142857142857139</v>
      </c>
      <c r="C135" s="7">
        <f>L20*($E20/365)+L21*($E21/365)</f>
        <v>0</v>
      </c>
      <c r="D135" s="7">
        <f>M20*($E20/365)+M21*($E21/365)</f>
        <v>42.857142857142854</v>
      </c>
      <c r="E135" s="51">
        <f t="shared" si="14"/>
        <v>100</v>
      </c>
      <c r="F135" s="6"/>
      <c r="G135" s="2">
        <v>1966</v>
      </c>
      <c r="H135" s="809">
        <f>(O20*100*($E20/365)/($O20+$P20+$Q20))+(O21*100*($E21/365)/($O21+$P21+$Q21))</f>
        <v>75.046904315196997</v>
      </c>
      <c r="I135" s="809"/>
      <c r="J135" s="809">
        <f>(P20*100*($E20/365)/($O20+$P20+$Q20))+(P21*100*($E21/365)/($O21+$P21+$Q21))</f>
        <v>0</v>
      </c>
      <c r="K135" s="809"/>
      <c r="L135" s="809">
        <f>(Q20*100*($E20/365)/($O20+$P20+$Q20))+(Q21*100*($E21/365)/($O21+$P21+$Q21))</f>
        <v>24.953095684803003</v>
      </c>
      <c r="M135" s="809"/>
      <c r="N135" s="810">
        <f>H135+J135+L135</f>
        <v>100</v>
      </c>
      <c r="O135" s="810"/>
      <c r="P135" s="5"/>
      <c r="Q135" s="5"/>
      <c r="R135" s="2">
        <v>1966</v>
      </c>
      <c r="S135" s="7">
        <f>(O20*($E20/365)) + (O21*($E21/365))</f>
        <v>40</v>
      </c>
      <c r="T135" s="7">
        <f>(P20*($E20/365)) + (P21*($E21/365))</f>
        <v>0</v>
      </c>
      <c r="U135" s="7">
        <f>(Q20*($E20/365)) + (Q21*($E21/365))</f>
        <v>13.3</v>
      </c>
      <c r="V135" s="7"/>
      <c r="W135" s="7">
        <f t="shared" si="15"/>
        <v>53.3</v>
      </c>
    </row>
    <row r="136" spans="1:23" x14ac:dyDescent="0.15">
      <c r="A136" s="1">
        <v>1967</v>
      </c>
      <c r="B136" s="7">
        <f>K22*($E22/365)+K23*($E23/365)</f>
        <v>57.142857142857139</v>
      </c>
      <c r="C136" s="7">
        <f>L22*($E22/365)+L23*($E23/365)</f>
        <v>0</v>
      </c>
      <c r="D136" s="7">
        <f>M22*($E22/365)+M23*($E23/365)</f>
        <v>42.857142857142861</v>
      </c>
      <c r="E136" s="51">
        <f t="shared" si="14"/>
        <v>100</v>
      </c>
      <c r="F136" s="6"/>
      <c r="G136" s="2">
        <v>1967</v>
      </c>
      <c r="H136" s="809">
        <f>(O22*100*($E22/365)/($O22+$P22+$Q22))+(O23*100*($E23/365)/($O23+$P23+$Q23))</f>
        <v>73.273021665938472</v>
      </c>
      <c r="I136" s="809"/>
      <c r="J136" s="809">
        <f>(P22*100*($E22/365)/($O22+$P22+$Q22))+(P23*100*($E23/365)/($O23+$P23+$Q23))</f>
        <v>0</v>
      </c>
      <c r="K136" s="809"/>
      <c r="L136" s="809">
        <f>(Q22*100*($E22/365)/($O22+$P22+$Q22))+(Q23*100*($E23/365)/($O23+$P23+$Q23))</f>
        <v>26.726978334061531</v>
      </c>
      <c r="M136" s="809"/>
      <c r="N136" s="810">
        <f t="shared" si="16"/>
        <v>100</v>
      </c>
      <c r="O136" s="810"/>
      <c r="P136" s="5"/>
      <c r="Q136" s="5"/>
      <c r="R136" s="2">
        <v>1967</v>
      </c>
      <c r="S136" s="7">
        <f>(O22*($E22/365)) + (O23*($E23/365))</f>
        <v>39.054520547945202</v>
      </c>
      <c r="T136" s="7">
        <f>(P22*($E22/365)) + (P23*($E23/365))</f>
        <v>0</v>
      </c>
      <c r="U136" s="7">
        <f>(Q22*($E22/365)) + (Q23*($E23/365))</f>
        <v>14.245479452054795</v>
      </c>
      <c r="V136" s="7"/>
      <c r="W136" s="7">
        <f t="shared" si="15"/>
        <v>53.3</v>
      </c>
    </row>
    <row r="137" spans="1:23" x14ac:dyDescent="0.15">
      <c r="A137" s="1">
        <v>1968</v>
      </c>
      <c r="B137" s="7">
        <f>K24*($E24/366)+K25*($E25/366)</f>
        <v>57.142857142857139</v>
      </c>
      <c r="C137" s="7">
        <f>L24*($E24/366)+L25*($E25/366)</f>
        <v>0</v>
      </c>
      <c r="D137" s="7">
        <f>M24*($E24/366)+M25*($E25/366)</f>
        <v>42.857142857142854</v>
      </c>
      <c r="E137" s="51">
        <f t="shared" si="14"/>
        <v>100</v>
      </c>
      <c r="F137" s="6"/>
      <c r="G137" s="2">
        <v>1968</v>
      </c>
      <c r="H137" s="809">
        <f>(O24*100*($E24/366)/($O24+$P24+$Q24))+(O25*100*($E25/366)/($O25+$P25+$Q25))</f>
        <v>71.857410881801115</v>
      </c>
      <c r="I137" s="809"/>
      <c r="J137" s="809">
        <f>(P24*100*($E24/366)/($O24+$P24+$Q24))+(P25*100*($E25/366)/($O25+$P25+$Q25))</f>
        <v>0</v>
      </c>
      <c r="K137" s="809"/>
      <c r="L137" s="809">
        <f>(Q24*100*($E24/366)/($O24+$P24+$Q24))+(Q25*100*($E25/366)/($O25+$P25+$Q25))</f>
        <v>28.142589118198877</v>
      </c>
      <c r="M137" s="809"/>
      <c r="N137" s="810">
        <f t="shared" si="16"/>
        <v>100</v>
      </c>
      <c r="O137" s="810"/>
      <c r="P137" s="5"/>
      <c r="Q137" s="5"/>
      <c r="R137" s="2">
        <v>1968</v>
      </c>
      <c r="S137" s="7">
        <f>(O24*($E24/366)) + (O25*($E25/366))</f>
        <v>38.299999999999997</v>
      </c>
      <c r="T137" s="7">
        <f>(P24*($E24/366)) + (P25*($E25/366))</f>
        <v>0</v>
      </c>
      <c r="U137" s="7">
        <f>(Q24*($E24/366)) + (Q25*($E25/366))</f>
        <v>15</v>
      </c>
      <c r="V137" s="7"/>
      <c r="W137" s="7">
        <f t="shared" si="15"/>
        <v>53.3</v>
      </c>
    </row>
    <row r="138" spans="1:23" x14ac:dyDescent="0.15">
      <c r="A138" s="1">
        <v>1969</v>
      </c>
      <c r="B138" s="7">
        <f>K26*($E26/365)+K27*($E27/365)</f>
        <v>57.142857142857139</v>
      </c>
      <c r="C138" s="7">
        <f>L26*($E26/365)+L27*($E27/365)</f>
        <v>0</v>
      </c>
      <c r="D138" s="7">
        <f>M26*($E26/365)+M27*($E27/365)</f>
        <v>42.857142857142854</v>
      </c>
      <c r="E138" s="51">
        <f t="shared" si="14"/>
        <v>100</v>
      </c>
      <c r="F138" s="6"/>
      <c r="G138" s="2">
        <v>1969</v>
      </c>
      <c r="H138" s="809">
        <f>(O26*100*($E26/365)/($O26+$P26+$Q26))+(O27*100*($E27/365)/($O27+$P27+$Q27))</f>
        <v>71.857410881801115</v>
      </c>
      <c r="I138" s="809"/>
      <c r="J138" s="809">
        <f>(P26*100*($E26/365)/($O26+$P26+$Q26))+(P27*100*($E27/365)/($O27+$P27+$Q27))</f>
        <v>0</v>
      </c>
      <c r="K138" s="809"/>
      <c r="L138" s="809">
        <f>(Q26*100*($E26/365)/($O26+$P26+$Q26))+(Q27*100*($E27/365)/($O27+$P27+$Q27))</f>
        <v>28.142589118198877</v>
      </c>
      <c r="M138" s="809"/>
      <c r="N138" s="810">
        <f t="shared" si="16"/>
        <v>100</v>
      </c>
      <c r="O138" s="810"/>
      <c r="P138" s="5"/>
      <c r="Q138" s="5"/>
      <c r="R138" s="2">
        <v>1969</v>
      </c>
      <c r="S138" s="7">
        <f>(O26*($E26/365)) + (O27*($E27/365))</f>
        <v>38.299999999999997</v>
      </c>
      <c r="T138" s="7">
        <f>(P26*($E26/365)) + (P27*($E27/365))</f>
        <v>0</v>
      </c>
      <c r="U138" s="7">
        <f>(Q26*($E26/365)) + (Q27*($E27/365))</f>
        <v>15</v>
      </c>
      <c r="V138" s="7"/>
      <c r="W138" s="7">
        <f t="shared" si="15"/>
        <v>53.3</v>
      </c>
    </row>
    <row r="139" spans="1:23" x14ac:dyDescent="0.15">
      <c r="A139" s="1">
        <v>1970</v>
      </c>
      <c r="B139" s="7">
        <f>K28*($E28/365)+K29*($E29/365)</f>
        <v>57.142857142857146</v>
      </c>
      <c r="C139" s="7">
        <f>L28*($E28/365)+L29*($E29/365)</f>
        <v>0</v>
      </c>
      <c r="D139" s="7">
        <f>M28*($E28/365)+M29*($E29/365)</f>
        <v>42.857142857142854</v>
      </c>
      <c r="E139" s="51">
        <f t="shared" si="14"/>
        <v>100</v>
      </c>
      <c r="F139" s="6"/>
      <c r="G139" s="2">
        <v>1970</v>
      </c>
      <c r="H139" s="809">
        <f>(O28*100*($E28/365)/($O28+$P28+$Q28))+(O29*100*($E29/365)/($O29+$P29+$Q29))</f>
        <v>71.85741088180113</v>
      </c>
      <c r="I139" s="809"/>
      <c r="J139" s="809">
        <f>(P28*100*($E28/365)/($O28+$P28+$Q28))+(P29*100*($E29/365)/($O29+$P29+$Q29))</f>
        <v>0</v>
      </c>
      <c r="K139" s="809"/>
      <c r="L139" s="809">
        <f>(Q28*100*($E28/365)/($O28+$P28+$Q28))+(Q29*100*($E29/365)/($O29+$P29+$Q29))</f>
        <v>28.142589118198877</v>
      </c>
      <c r="M139" s="809"/>
      <c r="N139" s="810">
        <f t="shared" si="16"/>
        <v>100</v>
      </c>
      <c r="O139" s="810"/>
      <c r="P139" s="5"/>
      <c r="Q139" s="5"/>
      <c r="R139" s="2">
        <v>1970</v>
      </c>
      <c r="S139" s="7">
        <f>(O28*($E28/365)) + (O29*($E29/365))</f>
        <v>38.299999999999997</v>
      </c>
      <c r="T139" s="7">
        <f>(P28*($E28/365)) + (P29*($E29/365))</f>
        <v>0</v>
      </c>
      <c r="U139" s="7">
        <f>(Q28*($E28/365)) + (Q29*($E29/365))</f>
        <v>15.000000000000002</v>
      </c>
      <c r="V139" s="7"/>
      <c r="W139" s="7">
        <f t="shared" si="15"/>
        <v>53.3</v>
      </c>
    </row>
    <row r="140" spans="1:23" x14ac:dyDescent="0.15">
      <c r="A140" s="1">
        <v>1971</v>
      </c>
      <c r="B140" s="7">
        <f>K30*($E30/365)+K31*($E31/365)</f>
        <v>25.675146771037181</v>
      </c>
      <c r="C140" s="7">
        <f>L30*($E30/365)+L31*($E31/365)</f>
        <v>39.334637964774949</v>
      </c>
      <c r="D140" s="7">
        <f>M30*($E30/365)+M31*($E31/365)</f>
        <v>34.99021526418786</v>
      </c>
      <c r="E140" s="51">
        <f t="shared" si="14"/>
        <v>100</v>
      </c>
      <c r="F140" s="6"/>
      <c r="G140" s="2">
        <v>1971</v>
      </c>
      <c r="H140" s="809">
        <f>(O30*100*($E30/365)/($O30+$P30+$Q30))+(O31*100*($E31/365)/($O31+$P31+$Q31))</f>
        <v>32.286617492096944</v>
      </c>
      <c r="I140" s="809"/>
      <c r="J140" s="809">
        <f>(P30*100*($E30/365)/($O30+$P30+$Q30))+(P31*100*($E31/365)/($O31+$P31+$Q31))</f>
        <v>37.814387416793032</v>
      </c>
      <c r="K140" s="809"/>
      <c r="L140" s="809">
        <f>(Q30*100*($E30/365)/($O30+$P30+$Q30))+(Q31*100*($E31/365)/($O31+$P31+$Q31))</f>
        <v>29.898995091110024</v>
      </c>
      <c r="M140" s="809"/>
      <c r="N140" s="810">
        <f t="shared" si="16"/>
        <v>100</v>
      </c>
      <c r="O140" s="810"/>
      <c r="P140" s="5"/>
      <c r="Q140" s="5"/>
      <c r="R140" s="2">
        <v>1971</v>
      </c>
      <c r="S140" s="7">
        <f>(O30*($E30/365)) + (O31*($E31/365))</f>
        <v>17.208767123287668</v>
      </c>
      <c r="T140" s="7">
        <f>(P30*($E30/365)) + (P31*($E31/365))</f>
        <v>20.155068493150683</v>
      </c>
      <c r="U140" s="7">
        <f>(Q30*($E30/365)) + (Q31*($E31/365))</f>
        <v>15.936164383561643</v>
      </c>
      <c r="V140" s="7"/>
      <c r="W140" s="7">
        <f t="shared" si="15"/>
        <v>53.3</v>
      </c>
    </row>
    <row r="141" spans="1:23" x14ac:dyDescent="0.15">
      <c r="A141" s="1">
        <v>1972</v>
      </c>
      <c r="B141" s="7">
        <f>K32*($E32/366)+K33*($E33/366)</f>
        <v>0</v>
      </c>
      <c r="C141" s="7">
        <f>L32*($E32/366)+L33*($E33/366)</f>
        <v>71.428571428571431</v>
      </c>
      <c r="D141" s="7">
        <f>M32*($E32/366)+M33*($E33/366)</f>
        <v>28.571428571428569</v>
      </c>
      <c r="E141" s="51">
        <f t="shared" si="14"/>
        <v>100</v>
      </c>
      <c r="F141" s="6"/>
      <c r="G141" s="2">
        <v>1972</v>
      </c>
      <c r="H141" s="809">
        <f>(O32*100*($E32/366)/($O32+$P32+$Q32))+(O33*100*($E33/366)/($O33+$P33+$Q33))</f>
        <v>0</v>
      </c>
      <c r="I141" s="809"/>
      <c r="J141" s="809">
        <f>(P32*100*($E32/366)/($O32+$P32+$Q32))+(P33*100*($E33/366)/($O33+$P33+$Q33))</f>
        <v>68.667917448405262</v>
      </c>
      <c r="K141" s="809"/>
      <c r="L141" s="809">
        <f>(Q32*100*($E32/366)/($O32+$P32+$Q32))+(Q33*100*($E33/366)/($O33+$P33+$Q33))</f>
        <v>31.332082551594748</v>
      </c>
      <c r="M141" s="809"/>
      <c r="N141" s="810">
        <f t="shared" si="16"/>
        <v>100.00000000000001</v>
      </c>
      <c r="O141" s="810"/>
      <c r="P141" s="5"/>
      <c r="Q141" s="5"/>
      <c r="R141" s="2">
        <v>1972</v>
      </c>
      <c r="S141" s="7">
        <f>(O32*($E32/366)) + (O33*($E33/366))</f>
        <v>0</v>
      </c>
      <c r="T141" s="7">
        <f>(P32*($E32/366)) + (P33*($E33/366))</f>
        <v>36.6</v>
      </c>
      <c r="U141" s="7">
        <f>(Q32*($E32/366)) + (Q33*($E33/366))</f>
        <v>16.7</v>
      </c>
      <c r="V141" s="7"/>
      <c r="W141" s="7">
        <f t="shared" si="15"/>
        <v>53.3</v>
      </c>
    </row>
    <row r="142" spans="1:23" x14ac:dyDescent="0.15">
      <c r="A142" s="1">
        <v>1973</v>
      </c>
      <c r="B142" s="7">
        <f>K34*($E34/365)+K35*($E35/365)</f>
        <v>0</v>
      </c>
      <c r="C142" s="7">
        <f>L34*($E34/365)+L35*($E35/365)</f>
        <v>71.428571428571431</v>
      </c>
      <c r="D142" s="7">
        <f>M34*($E34/365)+M35*($E35/365)</f>
        <v>28.571428571428569</v>
      </c>
      <c r="E142" s="51">
        <f t="shared" si="14"/>
        <v>100</v>
      </c>
      <c r="F142" s="6"/>
      <c r="G142" s="2">
        <v>1973</v>
      </c>
      <c r="H142" s="809">
        <f>(O34*100*($E34/365)/($O34+$P34+$Q34))+(O35*100*($E35/365)/($O35+$P35+$Q35))</f>
        <v>0</v>
      </c>
      <c r="I142" s="809"/>
      <c r="J142" s="809">
        <f>(P34*100*($E34/365)/($O34+$P34+$Q34))+(P35*100*($E35/365)/($O35+$P35+$Q35))</f>
        <v>68.667917448405262</v>
      </c>
      <c r="K142" s="809"/>
      <c r="L142" s="809">
        <f>(Q34*100*($E34/365)/($O34+$P34+$Q34))+(Q35*100*($E35/365)/($O35+$P35+$Q35))</f>
        <v>31.332082551594748</v>
      </c>
      <c r="M142" s="809"/>
      <c r="N142" s="810">
        <f t="shared" si="16"/>
        <v>100.00000000000001</v>
      </c>
      <c r="O142" s="810"/>
      <c r="P142" s="5"/>
      <c r="Q142" s="5"/>
      <c r="R142" s="2">
        <v>1973</v>
      </c>
      <c r="S142" s="7">
        <f>(O34*($E34/365)) + (O35*($E35/365))</f>
        <v>0</v>
      </c>
      <c r="T142" s="7">
        <f>(P34*($E34/365)) + (P35*($E35/365))</f>
        <v>36.6</v>
      </c>
      <c r="U142" s="7">
        <f>(Q34*($E34/365)) + (Q35*($E35/365))</f>
        <v>16.7</v>
      </c>
      <c r="V142" s="7"/>
      <c r="W142" s="7">
        <f t="shared" si="15"/>
        <v>53.3</v>
      </c>
    </row>
    <row r="143" spans="1:23" x14ac:dyDescent="0.15">
      <c r="A143" s="1">
        <v>1974</v>
      </c>
      <c r="B143" s="7">
        <f>K36*($E36/365)+K37*($E37/365)</f>
        <v>17.123287671232877</v>
      </c>
      <c r="C143" s="7">
        <f>L36*($E36/365)+L37*($E37/365)</f>
        <v>64.090019569471622</v>
      </c>
      <c r="D143" s="7">
        <f>M36*($E36/365)+M37*($E37/365)</f>
        <v>18.786692759295498</v>
      </c>
      <c r="E143" s="51">
        <f t="shared" si="14"/>
        <v>100</v>
      </c>
      <c r="F143" s="6"/>
      <c r="G143" s="2">
        <v>1974</v>
      </c>
      <c r="H143" s="809">
        <f>(O36*100*($E36/365)/($O36+$P36+$Q36))+(O37*100*($E37/365)/($O37+$P37+$Q37))</f>
        <v>20.401174168297455</v>
      </c>
      <c r="I143" s="809"/>
      <c r="J143" s="809">
        <f>(P36*100*($E36/365)/($O36+$P36+$Q36))+(P37*100*($E37/365)/($O37+$P37+$Q37))</f>
        <v>58.996908537503252</v>
      </c>
      <c r="K143" s="809"/>
      <c r="L143" s="809">
        <f>(Q36*100*($E36/365)/($O36+$P36+$Q36))+(Q37*100*($E37/365)/($O37+$P37+$Q37))</f>
        <v>20.601917294199286</v>
      </c>
      <c r="M143" s="809"/>
      <c r="N143" s="810">
        <f t="shared" si="16"/>
        <v>99.999999999999986</v>
      </c>
      <c r="O143" s="810"/>
      <c r="P143" s="5"/>
      <c r="Q143" s="5"/>
      <c r="R143" s="2">
        <v>1974</v>
      </c>
      <c r="S143" s="7">
        <f>(O36*($E36/365)) + (O37*($E37/365))</f>
        <v>14.28082191780822</v>
      </c>
      <c r="T143" s="7">
        <f>(P36*($E36/365)) + (P37*($E37/365))</f>
        <v>33.757534246575339</v>
      </c>
      <c r="U143" s="7">
        <f>(Q36*($E36/365)) + (Q37*($E37/365))</f>
        <v>10.980821917808218</v>
      </c>
      <c r="V143" s="7"/>
      <c r="W143" s="7">
        <f t="shared" si="15"/>
        <v>59.019178082191772</v>
      </c>
    </row>
    <row r="144" spans="1:23" x14ac:dyDescent="0.15">
      <c r="A144" s="1">
        <v>1975</v>
      </c>
      <c r="B144" s="7">
        <f>K38*($E38/365)+K39*($E39/365)</f>
        <v>50</v>
      </c>
      <c r="C144" s="7">
        <f>L38*($E38/365)+L39*($E39/365)</f>
        <v>50</v>
      </c>
      <c r="D144" s="7">
        <f>M38*($E38/365)+M39*($E39/365)</f>
        <v>0</v>
      </c>
      <c r="E144" s="51">
        <f t="shared" si="14"/>
        <v>100</v>
      </c>
      <c r="F144" s="6"/>
      <c r="G144" s="2">
        <v>1975</v>
      </c>
      <c r="H144" s="809">
        <f>(O38*100*($E38/365)/($O38+$P38+$Q38))+(O39*100*($E39/365)/($O39+$P39+$Q39))</f>
        <v>59.571428571428569</v>
      </c>
      <c r="I144" s="809"/>
      <c r="J144" s="809">
        <f>(P38*100*($E38/365)/($O38+$P38+$Q38))+(P39*100*($E39/365)/($O39+$P39+$Q39))</f>
        <v>40.428571428571431</v>
      </c>
      <c r="K144" s="809"/>
      <c r="L144" s="809">
        <f>(Q38*100*($E38/365)/($O38+$P38+$Q38))+(Q39*100*($E39/365)/($O39+$P39+$Q39))</f>
        <v>0</v>
      </c>
      <c r="M144" s="809"/>
      <c r="N144" s="810">
        <f t="shared" si="16"/>
        <v>100</v>
      </c>
      <c r="O144" s="810"/>
      <c r="P144" s="5"/>
      <c r="Q144" s="5"/>
      <c r="R144" s="2">
        <v>1975</v>
      </c>
      <c r="S144" s="7">
        <f>(O38*($E38/365)) + (O39*($E39/365))</f>
        <v>41.7</v>
      </c>
      <c r="T144" s="7">
        <f>(P38*($E38/365)) + (P39*($E39/365))</f>
        <v>28.3</v>
      </c>
      <c r="U144" s="7">
        <f>(Q38*($E38/365)) + (Q39*($E39/365))</f>
        <v>0</v>
      </c>
      <c r="V144" s="7"/>
      <c r="W144" s="7">
        <f t="shared" si="15"/>
        <v>70</v>
      </c>
    </row>
    <row r="145" spans="1:23" x14ac:dyDescent="0.15">
      <c r="A145" s="1">
        <v>1976</v>
      </c>
      <c r="B145" s="7">
        <f>K40*($E40/366)+K41*($E41/366)</f>
        <v>50</v>
      </c>
      <c r="C145" s="7">
        <f>L40*($E40/366)+L41*($E41/366)</f>
        <v>50</v>
      </c>
      <c r="D145" s="7">
        <f>M40*($E40/366)+M41*($E41/366)</f>
        <v>0</v>
      </c>
      <c r="E145" s="51">
        <f t="shared" si="14"/>
        <v>100</v>
      </c>
      <c r="F145" s="6"/>
      <c r="G145" s="2">
        <v>1976</v>
      </c>
      <c r="H145" s="809">
        <f>(O40*100*($E40/366)/($O40+$P40+$Q40))+(O41*100*($E41/366)/($O41+$P41+$Q41))</f>
        <v>59.571428571428569</v>
      </c>
      <c r="I145" s="809"/>
      <c r="J145" s="809">
        <f>(P40*100*($E40/366)/($O40+$P40+$Q40))+(P41*100*($E41/366)/($O41+$P41+$Q41))</f>
        <v>40.428571428571431</v>
      </c>
      <c r="K145" s="809"/>
      <c r="L145" s="809">
        <f>(Q40*100*($E40/366)/($O40+$P40+$Q40))+(Q41*100*($E41/366)/($O41+$P41+$Q41))</f>
        <v>0</v>
      </c>
      <c r="M145" s="809"/>
      <c r="N145" s="810">
        <f t="shared" si="16"/>
        <v>100</v>
      </c>
      <c r="O145" s="810"/>
      <c r="P145" s="5"/>
      <c r="Q145" s="5"/>
      <c r="R145" s="2">
        <v>1976</v>
      </c>
      <c r="S145" s="7">
        <f>(O40*($E40/366)) + (O41*($E41/366))</f>
        <v>41.7</v>
      </c>
      <c r="T145" s="7">
        <f>(P40*($E40/366)) + (P41*($E41/366))</f>
        <v>28.3</v>
      </c>
      <c r="U145" s="7">
        <f>(Q40*($E40/366)) + (Q41*($E41/366))</f>
        <v>0</v>
      </c>
      <c r="V145" s="7"/>
      <c r="W145" s="7">
        <f t="shared" si="15"/>
        <v>70</v>
      </c>
    </row>
    <row r="146" spans="1:23" x14ac:dyDescent="0.15">
      <c r="A146" s="1">
        <v>1977</v>
      </c>
      <c r="B146" s="7">
        <f>K42*($E42/365)+K43*($E43/365)</f>
        <v>50</v>
      </c>
      <c r="C146" s="7">
        <f>L42*($E42/365)+L43*($E43/365)</f>
        <v>50</v>
      </c>
      <c r="D146" s="7">
        <f>M42*($E42/365)+M43*($E43/365)</f>
        <v>0</v>
      </c>
      <c r="E146" s="51">
        <f t="shared" si="14"/>
        <v>100</v>
      </c>
      <c r="F146" s="6"/>
      <c r="G146" s="2">
        <v>1977</v>
      </c>
      <c r="H146" s="809">
        <f>(O42*100*($E42/365)/($O42+$P42+$Q42))+(O43*100*($E43/365)/($O43+$P43+$Q43))</f>
        <v>59.571428571428569</v>
      </c>
      <c r="I146" s="809"/>
      <c r="J146" s="809">
        <f>(P42*100*($E42/365)/($O42+$P42+$Q42))+(P43*100*($E43/365)/($O43+$P43+$Q43))</f>
        <v>40.428571428571431</v>
      </c>
      <c r="K146" s="809"/>
      <c r="L146" s="809">
        <f>(Q42*100*($E42/365)/($O42+$P42+$Q42))+(Q43*100*($E43/365)/($O43+$P43+$Q43))</f>
        <v>0</v>
      </c>
      <c r="M146" s="809"/>
      <c r="N146" s="810">
        <f t="shared" si="16"/>
        <v>100</v>
      </c>
      <c r="O146" s="810"/>
      <c r="P146" s="5"/>
      <c r="Q146" s="5"/>
      <c r="R146" s="2">
        <v>1977</v>
      </c>
      <c r="S146" s="7">
        <f>(O42*($E42/365)) + (O43*($E43/365))</f>
        <v>41.7</v>
      </c>
      <c r="T146" s="7">
        <f>(P42*($E42/365)) + (P43*($E43/365))</f>
        <v>28.3</v>
      </c>
      <c r="U146" s="7">
        <f>(Q42*($E42/365)) + (Q43*($E43/365))</f>
        <v>0</v>
      </c>
      <c r="V146" s="7"/>
      <c r="W146" s="7">
        <f t="shared" si="15"/>
        <v>70</v>
      </c>
    </row>
    <row r="147" spans="1:23" x14ac:dyDescent="0.15">
      <c r="A147" s="1">
        <v>1978</v>
      </c>
      <c r="B147" s="7">
        <f>K44*($E44/365)+K45*($E45/365)</f>
        <v>33.150684931506852</v>
      </c>
      <c r="C147" s="7">
        <f>L44*($E44/365)+L45*($E45/365)</f>
        <v>44.38356164383562</v>
      </c>
      <c r="D147" s="7">
        <f>M44*($E44/365)+M45*($E45/365)</f>
        <v>22.465753424657532</v>
      </c>
      <c r="E147" s="51">
        <f t="shared" si="14"/>
        <v>100.00000000000001</v>
      </c>
      <c r="F147" s="6"/>
      <c r="G147" s="2">
        <v>1978</v>
      </c>
      <c r="H147" s="809">
        <f>(O44*100*($E44/365)/($O44+$P44+$Q44))+(O45*100*($E45/365)/($O45+$P45+$Q45))</f>
        <v>39.496673189823881</v>
      </c>
      <c r="I147" s="809"/>
      <c r="J147" s="809">
        <f>(P44*100*($E44/365)/($O44+$P44+$Q44))+(P45*100*($E45/365)/($O45+$P45+$Q45))</f>
        <v>36.924405423035566</v>
      </c>
      <c r="K147" s="809"/>
      <c r="L147" s="809">
        <f>(Q44*100*($E44/365)/($O44+$P44+$Q44))+(Q45*100*($E45/365)/($O45+$P45+$Q45))</f>
        <v>23.578921387140568</v>
      </c>
      <c r="M147" s="809"/>
      <c r="N147" s="810">
        <f t="shared" si="16"/>
        <v>100.00000000000001</v>
      </c>
      <c r="O147" s="810"/>
      <c r="P147" s="5"/>
      <c r="Q147" s="5"/>
      <c r="R147" s="2">
        <v>1978</v>
      </c>
      <c r="S147" s="7">
        <f>(O44*($E44/365)) + (O45*($E45/365))</f>
        <v>27.647671232876718</v>
      </c>
      <c r="T147" s="7">
        <f>(P44*($E44/365)) + (P45*($E45/365))</f>
        <v>25.503013698630138</v>
      </c>
      <c r="U147" s="7">
        <f>(Q44*($E44/365)) + (Q45*($E45/365))</f>
        <v>15.703561643835616</v>
      </c>
      <c r="V147" s="7"/>
      <c r="W147" s="7">
        <f t="shared" si="15"/>
        <v>68.854246575342472</v>
      </c>
    </row>
    <row r="148" spans="1:23" x14ac:dyDescent="0.15">
      <c r="A148" s="1">
        <v>1979</v>
      </c>
      <c r="B148" s="7">
        <f>K46*($E46/365)+K47*($E47/365)</f>
        <v>0</v>
      </c>
      <c r="C148" s="7">
        <f>L46*($E46/365)+L47*($E47/365)</f>
        <v>26.210045662100452</v>
      </c>
      <c r="D148" s="7">
        <f>M46*($E46/365)+M47*($E47/365)</f>
        <v>73.78995433789953</v>
      </c>
      <c r="E148" s="51">
        <f t="shared" si="14"/>
        <v>99.999999999999986</v>
      </c>
      <c r="F148" s="6"/>
      <c r="G148" s="2">
        <v>1979</v>
      </c>
      <c r="H148" s="809">
        <f>(O46*100*($E46/365)/($O46+$P46+$Q46))+(O47*100*($E47/365)/($O47+$P47+$Q47))</f>
        <v>0</v>
      </c>
      <c r="I148" s="809"/>
      <c r="J148" s="809">
        <f>(P46*100*($E46/365)/($O46+$P46+$Q46))+(P47*100*($E47/365)/($O47+$P47+$Q47))</f>
        <v>23.612653749640049</v>
      </c>
      <c r="K148" s="809"/>
      <c r="L148" s="809">
        <f>(Q46*100*($E46/365)/($O46+$P46+$Q46))+(Q47*100*($E47/365)/($O47+$P47+$Q47))</f>
        <v>76.387346250359954</v>
      </c>
      <c r="M148" s="809"/>
      <c r="N148" s="810">
        <f t="shared" si="16"/>
        <v>100</v>
      </c>
      <c r="O148" s="810"/>
      <c r="P148" s="5"/>
      <c r="Q148" s="5"/>
      <c r="R148" s="2">
        <v>1979</v>
      </c>
      <c r="S148" s="7">
        <f>(O46*($E46/365)) + (O47*($E47/365))</f>
        <v>0</v>
      </c>
      <c r="T148" s="7">
        <f>(P46*($E46/365)) + (P47*($E47/365))</f>
        <v>15.726027397260275</v>
      </c>
      <c r="U148" s="7">
        <f>(Q46*($E46/365)) + (Q47*($E47/365))</f>
        <v>41.620821917808222</v>
      </c>
      <c r="V148" s="7"/>
      <c r="W148" s="7">
        <f t="shared" si="15"/>
        <v>57.346849315068496</v>
      </c>
    </row>
    <row r="149" spans="1:23" x14ac:dyDescent="0.15">
      <c r="A149" s="1">
        <v>1980</v>
      </c>
      <c r="B149" s="7">
        <f>K48*($E48/366)+K49*($E49/366)</f>
        <v>35.846994535519123</v>
      </c>
      <c r="C149" s="7">
        <f>L48*($E48/366)+L49*($E49/366)</f>
        <v>26.885245901639344</v>
      </c>
      <c r="D149" s="7">
        <f>M48*($E48/366)+M49*($E49/366)</f>
        <v>37.267759562841533</v>
      </c>
      <c r="E149" s="51">
        <f t="shared" si="14"/>
        <v>100</v>
      </c>
      <c r="F149" s="6"/>
      <c r="G149" s="2">
        <v>1980</v>
      </c>
      <c r="H149" s="809">
        <f>(O48*100*($E48/366)/($O48+$P48+$Q48))+(O49*100*($E49/366)/($O49+$P49+$Q49))</f>
        <v>38.438872816886324</v>
      </c>
      <c r="I149" s="809"/>
      <c r="J149" s="809">
        <f>(P48*100*($E48/366)/($O48+$P48+$Q48))+(P49*100*($E49/366)/($O49+$P49+$Q49))</f>
        <v>31.080574306225227</v>
      </c>
      <c r="K149" s="809"/>
      <c r="L149" s="809">
        <f>(Q48*100*($E48/366)/($O48+$P48+$Q48))+(Q49*100*($E49/366)/($O49+$P49+$Q49))</f>
        <v>30.48055287688846</v>
      </c>
      <c r="M149" s="809"/>
      <c r="N149" s="810">
        <f t="shared" si="16"/>
        <v>100</v>
      </c>
      <c r="O149" s="810"/>
      <c r="P149" s="5"/>
      <c r="Q149" s="5"/>
      <c r="R149" s="2">
        <v>1980</v>
      </c>
      <c r="S149" s="7">
        <f>(O48*($E48/366)) + (O49*($E49/366))</f>
        <v>31.366120218579233</v>
      </c>
      <c r="T149" s="7">
        <f>(P48*($E48/366)) + (P49*($E49/366))</f>
        <v>25.361748633879781</v>
      </c>
      <c r="U149" s="7">
        <f>(Q48*($E48/366)) + (Q49*($E49/366))</f>
        <v>18.819125683060111</v>
      </c>
      <c r="V149" s="7"/>
      <c r="W149" s="7">
        <f t="shared" si="15"/>
        <v>75.546994535519119</v>
      </c>
    </row>
    <row r="150" spans="1:23" x14ac:dyDescent="0.15">
      <c r="A150" s="1">
        <v>1981</v>
      </c>
      <c r="B150" s="7">
        <f>K50*($E50/365)+K51*($E51/365)</f>
        <v>40</v>
      </c>
      <c r="C150" s="7">
        <f>L50*($E50/365)+L51*($E51/365)</f>
        <v>30</v>
      </c>
      <c r="D150" s="7">
        <f>M50*($E50/365)+M51*($E51/365)</f>
        <v>30</v>
      </c>
      <c r="E150" s="51">
        <f t="shared" si="14"/>
        <v>100</v>
      </c>
      <c r="F150" s="6"/>
      <c r="G150" s="2">
        <v>1981</v>
      </c>
      <c r="H150" s="809">
        <f>(O50*100*($E50/365)/($O50+$P50+$Q50))+(O51*100*($E51/365)/($O51+$P51+$Q51))</f>
        <v>42.892156862745104</v>
      </c>
      <c r="I150" s="809"/>
      <c r="J150" s="809">
        <f>(P50*100*($E50/365)/($O50+$P50+$Q50))+(P51*100*($E51/365)/($O51+$P51+$Q51))</f>
        <v>34.681372549019613</v>
      </c>
      <c r="K150" s="809"/>
      <c r="L150" s="809">
        <f>(Q50*100*($E50/365)/($O50+$P50+$Q50))+(Q51*100*($E51/365)/($O51+$P51+$Q51))</f>
        <v>22.426470588235297</v>
      </c>
      <c r="M150" s="809"/>
      <c r="N150" s="810">
        <f t="shared" si="16"/>
        <v>100.00000000000003</v>
      </c>
      <c r="O150" s="810"/>
      <c r="P150" s="5"/>
      <c r="Q150" s="5"/>
      <c r="R150" s="2">
        <v>1981</v>
      </c>
      <c r="S150" s="7">
        <f>(O50*($E50/365)) + (O51*($E51/365))</f>
        <v>35</v>
      </c>
      <c r="T150" s="7">
        <f>(P50*($E50/365)) + (P51*($E51/365))</f>
        <v>28.3</v>
      </c>
      <c r="U150" s="7">
        <f>(Q50*($E50/365)) + (Q51*($E51/365))</f>
        <v>18.3</v>
      </c>
      <c r="V150" s="7"/>
      <c r="W150" s="7">
        <f t="shared" si="15"/>
        <v>81.599999999999994</v>
      </c>
    </row>
    <row r="151" spans="1:23" x14ac:dyDescent="0.15">
      <c r="A151" s="1">
        <v>1982</v>
      </c>
      <c r="B151" s="7">
        <f>K52*($E52/365)+K53*($E53/365)</f>
        <v>40</v>
      </c>
      <c r="C151" s="7">
        <f>L52*($E52/365)+L53*($E53/365)</f>
        <v>30</v>
      </c>
      <c r="D151" s="7">
        <f>M52*($E52/365)+M53*($E53/365)</f>
        <v>30</v>
      </c>
      <c r="E151" s="51">
        <f t="shared" si="14"/>
        <v>100</v>
      </c>
      <c r="F151" s="6"/>
      <c r="G151" s="2">
        <v>1982</v>
      </c>
      <c r="H151" s="809">
        <f>(O52*100*($E52/365)/($O52+$P52+$Q52))+(O53*100*($E53/365)/($O53+$P53+$Q53))</f>
        <v>42.892156862745104</v>
      </c>
      <c r="I151" s="809"/>
      <c r="J151" s="809">
        <f>(P52*100*($E52/365)/($O52+$P52+$Q52))+(P53*100*($E53/365)/($O53+$P53+$Q53))</f>
        <v>34.681372549019613</v>
      </c>
      <c r="K151" s="809"/>
      <c r="L151" s="809">
        <f>(Q52*100*($E52/365)/($O52+$P52+$Q52))+(Q53*100*($E53/365)/($O53+$P53+$Q53))</f>
        <v>22.426470588235297</v>
      </c>
      <c r="M151" s="809"/>
      <c r="N151" s="810">
        <f t="shared" si="16"/>
        <v>100.00000000000003</v>
      </c>
      <c r="O151" s="810"/>
      <c r="P151" s="5"/>
      <c r="Q151" s="5"/>
      <c r="R151" s="2">
        <v>1982</v>
      </c>
      <c r="S151" s="7">
        <f>(O52*($E52/365)) + (O53*($E53/365))</f>
        <v>35</v>
      </c>
      <c r="T151" s="7">
        <f>(P52*($E52/365)) + (P53*($E53/365))</f>
        <v>28.3</v>
      </c>
      <c r="U151" s="7">
        <f>(Q52*($E52/365)) + (Q53*($E53/365))</f>
        <v>18.3</v>
      </c>
      <c r="V151" s="7"/>
      <c r="W151" s="7">
        <f t="shared" si="15"/>
        <v>81.599999999999994</v>
      </c>
    </row>
    <row r="152" spans="1:23" x14ac:dyDescent="0.15">
      <c r="A152" s="1">
        <v>1983</v>
      </c>
      <c r="B152" s="7">
        <f>K54*($E54/365)+K55*($E55/365)</f>
        <v>52.054794520547944</v>
      </c>
      <c r="C152" s="7">
        <f>L54*($E54/365)+L55*($E55/365)</f>
        <v>36.027397260273972</v>
      </c>
      <c r="D152" s="7">
        <f>M54*($E54/365)+M55*($E55/365)</f>
        <v>11.917808219178081</v>
      </c>
      <c r="E152" s="51">
        <f t="shared" si="14"/>
        <v>100</v>
      </c>
      <c r="F152" s="5"/>
      <c r="G152" s="2">
        <v>1983</v>
      </c>
      <c r="H152" s="809">
        <f>(O54*100*($E54/365)/($O54+$P54+$Q54))+(O55*100*($E55/365)/($O55+$P55+$Q55))</f>
        <v>54.514888147039642</v>
      </c>
      <c r="I152" s="809"/>
      <c r="J152" s="809">
        <f>(P54*100*($E54/365)/($O54+$P54+$Q54))+(P55*100*($E55/365)/($O55+$P55+$Q55))</f>
        <v>36.575966002839493</v>
      </c>
      <c r="K152" s="809"/>
      <c r="L152" s="809">
        <f>(Q54*100*($E54/365)/($O54+$P54+$Q54))+(Q55*100*($E55/365)/($O55+$P55+$Q55))</f>
        <v>8.9091458501208702</v>
      </c>
      <c r="M152" s="809"/>
      <c r="N152" s="810">
        <f t="shared" si="16"/>
        <v>100</v>
      </c>
      <c r="O152" s="810"/>
      <c r="Q152" s="5"/>
      <c r="R152" s="2">
        <v>1983</v>
      </c>
      <c r="S152" s="7">
        <f>(O54*($E54/365)) + (O55*($E55/365))</f>
        <v>36.989041095890407</v>
      </c>
      <c r="T152" s="7">
        <f>(P54*($E54/365)) + (P55*($E55/365))</f>
        <v>25.286301369863011</v>
      </c>
      <c r="U152" s="7">
        <f>(Q54*($E54/365)) + (Q55*($E55/365))</f>
        <v>7.2698630136986298</v>
      </c>
      <c r="V152" s="7"/>
      <c r="W152" s="7">
        <f t="shared" si="15"/>
        <v>69.545205479452051</v>
      </c>
    </row>
    <row r="153" spans="1:23" x14ac:dyDescent="0.15">
      <c r="A153" s="1">
        <v>1984</v>
      </c>
      <c r="B153" s="7">
        <f>K56*($E56/366)+K57*($E57/366)</f>
        <v>60</v>
      </c>
      <c r="C153" s="7">
        <f>L56*($E56/366)+L57*($E57/366)</f>
        <v>40</v>
      </c>
      <c r="D153" s="7">
        <f>M56*($E56/366)+M57*($E57/366)</f>
        <v>0</v>
      </c>
      <c r="E153" s="51">
        <f t="shared" si="14"/>
        <v>100</v>
      </c>
      <c r="F153" s="6"/>
      <c r="G153" s="2">
        <v>1984</v>
      </c>
      <c r="H153" s="809">
        <f>(O56*100*($E56/366)/($O56+$P56+$Q56))+(O57*100*($E57/366)/($O57+$P57+$Q57))</f>
        <v>62.175324675324674</v>
      </c>
      <c r="I153" s="809"/>
      <c r="J153" s="809">
        <f>(P56*100*($E56/366)/($O56+$P56+$Q56))+(P57*100*($E57/366)/($O57+$P57+$Q57))</f>
        <v>37.824675324675326</v>
      </c>
      <c r="K153" s="809"/>
      <c r="L153" s="809">
        <f>(Q56*100*($E56/366)/($O56+$P56+$Q56))+(Q57*100*($E57/366)/($O57+$P57+$Q57))</f>
        <v>0</v>
      </c>
      <c r="M153" s="809"/>
      <c r="N153" s="810">
        <f t="shared" si="16"/>
        <v>100</v>
      </c>
      <c r="O153" s="810"/>
      <c r="Q153" s="5"/>
      <c r="R153" s="2">
        <v>1984</v>
      </c>
      <c r="S153" s="7">
        <f>(O56*($E56/366)) + (O57*($E57/366))</f>
        <v>38.299999999999997</v>
      </c>
      <c r="T153" s="7">
        <f>(P56*($E56/366)) + (P57*($E57/366))</f>
        <v>23.3</v>
      </c>
      <c r="U153" s="7">
        <f>(Q56*($E56/366)) + (Q57*($E57/366))</f>
        <v>0</v>
      </c>
      <c r="V153" s="7"/>
      <c r="W153" s="7">
        <f t="shared" si="15"/>
        <v>61.599999999999994</v>
      </c>
    </row>
    <row r="154" spans="1:23" x14ac:dyDescent="0.15">
      <c r="A154" s="1">
        <v>1985</v>
      </c>
      <c r="B154" s="7">
        <f>K58*($E58/365)+K59*($E59/365)</f>
        <v>60</v>
      </c>
      <c r="C154" s="7">
        <f>L58*($E58/365)+L59*($E59/365)</f>
        <v>40</v>
      </c>
      <c r="D154" s="7">
        <f>M58*($E58/365)+M59*($E59/365)</f>
        <v>0</v>
      </c>
      <c r="E154" s="51">
        <f t="shared" si="14"/>
        <v>100</v>
      </c>
      <c r="G154" s="2">
        <v>1985</v>
      </c>
      <c r="H154" s="809">
        <f>(O58*100*($E58/365)/($O58+$P58+$Q58))+(O59*100*($E59/365)/($O59+$P59+$Q59))</f>
        <v>62.175324675324674</v>
      </c>
      <c r="I154" s="809"/>
      <c r="J154" s="809">
        <f>(P58*100*($E58/365)/($O58+$P58+$Q58))+(P59*100*($E59/365)/($O59+$P59+$Q59))</f>
        <v>37.824675324675326</v>
      </c>
      <c r="K154" s="809"/>
      <c r="L154" s="809">
        <f>(Q58*100*($E58/365)/($O58+$P58+$Q58))+(Q59*100*($E59/365)/($O59+$P59+$Q59))</f>
        <v>0</v>
      </c>
      <c r="M154" s="809"/>
      <c r="N154" s="810">
        <f t="shared" si="16"/>
        <v>100</v>
      </c>
      <c r="O154" s="810"/>
      <c r="R154" s="2">
        <v>1985</v>
      </c>
      <c r="S154" s="7">
        <f>(O58*($E58/365)) + (O59*($E59/365))</f>
        <v>38.299999999999997</v>
      </c>
      <c r="T154" s="7">
        <f>(P58*($E58/365)) + (P59*($E59/365))</f>
        <v>23.3</v>
      </c>
      <c r="U154" s="7">
        <f>(Q58*($E58/365)) + (Q59*($E59/365))</f>
        <v>0</v>
      </c>
      <c r="V154" s="7"/>
      <c r="W154" s="7">
        <f t="shared" si="15"/>
        <v>61.599999999999994</v>
      </c>
    </row>
    <row r="155" spans="1:23" x14ac:dyDescent="0.15">
      <c r="A155" s="1">
        <v>1986</v>
      </c>
      <c r="B155" s="7">
        <f>K60*($E60/365)+K61*($E61/365)</f>
        <v>60</v>
      </c>
      <c r="C155" s="7">
        <f>L60*($E60/365)+L61*($E61/365)</f>
        <v>40</v>
      </c>
      <c r="D155" s="7">
        <f>M60*($E60/365)+M61*($E61/365)</f>
        <v>0</v>
      </c>
      <c r="E155" s="51">
        <f t="shared" si="14"/>
        <v>100</v>
      </c>
      <c r="G155" s="2">
        <v>1986</v>
      </c>
      <c r="H155" s="809">
        <f>(O60*100*($E60/365)/($O60+$P60+$Q60))+(O61*100*($E61/365)/($O61+$P61+$Q61))</f>
        <v>62.175324675324674</v>
      </c>
      <c r="I155" s="809"/>
      <c r="J155" s="809">
        <f>(P60*100*($E60/365)/($O60+$P60+$Q60))+(P61*100*($E61/365)/($O61+$P61+$Q61))</f>
        <v>37.824675324675326</v>
      </c>
      <c r="K155" s="809"/>
      <c r="L155" s="809">
        <f>(Q60*100*($E60/365)/($O60+$P60+$Q60))+(Q61*100*($E61/365)/($O61+$P61+$Q61))</f>
        <v>0</v>
      </c>
      <c r="M155" s="809"/>
      <c r="N155" s="810">
        <f t="shared" si="16"/>
        <v>100</v>
      </c>
      <c r="O155" s="810"/>
      <c r="R155" s="2">
        <v>1986</v>
      </c>
      <c r="S155" s="7">
        <f>(O60*($E60/365)) + (O61*($E61/365))</f>
        <v>38.299999999999997</v>
      </c>
      <c r="T155" s="7">
        <f>(P60*($E60/365)) + (P61*($E61/365))</f>
        <v>23.3</v>
      </c>
      <c r="U155" s="7">
        <f>(Q60*($E60/365)) + (Q61*($E61/365))</f>
        <v>0</v>
      </c>
      <c r="V155" s="7"/>
      <c r="W155" s="7">
        <f t="shared" si="15"/>
        <v>61.599999999999994</v>
      </c>
    </row>
    <row r="156" spans="1:23" x14ac:dyDescent="0.15">
      <c r="A156" s="1">
        <v>1987</v>
      </c>
      <c r="B156" s="7">
        <f>K62*($E62/365)+K63*($E63/365)</f>
        <v>48.537982565379828</v>
      </c>
      <c r="C156" s="7">
        <f>L62*($E62/365)+L63*($E63/365)</f>
        <v>38.236612702366131</v>
      </c>
      <c r="D156" s="7">
        <f>M62*($E62/365)+M63*($E63/365)</f>
        <v>13.225404732254047</v>
      </c>
      <c r="E156" s="51">
        <f t="shared" si="14"/>
        <v>100</v>
      </c>
      <c r="G156" s="1">
        <v>1987</v>
      </c>
      <c r="H156" s="809">
        <f>(O62*100*($E62/365)/($O62+$P62+$Q62))+(O63*100*($E63/365)/($O63+$P63+$Q63))</f>
        <v>53.361537093043935</v>
      </c>
      <c r="I156" s="809"/>
      <c r="J156" s="809">
        <f>(P62*100*($E62/365)/($O62+$P62+$Q62))+(P63*100*($E63/365)/($O63+$P63+$Q63))</f>
        <v>34.850897048157321</v>
      </c>
      <c r="K156" s="809"/>
      <c r="L156" s="809">
        <f>(Q62*100*($E62/365)/($O62+$P62+$Q62))+(Q63*100*($E63/365)/($O63+$P63+$Q63))</f>
        <v>11.787565858798736</v>
      </c>
      <c r="M156" s="809"/>
      <c r="N156" s="810">
        <f t="shared" si="16"/>
        <v>100</v>
      </c>
      <c r="O156" s="810"/>
      <c r="R156" s="1">
        <v>1987</v>
      </c>
      <c r="S156" s="7">
        <f>(O62*($E62/365)) + (O63*($E63/365))</f>
        <v>33.596164383561643</v>
      </c>
      <c r="T156" s="7">
        <f>(P62*($E62/365)) + (P63*($E63/365))</f>
        <v>21.990684931506848</v>
      </c>
      <c r="U156" s="7">
        <f>(Q62*($E62/365)) + (Q63*($E63/365))</f>
        <v>7.6619178082191786</v>
      </c>
      <c r="V156" s="7"/>
      <c r="W156" s="7">
        <f t="shared" si="15"/>
        <v>63.248767123287671</v>
      </c>
    </row>
    <row r="157" spans="1:23" x14ac:dyDescent="0.15">
      <c r="A157" s="1">
        <v>1988</v>
      </c>
      <c r="B157" s="7">
        <f>K64*($E64/366)+K65*($E65/366)</f>
        <v>27.024341778440142</v>
      </c>
      <c r="C157" s="7">
        <f>L64*($E64/366)+L65*($E65/366)</f>
        <v>35.585361814870012</v>
      </c>
      <c r="D157" s="7">
        <f>M64*($E64/366)+M65*($E65/366)</f>
        <v>37.390296406689842</v>
      </c>
      <c r="E157" s="51">
        <f t="shared" si="14"/>
        <v>100</v>
      </c>
      <c r="G157" s="1">
        <v>1988</v>
      </c>
      <c r="H157" s="809">
        <f>(O64*100*($E64/366)/($O64+$P64+$Q64))+(O65*100*($E65/366)/($O65+$P65+$Q65))</f>
        <v>32.699453551912569</v>
      </c>
      <c r="I157" s="809"/>
      <c r="J157" s="809">
        <f>(P64*100*($E64/366)/($O64+$P64+$Q64))+(P65*100*($E65/366)/($O65+$P65+$Q65))</f>
        <v>34.328130818798911</v>
      </c>
      <c r="K157" s="809"/>
      <c r="L157" s="809">
        <f>(Q64*100*($E64/366)/($O64+$P64+$Q64))+(Q65*100*($E65/366)/($O65+$P65+$Q65))</f>
        <v>32.97241562928852</v>
      </c>
      <c r="M157" s="809"/>
      <c r="N157" s="810">
        <f t="shared" si="16"/>
        <v>100</v>
      </c>
      <c r="O157" s="810"/>
      <c r="R157" s="1">
        <v>1988</v>
      </c>
      <c r="S157" s="7">
        <f>(O64*($E64/366)) + (O65*($E65/366))</f>
        <v>21.254644808743173</v>
      </c>
      <c r="T157" s="7">
        <f>(P64*($E64/366)) + (P65*($E65/366))</f>
        <v>20.6</v>
      </c>
      <c r="U157" s="7">
        <f>(Q64*($E64/366)) + (Q65*($E65/366))</f>
        <v>19.061748633879784</v>
      </c>
      <c r="V157" s="7"/>
      <c r="W157" s="7">
        <f t="shared" si="15"/>
        <v>60.916393442622962</v>
      </c>
    </row>
    <row r="158" spans="1:23" x14ac:dyDescent="0.15">
      <c r="A158" s="1">
        <v>1989</v>
      </c>
      <c r="B158" s="7">
        <f>K66*($E66/365)+K67*($E67/365)</f>
        <v>4.7322540473225407</v>
      </c>
      <c r="C158" s="7">
        <f>L66*($E66/365)+L67*($E67/365)</f>
        <v>31.755915317559147</v>
      </c>
      <c r="D158" s="7">
        <f>M66*($E66/365)+M67*($E67/365)</f>
        <v>63.511830635118294</v>
      </c>
      <c r="E158" s="51">
        <f t="shared" si="14"/>
        <v>99.999999999999972</v>
      </c>
      <c r="G158" s="1">
        <v>1989</v>
      </c>
      <c r="H158" s="809">
        <f>(O66*100*($E66/365)/($O66+$P66+$Q66))+(O67*100*($E67/365)/($O67+$P67+$Q67))</f>
        <v>4.7990715878578252</v>
      </c>
      <c r="I158" s="809"/>
      <c r="J158" s="809">
        <f>(P66*100*($E66/365)/($O66+$P66+$Q66))+(P67*100*($E67/365)/($O67+$P67+$Q67))</f>
        <v>39.941733712629912</v>
      </c>
      <c r="K158" s="809"/>
      <c r="L158" s="809">
        <f>(Q66*100*($E66/365)/($O66+$P66+$Q66))+(Q67*100*($E67/365)/($O67+$P67+$Q67))</f>
        <v>55.259194699512257</v>
      </c>
      <c r="M158" s="809"/>
      <c r="N158" s="810">
        <f t="shared" si="16"/>
        <v>100</v>
      </c>
      <c r="O158" s="810"/>
      <c r="R158" s="1">
        <v>1989</v>
      </c>
      <c r="S158" s="7">
        <f>(O66*($E66/365)) + (O67*($E67/365))</f>
        <v>2.8890410958904109</v>
      </c>
      <c r="T158" s="7">
        <f>(P66*($E66/365)) + (P67*($E67/365))</f>
        <v>20.6</v>
      </c>
      <c r="U158" s="7">
        <f>(Q66*($E66/365)) + (Q67*($E67/365))</f>
        <v>28.499999999999996</v>
      </c>
      <c r="V158" s="7"/>
      <c r="W158" s="7">
        <f t="shared" si="15"/>
        <v>51.989041095890414</v>
      </c>
    </row>
    <row r="159" spans="1:23" x14ac:dyDescent="0.15">
      <c r="A159" s="1">
        <v>1990</v>
      </c>
      <c r="B159" s="7">
        <f>K68*($E68/365)+K69*($E69/365)</f>
        <v>18.181818181818183</v>
      </c>
      <c r="C159" s="7">
        <f>L68*($E68/365)+L69*($E69/365)</f>
        <v>27.27272727272727</v>
      </c>
      <c r="D159" s="7">
        <f>M68*($E68/365)+M69*($E69/365)</f>
        <v>54.54545454545454</v>
      </c>
      <c r="E159" s="51">
        <f t="shared" si="14"/>
        <v>100</v>
      </c>
      <c r="G159" s="1">
        <v>1990</v>
      </c>
      <c r="H159" s="809">
        <f>(O68*100*($E68/365)/($O68+$P68+$Q68))+(O69*100*($E69/365)/($O69+$P69+$Q69))</f>
        <v>18.438538205980066</v>
      </c>
      <c r="I159" s="809"/>
      <c r="J159" s="809">
        <f>(P68*100*($E68/365)/($O68+$P68+$Q68))+(P69*100*($E69/365)/($O69+$P69+$Q69))</f>
        <v>34.219269102990033</v>
      </c>
      <c r="K159" s="809"/>
      <c r="L159" s="809">
        <f>(Q68*100*($E68/365)/($O68+$P68+$Q68))+(Q69*100*($E69/365)/($O69+$P69+$Q69))</f>
        <v>47.342192691029901</v>
      </c>
      <c r="M159" s="809"/>
      <c r="N159" s="810">
        <f t="shared" si="16"/>
        <v>100</v>
      </c>
      <c r="O159" s="810"/>
      <c r="R159" s="1">
        <v>1990</v>
      </c>
      <c r="S159" s="7">
        <f>(O68*($E68/365)) + (O69*($E69/365))</f>
        <v>11.1</v>
      </c>
      <c r="T159" s="7">
        <f>(P68*($E68/365)) + (P69*($E69/365))</f>
        <v>20.6</v>
      </c>
      <c r="U159" s="7">
        <f>(Q68*($E68/365)) + (Q69*($E69/365))</f>
        <v>28.5</v>
      </c>
      <c r="V159" s="7"/>
      <c r="W159" s="7">
        <f t="shared" si="15"/>
        <v>60.2</v>
      </c>
    </row>
    <row r="160" spans="1:23" x14ac:dyDescent="0.15">
      <c r="A160" s="1">
        <v>1991</v>
      </c>
      <c r="B160" s="7">
        <f>K70*($E70/365)+K71*($E71/365)</f>
        <v>39.62640099626401</v>
      </c>
      <c r="C160" s="7">
        <f>L70*($E70/365)+L71*($E71/365)</f>
        <v>8.8916562889165611</v>
      </c>
      <c r="D160" s="7">
        <f>M70*($E70/365)+M71*($E71/365)</f>
        <v>51.481942714819425</v>
      </c>
      <c r="E160" s="51">
        <f t="shared" si="14"/>
        <v>100</v>
      </c>
      <c r="G160" s="1">
        <v>1991</v>
      </c>
      <c r="H160" s="809">
        <f>(O70*100*($E70/365)/($O70+$P70+$Q70))+(O71*100*($E71/365)/($O71+$P71+$Q71))</f>
        <v>54.67417577643765</v>
      </c>
      <c r="I160" s="809"/>
      <c r="J160" s="809">
        <f>(P70*100*($E70/365)/($O70+$P70+$Q70))+(P71*100*($E71/365)/($O71+$P71+$Q71))</f>
        <v>11.156419241796749</v>
      </c>
      <c r="K160" s="809"/>
      <c r="L160" s="809">
        <f>(Q70*100*($E70/365)/($O70+$P70+$Q70))+(Q71*100*($E71/365)/($O71+$P71+$Q71))</f>
        <v>34.169404981765609</v>
      </c>
      <c r="M160" s="809"/>
      <c r="N160" s="810">
        <f t="shared" si="16"/>
        <v>100.00000000000001</v>
      </c>
      <c r="O160" s="810"/>
      <c r="R160" s="1">
        <v>1991</v>
      </c>
      <c r="S160" s="7">
        <f>(O70*($E70/365)) + (O71*($E71/365))</f>
        <v>31.453972602739725</v>
      </c>
      <c r="T160" s="7">
        <f>(P70*($E70/365)) + (P71*($E71/365))</f>
        <v>6.7161643835616438</v>
      </c>
      <c r="U160" s="7">
        <f>(Q70*($E70/365)) + (Q71*($E71/365))</f>
        <v>20.007945205479452</v>
      </c>
      <c r="V160" s="7"/>
      <c r="W160" s="7">
        <f t="shared" si="15"/>
        <v>58.178082191780824</v>
      </c>
    </row>
    <row r="161" spans="1:23" x14ac:dyDescent="0.15">
      <c r="A161" s="1">
        <v>1992</v>
      </c>
      <c r="B161" s="7">
        <f>K72*($E72/366)+K73*($E73/366)</f>
        <v>50</v>
      </c>
      <c r="C161" s="7">
        <f>L72*($E72/366)+L73*($E73/366)</f>
        <v>0</v>
      </c>
      <c r="D161" s="7">
        <f>M72*($E72/366)+M73*($E73/366)</f>
        <v>50</v>
      </c>
      <c r="E161" s="51">
        <f t="shared" si="14"/>
        <v>100</v>
      </c>
      <c r="G161" s="1">
        <v>1992</v>
      </c>
      <c r="H161" s="809">
        <f>(O72*100*($E72/366)/($O72+$P72+$Q72))+(O73*100*($E73/366)/($O73+$P73+$Q73))</f>
        <v>72.202797202797214</v>
      </c>
      <c r="I161" s="809"/>
      <c r="J161" s="809">
        <f>(P72*100*($E72/366)/($O72+$P72+$Q72))+(P73*100*($E73/366)/($O73+$P73+$Q73))</f>
        <v>0</v>
      </c>
      <c r="K161" s="809"/>
      <c r="L161" s="809">
        <f>(Q72*100*($E72/366)/($O72+$P72+$Q72))+(Q73*100*($E73/366)/($O73+$P73+$Q73))</f>
        <v>27.7972027972028</v>
      </c>
      <c r="M161" s="809"/>
      <c r="N161" s="810">
        <f t="shared" si="16"/>
        <v>100.00000000000001</v>
      </c>
      <c r="O161" s="810"/>
      <c r="R161" s="1">
        <v>1992</v>
      </c>
      <c r="S161" s="7">
        <f>(O72*($E72/366)) + (O73*($E73/366))</f>
        <v>41.3</v>
      </c>
      <c r="T161" s="7">
        <f>(P72*($E72/366)) + (P73*($E73/366))</f>
        <v>0</v>
      </c>
      <c r="U161" s="7">
        <f>(Q72*($E72/366)) + (Q73*($E73/366))</f>
        <v>15.9</v>
      </c>
      <c r="V161" s="7"/>
      <c r="W161" s="7">
        <f t="shared" si="15"/>
        <v>57.199999999999996</v>
      </c>
    </row>
    <row r="162" spans="1:23" x14ac:dyDescent="0.15">
      <c r="A162" s="1">
        <v>1993</v>
      </c>
      <c r="B162" s="7">
        <f>K74*($E74/365)+K75*($E75/365)</f>
        <v>50</v>
      </c>
      <c r="C162" s="7">
        <f>L74*($E74/365)+L75*($E75/365)</f>
        <v>0</v>
      </c>
      <c r="D162" s="7">
        <f>M74*($E74/365)+M75*($E75/365)</f>
        <v>50</v>
      </c>
      <c r="E162" s="51">
        <f t="shared" si="14"/>
        <v>100</v>
      </c>
      <c r="G162" s="1">
        <v>1993</v>
      </c>
      <c r="H162" s="809">
        <f>(O74*100*($E74/365)/($O74+$P74+$Q74))+(O75*100*($E75/365)/($O75+$P75+$Q75))</f>
        <v>72.202797202797214</v>
      </c>
      <c r="I162" s="809"/>
      <c r="J162" s="809">
        <f>(P74*100*($E74/365)/($O74+$P74+$Q74))+(P75*100*($E75/365)/($O75+$P75+$Q75))</f>
        <v>0</v>
      </c>
      <c r="K162" s="809"/>
      <c r="L162" s="809">
        <f>(Q74*100*($E74/365)/($O74+$P74+$Q74))+(Q75*100*($E75/365)/($O75+$P75+$Q75))</f>
        <v>27.7972027972028</v>
      </c>
      <c r="M162" s="809"/>
      <c r="N162" s="810">
        <f t="shared" si="16"/>
        <v>100.00000000000001</v>
      </c>
      <c r="O162" s="810"/>
      <c r="R162" s="1">
        <v>1993</v>
      </c>
      <c r="S162" s="7">
        <f>(O74*($E74/365)) + (O75*($E75/365))</f>
        <v>41.3</v>
      </c>
      <c r="T162" s="7">
        <f>(P74*($E74/365)) + (P75*($E75/365))</f>
        <v>0</v>
      </c>
      <c r="U162" s="7">
        <f>(Q74*($E74/365)) + (Q75*($E75/365))</f>
        <v>15.9</v>
      </c>
      <c r="V162" s="7"/>
      <c r="W162" s="7">
        <f t="shared" si="15"/>
        <v>57.199999999999996</v>
      </c>
    </row>
    <row r="163" spans="1:23" x14ac:dyDescent="0.15">
      <c r="A163" s="1">
        <v>1994</v>
      </c>
      <c r="B163" s="7">
        <f>K76*($E76/365)+K77*($E77/365)</f>
        <v>52.907153729071538</v>
      </c>
      <c r="C163" s="7">
        <f>L76*($E76/365)+L77*($E77/365)</f>
        <v>0</v>
      </c>
      <c r="D163" s="7">
        <f>M76*($E76/365)+M77*($E77/365)</f>
        <v>47.092846270928462</v>
      </c>
      <c r="E163" s="51">
        <f t="shared" si="14"/>
        <v>100</v>
      </c>
      <c r="G163" s="1">
        <v>1994</v>
      </c>
      <c r="H163" s="809">
        <f>(O76*100*($E76/365)/($O76+$P76+$Q76))+(O77*100*($E77/365)/($O77+$P77+$Q77))</f>
        <v>72.2027972027972</v>
      </c>
      <c r="I163" s="809"/>
      <c r="J163" s="809">
        <f>(P76*100*($E76/365)/($O76+$P76+$Q76))+(P77*100*($E77/365)/($O77+$P77+$Q77))</f>
        <v>0</v>
      </c>
      <c r="K163" s="809"/>
      <c r="L163" s="809">
        <f>(Q76*100*($E76/365)/($O76+$P76+$Q76))+(Q77*100*($E77/365)/($O77+$P77+$Q77))</f>
        <v>27.7972027972028</v>
      </c>
      <c r="M163" s="809"/>
      <c r="N163" s="810">
        <f t="shared" si="16"/>
        <v>100</v>
      </c>
      <c r="O163" s="810"/>
      <c r="R163" s="1">
        <v>1994</v>
      </c>
      <c r="S163" s="7">
        <f>(O76*($E76/365)) + (O77*($E77/365))</f>
        <v>41.3</v>
      </c>
      <c r="T163" s="7">
        <f>(P76*($E76/365)) + (P77*($E77/365))</f>
        <v>0</v>
      </c>
      <c r="U163" s="7">
        <f>(Q76*($E76/365)) + (Q77*($E77/365))</f>
        <v>15.9</v>
      </c>
      <c r="V163" s="7"/>
      <c r="W163" s="7">
        <f t="shared" si="15"/>
        <v>57.199999999999996</v>
      </c>
    </row>
    <row r="164" spans="1:23" x14ac:dyDescent="0.15">
      <c r="A164" s="1">
        <v>1995</v>
      </c>
      <c r="B164" s="7">
        <f>K78*($E78/365)+K79*($E79/365)</f>
        <v>51.704718417047189</v>
      </c>
      <c r="C164" s="7">
        <f>L78*($E78/365)+L79*($E79/365)</f>
        <v>34.657534246575345</v>
      </c>
      <c r="D164" s="7">
        <f>M78*($E78/365)+M79*($E79/365)</f>
        <v>13.637747336377474</v>
      </c>
      <c r="E164" s="51">
        <f t="shared" si="14"/>
        <v>100.00000000000001</v>
      </c>
      <c r="G164" s="1">
        <v>1995</v>
      </c>
      <c r="H164" s="809">
        <f>(O78*100*($E78/365)/($O78+$P78+$Q78))+(O79*100*($E79/365)/($O79+$P79+$Q79))</f>
        <v>65.490941374449108</v>
      </c>
      <c r="I164" s="809"/>
      <c r="J164" s="809">
        <f>(P78*100*($E78/365)/($O78+$P78+$Q78))+(P79*100*($E79/365)/($O79+$P79+$Q79))</f>
        <v>25.979505986409233</v>
      </c>
      <c r="K164" s="809"/>
      <c r="L164" s="809">
        <f>(Q78*100*($E78/365)/($O78+$P78+$Q78))+(Q79*100*($E79/365)/($O79+$P79+$Q79))</f>
        <v>8.5295526391416807</v>
      </c>
      <c r="M164" s="809"/>
      <c r="N164" s="810">
        <f t="shared" si="16"/>
        <v>100.00000000000003</v>
      </c>
      <c r="O164" s="810"/>
      <c r="R164" s="1">
        <v>1995</v>
      </c>
      <c r="S164" s="7">
        <f>(O78*($E78/365)) + (O79*($E79/365))</f>
        <v>40.190958904109593</v>
      </c>
      <c r="T164" s="7">
        <f>(P78*($E78/365)) + (P79*($E79/365))</f>
        <v>16.496986301369866</v>
      </c>
      <c r="U164" s="7">
        <f>(Q78*($E78/365)) + (Q79*($E79/365))</f>
        <v>4.8789041095890413</v>
      </c>
      <c r="V164" s="7"/>
      <c r="W164" s="7">
        <f t="shared" si="15"/>
        <v>61.566849315068502</v>
      </c>
    </row>
    <row r="165" spans="1:23" x14ac:dyDescent="0.15">
      <c r="A165" s="1">
        <v>1996</v>
      </c>
      <c r="B165" s="7">
        <f>K80*($E80/366)+K81*($E81/366)</f>
        <v>50</v>
      </c>
      <c r="C165" s="7">
        <f>L80*($E80/366)+L81*($E81/366)</f>
        <v>50</v>
      </c>
      <c r="D165" s="7">
        <f>M80*($E80/366)+M81*($E81/366)</f>
        <v>0</v>
      </c>
      <c r="E165" s="51">
        <f t="shared" si="14"/>
        <v>100</v>
      </c>
      <c r="G165" s="1">
        <v>1996</v>
      </c>
      <c r="H165" s="809">
        <f>(O80*100*($E80/366)/($O80+$P80+$Q80))+(O81*100*($E81/366)/($O81+$P81+$Q81))</f>
        <v>62.519685039370088</v>
      </c>
      <c r="I165" s="809"/>
      <c r="J165" s="809">
        <f>(P80*100*($E80/366)/($O80+$P80+$Q80))+(P81*100*($E81/366)/($O81+$P81+$Q81))</f>
        <v>37.480314960629919</v>
      </c>
      <c r="K165" s="809"/>
      <c r="L165" s="809">
        <f>(Q80*100*($E80/366)/($O80+$P80+$Q80))+(Q81*100*($E81/366)/($O81+$P81+$Q81))</f>
        <v>0</v>
      </c>
      <c r="M165" s="809"/>
      <c r="N165" s="810">
        <f t="shared" si="16"/>
        <v>100</v>
      </c>
      <c r="O165" s="810"/>
      <c r="R165" s="1">
        <v>1996</v>
      </c>
      <c r="S165" s="7">
        <f>(O80*($E80/366)) + (O81*($E81/366))</f>
        <v>39.700000000000003</v>
      </c>
      <c r="T165" s="7">
        <f>(P80*($E80/366)) + (P81*($E81/366))</f>
        <v>23.8</v>
      </c>
      <c r="U165" s="7">
        <f>(Q80*($E80/366)) + (Q81*($E81/366))</f>
        <v>0</v>
      </c>
      <c r="V165" s="7"/>
      <c r="W165" s="7">
        <f t="shared" si="15"/>
        <v>63.5</v>
      </c>
    </row>
    <row r="166" spans="1:23" x14ac:dyDescent="0.15">
      <c r="A166" s="1">
        <v>1997</v>
      </c>
      <c r="B166" s="7">
        <f>K82*($E82/365)+K83*($E83/365)</f>
        <v>50</v>
      </c>
      <c r="C166" s="7">
        <f>L82*($E82/365)+L83*($E83/365)</f>
        <v>50</v>
      </c>
      <c r="D166" s="7">
        <f>M82*($E82/365)+M83*($E83/365)</f>
        <v>0</v>
      </c>
      <c r="E166" s="51">
        <f t="shared" si="14"/>
        <v>100</v>
      </c>
      <c r="G166" s="1">
        <v>1997</v>
      </c>
      <c r="H166" s="809">
        <f>(O82*100*($E82/365)/($O82+$P82+$Q82))+(O83*100*($E83/365)/($O83+$P83+$Q83))</f>
        <v>62.519685039370088</v>
      </c>
      <c r="I166" s="809"/>
      <c r="J166" s="809">
        <f>(P82*100*($E82/365)/($O82+$P82+$Q82))+(P83*100*($E83/365)/($O83+$P83+$Q83))</f>
        <v>37.480314960629919</v>
      </c>
      <c r="K166" s="809"/>
      <c r="L166" s="809">
        <f>(Q82*100*($E82/365)/($O82+$P82+$Q82))+(Q83*100*($E83/365)/($O83+$P83+$Q83))</f>
        <v>0</v>
      </c>
      <c r="M166" s="809"/>
      <c r="N166" s="810">
        <f t="shared" si="16"/>
        <v>100</v>
      </c>
      <c r="O166" s="810"/>
      <c r="R166" s="1">
        <v>1997</v>
      </c>
      <c r="S166" s="7">
        <f>(O82*($E82/365)) + (O83*($E83/365))</f>
        <v>39.700000000000003</v>
      </c>
      <c r="T166" s="7">
        <f>(P82*($E82/365)) + (P83*($E83/365))</f>
        <v>23.8</v>
      </c>
      <c r="U166" s="7">
        <f>(Q82*($E82/365)) + (Q83*($E83/365))</f>
        <v>0</v>
      </c>
      <c r="V166" s="7"/>
      <c r="W166" s="7">
        <f t="shared" si="15"/>
        <v>63.5</v>
      </c>
    </row>
    <row r="167" spans="1:23" x14ac:dyDescent="0.15">
      <c r="A167" s="1">
        <v>1998</v>
      </c>
      <c r="B167" s="7">
        <f>K84*($E84/365)+K85*($E85/365)</f>
        <v>50</v>
      </c>
      <c r="C167" s="7">
        <f>L84*($E84/365)+L85*($E85/365)</f>
        <v>50</v>
      </c>
      <c r="D167" s="7">
        <f>M84*($E84/365)+M85*($E85/365)</f>
        <v>0</v>
      </c>
      <c r="E167" s="51">
        <f t="shared" si="14"/>
        <v>100</v>
      </c>
      <c r="G167" s="1">
        <v>1998</v>
      </c>
      <c r="H167" s="809">
        <f>(O84*100*($E84/365)/($O84+$P84+$Q84))+(O85*100*($E85/365)/($O85+$P85+$Q85))</f>
        <v>62.519685039370088</v>
      </c>
      <c r="I167" s="809"/>
      <c r="J167" s="809">
        <f>(P84*100*($E84/365)/($O84+$P84+$Q84))+(P85*100*($E85/365)/($O85+$P85+$Q85))</f>
        <v>37.480314960629919</v>
      </c>
      <c r="K167" s="809"/>
      <c r="L167" s="809">
        <f>(Q84*100*($E84/365)/($O84+$P84+$Q84))+(Q85*100*($E85/365)/($O85+$P85+$Q85))</f>
        <v>0</v>
      </c>
      <c r="M167" s="809"/>
      <c r="N167" s="810">
        <f t="shared" si="16"/>
        <v>100</v>
      </c>
      <c r="O167" s="810"/>
      <c r="R167" s="1">
        <v>1998</v>
      </c>
      <c r="S167" s="7">
        <f>(O84*($E84/365)) + (O85*($E85/365))</f>
        <v>39.700000000000003</v>
      </c>
      <c r="T167" s="7">
        <f>(P84*($E84/365)) + (P85*($E85/365))</f>
        <v>23.8</v>
      </c>
      <c r="U167" s="7">
        <f>(Q84*($E84/365)) + (Q85*($E85/365))</f>
        <v>0</v>
      </c>
      <c r="V167" s="7"/>
      <c r="W167" s="7">
        <f t="shared" si="15"/>
        <v>63.5</v>
      </c>
    </row>
    <row r="168" spans="1:23" x14ac:dyDescent="0.15">
      <c r="A168" s="1">
        <v>1999</v>
      </c>
      <c r="B168" s="7">
        <f>K86*($E86/365)+K87*($E87/365)</f>
        <v>50</v>
      </c>
      <c r="C168" s="7">
        <f>L86*($E86/365)+L87*($E87/365)</f>
        <v>50</v>
      </c>
      <c r="D168" s="7">
        <f>M86*($E86/365)+M87*($E87/365)</f>
        <v>0</v>
      </c>
      <c r="E168" s="51">
        <f t="shared" si="14"/>
        <v>100</v>
      </c>
      <c r="G168" s="1">
        <v>1999</v>
      </c>
      <c r="H168" s="809">
        <f>(O86*100*($E86/365)/($O86+$P86+$Q86))+(O87*100*($E87/365)/($O87+$P87+$Q87))</f>
        <v>66.086041943591653</v>
      </c>
      <c r="I168" s="809"/>
      <c r="J168" s="809">
        <f>(P86*100*($E86/365)/($O86+$P86+$Q86))+(P87*100*($E87/365)/($O87+$P87+$Q87))</f>
        <v>33.913958056408354</v>
      </c>
      <c r="K168" s="809"/>
      <c r="L168" s="809">
        <f>(Q86*100*($E86/365)/($O86+$P86+$Q86))+(Q87*100*($E87/365)/($O87+$P87+$Q87))</f>
        <v>0</v>
      </c>
      <c r="M168" s="809"/>
      <c r="N168" s="810">
        <f t="shared" si="16"/>
        <v>100</v>
      </c>
      <c r="O168" s="810"/>
      <c r="R168" s="1">
        <v>1999</v>
      </c>
      <c r="S168" s="7">
        <f>(O86*($E86/365)) + (O87*($E87/365))</f>
        <v>40.655616438356162</v>
      </c>
      <c r="T168" s="7">
        <f>(P86*($E86/365)) + (P87*($E87/365))</f>
        <v>20.933150684931505</v>
      </c>
      <c r="U168" s="7">
        <f>(Q86*($E86/365)) + (Q87*($E87/365))</f>
        <v>0</v>
      </c>
      <c r="V168" s="7"/>
      <c r="W168" s="7">
        <f t="shared" si="15"/>
        <v>61.588767123287667</v>
      </c>
    </row>
    <row r="169" spans="1:23" x14ac:dyDescent="0.15">
      <c r="A169" s="1">
        <v>2000</v>
      </c>
      <c r="B169" s="7">
        <f>K88*($E88/366)+K89*($E89/366)</f>
        <v>50</v>
      </c>
      <c r="C169" s="7">
        <f>L88*($E88/366)+L89*($E89/366)</f>
        <v>50</v>
      </c>
      <c r="D169" s="7">
        <f>M88*($E88/366)+M89*($E89/366)</f>
        <v>0</v>
      </c>
      <c r="E169" s="51">
        <f t="shared" si="14"/>
        <v>100</v>
      </c>
      <c r="G169" s="1">
        <v>2000</v>
      </c>
      <c r="H169" s="809">
        <f>(O88*100*($E88/366)/($O88+$P88+$Q88))+(O89*100*($E89/366)/($O89+$P89+$Q89))</f>
        <v>68.490878938640137</v>
      </c>
      <c r="I169" s="809"/>
      <c r="J169" s="809">
        <f>(P88*100*($E88/3656)/($O88+$P88+$Q88))+(P89*100*($E89/366)/($O89+$P89+$Q89))</f>
        <v>31.50912106135987</v>
      </c>
      <c r="K169" s="809"/>
      <c r="L169" s="809">
        <f>(Q88*100*($E88/366)/($O88+$P88+$Q88))+(Q89*100*($E89/366)/($O89+$P89+$Q89))</f>
        <v>0</v>
      </c>
      <c r="M169" s="809"/>
      <c r="N169" s="810">
        <f t="shared" si="16"/>
        <v>100</v>
      </c>
      <c r="O169" s="810"/>
      <c r="R169" s="1">
        <v>2000</v>
      </c>
      <c r="S169" s="7">
        <f>(O88*($E88/366)) + (O89*($E89/366))</f>
        <v>41.3</v>
      </c>
      <c r="T169" s="7">
        <f>(P88*($E88/366)) + (P89*($E89/366))</f>
        <v>19</v>
      </c>
      <c r="U169" s="7">
        <f>(Q88*($E88/366)) + (Q89*($E89/366))</f>
        <v>0</v>
      </c>
      <c r="V169" s="7"/>
      <c r="W169" s="7">
        <f t="shared" si="15"/>
        <v>60.3</v>
      </c>
    </row>
    <row r="170" spans="1:23" x14ac:dyDescent="0.15">
      <c r="A170" s="1">
        <v>2001</v>
      </c>
      <c r="B170" s="7">
        <f>K90*($E90/365)+K91*($E91/365)</f>
        <v>50</v>
      </c>
      <c r="C170" s="7">
        <f>L90*($E90/365)+L91*($E91/365)</f>
        <v>50</v>
      </c>
      <c r="D170" s="7">
        <f>M90*($E90/365)+M91*($E91/365)</f>
        <v>0</v>
      </c>
      <c r="E170" s="51">
        <f t="shared" si="14"/>
        <v>100</v>
      </c>
      <c r="G170" s="1">
        <v>2001</v>
      </c>
      <c r="H170" s="809">
        <f>(O90*100*($E90/365)/($O90+$P90+$Q90))+(O91*100*($E91/365)/($O91+$P91+$Q91))</f>
        <v>68.490878938640137</v>
      </c>
      <c r="I170" s="809"/>
      <c r="J170" s="809">
        <f>(P90*100*($E90/365)/($O90+$P90+$Q90))+(P91*100*($E91/365)/($O91+$P91+$Q91))</f>
        <v>31.50912106135987</v>
      </c>
      <c r="K170" s="809"/>
      <c r="L170" s="809">
        <f>(Q90*100*($E90/365)/($O90+$P90+$Q90))+(Q91*100*($E91/365)/($O91+$P91+$Q91))</f>
        <v>0</v>
      </c>
      <c r="M170" s="809"/>
      <c r="N170" s="810">
        <f t="shared" si="16"/>
        <v>100</v>
      </c>
      <c r="O170" s="810"/>
      <c r="R170" s="1">
        <v>2001</v>
      </c>
      <c r="S170" s="7">
        <f>(O90*($E90/365)) + (O91*($E91/365))</f>
        <v>41.3</v>
      </c>
      <c r="T170" s="7">
        <f>(P90*($E90/365)) + (P91*($E91/365))</f>
        <v>19</v>
      </c>
      <c r="U170" s="7">
        <f>(Q90*($E90/365)) + (Q91*($E91/365))</f>
        <v>0</v>
      </c>
      <c r="V170" s="7"/>
      <c r="W170" s="7">
        <f t="shared" si="15"/>
        <v>60.3</v>
      </c>
    </row>
    <row r="171" spans="1:23" x14ac:dyDescent="0.15">
      <c r="A171" s="1">
        <v>2002</v>
      </c>
      <c r="B171" s="7">
        <f>K92*($E92/365)+K93*($E93/365)</f>
        <v>50</v>
      </c>
      <c r="C171" s="7">
        <f>L92*($E92/365)+L93*($E93/365)</f>
        <v>50</v>
      </c>
      <c r="D171" s="7">
        <f>M92*($E92/365)+M93*($E93/365)</f>
        <v>0</v>
      </c>
      <c r="E171" s="51">
        <f t="shared" si="14"/>
        <v>100</v>
      </c>
      <c r="G171" s="1">
        <v>2002</v>
      </c>
      <c r="H171" s="809">
        <f>(O92*100*($E92/365)/($O92+$P92+$Q92))+(O93*100*($E93/365)/($O93+$P93+$Q93))</f>
        <v>68.490878938640137</v>
      </c>
      <c r="I171" s="809"/>
      <c r="J171" s="809">
        <f>(P92*100*($E92/365)/($O92+$P92+$Q92))+(P93*100*($E93/365)/($O93+$P93+$Q93))</f>
        <v>31.50912106135987</v>
      </c>
      <c r="K171" s="809"/>
      <c r="L171" s="809">
        <f>(Q92*100*($E92/365)/($O92+$P92+$Q92))+(Q93*100*($E93/365)/($O93+$P93+$Q93))</f>
        <v>0</v>
      </c>
      <c r="M171" s="809"/>
      <c r="N171" s="810">
        <f t="shared" si="16"/>
        <v>100</v>
      </c>
      <c r="O171" s="810"/>
      <c r="R171" s="1">
        <v>2002</v>
      </c>
      <c r="S171" s="7">
        <f>(O92*($E92/365)) + (O93*($E93/365))</f>
        <v>41.3</v>
      </c>
      <c r="T171" s="7">
        <f>(P92*($E92/365)) + (P93*($E93/365))</f>
        <v>19</v>
      </c>
      <c r="U171" s="7">
        <f>(Q92*($E92/365)) + (Q93*($E93/365))</f>
        <v>0</v>
      </c>
      <c r="V171" s="7"/>
      <c r="W171" s="7">
        <f t="shared" si="15"/>
        <v>60.3</v>
      </c>
    </row>
    <row r="172" spans="1:23" x14ac:dyDescent="0.15">
      <c r="A172" s="1">
        <v>2003</v>
      </c>
      <c r="B172" s="7">
        <f>K94*($E94/365)+K95*($E95/365)</f>
        <v>50</v>
      </c>
      <c r="C172" s="7">
        <f>L94*($E94/365)+L95*($E95/365)</f>
        <v>50</v>
      </c>
      <c r="D172" s="7">
        <f>M94*($E94/365)+M95*($E95/365)</f>
        <v>0</v>
      </c>
      <c r="E172" s="51">
        <f t="shared" si="14"/>
        <v>100</v>
      </c>
      <c r="G172" s="1">
        <v>2003</v>
      </c>
      <c r="H172" s="809">
        <f>(O94*100*($E94/365)/($O94+$P94+$Q94))+(O95*100*($E95/365)/($O95+$P95+$Q95))</f>
        <v>66.205072265766844</v>
      </c>
      <c r="I172" s="809"/>
      <c r="J172" s="809">
        <f>(P94*100*($E94/365)/($O94+$P94+$Q94))+(P95*100*($E95/365)/($O95+$P95+$Q95))</f>
        <v>33.79492773423317</v>
      </c>
      <c r="K172" s="809"/>
      <c r="L172" s="809">
        <f>(Q94*100*($E94/365)/($O94+$P94+$Q94))+(Q95*100*($E95/365)/($O95+$P95+$Q95))</f>
        <v>0</v>
      </c>
      <c r="M172" s="809"/>
      <c r="N172" s="810">
        <f t="shared" si="16"/>
        <v>100.00000000000001</v>
      </c>
      <c r="O172" s="810"/>
      <c r="R172" s="1">
        <v>2003</v>
      </c>
      <c r="S172" s="7">
        <f>(O94*($E94/365)) + (O95*($E95/365))</f>
        <v>37.38986301369863</v>
      </c>
      <c r="T172" s="7">
        <f>(P94*($E94/365)) + (P95*($E95/365))</f>
        <v>19</v>
      </c>
      <c r="U172" s="7">
        <f>(Q94*($E94/365)) + (Q95*($E95/365))</f>
        <v>0</v>
      </c>
      <c r="V172" s="7"/>
      <c r="W172" s="7">
        <f t="shared" si="15"/>
        <v>56.38986301369863</v>
      </c>
    </row>
    <row r="173" spans="1:23" x14ac:dyDescent="0.15">
      <c r="A173" s="1">
        <v>2004</v>
      </c>
      <c r="B173" s="7">
        <f>K96*($E96/366)+K97*($E97/366)</f>
        <v>52.459016393442624</v>
      </c>
      <c r="C173" s="7">
        <f>L96*($E96/366)+L97*($E97/366)</f>
        <v>47.540983606557376</v>
      </c>
      <c r="D173" s="7">
        <f>M96*($E96/366)+M97*($E97/366)</f>
        <v>0</v>
      </c>
      <c r="E173" s="51">
        <f t="shared" si="14"/>
        <v>100</v>
      </c>
      <c r="G173" s="1">
        <v>2004</v>
      </c>
      <c r="H173" s="809">
        <f>(O96*100*($E96/366)/($O96+$P96+$Q96))+(O97*100*($E97/366)/($O97+$P97+$Q97))</f>
        <v>64.749536178107604</v>
      </c>
      <c r="I173" s="809"/>
      <c r="J173" s="809">
        <f>(P96*100*($E96/366)/($O96+$P96+$Q96))+(P97*100*($E97/366)/($O97+$P97+$Q97))</f>
        <v>35.250463821892396</v>
      </c>
      <c r="K173" s="809"/>
      <c r="L173" s="809">
        <f>(Q96*100*($E96/366)/($O96+$P96+$Q96))+(Q97*100*($E97/366)/($O97+$P97+$Q97))</f>
        <v>0</v>
      </c>
      <c r="M173" s="809"/>
      <c r="N173" s="810">
        <f t="shared" si="16"/>
        <v>100</v>
      </c>
      <c r="O173" s="810"/>
      <c r="R173" s="1">
        <v>2004</v>
      </c>
      <c r="S173" s="7">
        <f>(O96*($E96/366)) + (O97*($E97/366))</f>
        <v>34.9</v>
      </c>
      <c r="T173" s="7">
        <f>(P96*($E96/366)) + (P97*($E97/366))</f>
        <v>19</v>
      </c>
      <c r="U173" s="7">
        <f>(Q96*($E96/366)) + (Q97*($E97/366))</f>
        <v>0</v>
      </c>
      <c r="V173" s="7"/>
      <c r="W173" s="7">
        <f t="shared" si="15"/>
        <v>53.9</v>
      </c>
    </row>
    <row r="174" spans="1:23" x14ac:dyDescent="0.15">
      <c r="A174" s="1">
        <v>2005</v>
      </c>
      <c r="B174" s="7">
        <f>K98*($E98/365)+K99*($E99/365)</f>
        <v>58.333333333333336</v>
      </c>
      <c r="C174" s="7">
        <f>L98*($E98/365)+L99*($E99/365)</f>
        <v>41.666666666666671</v>
      </c>
      <c r="D174" s="7">
        <f>M98*($E98/365)+M99*($E99/365)</f>
        <v>0</v>
      </c>
      <c r="E174" s="51">
        <f t="shared" si="14"/>
        <v>100</v>
      </c>
      <c r="G174" s="1">
        <v>2005</v>
      </c>
      <c r="H174" s="809">
        <f>(O98*100*($E98/365)/($O98+$P98+$Q98))+(O99*100*($E99/365)/($O99+$P99+$Q99))</f>
        <v>64.749536178107604</v>
      </c>
      <c r="I174" s="809"/>
      <c r="J174" s="809">
        <f>(P98*100*($E98/365)/($O98+$P98+$Q98))+(P99*100*($E99/365)/($O99+$P99+$Q99))</f>
        <v>35.250463821892396</v>
      </c>
      <c r="K174" s="809"/>
      <c r="L174" s="809">
        <f>(Q98*100*($E98/365)/($O98+$P98+$Q98))+(Q99*100*($E99/365)/($O99+$P99+$Q99))</f>
        <v>0</v>
      </c>
      <c r="M174" s="809"/>
      <c r="N174" s="810">
        <f t="shared" si="16"/>
        <v>100</v>
      </c>
      <c r="O174" s="810"/>
      <c r="R174" s="1">
        <v>2005</v>
      </c>
      <c r="S174" s="7">
        <f>(O98*($E98/365)) + (O99*($E99/365))</f>
        <v>34.9</v>
      </c>
      <c r="T174" s="7">
        <f>(P98*($E98/365)) + (P99*($E99/365))</f>
        <v>19</v>
      </c>
      <c r="U174" s="7">
        <f>(Q98*($E98/365)) + (Q99*($E99/365))</f>
        <v>0</v>
      </c>
      <c r="V174" s="7"/>
      <c r="W174" s="7">
        <f t="shared" si="15"/>
        <v>53.9</v>
      </c>
    </row>
    <row r="175" spans="1:23" x14ac:dyDescent="0.15">
      <c r="A175" s="1">
        <v>2006</v>
      </c>
      <c r="B175" s="7">
        <f>K100*($E100/365)+K101*($E101/365)</f>
        <v>53.767123287671232</v>
      </c>
      <c r="C175" s="7">
        <f>L100*($E100/365)+L101*($E101/365)</f>
        <v>46.232876712328768</v>
      </c>
      <c r="D175" s="7">
        <f>M100*($E100/365)+M101*($E101/365)</f>
        <v>0</v>
      </c>
      <c r="E175" s="51">
        <f t="shared" si="14"/>
        <v>100</v>
      </c>
      <c r="G175" s="1">
        <v>2006</v>
      </c>
      <c r="H175" s="809">
        <f>(O100*100*($E100/365)/($O100+$P100+$Q100))+(O101*100*($E101/365)/($O101+$P101+$Q101))</f>
        <v>65.306374308331257</v>
      </c>
      <c r="I175" s="809"/>
      <c r="J175" s="809">
        <f>(P100*100*($E100/365)/($O100+$P100+$Q100))+(P101*100*($E101/365)/($O101+$P101+$Q101))</f>
        <v>34.693625691668743</v>
      </c>
      <c r="K175" s="809"/>
      <c r="L175" s="809">
        <f>(Q100*100*($E100/365)/($O100+$P100+$Q100))+(Q101*100*($E101/365)/($O101+$P101+$Q101))</f>
        <v>0</v>
      </c>
      <c r="M175" s="809"/>
      <c r="N175" s="810">
        <f t="shared" si="16"/>
        <v>100</v>
      </c>
      <c r="O175" s="810"/>
      <c r="R175" s="1">
        <v>2006</v>
      </c>
      <c r="S175" s="7">
        <f>(O100*($E100/365)) + (O101*($E101/365))</f>
        <v>35.776712328767118</v>
      </c>
      <c r="T175" s="7">
        <f>(P100*($E100/365)) + (P101*($E101/365))</f>
        <v>19</v>
      </c>
      <c r="U175" s="7">
        <f>(Q100*($E100/365)) + (Q101*($E101/365))</f>
        <v>0</v>
      </c>
      <c r="V175" s="7"/>
      <c r="W175" s="7">
        <f t="shared" si="15"/>
        <v>54.776712328767118</v>
      </c>
    </row>
    <row r="176" spans="1:23" x14ac:dyDescent="0.15">
      <c r="A176" s="1">
        <v>2007</v>
      </c>
      <c r="B176" s="7">
        <f>K102*($E102/365)+K103*($E103/365)</f>
        <v>50</v>
      </c>
      <c r="C176" s="7">
        <f>L102*($E102/365)+L103*($E103/365)</f>
        <v>19.589041095890412</v>
      </c>
      <c r="D176" s="7">
        <f>M102*($E102/365)+M103*($E103/365)</f>
        <v>30.410958904109592</v>
      </c>
      <c r="E176" s="51">
        <f t="shared" si="14"/>
        <v>100</v>
      </c>
      <c r="G176" s="1">
        <v>2007</v>
      </c>
      <c r="H176" s="809">
        <f>(O102*100*($E102/365)/($O102+$P102+$Q102))+(O103*100*($E103/365)/($O103+$P103+$Q103))</f>
        <v>61.119062061319227</v>
      </c>
      <c r="I176" s="809"/>
      <c r="J176" s="809">
        <f>(P102*100*($E102/365)/($O102+$P102+$Q102))+(P103*100*($E103/365)/($O103+$P103+$Q103))</f>
        <v>13.412316426015057</v>
      </c>
      <c r="K176" s="809"/>
      <c r="L176" s="809">
        <f>(Q102*100*($E102/365)/($O102+$P102+$Q102))+(Q103*100*($E103/365)/($O103+$P103+$Q103))</f>
        <v>25.468621512665717</v>
      </c>
      <c r="M176" s="809"/>
      <c r="N176" s="810">
        <f t="shared" si="16"/>
        <v>100</v>
      </c>
      <c r="O176" s="810"/>
      <c r="R176" s="1">
        <v>2007</v>
      </c>
      <c r="S176" s="7">
        <f>(O102*($E102/365)) + (O103*($E103/365))</f>
        <v>38.446301369863022</v>
      </c>
      <c r="T176" s="7">
        <f>(P102*($E102/365)) + (P103*($E103/365))</f>
        <v>7.4438356164383563</v>
      </c>
      <c r="U176" s="7">
        <f>(Q102*($E102/365)) + (Q103*($E103/365))</f>
        <v>17.395068493150688</v>
      </c>
      <c r="V176" s="7"/>
      <c r="W176" s="7">
        <f t="shared" si="15"/>
        <v>63.285205479452067</v>
      </c>
    </row>
    <row r="177" spans="1:34" x14ac:dyDescent="0.15">
      <c r="A177" s="1">
        <v>2008</v>
      </c>
      <c r="B177" s="7">
        <f>K104*($E104/366)+K105*($E105/366)</f>
        <v>50</v>
      </c>
      <c r="C177" s="7">
        <f>L104*($E104/366)+L105*($E105/366)</f>
        <v>0</v>
      </c>
      <c r="D177" s="7">
        <f>M104*($E104/366)+M105*($E105/366)</f>
        <v>50</v>
      </c>
      <c r="E177" s="51">
        <f t="shared" si="14"/>
        <v>100</v>
      </c>
      <c r="G177" s="1">
        <v>2008</v>
      </c>
      <c r="H177" s="809">
        <f>(O104*100*($E104/366)/($O104+$P104+$Q104))+(O105*100*($E105/366)/($O105+$P105+$Q105))</f>
        <v>58.125915080527086</v>
      </c>
      <c r="I177" s="809"/>
      <c r="J177" s="809">
        <f>(P104*100*($E104/366)/($O104+$P104+$Q104))+(P105*100*($E105/366)/($O105+$P105+$Q105))</f>
        <v>0</v>
      </c>
      <c r="K177" s="809"/>
      <c r="L177" s="809">
        <f>(Q104*100*($E104/366)/($O104+$P104+$Q104))+(Q105*100*($E105/366)/($O105+$P105+$Q105))</f>
        <v>41.874084919472907</v>
      </c>
      <c r="M177" s="809"/>
      <c r="N177" s="810">
        <f t="shared" si="16"/>
        <v>100</v>
      </c>
      <c r="O177" s="810"/>
      <c r="R177" s="1">
        <v>2008</v>
      </c>
      <c r="S177" s="7">
        <f>(O104*($E104/366)) + (O105*($E105/366))</f>
        <v>39.700000000000003</v>
      </c>
      <c r="T177" s="7">
        <f>(P104*($E104/366)) + (P105*($E105/366))</f>
        <v>0</v>
      </c>
      <c r="U177" s="7">
        <f>(Q104*($E104/366)) + (Q105*($E105/366))</f>
        <v>28.6</v>
      </c>
      <c r="V177" s="7"/>
      <c r="W177" s="7">
        <f t="shared" si="15"/>
        <v>68.300000000000011</v>
      </c>
    </row>
    <row r="178" spans="1:34" x14ac:dyDescent="0.15">
      <c r="A178" s="1">
        <v>2009</v>
      </c>
      <c r="B178" s="7">
        <f>K106*($E106/365)+K107*($E107/365)+K108*($E108/365)</f>
        <v>4.2465753424657535</v>
      </c>
      <c r="C178" s="7">
        <f>L106*($E106/365)+L107*($E107/365)+L108*($E108/365)</f>
        <v>0</v>
      </c>
      <c r="D178" s="7">
        <f>M106*($E106/365)+M107*($E107/365)+M108*($E108/365)</f>
        <v>79.607305936073061</v>
      </c>
      <c r="E178" s="51">
        <f t="shared" si="14"/>
        <v>83.853881278538807</v>
      </c>
      <c r="G178" s="1">
        <v>2009</v>
      </c>
      <c r="H178" s="809">
        <f>(O106*100*($E106/365)/($O106+$P106+$Q106))+(O107*100*($E107/365)/($O107+$P107+$Q107))+(O108*100*($E108/365)/($O108+$P108+$Q108))</f>
        <v>4.9367215547844916</v>
      </c>
      <c r="I178" s="809"/>
      <c r="J178" s="809">
        <f>(P106*100*($E106/365)/($O106+$P106+$Q106))+(P107*100*($E107/365)/($O107+$P107+$Q107))+(O108*100*(E108/365)/(O108+P108+Q108))</f>
        <v>0</v>
      </c>
      <c r="K178" s="809"/>
      <c r="L178" s="809">
        <f>(Q106*100*($E106/365)/($O106+$P106+$Q106))+(Q107*100*($E107/365)/($O107+$P107+$Q107))+(O108*100*(E108/365)/(O108+P108+Q108))</f>
        <v>30.405744198640168</v>
      </c>
      <c r="M178" s="809"/>
      <c r="N178" s="810">
        <f t="shared" si="16"/>
        <v>35.342465753424662</v>
      </c>
      <c r="O178" s="810"/>
      <c r="R178" s="1">
        <v>2009</v>
      </c>
      <c r="S178" s="7">
        <f>(O106*($E106/365)) + (O107*($E107/365))+(O108*($E108/365))</f>
        <v>3.3717808219178083</v>
      </c>
      <c r="T178" s="7">
        <f>(P106*($E106/365)) + (P107*($E107/365))+(P108*($E108/365))</f>
        <v>0</v>
      </c>
      <c r="U178" s="7">
        <f>(Q106*($E106/365)) + (Q107*($E107/365))+(Q108*($E108/365))</f>
        <v>48.79780821917808</v>
      </c>
      <c r="V178" s="7"/>
      <c r="W178" s="7">
        <f t="shared" si="15"/>
        <v>52.16958904109589</v>
      </c>
    </row>
    <row r="179" spans="1:34" x14ac:dyDescent="0.15">
      <c r="A179" s="1">
        <v>2010</v>
      </c>
      <c r="B179" s="7">
        <f>K109*($E109/365)+K110*($E110/365)</f>
        <v>0</v>
      </c>
      <c r="C179" s="7">
        <f>L109*($E109/365)+L110*($E110/365)</f>
        <v>0</v>
      </c>
      <c r="D179" s="7">
        <f>M109*($E109/365)+M110*($E110/365)</f>
        <v>88.858447488584488</v>
      </c>
      <c r="E179" s="51">
        <f t="shared" si="14"/>
        <v>88.858447488584488</v>
      </c>
      <c r="G179" s="1">
        <v>2010</v>
      </c>
      <c r="H179" s="809">
        <f>(O109*100*($E109/365)/($O109+$P109+$Q109))+(O110*100*($E110/365)/($O110+$P110+$Q110))</f>
        <v>0</v>
      </c>
      <c r="I179" s="809"/>
      <c r="J179" s="809">
        <f>(P109*100*($E109/365)/($O109+$P109+$Q109))+(P110*100*($E110/365)/($O110+$P110+$Q110))</f>
        <v>0</v>
      </c>
      <c r="K179" s="809"/>
      <c r="L179" s="809">
        <f>(Q109*100*($E109/365)/($O109+$P109+$Q109))+(Q110*100*($E110/365)/($O110+$P110+$Q110))</f>
        <v>100</v>
      </c>
      <c r="M179" s="809"/>
      <c r="N179" s="810">
        <f t="shared" si="16"/>
        <v>100</v>
      </c>
      <c r="O179" s="810"/>
      <c r="R179" s="1">
        <v>2010</v>
      </c>
      <c r="S179" s="7">
        <f>(O109*($E109/365)) + (O110*($E110/365))</f>
        <v>0</v>
      </c>
      <c r="T179" s="7">
        <f>(P109*($E109/365)) + (P110*($E110/365))</f>
        <v>0</v>
      </c>
      <c r="U179" s="7">
        <f>(Q109*($E109/365)) + (Q110*($E110/365))</f>
        <v>53.9</v>
      </c>
      <c r="V179" s="7"/>
      <c r="W179" s="7">
        <f t="shared" si="15"/>
        <v>53.9</v>
      </c>
    </row>
    <row r="180" spans="1:34" x14ac:dyDescent="0.15">
      <c r="A180" s="1">
        <v>2011</v>
      </c>
      <c r="B180" s="7">
        <f>K111*($E111/365)+K112*($E112/365)</f>
        <v>0</v>
      </c>
      <c r="C180" s="7">
        <f>L111*($E111/365)+L112*($E112/365)</f>
        <v>0</v>
      </c>
      <c r="D180" s="7">
        <f>M111*($E111/365)+M112*($E112/365)</f>
        <v>100.00000000000001</v>
      </c>
      <c r="E180" s="51">
        <f t="shared" si="14"/>
        <v>100.00000000000001</v>
      </c>
      <c r="G180" s="1">
        <v>2011</v>
      </c>
      <c r="H180" s="809">
        <f>(O111*100*($E111/365)/($O111+$P111+$Q111))+(O112*100*($E112/365)/($O112+$P112+$Q112))</f>
        <v>0</v>
      </c>
      <c r="I180" s="809"/>
      <c r="J180" s="809">
        <f>(P111*100*($E111/365)/($O111+$P111+$Q111))+(P112*100*($E112/365)/($O112+$P112+$Q112))</f>
        <v>0</v>
      </c>
      <c r="K180" s="809"/>
      <c r="L180" s="809">
        <f>(Q111*100*($E111/365)/($O111+$P111+$Q111))+(Q112*100*($E112/365)/($O112+$P112+$Q112))</f>
        <v>100.00000000000001</v>
      </c>
      <c r="M180" s="809"/>
      <c r="N180" s="810">
        <f t="shared" si="16"/>
        <v>100.00000000000001</v>
      </c>
      <c r="O180" s="810"/>
      <c r="R180" s="1">
        <v>2011</v>
      </c>
      <c r="S180" s="7">
        <f>(O111*($E111/365)) + (O112*($E112/365))</f>
        <v>0</v>
      </c>
      <c r="T180" s="7">
        <f>(P111*($E111/365)) + (P112*($E112/365))</f>
        <v>0</v>
      </c>
      <c r="U180" s="7">
        <f>(Q111*($E111/365)) + (Q112*($E112/365))</f>
        <v>53.9</v>
      </c>
      <c r="V180" s="7"/>
      <c r="W180" s="7">
        <f t="shared" si="15"/>
        <v>53.9</v>
      </c>
    </row>
    <row r="181" spans="1:34" x14ac:dyDescent="0.15">
      <c r="A181" s="1">
        <v>2012</v>
      </c>
      <c r="B181" s="7">
        <f>K113*($E113/366)+K114*($E114/366)</f>
        <v>0</v>
      </c>
      <c r="C181" s="7">
        <f>L113*($E113/366)+L114*($E114/366)</f>
        <v>0</v>
      </c>
      <c r="D181" s="7">
        <f>M113*($E113/366)+M114*($E114/366)</f>
        <v>100</v>
      </c>
      <c r="E181" s="51">
        <f t="shared" si="14"/>
        <v>100</v>
      </c>
      <c r="G181" s="1">
        <v>2012</v>
      </c>
      <c r="H181" s="809">
        <f>(O113*100*($E113/366)/($O113+$P113+$Q113))+(O114*100*($E114/366)/($O114+$P114+$Q114))</f>
        <v>0</v>
      </c>
      <c r="I181" s="809"/>
      <c r="J181" s="809">
        <f>(P113*100*($E113/366)/($O113+$P113+$Q113))+(P114*100*($E114/366)/($O114+$P114+$Q114))</f>
        <v>0</v>
      </c>
      <c r="K181" s="809"/>
      <c r="L181" s="809">
        <f>(Q113*100*($E113/366)/($O113+$P113+$Q113))+(Q114*100*($E114/366)/($O114+$P114+$Q114))</f>
        <v>100</v>
      </c>
      <c r="M181" s="809"/>
      <c r="N181" s="810">
        <f t="shared" si="16"/>
        <v>100</v>
      </c>
      <c r="O181" s="810"/>
      <c r="R181" s="1">
        <v>2012</v>
      </c>
      <c r="S181" s="7">
        <f>(O113*($E113/366)) + (O114*($E114/366))</f>
        <v>0</v>
      </c>
      <c r="T181" s="7">
        <f>(P113*($E113/366)) + (P114*($E114/366))</f>
        <v>0</v>
      </c>
      <c r="U181" s="7">
        <f>(Q113*($E113/366)) + (Q114*($E114/366))</f>
        <v>53.9</v>
      </c>
      <c r="V181" s="7"/>
      <c r="W181" s="7">
        <f t="shared" si="15"/>
        <v>53.9</v>
      </c>
    </row>
    <row r="182" spans="1:34" x14ac:dyDescent="0.15">
      <c r="A182" s="1">
        <v>2013</v>
      </c>
      <c r="B182" s="7">
        <f>K115*($E115/365)+K116*($E116/365)</f>
        <v>33.942161339421617</v>
      </c>
      <c r="C182" s="7">
        <f>L115*($E115/365)+L116*($E116/365)</f>
        <v>27.153729071537292</v>
      </c>
      <c r="D182" s="7">
        <f>M115*($E115/365)+M116*($E116/365)</f>
        <v>38.904109589041099</v>
      </c>
      <c r="E182" s="302">
        <f t="shared" si="14"/>
        <v>100</v>
      </c>
      <c r="G182" s="1">
        <v>2013</v>
      </c>
      <c r="H182" s="809">
        <f>(O115*100*($E115/365)/($O115+$P115+$Q115))+(O116*100*($E116/365)/($O116+$P116+$Q116))</f>
        <v>30.547945205479458</v>
      </c>
      <c r="I182" s="809"/>
      <c r="J182" s="809">
        <f>(P115*100*($E115/365)/($O115+$P115+$Q115))+(P116*100*($E116/365)/($O116+$P116+$Q116))</f>
        <v>30.547945205479458</v>
      </c>
      <c r="K182" s="809"/>
      <c r="L182" s="809">
        <f>(Q115*100*($E115/365)/($O115+$P115+$Q115))+(Q116*100*($E116/365)/($O116+$P116+$Q116))</f>
        <v>38.904109589041099</v>
      </c>
      <c r="M182" s="809"/>
      <c r="N182" s="810">
        <f>H182+J182+L182</f>
        <v>100.00000000000001</v>
      </c>
      <c r="O182" s="810"/>
      <c r="R182" s="1">
        <v>2013</v>
      </c>
      <c r="S182" s="7">
        <f>(O115*($E115/365)) + (O116*($E116/365))</f>
        <v>18.450958904109591</v>
      </c>
      <c r="T182" s="7">
        <f>(P115*($E115/365)) + (P116*($E116/365))</f>
        <v>18.450958904109591</v>
      </c>
      <c r="U182" s="7">
        <f>(Q115*($E115/365)) + (Q116*($E116/365))</f>
        <v>20.969315068493152</v>
      </c>
      <c r="W182" s="7">
        <f t="shared" si="15"/>
        <v>57.871232876712334</v>
      </c>
    </row>
    <row r="183" spans="1:34" x14ac:dyDescent="0.15">
      <c r="A183" s="1">
        <v>2014</v>
      </c>
      <c r="B183" s="7">
        <f>K117*($E117/365)+K118*($E118/365)</f>
        <v>55.540334855403351</v>
      </c>
      <c r="C183" s="7">
        <f>L117*($E117/365)+L118*($E118/365)</f>
        <v>44.459665144596656</v>
      </c>
      <c r="D183" s="7">
        <f>M117*($E117/365)+M118*($E118/365)</f>
        <v>0</v>
      </c>
      <c r="E183" s="539">
        <f>B183+C183+D183</f>
        <v>100</v>
      </c>
      <c r="G183" s="1">
        <v>2014</v>
      </c>
      <c r="H183" s="809">
        <f>(O117*100*($E117/365)/($O117+$P117+$Q117))+(O118*100*($E118/365)/($O118+$P118+$Q118))</f>
        <v>50</v>
      </c>
      <c r="I183" s="809"/>
      <c r="J183" s="809">
        <f>(P117*100*($E117/365)/($O117+$P117+$Q117))+(P118*100*($E118/365)/($O118+$P118+$Q118))</f>
        <v>50</v>
      </c>
      <c r="K183" s="809"/>
      <c r="L183" s="809">
        <f>(Q117*100*($E117/365)/($O117+$P117+$Q117))+(Q118*100*($E118/365)/($O118+$P118+$Q118))</f>
        <v>0</v>
      </c>
      <c r="M183" s="809"/>
      <c r="N183" s="810">
        <f>H183+J183+L183</f>
        <v>100</v>
      </c>
      <c r="O183" s="810"/>
      <c r="R183" s="1">
        <v>2014</v>
      </c>
      <c r="S183" s="7">
        <f>(O117*($E117/365)) + (O118*($E118/365))</f>
        <v>30.2</v>
      </c>
      <c r="T183" s="7">
        <f>(P117*($E117/365)) + (P118*($E118/365))</f>
        <v>30.2</v>
      </c>
      <c r="U183" s="7">
        <f>(Q117*($E117/365)) + (Q118*($E118/365))</f>
        <v>0</v>
      </c>
      <c r="W183" s="7">
        <f>S183+T183+U183</f>
        <v>60.4</v>
      </c>
    </row>
    <row r="184" spans="1:34" s="735" customFormat="1" x14ac:dyDescent="0.15">
      <c r="A184" s="735">
        <v>2015</v>
      </c>
      <c r="B184" s="731">
        <f>K119*($E119/365)+K120*($E120/365)</f>
        <v>50</v>
      </c>
      <c r="C184" s="731">
        <f>L119*($E119/365)+L120*($E120/365)</f>
        <v>50</v>
      </c>
      <c r="D184" s="731">
        <f>M119*($E119/365)+M120*($E120/365)</f>
        <v>0</v>
      </c>
      <c r="E184" s="733">
        <f>B184+C184+D184</f>
        <v>100</v>
      </c>
      <c r="G184" s="735">
        <v>2015</v>
      </c>
      <c r="H184" s="809">
        <f>(O119*100*($E119/365)/($O119+$P119+$Q119))+(O120*100*($E120/365)/($O120+$P120+$Q120))</f>
        <v>50</v>
      </c>
      <c r="I184" s="809"/>
      <c r="J184" s="809">
        <f>(P119*100*($E119/365)/($O119+$P119+$Q119))+(P120*100*($E120/365)/($O120+$P120+$Q120))</f>
        <v>50</v>
      </c>
      <c r="K184" s="809"/>
      <c r="L184" s="809">
        <f>(Q119*100*($E119/365)/($O119+$P119+$Q119))+(Q120*100*($E120/365)/($O120+$P120+$Q120))</f>
        <v>0</v>
      </c>
      <c r="M184" s="809"/>
      <c r="N184" s="810">
        <f>H184+J184+L184</f>
        <v>100</v>
      </c>
      <c r="O184" s="810"/>
      <c r="R184" s="735">
        <v>2015</v>
      </c>
      <c r="S184" s="731">
        <f>(O119*($E119/365)) + (O120*($E120/365))</f>
        <v>30.2</v>
      </c>
      <c r="T184" s="731">
        <f>(P119*($E119/365)) + (P120*($E120/365))</f>
        <v>30.2</v>
      </c>
      <c r="U184" s="731">
        <f>(Q119*($E119/365)) + (Q120*($E120/365))</f>
        <v>0</v>
      </c>
      <c r="W184" s="731">
        <f>S184+T184+U184</f>
        <v>60.4</v>
      </c>
      <c r="AH184" s="37"/>
    </row>
    <row r="185" spans="1:34" s="735" customFormat="1" x14ac:dyDescent="0.15">
      <c r="AH185" s="37"/>
    </row>
  </sheetData>
  <mergeCells count="371">
    <mergeCell ref="H184:I184"/>
    <mergeCell ref="J184:K184"/>
    <mergeCell ref="L184:M184"/>
    <mergeCell ref="N184:O184"/>
    <mergeCell ref="H182:I182"/>
    <mergeCell ref="L182:M182"/>
    <mergeCell ref="N129:O129"/>
    <mergeCell ref="N164:O164"/>
    <mergeCell ref="N165:O165"/>
    <mergeCell ref="N166:O166"/>
    <mergeCell ref="N163:O163"/>
    <mergeCell ref="L165:M165"/>
    <mergeCell ref="L166:M166"/>
    <mergeCell ref="L167:M167"/>
    <mergeCell ref="L175:M175"/>
    <mergeCell ref="L176:M176"/>
    <mergeCell ref="L177:M177"/>
    <mergeCell ref="J172:K172"/>
    <mergeCell ref="J173:K173"/>
    <mergeCell ref="J174:K174"/>
    <mergeCell ref="J175:K175"/>
    <mergeCell ref="J176:K176"/>
    <mergeCell ref="J177:K177"/>
    <mergeCell ref="L181:M181"/>
    <mergeCell ref="J180:K180"/>
    <mergeCell ref="L171:M171"/>
    <mergeCell ref="L172:M172"/>
    <mergeCell ref="L173:M173"/>
    <mergeCell ref="N175:O175"/>
    <mergeCell ref="J171:K171"/>
    <mergeCell ref="N159:O159"/>
    <mergeCell ref="N160:O160"/>
    <mergeCell ref="L159:M159"/>
    <mergeCell ref="L160:M160"/>
    <mergeCell ref="L161:M161"/>
    <mergeCell ref="L162:M162"/>
    <mergeCell ref="L163:M163"/>
    <mergeCell ref="L164:M164"/>
    <mergeCell ref="AT4:AW4"/>
    <mergeCell ref="AX4:BA4"/>
    <mergeCell ref="R125:W125"/>
    <mergeCell ref="N161:O161"/>
    <mergeCell ref="N162:O162"/>
    <mergeCell ref="L129:M129"/>
    <mergeCell ref="J129:K129"/>
    <mergeCell ref="J167:K167"/>
    <mergeCell ref="J168:K168"/>
    <mergeCell ref="N167:O167"/>
    <mergeCell ref="AD4:AG4"/>
    <mergeCell ref="AH4:AK4"/>
    <mergeCell ref="AL4:AO4"/>
    <mergeCell ref="U4:U5"/>
    <mergeCell ref="V4:Y4"/>
    <mergeCell ref="N183:O183"/>
    <mergeCell ref="N182:O182"/>
    <mergeCell ref="J182:K182"/>
    <mergeCell ref="N168:O168"/>
    <mergeCell ref="N176:O176"/>
    <mergeCell ref="N177:O177"/>
    <mergeCell ref="N178:O178"/>
    <mergeCell ref="N179:O179"/>
    <mergeCell ref="L179:M179"/>
    <mergeCell ref="L180:M180"/>
    <mergeCell ref="N169:O169"/>
    <mergeCell ref="L168:M168"/>
    <mergeCell ref="L169:M169"/>
    <mergeCell ref="L178:M178"/>
    <mergeCell ref="N180:O180"/>
    <mergeCell ref="J178:K178"/>
    <mergeCell ref="J179:K179"/>
    <mergeCell ref="L170:M170"/>
    <mergeCell ref="N181:O181"/>
    <mergeCell ref="N170:O170"/>
    <mergeCell ref="N171:O171"/>
    <mergeCell ref="N172:O172"/>
    <mergeCell ref="N173:O173"/>
    <mergeCell ref="N174:O174"/>
    <mergeCell ref="L183:M183"/>
    <mergeCell ref="H183:I183"/>
    <mergeCell ref="J183:K183"/>
    <mergeCell ref="H179:I179"/>
    <mergeCell ref="H180:I180"/>
    <mergeCell ref="H181:I181"/>
    <mergeCell ref="J159:K159"/>
    <mergeCell ref="J160:K160"/>
    <mergeCell ref="J161:K161"/>
    <mergeCell ref="J162:K162"/>
    <mergeCell ref="J163:K163"/>
    <mergeCell ref="H173:I173"/>
    <mergeCell ref="H174:I174"/>
    <mergeCell ref="H175:I175"/>
    <mergeCell ref="H176:I176"/>
    <mergeCell ref="H177:I177"/>
    <mergeCell ref="H178:I178"/>
    <mergeCell ref="H167:I167"/>
    <mergeCell ref="H168:I168"/>
    <mergeCell ref="H169:I169"/>
    <mergeCell ref="H170:I170"/>
    <mergeCell ref="H171:I171"/>
    <mergeCell ref="L174:M174"/>
    <mergeCell ref="J181:K181"/>
    <mergeCell ref="H172:I172"/>
    <mergeCell ref="H161:I161"/>
    <mergeCell ref="H162:I162"/>
    <mergeCell ref="H163:I163"/>
    <mergeCell ref="H164:I164"/>
    <mergeCell ref="H165:I165"/>
    <mergeCell ref="H166:I166"/>
    <mergeCell ref="H158:I158"/>
    <mergeCell ref="J164:K164"/>
    <mergeCell ref="J165:K165"/>
    <mergeCell ref="J166:K166"/>
    <mergeCell ref="H159:I159"/>
    <mergeCell ref="H160:I160"/>
    <mergeCell ref="J170:K170"/>
    <mergeCell ref="J169:K169"/>
    <mergeCell ref="H156:I156"/>
    <mergeCell ref="J156:K156"/>
    <mergeCell ref="L156:M156"/>
    <mergeCell ref="N156:O156"/>
    <mergeCell ref="H157:I157"/>
    <mergeCell ref="J157:K157"/>
    <mergeCell ref="L157:M157"/>
    <mergeCell ref="N157:O157"/>
    <mergeCell ref="J158:K158"/>
    <mergeCell ref="L158:M158"/>
    <mergeCell ref="N158:O158"/>
    <mergeCell ref="H154:I154"/>
    <mergeCell ref="J154:K154"/>
    <mergeCell ref="L154:M154"/>
    <mergeCell ref="N154:O154"/>
    <mergeCell ref="H155:I155"/>
    <mergeCell ref="J155:K155"/>
    <mergeCell ref="L155:M155"/>
    <mergeCell ref="N155:O155"/>
    <mergeCell ref="H152:I152"/>
    <mergeCell ref="J152:K152"/>
    <mergeCell ref="L152:M152"/>
    <mergeCell ref="N152:O152"/>
    <mergeCell ref="H153:I153"/>
    <mergeCell ref="J153:K153"/>
    <mergeCell ref="L153:M153"/>
    <mergeCell ref="N153:O153"/>
    <mergeCell ref="H150:I150"/>
    <mergeCell ref="J150:K150"/>
    <mergeCell ref="L150:M150"/>
    <mergeCell ref="N150:O150"/>
    <mergeCell ref="H151:I151"/>
    <mergeCell ref="J151:K151"/>
    <mergeCell ref="L151:M151"/>
    <mergeCell ref="N151:O151"/>
    <mergeCell ref="H148:I148"/>
    <mergeCell ref="J148:K148"/>
    <mergeCell ref="L148:M148"/>
    <mergeCell ref="N148:O148"/>
    <mergeCell ref="H149:I149"/>
    <mergeCell ref="J149:K149"/>
    <mergeCell ref="L149:M149"/>
    <mergeCell ref="N149:O149"/>
    <mergeCell ref="H146:I146"/>
    <mergeCell ref="J146:K146"/>
    <mergeCell ref="L146:M146"/>
    <mergeCell ref="N146:O146"/>
    <mergeCell ref="H147:I147"/>
    <mergeCell ref="J147:K147"/>
    <mergeCell ref="L147:M147"/>
    <mergeCell ref="N147:O147"/>
    <mergeCell ref="H144:I144"/>
    <mergeCell ref="J144:K144"/>
    <mergeCell ref="L144:M144"/>
    <mergeCell ref="N144:O144"/>
    <mergeCell ref="H145:I145"/>
    <mergeCell ref="J145:K145"/>
    <mergeCell ref="L145:M145"/>
    <mergeCell ref="N145:O145"/>
    <mergeCell ref="H142:I142"/>
    <mergeCell ref="J142:K142"/>
    <mergeCell ref="L142:M142"/>
    <mergeCell ref="N142:O142"/>
    <mergeCell ref="H143:I143"/>
    <mergeCell ref="J143:K143"/>
    <mergeCell ref="L143:M143"/>
    <mergeCell ref="N143:O143"/>
    <mergeCell ref="H140:I140"/>
    <mergeCell ref="J140:K140"/>
    <mergeCell ref="L140:M140"/>
    <mergeCell ref="N140:O140"/>
    <mergeCell ref="H141:I141"/>
    <mergeCell ref="J141:K141"/>
    <mergeCell ref="L141:M141"/>
    <mergeCell ref="N141:O141"/>
    <mergeCell ref="H138:I138"/>
    <mergeCell ref="J138:K138"/>
    <mergeCell ref="L138:M138"/>
    <mergeCell ref="N138:O138"/>
    <mergeCell ref="H139:I139"/>
    <mergeCell ref="J139:K139"/>
    <mergeCell ref="L139:M139"/>
    <mergeCell ref="N139:O139"/>
    <mergeCell ref="H136:I136"/>
    <mergeCell ref="J136:K136"/>
    <mergeCell ref="L136:M136"/>
    <mergeCell ref="N136:O136"/>
    <mergeCell ref="H137:I137"/>
    <mergeCell ref="J137:K137"/>
    <mergeCell ref="L137:M137"/>
    <mergeCell ref="N137:O137"/>
    <mergeCell ref="H135:I135"/>
    <mergeCell ref="J135:K135"/>
    <mergeCell ref="L135:M135"/>
    <mergeCell ref="N135:O135"/>
    <mergeCell ref="H132:I132"/>
    <mergeCell ref="J132:K132"/>
    <mergeCell ref="L132:M132"/>
    <mergeCell ref="N132:O132"/>
    <mergeCell ref="H133:I133"/>
    <mergeCell ref="J133:K133"/>
    <mergeCell ref="L133:M133"/>
    <mergeCell ref="N133:O133"/>
    <mergeCell ref="H131:I131"/>
    <mergeCell ref="J131:K131"/>
    <mergeCell ref="L131:M131"/>
    <mergeCell ref="N131:O131"/>
    <mergeCell ref="G3:M3"/>
    <mergeCell ref="O3:Q3"/>
    <mergeCell ref="H134:I134"/>
    <mergeCell ref="J134:K134"/>
    <mergeCell ref="L134:M134"/>
    <mergeCell ref="N134:O134"/>
    <mergeCell ref="J127:K127"/>
    <mergeCell ref="L127:M127"/>
    <mergeCell ref="N127:O127"/>
    <mergeCell ref="H129:I129"/>
    <mergeCell ref="H127:I127"/>
    <mergeCell ref="H128:I128"/>
    <mergeCell ref="J128:K128"/>
    <mergeCell ref="L128:M128"/>
    <mergeCell ref="N128:O128"/>
    <mergeCell ref="A4:A5"/>
    <mergeCell ref="B4:B5"/>
    <mergeCell ref="C4:D5"/>
    <mergeCell ref="E4:E5"/>
    <mergeCell ref="F4:F5"/>
    <mergeCell ref="G4:J4"/>
    <mergeCell ref="Z4:AC4"/>
    <mergeCell ref="H130:I130"/>
    <mergeCell ref="J130:K130"/>
    <mergeCell ref="L130:M130"/>
    <mergeCell ref="N130:O130"/>
    <mergeCell ref="C21:D21"/>
    <mergeCell ref="C22:D22"/>
    <mergeCell ref="C23:D23"/>
    <mergeCell ref="C24:D24"/>
    <mergeCell ref="C27:D27"/>
    <mergeCell ref="C28:D28"/>
    <mergeCell ref="C25:D25"/>
    <mergeCell ref="C26:D26"/>
    <mergeCell ref="C29:D29"/>
    <mergeCell ref="C30:D30"/>
    <mergeCell ref="C33:D33"/>
    <mergeCell ref="C34:D34"/>
    <mergeCell ref="C31:D31"/>
    <mergeCell ref="C19:D19"/>
    <mergeCell ref="C20:D20"/>
    <mergeCell ref="AP4:AS4"/>
    <mergeCell ref="C8:D8"/>
    <mergeCell ref="K4:N4"/>
    <mergeCell ref="O4:R4"/>
    <mergeCell ref="S4:S5"/>
    <mergeCell ref="T4:T5"/>
    <mergeCell ref="C11:D11"/>
    <mergeCell ref="C12:D12"/>
    <mergeCell ref="C13:D13"/>
    <mergeCell ref="C14:D14"/>
    <mergeCell ref="C15:D15"/>
    <mergeCell ref="C16:D16"/>
    <mergeCell ref="C17:D17"/>
    <mergeCell ref="C18:D18"/>
    <mergeCell ref="C9:D9"/>
    <mergeCell ref="C10:D10"/>
    <mergeCell ref="C7:D7"/>
    <mergeCell ref="C6:D6"/>
    <mergeCell ref="C32:D32"/>
    <mergeCell ref="C35:D35"/>
    <mergeCell ref="C36:D36"/>
    <mergeCell ref="C39:D39"/>
    <mergeCell ref="C40:D40"/>
    <mergeCell ref="C37:D37"/>
    <mergeCell ref="C38:D38"/>
    <mergeCell ref="C41:D41"/>
    <mergeCell ref="C42:D42"/>
    <mergeCell ref="C45:D45"/>
    <mergeCell ref="C46:D46"/>
    <mergeCell ref="C43:D43"/>
    <mergeCell ref="C44:D44"/>
    <mergeCell ref="C47:D47"/>
    <mergeCell ref="C48:D48"/>
    <mergeCell ref="C51:D51"/>
    <mergeCell ref="C52:D52"/>
    <mergeCell ref="C49:D49"/>
    <mergeCell ref="C50:D50"/>
    <mergeCell ref="C53:D53"/>
    <mergeCell ref="C54:D54"/>
    <mergeCell ref="C57:D57"/>
    <mergeCell ref="C58:D58"/>
    <mergeCell ref="C55:D55"/>
    <mergeCell ref="C56:D56"/>
    <mergeCell ref="C59:D59"/>
    <mergeCell ref="C60:D60"/>
    <mergeCell ref="C63:D63"/>
    <mergeCell ref="C64:D64"/>
    <mergeCell ref="C61:D61"/>
    <mergeCell ref="C62:D62"/>
    <mergeCell ref="C65:D65"/>
    <mergeCell ref="C66:D66"/>
    <mergeCell ref="C69:D69"/>
    <mergeCell ref="C70:D70"/>
    <mergeCell ref="C67:D67"/>
    <mergeCell ref="C68:D68"/>
    <mergeCell ref="C71:D71"/>
    <mergeCell ref="C72:D72"/>
    <mergeCell ref="C75:D75"/>
    <mergeCell ref="C76:D76"/>
    <mergeCell ref="C73:D73"/>
    <mergeCell ref="C74:D74"/>
    <mergeCell ref="C77:D77"/>
    <mergeCell ref="C78:D78"/>
    <mergeCell ref="C81:D81"/>
    <mergeCell ref="C82:D82"/>
    <mergeCell ref="C79:D79"/>
    <mergeCell ref="C80:D80"/>
    <mergeCell ref="C83:D83"/>
    <mergeCell ref="C84:D84"/>
    <mergeCell ref="C87:D87"/>
    <mergeCell ref="C88:D88"/>
    <mergeCell ref="C85:D85"/>
    <mergeCell ref="C86:D86"/>
    <mergeCell ref="C89:D89"/>
    <mergeCell ref="C90:D90"/>
    <mergeCell ref="C93:D93"/>
    <mergeCell ref="C94:D94"/>
    <mergeCell ref="C91:D91"/>
    <mergeCell ref="C92:D92"/>
    <mergeCell ref="C95:D95"/>
    <mergeCell ref="C96:D96"/>
    <mergeCell ref="C99:D99"/>
    <mergeCell ref="C100:D100"/>
    <mergeCell ref="C97:D97"/>
    <mergeCell ref="C98:D98"/>
    <mergeCell ref="C101:D101"/>
    <mergeCell ref="C102:D102"/>
    <mergeCell ref="C111:D111"/>
    <mergeCell ref="C112:D112"/>
    <mergeCell ref="C103:D103"/>
    <mergeCell ref="C104:D104"/>
    <mergeCell ref="C122:D122"/>
    <mergeCell ref="C121:D121"/>
    <mergeCell ref="C118:D118"/>
    <mergeCell ref="C116:D116"/>
    <mergeCell ref="C117:D117"/>
    <mergeCell ref="C113:D113"/>
    <mergeCell ref="C114:D114"/>
    <mergeCell ref="C105:D105"/>
    <mergeCell ref="C106:D106"/>
    <mergeCell ref="C107:D107"/>
    <mergeCell ref="C108:D108"/>
    <mergeCell ref="C109:D109"/>
    <mergeCell ref="C110:D110"/>
    <mergeCell ref="C115:D115"/>
    <mergeCell ref="C119:D119"/>
    <mergeCell ref="C120:D120"/>
  </mergeCells>
  <phoneticPr fontId="0" type="noConversion"/>
  <pageMargins left="0.78740157499999996" right="0.78740157499999996" top="0.984251969" bottom="0.984251969" header="0.4921259845" footer="0.4921259845"/>
  <pageSetup paperSize="9" orientation="portrait" r:id="rId1"/>
  <headerFooter alignWithMargins="0"/>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88"/>
  <sheetViews>
    <sheetView zoomScale="120" zoomScaleNormal="120" workbookViewId="0">
      <pane xSplit="1" ySplit="5" topLeftCell="B116" activePane="bottomRight" state="frozen"/>
      <selection pane="topRight" activeCell="B1" sqref="B1"/>
      <selection pane="bottomLeft" activeCell="A6" sqref="A6"/>
      <selection pane="bottomRight" activeCell="W187" sqref="W187"/>
    </sheetView>
  </sheetViews>
  <sheetFormatPr baseColWidth="10" defaultColWidth="10.7109375" defaultRowHeight="9" x14ac:dyDescent="0.15"/>
  <cols>
    <col min="1" max="1" width="5.85546875" style="1" customWidth="1"/>
    <col min="2" max="6" width="7.85546875" style="1" customWidth="1"/>
    <col min="7" max="7" width="4.42578125" style="1" customWidth="1"/>
    <col min="8" max="8" width="4.42578125" style="5" customWidth="1"/>
    <col min="9" max="18" width="4.42578125" style="1" customWidth="1"/>
    <col min="19" max="21" width="7.85546875" style="1" customWidth="1"/>
    <col min="22" max="53" width="5.7109375" style="1" customWidth="1"/>
    <col min="54" max="16384" width="10.7109375" style="1"/>
  </cols>
  <sheetData>
    <row r="1" spans="1:53" s="2" customFormat="1" ht="15" customHeight="1" x14ac:dyDescent="0.2">
      <c r="B1" s="22" t="s">
        <v>14</v>
      </c>
      <c r="H1" s="6"/>
    </row>
    <row r="2" spans="1:53" s="2" customFormat="1" ht="15" customHeight="1" x14ac:dyDescent="0.2">
      <c r="B2" s="22" t="s">
        <v>58</v>
      </c>
      <c r="H2" s="6"/>
    </row>
    <row r="3" spans="1:53" s="2" customFormat="1" x14ac:dyDescent="0.15">
      <c r="G3" s="814"/>
      <c r="H3" s="814"/>
      <c r="I3" s="814"/>
      <c r="J3" s="814"/>
      <c r="K3" s="814"/>
      <c r="L3" s="814"/>
      <c r="M3" s="814"/>
      <c r="O3" s="814"/>
      <c r="P3" s="814"/>
      <c r="Q3" s="814"/>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1" t="s">
        <v>23</v>
      </c>
      <c r="AU5" s="351" t="s">
        <v>24</v>
      </c>
      <c r="AV5" s="351" t="s">
        <v>25</v>
      </c>
      <c r="AW5" s="353" t="s">
        <v>1217</v>
      </c>
      <c r="AX5" s="351" t="s">
        <v>23</v>
      </c>
      <c r="AY5" s="351" t="s">
        <v>24</v>
      </c>
      <c r="AZ5" s="351" t="s">
        <v>25</v>
      </c>
      <c r="BA5" s="354" t="s">
        <v>1217</v>
      </c>
    </row>
    <row r="6" spans="1:53" s="257" customFormat="1" x14ac:dyDescent="0.15">
      <c r="A6" s="263">
        <v>1959</v>
      </c>
      <c r="B6" s="252"/>
      <c r="C6" s="815" t="s">
        <v>1250</v>
      </c>
      <c r="D6" s="815"/>
      <c r="E6" s="257">
        <v>173</v>
      </c>
      <c r="G6" s="283">
        <v>12</v>
      </c>
      <c r="H6" s="260"/>
      <c r="I6" s="271"/>
      <c r="J6" s="284">
        <v>12</v>
      </c>
      <c r="K6" s="245">
        <f t="shared" ref="K6:M8" si="0">G6/$J6*100</f>
        <v>100</v>
      </c>
      <c r="L6" s="245">
        <f t="shared" si="0"/>
        <v>0</v>
      </c>
      <c r="M6" s="245">
        <f t="shared" si="0"/>
        <v>0</v>
      </c>
      <c r="N6" s="246">
        <f>K6+L6+M6</f>
        <v>100</v>
      </c>
      <c r="O6" s="285">
        <v>53.1</v>
      </c>
      <c r="P6" s="245"/>
      <c r="Q6" s="245"/>
      <c r="R6" s="286">
        <f>O6+P6+Q6</f>
        <v>53.1</v>
      </c>
      <c r="S6" s="257">
        <v>1</v>
      </c>
      <c r="T6" s="278"/>
      <c r="V6" s="256" t="s">
        <v>566</v>
      </c>
      <c r="W6" s="257" t="s">
        <v>22</v>
      </c>
      <c r="X6" s="257" t="s">
        <v>11</v>
      </c>
      <c r="Y6" s="258">
        <v>53.1</v>
      </c>
      <c r="AD6" s="256"/>
      <c r="AG6" s="258"/>
      <c r="AL6" s="256"/>
      <c r="AO6" s="258"/>
      <c r="AP6" s="256"/>
      <c r="AS6" s="258"/>
      <c r="AW6" s="258"/>
      <c r="BA6" s="259"/>
    </row>
    <row r="7" spans="1:53" s="257" customFormat="1" x14ac:dyDescent="0.15">
      <c r="A7" s="263">
        <v>1959</v>
      </c>
      <c r="B7" s="252">
        <v>21724</v>
      </c>
      <c r="C7" s="815" t="s">
        <v>754</v>
      </c>
      <c r="D7" s="815"/>
      <c r="E7" s="257">
        <f>365-E6</f>
        <v>192</v>
      </c>
      <c r="F7" s="257">
        <v>5</v>
      </c>
      <c r="G7" s="283">
        <v>14</v>
      </c>
      <c r="H7" s="260"/>
      <c r="I7" s="271"/>
      <c r="J7" s="284">
        <v>14</v>
      </c>
      <c r="K7" s="245">
        <f t="shared" si="0"/>
        <v>100</v>
      </c>
      <c r="L7" s="245">
        <f t="shared" si="0"/>
        <v>0</v>
      </c>
      <c r="M7" s="245">
        <f t="shared" si="0"/>
        <v>0</v>
      </c>
      <c r="N7" s="246">
        <f>K7+L7+M7</f>
        <v>100</v>
      </c>
      <c r="O7" s="285">
        <v>53.1</v>
      </c>
      <c r="P7" s="245"/>
      <c r="Q7" s="245"/>
      <c r="R7" s="286">
        <f>O7+P7+Q7</f>
        <v>53.1</v>
      </c>
      <c r="S7" s="257">
        <v>1</v>
      </c>
      <c r="T7" s="278"/>
      <c r="U7" s="252">
        <v>21724</v>
      </c>
      <c r="V7" s="256" t="s">
        <v>566</v>
      </c>
      <c r="W7" s="257" t="s">
        <v>22</v>
      </c>
      <c r="X7" s="257" t="s">
        <v>11</v>
      </c>
      <c r="Y7" s="258">
        <v>53.1</v>
      </c>
      <c r="AD7" s="256"/>
      <c r="AG7" s="258"/>
      <c r="AL7" s="256"/>
      <c r="AO7" s="258"/>
      <c r="AP7" s="256"/>
      <c r="AS7" s="258"/>
      <c r="AW7" s="258"/>
      <c r="BA7" s="259"/>
    </row>
    <row r="8" spans="1:53" s="73" customFormat="1" x14ac:dyDescent="0.15">
      <c r="A8" s="102">
        <v>1960</v>
      </c>
      <c r="B8" s="85"/>
      <c r="C8" s="811" t="s">
        <v>754</v>
      </c>
      <c r="D8" s="811"/>
      <c r="E8" s="73">
        <v>0</v>
      </c>
      <c r="G8" s="74">
        <v>14</v>
      </c>
      <c r="H8" s="175"/>
      <c r="I8" s="75"/>
      <c r="J8" s="76">
        <v>14</v>
      </c>
      <c r="K8" s="77">
        <f t="shared" si="0"/>
        <v>100</v>
      </c>
      <c r="L8" s="77">
        <f t="shared" si="0"/>
        <v>0</v>
      </c>
      <c r="M8" s="77">
        <f t="shared" si="0"/>
        <v>0</v>
      </c>
      <c r="N8" s="78">
        <f>K8+L8+M8</f>
        <v>100</v>
      </c>
      <c r="O8" s="79">
        <v>53.1</v>
      </c>
      <c r="P8" s="77"/>
      <c r="Q8" s="77"/>
      <c r="R8" s="80">
        <f>O8+P8+Q8</f>
        <v>53.1</v>
      </c>
      <c r="S8" s="73">
        <v>1</v>
      </c>
      <c r="T8" s="81"/>
      <c r="V8" s="82" t="s">
        <v>566</v>
      </c>
      <c r="W8" s="73" t="s">
        <v>22</v>
      </c>
      <c r="X8" s="73" t="s">
        <v>11</v>
      </c>
      <c r="Y8" s="83">
        <v>53.1</v>
      </c>
      <c r="AD8" s="82"/>
      <c r="AG8" s="83"/>
      <c r="AL8" s="82"/>
      <c r="AO8" s="83"/>
      <c r="AP8" s="82"/>
      <c r="AS8" s="83"/>
      <c r="AW8" s="83"/>
      <c r="BA8" s="84"/>
    </row>
    <row r="9" spans="1:53" s="73" customFormat="1" x14ac:dyDescent="0.15">
      <c r="A9" s="102">
        <v>1960</v>
      </c>
      <c r="B9" s="85"/>
      <c r="C9" s="811" t="s">
        <v>754</v>
      </c>
      <c r="D9" s="811"/>
      <c r="E9" s="73">
        <v>366</v>
      </c>
      <c r="G9" s="74">
        <v>14</v>
      </c>
      <c r="H9" s="175"/>
      <c r="I9" s="75"/>
      <c r="J9" s="76">
        <v>14</v>
      </c>
      <c r="K9" s="77">
        <f t="shared" ref="K9:M58" si="1">G9/$J9*100</f>
        <v>100</v>
      </c>
      <c r="L9" s="77">
        <f t="shared" si="1"/>
        <v>0</v>
      </c>
      <c r="M9" s="77">
        <f t="shared" si="1"/>
        <v>0</v>
      </c>
      <c r="N9" s="78">
        <f t="shared" ref="N9:N58" si="2">K9+L9+M9</f>
        <v>100</v>
      </c>
      <c r="O9" s="79">
        <v>53.1</v>
      </c>
      <c r="P9" s="77"/>
      <c r="Q9" s="77"/>
      <c r="R9" s="80">
        <f t="shared" ref="R9:R72" si="3">O9+P9+Q9</f>
        <v>53.1</v>
      </c>
      <c r="S9" s="73">
        <v>1</v>
      </c>
      <c r="T9" s="81"/>
      <c r="V9" s="82" t="s">
        <v>566</v>
      </c>
      <c r="W9" s="73" t="s">
        <v>22</v>
      </c>
      <c r="X9" s="73" t="s">
        <v>11</v>
      </c>
      <c r="Y9" s="83">
        <v>53.1</v>
      </c>
      <c r="AD9" s="82"/>
      <c r="AG9" s="83"/>
      <c r="AL9" s="82"/>
      <c r="AO9" s="83"/>
      <c r="AP9" s="82"/>
      <c r="AS9" s="83"/>
      <c r="AW9" s="83"/>
      <c r="BA9" s="84"/>
    </row>
    <row r="10" spans="1:53" s="73" customFormat="1" x14ac:dyDescent="0.15">
      <c r="A10" s="102">
        <v>1961</v>
      </c>
      <c r="B10" s="85"/>
      <c r="C10" s="811" t="s">
        <v>754</v>
      </c>
      <c r="D10" s="811"/>
      <c r="E10" s="73">
        <v>283</v>
      </c>
      <c r="G10" s="74">
        <v>14</v>
      </c>
      <c r="H10" s="175"/>
      <c r="I10" s="75"/>
      <c r="J10" s="76">
        <v>14</v>
      </c>
      <c r="K10" s="77">
        <f t="shared" si="1"/>
        <v>100</v>
      </c>
      <c r="L10" s="77">
        <f t="shared" si="1"/>
        <v>0</v>
      </c>
      <c r="M10" s="77">
        <f t="shared" si="1"/>
        <v>0</v>
      </c>
      <c r="N10" s="78">
        <f t="shared" si="2"/>
        <v>100</v>
      </c>
      <c r="O10" s="79">
        <v>53.1</v>
      </c>
      <c r="P10" s="77"/>
      <c r="Q10" s="77"/>
      <c r="R10" s="80">
        <f t="shared" si="3"/>
        <v>53.1</v>
      </c>
      <c r="S10" s="73">
        <v>1</v>
      </c>
      <c r="T10" s="81"/>
      <c r="V10" s="82" t="s">
        <v>566</v>
      </c>
      <c r="W10" s="73" t="s">
        <v>22</v>
      </c>
      <c r="X10" s="73" t="s">
        <v>11</v>
      </c>
      <c r="Y10" s="83">
        <v>53.1</v>
      </c>
      <c r="AD10" s="82"/>
      <c r="AG10" s="83"/>
      <c r="AL10" s="82"/>
      <c r="AO10" s="83"/>
      <c r="AP10" s="82"/>
      <c r="AS10" s="83"/>
      <c r="AW10" s="83"/>
      <c r="BA10" s="84"/>
    </row>
    <row r="11" spans="1:53" s="334" customFormat="1" x14ac:dyDescent="0.15">
      <c r="A11" s="386">
        <v>1961</v>
      </c>
      <c r="B11" s="355">
        <v>22565</v>
      </c>
      <c r="C11" s="812" t="s">
        <v>755</v>
      </c>
      <c r="D11" s="812"/>
      <c r="E11" s="334">
        <f>365-E10</f>
        <v>82</v>
      </c>
      <c r="F11" s="334">
        <v>1</v>
      </c>
      <c r="G11" s="336">
        <v>15</v>
      </c>
      <c r="H11" s="453"/>
      <c r="I11" s="200"/>
      <c r="J11" s="337">
        <v>15</v>
      </c>
      <c r="K11" s="338">
        <f t="shared" si="1"/>
        <v>100</v>
      </c>
      <c r="L11" s="338">
        <f t="shared" si="1"/>
        <v>0</v>
      </c>
      <c r="M11" s="338">
        <f t="shared" si="1"/>
        <v>0</v>
      </c>
      <c r="N11" s="339">
        <f t="shared" si="2"/>
        <v>100</v>
      </c>
      <c r="O11" s="340">
        <v>48.6</v>
      </c>
      <c r="P11" s="338"/>
      <c r="Q11" s="338"/>
      <c r="R11" s="341">
        <f t="shared" si="3"/>
        <v>48.6</v>
      </c>
      <c r="S11" s="334">
        <v>4</v>
      </c>
      <c r="T11" s="342">
        <v>22558</v>
      </c>
      <c r="U11" s="355">
        <v>22565</v>
      </c>
      <c r="V11" s="343" t="s">
        <v>566</v>
      </c>
      <c r="W11" s="334" t="s">
        <v>22</v>
      </c>
      <c r="X11" s="334" t="s">
        <v>11</v>
      </c>
      <c r="Y11" s="344">
        <v>48.6</v>
      </c>
      <c r="AD11" s="343"/>
      <c r="AG11" s="344"/>
      <c r="AL11" s="343"/>
      <c r="AO11" s="344"/>
      <c r="AP11" s="343"/>
      <c r="AS11" s="344"/>
      <c r="AW11" s="344"/>
      <c r="BA11" s="345"/>
    </row>
    <row r="12" spans="1:53" s="334" customFormat="1" x14ac:dyDescent="0.15">
      <c r="A12" s="386">
        <v>1962</v>
      </c>
      <c r="B12" s="355"/>
      <c r="C12" s="812" t="s">
        <v>755</v>
      </c>
      <c r="D12" s="812"/>
      <c r="E12" s="334">
        <v>0</v>
      </c>
      <c r="G12" s="336">
        <v>15</v>
      </c>
      <c r="H12" s="453"/>
      <c r="I12" s="200"/>
      <c r="J12" s="337">
        <v>15</v>
      </c>
      <c r="K12" s="338">
        <f t="shared" si="1"/>
        <v>100</v>
      </c>
      <c r="L12" s="338">
        <f t="shared" si="1"/>
        <v>0</v>
      </c>
      <c r="M12" s="338">
        <f t="shared" si="1"/>
        <v>0</v>
      </c>
      <c r="N12" s="339">
        <f t="shared" si="2"/>
        <v>100</v>
      </c>
      <c r="O12" s="340">
        <v>48.6</v>
      </c>
      <c r="P12" s="338"/>
      <c r="Q12" s="338"/>
      <c r="R12" s="341">
        <f t="shared" si="3"/>
        <v>48.6</v>
      </c>
      <c r="S12" s="334">
        <v>4</v>
      </c>
      <c r="T12" s="357"/>
      <c r="V12" s="343" t="s">
        <v>566</v>
      </c>
      <c r="W12" s="334" t="s">
        <v>22</v>
      </c>
      <c r="X12" s="334" t="s">
        <v>11</v>
      </c>
      <c r="Y12" s="344">
        <v>48.6</v>
      </c>
      <c r="AD12" s="343"/>
      <c r="AG12" s="344"/>
      <c r="AL12" s="343"/>
      <c r="AO12" s="344"/>
      <c r="AP12" s="343"/>
      <c r="AS12" s="344"/>
      <c r="AW12" s="344"/>
      <c r="BA12" s="345"/>
    </row>
    <row r="13" spans="1:53" s="334" customFormat="1" x14ac:dyDescent="0.15">
      <c r="A13" s="386">
        <v>1962</v>
      </c>
      <c r="B13" s="355"/>
      <c r="C13" s="812" t="s">
        <v>755</v>
      </c>
      <c r="D13" s="812"/>
      <c r="E13" s="334">
        <v>365</v>
      </c>
      <c r="G13" s="336">
        <v>15</v>
      </c>
      <c r="H13" s="453"/>
      <c r="I13" s="200"/>
      <c r="J13" s="337">
        <v>15</v>
      </c>
      <c r="K13" s="338">
        <f t="shared" si="1"/>
        <v>100</v>
      </c>
      <c r="L13" s="338">
        <f t="shared" si="1"/>
        <v>0</v>
      </c>
      <c r="M13" s="338">
        <f t="shared" si="1"/>
        <v>0</v>
      </c>
      <c r="N13" s="339">
        <f t="shared" si="2"/>
        <v>100</v>
      </c>
      <c r="O13" s="340">
        <v>48.6</v>
      </c>
      <c r="P13" s="338"/>
      <c r="Q13" s="338"/>
      <c r="R13" s="341">
        <f t="shared" si="3"/>
        <v>48.6</v>
      </c>
      <c r="S13" s="334">
        <v>4</v>
      </c>
      <c r="T13" s="357"/>
      <c r="V13" s="343" t="s">
        <v>566</v>
      </c>
      <c r="W13" s="334" t="s">
        <v>22</v>
      </c>
      <c r="X13" s="334" t="s">
        <v>11</v>
      </c>
      <c r="Y13" s="344">
        <v>48.6</v>
      </c>
      <c r="AD13" s="343"/>
      <c r="AG13" s="344"/>
      <c r="AL13" s="343"/>
      <c r="AO13" s="344"/>
      <c r="AP13" s="343"/>
      <c r="AS13" s="344"/>
      <c r="AW13" s="344"/>
      <c r="BA13" s="345"/>
    </row>
    <row r="14" spans="1:53" s="334" customFormat="1" x14ac:dyDescent="0.15">
      <c r="A14" s="386">
        <v>1963</v>
      </c>
      <c r="B14" s="355"/>
      <c r="C14" s="812" t="s">
        <v>755</v>
      </c>
      <c r="D14" s="812"/>
      <c r="E14" s="334">
        <v>0</v>
      </c>
      <c r="G14" s="336">
        <v>15</v>
      </c>
      <c r="H14" s="453"/>
      <c r="I14" s="200"/>
      <c r="J14" s="337">
        <v>15</v>
      </c>
      <c r="K14" s="338">
        <f t="shared" si="1"/>
        <v>100</v>
      </c>
      <c r="L14" s="338">
        <f t="shared" si="1"/>
        <v>0</v>
      </c>
      <c r="M14" s="338">
        <f t="shared" si="1"/>
        <v>0</v>
      </c>
      <c r="N14" s="339">
        <f t="shared" si="2"/>
        <v>100</v>
      </c>
      <c r="O14" s="340">
        <v>48.6</v>
      </c>
      <c r="P14" s="338"/>
      <c r="Q14" s="338"/>
      <c r="R14" s="341">
        <f t="shared" si="3"/>
        <v>48.6</v>
      </c>
      <c r="S14" s="334">
        <v>4</v>
      </c>
      <c r="T14" s="357"/>
      <c r="V14" s="343" t="s">
        <v>566</v>
      </c>
      <c r="W14" s="334" t="s">
        <v>22</v>
      </c>
      <c r="X14" s="334" t="s">
        <v>11</v>
      </c>
      <c r="Y14" s="344">
        <v>48.6</v>
      </c>
      <c r="AD14" s="343"/>
      <c r="AG14" s="344"/>
      <c r="AL14" s="343"/>
      <c r="AO14" s="344"/>
      <c r="AP14" s="343"/>
      <c r="AS14" s="344"/>
      <c r="AW14" s="344"/>
      <c r="BA14" s="345"/>
    </row>
    <row r="15" spans="1:53" s="334" customFormat="1" x14ac:dyDescent="0.15">
      <c r="A15" s="386">
        <v>1963</v>
      </c>
      <c r="B15" s="355"/>
      <c r="C15" s="812" t="s">
        <v>755</v>
      </c>
      <c r="D15" s="812"/>
      <c r="E15" s="334">
        <v>365</v>
      </c>
      <c r="G15" s="336">
        <v>15</v>
      </c>
      <c r="H15" s="453"/>
      <c r="I15" s="200"/>
      <c r="J15" s="337">
        <v>15</v>
      </c>
      <c r="K15" s="338">
        <f t="shared" si="1"/>
        <v>100</v>
      </c>
      <c r="L15" s="338">
        <f t="shared" si="1"/>
        <v>0</v>
      </c>
      <c r="M15" s="338">
        <f t="shared" si="1"/>
        <v>0</v>
      </c>
      <c r="N15" s="339">
        <f t="shared" si="2"/>
        <v>100</v>
      </c>
      <c r="O15" s="340">
        <v>48.6</v>
      </c>
      <c r="P15" s="338"/>
      <c r="Q15" s="338"/>
      <c r="R15" s="341">
        <f t="shared" si="3"/>
        <v>48.6</v>
      </c>
      <c r="S15" s="334">
        <v>4</v>
      </c>
      <c r="T15" s="357"/>
      <c r="V15" s="343" t="s">
        <v>566</v>
      </c>
      <c r="W15" s="334" t="s">
        <v>22</v>
      </c>
      <c r="X15" s="334" t="s">
        <v>11</v>
      </c>
      <c r="Y15" s="344">
        <v>48.6</v>
      </c>
      <c r="AD15" s="343"/>
      <c r="AG15" s="344"/>
      <c r="AL15" s="343"/>
      <c r="AO15" s="344"/>
      <c r="AP15" s="343"/>
      <c r="AS15" s="344"/>
      <c r="AW15" s="344"/>
      <c r="BA15" s="345"/>
    </row>
    <row r="16" spans="1:53" s="334" customFormat="1" x14ac:dyDescent="0.15">
      <c r="A16" s="386">
        <v>1964</v>
      </c>
      <c r="B16" s="355"/>
      <c r="C16" s="812" t="s">
        <v>755</v>
      </c>
      <c r="D16" s="812"/>
      <c r="E16" s="334">
        <v>0</v>
      </c>
      <c r="G16" s="336">
        <v>15</v>
      </c>
      <c r="H16" s="453"/>
      <c r="I16" s="200"/>
      <c r="J16" s="337">
        <v>15</v>
      </c>
      <c r="K16" s="338">
        <f t="shared" si="1"/>
        <v>100</v>
      </c>
      <c r="L16" s="338">
        <f t="shared" si="1"/>
        <v>0</v>
      </c>
      <c r="M16" s="338">
        <f t="shared" si="1"/>
        <v>0</v>
      </c>
      <c r="N16" s="339">
        <f t="shared" si="2"/>
        <v>100</v>
      </c>
      <c r="O16" s="340">
        <v>48.6</v>
      </c>
      <c r="P16" s="338"/>
      <c r="Q16" s="338"/>
      <c r="R16" s="341">
        <f t="shared" si="3"/>
        <v>48.6</v>
      </c>
      <c r="S16" s="334">
        <v>4</v>
      </c>
      <c r="T16" s="357"/>
      <c r="V16" s="343" t="s">
        <v>566</v>
      </c>
      <c r="W16" s="334" t="s">
        <v>22</v>
      </c>
      <c r="X16" s="334" t="s">
        <v>11</v>
      </c>
      <c r="Y16" s="344">
        <v>48.6</v>
      </c>
      <c r="AD16" s="343"/>
      <c r="AG16" s="344"/>
      <c r="AL16" s="343"/>
      <c r="AO16" s="344"/>
      <c r="AP16" s="343"/>
      <c r="AS16" s="344"/>
      <c r="AW16" s="344"/>
      <c r="BA16" s="345"/>
    </row>
    <row r="17" spans="1:53" s="334" customFormat="1" x14ac:dyDescent="0.15">
      <c r="A17" s="386">
        <v>1964</v>
      </c>
      <c r="B17" s="355"/>
      <c r="C17" s="812" t="s">
        <v>755</v>
      </c>
      <c r="D17" s="812"/>
      <c r="E17" s="334">
        <v>366</v>
      </c>
      <c r="G17" s="336">
        <v>15</v>
      </c>
      <c r="H17" s="453"/>
      <c r="I17" s="200"/>
      <c r="J17" s="337">
        <v>15</v>
      </c>
      <c r="K17" s="338">
        <f t="shared" si="1"/>
        <v>100</v>
      </c>
      <c r="L17" s="338">
        <f t="shared" si="1"/>
        <v>0</v>
      </c>
      <c r="M17" s="338">
        <f t="shared" si="1"/>
        <v>0</v>
      </c>
      <c r="N17" s="339">
        <f t="shared" si="2"/>
        <v>100</v>
      </c>
      <c r="O17" s="340">
        <v>48.6</v>
      </c>
      <c r="P17" s="338"/>
      <c r="Q17" s="338"/>
      <c r="R17" s="341">
        <f t="shared" si="3"/>
        <v>48.6</v>
      </c>
      <c r="S17" s="334">
        <v>4</v>
      </c>
      <c r="T17" s="357"/>
      <c r="V17" s="343" t="s">
        <v>566</v>
      </c>
      <c r="W17" s="334" t="s">
        <v>22</v>
      </c>
      <c r="X17" s="334" t="s">
        <v>11</v>
      </c>
      <c r="Y17" s="344">
        <v>48.6</v>
      </c>
      <c r="AD17" s="343"/>
      <c r="AG17" s="344"/>
      <c r="AL17" s="343"/>
      <c r="AO17" s="344"/>
      <c r="AP17" s="343"/>
      <c r="AS17" s="344"/>
      <c r="AW17" s="344"/>
      <c r="BA17" s="345"/>
    </row>
    <row r="18" spans="1:53" s="334" customFormat="1" x14ac:dyDescent="0.15">
      <c r="A18" s="386">
        <v>1965</v>
      </c>
      <c r="B18" s="355"/>
      <c r="C18" s="812" t="s">
        <v>755</v>
      </c>
      <c r="D18" s="812"/>
      <c r="E18" s="334">
        <v>90</v>
      </c>
      <c r="G18" s="336">
        <v>15</v>
      </c>
      <c r="H18" s="453"/>
      <c r="I18" s="200"/>
      <c r="J18" s="337">
        <v>15</v>
      </c>
      <c r="K18" s="338">
        <f t="shared" si="1"/>
        <v>100</v>
      </c>
      <c r="L18" s="338">
        <f t="shared" si="1"/>
        <v>0</v>
      </c>
      <c r="M18" s="338">
        <f t="shared" si="1"/>
        <v>0</v>
      </c>
      <c r="N18" s="339">
        <f t="shared" si="2"/>
        <v>100</v>
      </c>
      <c r="O18" s="340">
        <v>48.6</v>
      </c>
      <c r="P18" s="338"/>
      <c r="Q18" s="338"/>
      <c r="R18" s="341">
        <f t="shared" si="3"/>
        <v>48.6</v>
      </c>
      <c r="S18" s="334">
        <v>4</v>
      </c>
      <c r="T18" s="357"/>
      <c r="V18" s="343" t="s">
        <v>566</v>
      </c>
      <c r="W18" s="334" t="s">
        <v>22</v>
      </c>
      <c r="X18" s="334" t="s">
        <v>11</v>
      </c>
      <c r="Y18" s="344">
        <v>48.6</v>
      </c>
      <c r="AD18" s="343"/>
      <c r="AG18" s="344"/>
      <c r="AL18" s="343"/>
      <c r="AO18" s="344"/>
      <c r="AP18" s="343"/>
      <c r="AS18" s="344"/>
      <c r="AW18" s="344"/>
      <c r="BA18" s="345"/>
    </row>
    <row r="19" spans="1:53" s="73" customFormat="1" x14ac:dyDescent="0.15">
      <c r="A19" s="102">
        <v>1965</v>
      </c>
      <c r="B19" s="85">
        <v>23833</v>
      </c>
      <c r="C19" s="811" t="s">
        <v>756</v>
      </c>
      <c r="D19" s="811"/>
      <c r="E19" s="73">
        <f>365-E18</f>
        <v>275</v>
      </c>
      <c r="F19" s="73">
        <v>1</v>
      </c>
      <c r="G19" s="74">
        <v>15</v>
      </c>
      <c r="H19" s="175"/>
      <c r="I19" s="75"/>
      <c r="J19" s="76">
        <v>15</v>
      </c>
      <c r="K19" s="77">
        <f t="shared" si="1"/>
        <v>100</v>
      </c>
      <c r="L19" s="77">
        <f t="shared" si="1"/>
        <v>0</v>
      </c>
      <c r="M19" s="77">
        <f t="shared" si="1"/>
        <v>0</v>
      </c>
      <c r="N19" s="78">
        <f t="shared" si="2"/>
        <v>100</v>
      </c>
      <c r="O19" s="79">
        <v>50</v>
      </c>
      <c r="P19" s="77"/>
      <c r="Q19" s="77"/>
      <c r="R19" s="80">
        <f t="shared" si="3"/>
        <v>50</v>
      </c>
      <c r="S19" s="73">
        <v>4</v>
      </c>
      <c r="T19" s="95">
        <v>23839</v>
      </c>
      <c r="U19" s="85">
        <v>23853</v>
      </c>
      <c r="V19" s="82" t="s">
        <v>566</v>
      </c>
      <c r="W19" s="73" t="s">
        <v>22</v>
      </c>
      <c r="X19" s="73" t="s">
        <v>11</v>
      </c>
      <c r="Y19" s="83">
        <v>50</v>
      </c>
      <c r="AD19" s="82"/>
      <c r="AG19" s="83"/>
      <c r="AL19" s="82"/>
      <c r="AO19" s="83"/>
      <c r="AP19" s="82"/>
      <c r="AS19" s="83"/>
      <c r="AW19" s="83"/>
      <c r="BA19" s="84"/>
    </row>
    <row r="20" spans="1:53" s="73" customFormat="1" x14ac:dyDescent="0.15">
      <c r="A20" s="102">
        <v>1966</v>
      </c>
      <c r="B20" s="85"/>
      <c r="C20" s="811" t="s">
        <v>756</v>
      </c>
      <c r="D20" s="811"/>
      <c r="E20" s="73">
        <v>313</v>
      </c>
      <c r="G20" s="74">
        <v>15</v>
      </c>
      <c r="H20" s="175"/>
      <c r="I20" s="75"/>
      <c r="J20" s="76">
        <v>15</v>
      </c>
      <c r="K20" s="77">
        <f t="shared" si="1"/>
        <v>100</v>
      </c>
      <c r="L20" s="77">
        <f t="shared" si="1"/>
        <v>0</v>
      </c>
      <c r="M20" s="77">
        <f t="shared" si="1"/>
        <v>0</v>
      </c>
      <c r="N20" s="78">
        <f t="shared" si="2"/>
        <v>100</v>
      </c>
      <c r="O20" s="79">
        <v>50</v>
      </c>
      <c r="P20" s="77"/>
      <c r="Q20" s="77"/>
      <c r="R20" s="80">
        <f t="shared" si="3"/>
        <v>50</v>
      </c>
      <c r="S20" s="73">
        <v>4</v>
      </c>
      <c r="T20" s="81"/>
      <c r="V20" s="82" t="s">
        <v>566</v>
      </c>
      <c r="W20" s="73" t="s">
        <v>22</v>
      </c>
      <c r="X20" s="73" t="s">
        <v>11</v>
      </c>
      <c r="Y20" s="83">
        <v>50</v>
      </c>
      <c r="AD20" s="82"/>
      <c r="AG20" s="83"/>
      <c r="AL20" s="82"/>
      <c r="AO20" s="83"/>
      <c r="AP20" s="82"/>
      <c r="AS20" s="83"/>
      <c r="AW20" s="83"/>
      <c r="BA20" s="84"/>
    </row>
    <row r="21" spans="1:53" s="334" customFormat="1" x14ac:dyDescent="0.15">
      <c r="A21" s="386">
        <v>1966</v>
      </c>
      <c r="B21" s="355">
        <v>24421</v>
      </c>
      <c r="C21" s="812" t="s">
        <v>757</v>
      </c>
      <c r="D21" s="812"/>
      <c r="E21" s="334">
        <f>365-E20</f>
        <v>52</v>
      </c>
      <c r="F21" s="334">
        <v>3</v>
      </c>
      <c r="G21" s="336">
        <v>15</v>
      </c>
      <c r="H21" s="453"/>
      <c r="I21" s="200"/>
      <c r="J21" s="337">
        <v>15</v>
      </c>
      <c r="K21" s="338">
        <f t="shared" si="1"/>
        <v>100</v>
      </c>
      <c r="L21" s="338">
        <f t="shared" si="1"/>
        <v>0</v>
      </c>
      <c r="M21" s="338">
        <f t="shared" si="1"/>
        <v>0</v>
      </c>
      <c r="N21" s="339">
        <f t="shared" si="2"/>
        <v>100</v>
      </c>
      <c r="O21" s="340">
        <v>50</v>
      </c>
      <c r="P21" s="338"/>
      <c r="Q21" s="338"/>
      <c r="R21" s="341">
        <f t="shared" si="3"/>
        <v>50</v>
      </c>
      <c r="S21" s="334">
        <v>4</v>
      </c>
      <c r="T21" s="357"/>
      <c r="U21" s="355">
        <v>24421</v>
      </c>
      <c r="V21" s="343" t="s">
        <v>566</v>
      </c>
      <c r="W21" s="334" t="s">
        <v>22</v>
      </c>
      <c r="X21" s="334" t="s">
        <v>11</v>
      </c>
      <c r="Y21" s="344">
        <v>50</v>
      </c>
      <c r="AD21" s="343"/>
      <c r="AG21" s="344"/>
      <c r="AL21" s="343"/>
      <c r="AO21" s="344"/>
      <c r="AP21" s="343"/>
      <c r="AS21" s="344"/>
      <c r="AW21" s="344"/>
      <c r="BA21" s="345"/>
    </row>
    <row r="22" spans="1:53" s="334" customFormat="1" x14ac:dyDescent="0.15">
      <c r="A22" s="386">
        <v>1967</v>
      </c>
      <c r="B22" s="355"/>
      <c r="C22" s="812" t="s">
        <v>757</v>
      </c>
      <c r="D22" s="812"/>
      <c r="E22" s="334">
        <v>0</v>
      </c>
      <c r="G22" s="336">
        <v>15</v>
      </c>
      <c r="H22" s="453"/>
      <c r="I22" s="200"/>
      <c r="J22" s="337">
        <v>15</v>
      </c>
      <c r="K22" s="338">
        <f t="shared" si="1"/>
        <v>100</v>
      </c>
      <c r="L22" s="338">
        <f t="shared" si="1"/>
        <v>0</v>
      </c>
      <c r="M22" s="338">
        <f t="shared" si="1"/>
        <v>0</v>
      </c>
      <c r="N22" s="339">
        <f t="shared" si="2"/>
        <v>100</v>
      </c>
      <c r="O22" s="340">
        <v>50</v>
      </c>
      <c r="P22" s="338"/>
      <c r="Q22" s="338"/>
      <c r="R22" s="341">
        <f t="shared" si="3"/>
        <v>50</v>
      </c>
      <c r="S22" s="334">
        <v>4</v>
      </c>
      <c r="T22" s="357"/>
      <c r="V22" s="343" t="s">
        <v>566</v>
      </c>
      <c r="W22" s="334" t="s">
        <v>22</v>
      </c>
      <c r="X22" s="334" t="s">
        <v>11</v>
      </c>
      <c r="Y22" s="344">
        <v>50</v>
      </c>
      <c r="AD22" s="343"/>
      <c r="AG22" s="344"/>
      <c r="AL22" s="343"/>
      <c r="AO22" s="344"/>
      <c r="AP22" s="343"/>
      <c r="AS22" s="344"/>
      <c r="AW22" s="344"/>
      <c r="BA22" s="345"/>
    </row>
    <row r="23" spans="1:53" s="334" customFormat="1" x14ac:dyDescent="0.15">
      <c r="A23" s="386">
        <v>1967</v>
      </c>
      <c r="B23" s="355"/>
      <c r="C23" s="812" t="s">
        <v>757</v>
      </c>
      <c r="D23" s="812"/>
      <c r="E23" s="334">
        <v>365</v>
      </c>
      <c r="G23" s="336">
        <v>15</v>
      </c>
      <c r="H23" s="453"/>
      <c r="I23" s="200"/>
      <c r="J23" s="337">
        <v>15</v>
      </c>
      <c r="K23" s="338">
        <f t="shared" si="1"/>
        <v>100</v>
      </c>
      <c r="L23" s="338">
        <f t="shared" si="1"/>
        <v>0</v>
      </c>
      <c r="M23" s="338">
        <f t="shared" si="1"/>
        <v>0</v>
      </c>
      <c r="N23" s="339">
        <f t="shared" si="2"/>
        <v>100</v>
      </c>
      <c r="O23" s="340">
        <v>50</v>
      </c>
      <c r="P23" s="338"/>
      <c r="Q23" s="338"/>
      <c r="R23" s="341">
        <f t="shared" si="3"/>
        <v>50</v>
      </c>
      <c r="S23" s="334">
        <v>4</v>
      </c>
      <c r="T23" s="357"/>
      <c r="V23" s="343" t="s">
        <v>566</v>
      </c>
      <c r="W23" s="334" t="s">
        <v>22</v>
      </c>
      <c r="X23" s="334" t="s">
        <v>11</v>
      </c>
      <c r="Y23" s="344">
        <v>50</v>
      </c>
      <c r="AD23" s="343"/>
      <c r="AG23" s="344"/>
      <c r="AL23" s="343"/>
      <c r="AO23" s="344"/>
      <c r="AP23" s="343"/>
      <c r="AS23" s="344"/>
      <c r="AW23" s="344"/>
      <c r="BA23" s="345"/>
    </row>
    <row r="24" spans="1:53" s="334" customFormat="1" x14ac:dyDescent="0.15">
      <c r="A24" s="386">
        <v>1968</v>
      </c>
      <c r="B24" s="355"/>
      <c r="C24" s="812" t="s">
        <v>757</v>
      </c>
      <c r="D24" s="812"/>
      <c r="E24" s="334">
        <v>0</v>
      </c>
      <c r="G24" s="336">
        <v>15</v>
      </c>
      <c r="H24" s="453"/>
      <c r="I24" s="200"/>
      <c r="J24" s="337">
        <v>15</v>
      </c>
      <c r="K24" s="338">
        <f t="shared" si="1"/>
        <v>100</v>
      </c>
      <c r="L24" s="338">
        <f t="shared" si="1"/>
        <v>0</v>
      </c>
      <c r="M24" s="338">
        <f t="shared" si="1"/>
        <v>0</v>
      </c>
      <c r="N24" s="339">
        <f t="shared" si="2"/>
        <v>100</v>
      </c>
      <c r="O24" s="340">
        <v>50</v>
      </c>
      <c r="P24" s="338"/>
      <c r="Q24" s="338"/>
      <c r="R24" s="341">
        <f t="shared" si="3"/>
        <v>50</v>
      </c>
      <c r="S24" s="334">
        <v>4</v>
      </c>
      <c r="T24" s="357"/>
      <c r="V24" s="343" t="s">
        <v>566</v>
      </c>
      <c r="W24" s="334" t="s">
        <v>22</v>
      </c>
      <c r="X24" s="334" t="s">
        <v>11</v>
      </c>
      <c r="Y24" s="344">
        <v>50</v>
      </c>
      <c r="AD24" s="343"/>
      <c r="AG24" s="344"/>
      <c r="AL24" s="343"/>
      <c r="AO24" s="344"/>
      <c r="AP24" s="343"/>
      <c r="AS24" s="344"/>
      <c r="AW24" s="344"/>
      <c r="BA24" s="345"/>
    </row>
    <row r="25" spans="1:53" s="334" customFormat="1" x14ac:dyDescent="0.15">
      <c r="A25" s="386">
        <v>1968</v>
      </c>
      <c r="B25" s="355"/>
      <c r="C25" s="812" t="s">
        <v>757</v>
      </c>
      <c r="D25" s="812"/>
      <c r="E25" s="334">
        <v>366</v>
      </c>
      <c r="G25" s="336">
        <v>15</v>
      </c>
      <c r="H25" s="453"/>
      <c r="I25" s="200"/>
      <c r="J25" s="337">
        <v>15</v>
      </c>
      <c r="K25" s="338">
        <f t="shared" si="1"/>
        <v>100</v>
      </c>
      <c r="L25" s="338">
        <f t="shared" si="1"/>
        <v>0</v>
      </c>
      <c r="M25" s="338">
        <f t="shared" si="1"/>
        <v>0</v>
      </c>
      <c r="N25" s="339">
        <f t="shared" si="2"/>
        <v>100</v>
      </c>
      <c r="O25" s="340">
        <v>50</v>
      </c>
      <c r="P25" s="338"/>
      <c r="Q25" s="338"/>
      <c r="R25" s="341">
        <f t="shared" si="3"/>
        <v>50</v>
      </c>
      <c r="S25" s="334">
        <v>4</v>
      </c>
      <c r="T25" s="357"/>
      <c r="V25" s="343" t="s">
        <v>566</v>
      </c>
      <c r="W25" s="334" t="s">
        <v>22</v>
      </c>
      <c r="X25" s="334" t="s">
        <v>11</v>
      </c>
      <c r="Y25" s="344">
        <v>50</v>
      </c>
      <c r="AD25" s="343"/>
      <c r="AG25" s="344"/>
      <c r="AL25" s="343"/>
      <c r="AO25" s="344"/>
      <c r="AP25" s="343"/>
      <c r="AS25" s="344"/>
      <c r="AW25" s="344"/>
      <c r="BA25" s="345"/>
    </row>
    <row r="26" spans="1:53" s="334" customFormat="1" x14ac:dyDescent="0.15">
      <c r="A26" s="386">
        <v>1969</v>
      </c>
      <c r="B26" s="355"/>
      <c r="C26" s="812" t="s">
        <v>757</v>
      </c>
      <c r="D26" s="812"/>
      <c r="E26" s="334">
        <v>182</v>
      </c>
      <c r="G26" s="336">
        <v>15</v>
      </c>
      <c r="H26" s="453"/>
      <c r="I26" s="200"/>
      <c r="J26" s="337">
        <v>15</v>
      </c>
      <c r="K26" s="338">
        <f t="shared" si="1"/>
        <v>100</v>
      </c>
      <c r="L26" s="338">
        <f t="shared" si="1"/>
        <v>0</v>
      </c>
      <c r="M26" s="338">
        <f t="shared" si="1"/>
        <v>0</v>
      </c>
      <c r="N26" s="339">
        <f t="shared" si="2"/>
        <v>100</v>
      </c>
      <c r="O26" s="340">
        <v>50</v>
      </c>
      <c r="P26" s="338"/>
      <c r="Q26" s="338"/>
      <c r="R26" s="341">
        <f t="shared" si="3"/>
        <v>50</v>
      </c>
      <c r="S26" s="334">
        <v>4</v>
      </c>
      <c r="T26" s="357"/>
      <c r="V26" s="343" t="s">
        <v>566</v>
      </c>
      <c r="W26" s="334" t="s">
        <v>22</v>
      </c>
      <c r="X26" s="334" t="s">
        <v>11</v>
      </c>
      <c r="Y26" s="344">
        <v>50</v>
      </c>
      <c r="AD26" s="343"/>
      <c r="AG26" s="344"/>
      <c r="AL26" s="343"/>
      <c r="AO26" s="344"/>
      <c r="AP26" s="343"/>
      <c r="AS26" s="344"/>
      <c r="AW26" s="344"/>
      <c r="BA26" s="345"/>
    </row>
    <row r="27" spans="1:53" s="73" customFormat="1" x14ac:dyDescent="0.15">
      <c r="A27" s="102">
        <v>1968.5428571428599</v>
      </c>
      <c r="B27" s="85">
        <v>25386</v>
      </c>
      <c r="C27" s="811" t="s">
        <v>758</v>
      </c>
      <c r="D27" s="811"/>
      <c r="E27" s="73">
        <f>365-E26</f>
        <v>183</v>
      </c>
      <c r="F27" s="73">
        <v>1</v>
      </c>
      <c r="G27" s="74">
        <v>15</v>
      </c>
      <c r="H27" s="175"/>
      <c r="I27" s="75"/>
      <c r="J27" s="76">
        <v>15</v>
      </c>
      <c r="K27" s="77">
        <f t="shared" si="1"/>
        <v>100</v>
      </c>
      <c r="L27" s="77">
        <f t="shared" si="1"/>
        <v>0</v>
      </c>
      <c r="M27" s="77">
        <f t="shared" si="1"/>
        <v>0</v>
      </c>
      <c r="N27" s="78">
        <f t="shared" si="2"/>
        <v>100</v>
      </c>
      <c r="O27" s="79">
        <v>52.1</v>
      </c>
      <c r="P27" s="77"/>
      <c r="Q27" s="77"/>
      <c r="R27" s="80">
        <f t="shared" si="3"/>
        <v>52.1</v>
      </c>
      <c r="S27" s="73">
        <v>1</v>
      </c>
      <c r="T27" s="95">
        <v>25370</v>
      </c>
      <c r="U27" s="85">
        <v>25386</v>
      </c>
      <c r="V27" s="82" t="s">
        <v>566</v>
      </c>
      <c r="W27" s="73" t="s">
        <v>22</v>
      </c>
      <c r="X27" s="73" t="s">
        <v>11</v>
      </c>
      <c r="Y27" s="83">
        <v>52.1</v>
      </c>
      <c r="AD27" s="82"/>
      <c r="AG27" s="83"/>
      <c r="AL27" s="82"/>
      <c r="AO27" s="83"/>
      <c r="AP27" s="82"/>
      <c r="AS27" s="83"/>
      <c r="AW27" s="83"/>
      <c r="BA27" s="84"/>
    </row>
    <row r="28" spans="1:53" s="73" customFormat="1" x14ac:dyDescent="0.15">
      <c r="A28" s="102">
        <v>1970</v>
      </c>
      <c r="B28" s="85"/>
      <c r="C28" s="811" t="s">
        <v>758</v>
      </c>
      <c r="D28" s="811"/>
      <c r="E28" s="73">
        <v>0</v>
      </c>
      <c r="G28" s="74">
        <v>15</v>
      </c>
      <c r="H28" s="175"/>
      <c r="I28" s="75"/>
      <c r="J28" s="76">
        <v>15</v>
      </c>
      <c r="K28" s="77">
        <f t="shared" si="1"/>
        <v>100</v>
      </c>
      <c r="L28" s="77">
        <f t="shared" si="1"/>
        <v>0</v>
      </c>
      <c r="M28" s="77">
        <f t="shared" si="1"/>
        <v>0</v>
      </c>
      <c r="N28" s="78">
        <f t="shared" si="2"/>
        <v>100</v>
      </c>
      <c r="O28" s="79">
        <v>52.1</v>
      </c>
      <c r="P28" s="77"/>
      <c r="Q28" s="77"/>
      <c r="R28" s="80">
        <f t="shared" si="3"/>
        <v>52.1</v>
      </c>
      <c r="S28" s="73">
        <v>1</v>
      </c>
      <c r="T28" s="81"/>
      <c r="V28" s="82" t="s">
        <v>566</v>
      </c>
      <c r="W28" s="73" t="s">
        <v>22</v>
      </c>
      <c r="X28" s="73" t="s">
        <v>11</v>
      </c>
      <c r="Y28" s="83">
        <v>52.1</v>
      </c>
      <c r="AD28" s="82"/>
      <c r="AG28" s="83"/>
      <c r="AL28" s="82"/>
      <c r="AO28" s="83"/>
      <c r="AP28" s="82"/>
      <c r="AS28" s="83"/>
      <c r="AW28" s="83"/>
      <c r="BA28" s="84"/>
    </row>
    <row r="29" spans="1:53" s="73" customFormat="1" x14ac:dyDescent="0.15">
      <c r="A29" s="102">
        <v>1970</v>
      </c>
      <c r="B29" s="85"/>
      <c r="C29" s="811" t="s">
        <v>758</v>
      </c>
      <c r="D29" s="811"/>
      <c r="E29" s="73">
        <v>365</v>
      </c>
      <c r="G29" s="74">
        <v>15</v>
      </c>
      <c r="H29" s="175"/>
      <c r="I29" s="75"/>
      <c r="J29" s="76">
        <v>15</v>
      </c>
      <c r="K29" s="77">
        <f t="shared" si="1"/>
        <v>100</v>
      </c>
      <c r="L29" s="77">
        <f t="shared" si="1"/>
        <v>0</v>
      </c>
      <c r="M29" s="77">
        <f t="shared" si="1"/>
        <v>0</v>
      </c>
      <c r="N29" s="78">
        <f t="shared" si="2"/>
        <v>100</v>
      </c>
      <c r="O29" s="79">
        <v>52.1</v>
      </c>
      <c r="P29" s="77"/>
      <c r="Q29" s="77"/>
      <c r="R29" s="80">
        <f t="shared" si="3"/>
        <v>52.1</v>
      </c>
      <c r="S29" s="73">
        <v>1</v>
      </c>
      <c r="T29" s="81"/>
      <c r="V29" s="82" t="s">
        <v>566</v>
      </c>
      <c r="W29" s="73" t="s">
        <v>22</v>
      </c>
      <c r="X29" s="73" t="s">
        <v>11</v>
      </c>
      <c r="Y29" s="83">
        <v>52.1</v>
      </c>
      <c r="AD29" s="82"/>
      <c r="AG29" s="83"/>
      <c r="AL29" s="82"/>
      <c r="AO29" s="83"/>
      <c r="AP29" s="82"/>
      <c r="AS29" s="83"/>
      <c r="AW29" s="83"/>
      <c r="BA29" s="84"/>
    </row>
    <row r="30" spans="1:53" s="73" customFormat="1" x14ac:dyDescent="0.15">
      <c r="A30" s="102">
        <v>1971</v>
      </c>
      <c r="B30" s="85"/>
      <c r="C30" s="811" t="s">
        <v>758</v>
      </c>
      <c r="D30" s="811"/>
      <c r="E30" s="73">
        <v>0</v>
      </c>
      <c r="G30" s="74">
        <v>15</v>
      </c>
      <c r="H30" s="175"/>
      <c r="I30" s="75"/>
      <c r="J30" s="76">
        <v>15</v>
      </c>
      <c r="K30" s="77">
        <f t="shared" si="1"/>
        <v>100</v>
      </c>
      <c r="L30" s="77">
        <f t="shared" si="1"/>
        <v>0</v>
      </c>
      <c r="M30" s="77">
        <f t="shared" si="1"/>
        <v>0</v>
      </c>
      <c r="N30" s="78">
        <f t="shared" si="2"/>
        <v>100</v>
      </c>
      <c r="O30" s="79">
        <v>52.1</v>
      </c>
      <c r="P30" s="77"/>
      <c r="Q30" s="77"/>
      <c r="R30" s="80">
        <f t="shared" si="3"/>
        <v>52.1</v>
      </c>
      <c r="S30" s="73">
        <v>1</v>
      </c>
      <c r="T30" s="81"/>
      <c r="V30" s="82" t="s">
        <v>566</v>
      </c>
      <c r="W30" s="73" t="s">
        <v>22</v>
      </c>
      <c r="X30" s="73" t="s">
        <v>11</v>
      </c>
      <c r="Y30" s="83">
        <v>52.1</v>
      </c>
      <c r="AD30" s="82"/>
      <c r="AG30" s="83"/>
      <c r="AL30" s="82"/>
      <c r="AO30" s="83"/>
      <c r="AP30" s="82"/>
      <c r="AS30" s="83"/>
      <c r="AW30" s="83"/>
      <c r="BA30" s="84"/>
    </row>
    <row r="31" spans="1:53" s="73" customFormat="1" x14ac:dyDescent="0.15">
      <c r="A31" s="102">
        <v>1971</v>
      </c>
      <c r="B31" s="85"/>
      <c r="C31" s="811" t="s">
        <v>758</v>
      </c>
      <c r="D31" s="811"/>
      <c r="E31" s="73">
        <v>365</v>
      </c>
      <c r="G31" s="74">
        <v>15</v>
      </c>
      <c r="H31" s="175"/>
      <c r="I31" s="75"/>
      <c r="J31" s="76">
        <v>15</v>
      </c>
      <c r="K31" s="77">
        <f t="shared" si="1"/>
        <v>100</v>
      </c>
      <c r="L31" s="77">
        <f t="shared" si="1"/>
        <v>0</v>
      </c>
      <c r="M31" s="77">
        <f t="shared" si="1"/>
        <v>0</v>
      </c>
      <c r="N31" s="78">
        <f t="shared" si="2"/>
        <v>100</v>
      </c>
      <c r="O31" s="79">
        <v>52.1</v>
      </c>
      <c r="P31" s="77"/>
      <c r="Q31" s="77"/>
      <c r="R31" s="80">
        <f t="shared" si="3"/>
        <v>52.1</v>
      </c>
      <c r="S31" s="73">
        <v>1</v>
      </c>
      <c r="T31" s="81"/>
      <c r="V31" s="82" t="s">
        <v>566</v>
      </c>
      <c r="W31" s="73" t="s">
        <v>22</v>
      </c>
      <c r="X31" s="73" t="s">
        <v>11</v>
      </c>
      <c r="Y31" s="83">
        <v>52.1</v>
      </c>
      <c r="AD31" s="82"/>
      <c r="AG31" s="83"/>
      <c r="AL31" s="82"/>
      <c r="AO31" s="83"/>
      <c r="AP31" s="82"/>
      <c r="AS31" s="83"/>
      <c r="AW31" s="83"/>
      <c r="BA31" s="84"/>
    </row>
    <row r="32" spans="1:53" s="73" customFormat="1" x14ac:dyDescent="0.15">
      <c r="A32" s="102">
        <v>1972</v>
      </c>
      <c r="B32" s="85"/>
      <c r="C32" s="811" t="s">
        <v>758</v>
      </c>
      <c r="D32" s="811"/>
      <c r="E32" s="73">
        <v>0</v>
      </c>
      <c r="G32" s="74">
        <v>15</v>
      </c>
      <c r="H32" s="175"/>
      <c r="I32" s="75"/>
      <c r="J32" s="76">
        <v>15</v>
      </c>
      <c r="K32" s="77">
        <f t="shared" si="1"/>
        <v>100</v>
      </c>
      <c r="L32" s="77">
        <f t="shared" si="1"/>
        <v>0</v>
      </c>
      <c r="M32" s="77">
        <f t="shared" si="1"/>
        <v>0</v>
      </c>
      <c r="N32" s="78">
        <f t="shared" si="2"/>
        <v>100</v>
      </c>
      <c r="O32" s="79">
        <v>52.1</v>
      </c>
      <c r="P32" s="77"/>
      <c r="Q32" s="77"/>
      <c r="R32" s="80">
        <f t="shared" si="3"/>
        <v>52.1</v>
      </c>
      <c r="S32" s="73">
        <v>1</v>
      </c>
      <c r="T32" s="81"/>
      <c r="V32" s="82" t="s">
        <v>566</v>
      </c>
      <c r="W32" s="73" t="s">
        <v>22</v>
      </c>
      <c r="X32" s="73" t="s">
        <v>11</v>
      </c>
      <c r="Y32" s="83">
        <v>52.1</v>
      </c>
      <c r="AD32" s="82"/>
      <c r="AG32" s="83"/>
      <c r="AL32" s="82"/>
      <c r="AO32" s="83"/>
      <c r="AP32" s="82"/>
      <c r="AS32" s="83"/>
      <c r="AW32" s="83"/>
      <c r="BA32" s="84"/>
    </row>
    <row r="33" spans="1:53" s="73" customFormat="1" x14ac:dyDescent="0.15">
      <c r="A33" s="102">
        <v>1972</v>
      </c>
      <c r="B33" s="85"/>
      <c r="C33" s="811" t="s">
        <v>758</v>
      </c>
      <c r="D33" s="811"/>
      <c r="E33" s="73">
        <v>366</v>
      </c>
      <c r="G33" s="74">
        <v>15</v>
      </c>
      <c r="H33" s="175"/>
      <c r="I33" s="75"/>
      <c r="J33" s="76">
        <v>15</v>
      </c>
      <c r="K33" s="77">
        <f t="shared" si="1"/>
        <v>100</v>
      </c>
      <c r="L33" s="77">
        <f t="shared" si="1"/>
        <v>0</v>
      </c>
      <c r="M33" s="77">
        <f t="shared" si="1"/>
        <v>0</v>
      </c>
      <c r="N33" s="78">
        <f t="shared" si="2"/>
        <v>100</v>
      </c>
      <c r="O33" s="79">
        <v>52.1</v>
      </c>
      <c r="P33" s="77"/>
      <c r="Q33" s="77"/>
      <c r="R33" s="80">
        <f t="shared" si="3"/>
        <v>52.1</v>
      </c>
      <c r="S33" s="73">
        <v>1</v>
      </c>
      <c r="T33" s="81"/>
      <c r="V33" s="82" t="s">
        <v>566</v>
      </c>
      <c r="W33" s="73" t="s">
        <v>22</v>
      </c>
      <c r="X33" s="73" t="s">
        <v>11</v>
      </c>
      <c r="Y33" s="83">
        <v>52.1</v>
      </c>
      <c r="AD33" s="82"/>
      <c r="AG33" s="83"/>
      <c r="AL33" s="82"/>
      <c r="AO33" s="83"/>
      <c r="AP33" s="82"/>
      <c r="AS33" s="83"/>
      <c r="AW33" s="83"/>
      <c r="BA33" s="84"/>
    </row>
    <row r="34" spans="1:53" s="73" customFormat="1" x14ac:dyDescent="0.15">
      <c r="A34" s="102">
        <v>1973</v>
      </c>
      <c r="B34" s="85"/>
      <c r="C34" s="811" t="s">
        <v>758</v>
      </c>
      <c r="D34" s="811"/>
      <c r="E34" s="73">
        <v>72</v>
      </c>
      <c r="G34" s="74">
        <v>15</v>
      </c>
      <c r="H34" s="175"/>
      <c r="I34" s="75"/>
      <c r="J34" s="76">
        <v>15</v>
      </c>
      <c r="K34" s="77">
        <f t="shared" si="1"/>
        <v>100</v>
      </c>
      <c r="L34" s="77">
        <f t="shared" si="1"/>
        <v>0</v>
      </c>
      <c r="M34" s="77">
        <f t="shared" si="1"/>
        <v>0</v>
      </c>
      <c r="N34" s="78">
        <f t="shared" si="2"/>
        <v>100</v>
      </c>
      <c r="O34" s="79">
        <v>52.1</v>
      </c>
      <c r="P34" s="77"/>
      <c r="Q34" s="77"/>
      <c r="R34" s="80">
        <f t="shared" si="3"/>
        <v>52.1</v>
      </c>
      <c r="S34" s="73">
        <v>1</v>
      </c>
      <c r="T34" s="81"/>
      <c r="V34" s="82" t="s">
        <v>566</v>
      </c>
      <c r="W34" s="73" t="s">
        <v>22</v>
      </c>
      <c r="X34" s="73" t="s">
        <v>11</v>
      </c>
      <c r="Y34" s="83">
        <v>52.1</v>
      </c>
      <c r="AD34" s="82"/>
      <c r="AG34" s="83"/>
      <c r="AL34" s="82"/>
      <c r="AO34" s="83"/>
      <c r="AP34" s="82"/>
      <c r="AS34" s="83"/>
      <c r="AW34" s="83"/>
      <c r="BA34" s="84"/>
    </row>
    <row r="35" spans="1:53" s="334" customFormat="1" x14ac:dyDescent="0.15">
      <c r="A35" s="386">
        <v>1973</v>
      </c>
      <c r="B35" s="355">
        <v>26737</v>
      </c>
      <c r="C35" s="812" t="s">
        <v>759</v>
      </c>
      <c r="D35" s="812"/>
      <c r="E35" s="334">
        <f>365-E34</f>
        <v>293</v>
      </c>
      <c r="F35" s="334">
        <v>1</v>
      </c>
      <c r="G35" s="336"/>
      <c r="H35" s="454">
        <v>11</v>
      </c>
      <c r="I35" s="200">
        <v>5</v>
      </c>
      <c r="J35" s="337">
        <v>16</v>
      </c>
      <c r="K35" s="338">
        <f t="shared" si="1"/>
        <v>0</v>
      </c>
      <c r="L35" s="338">
        <f t="shared" si="1"/>
        <v>68.75</v>
      </c>
      <c r="M35" s="338">
        <f t="shared" si="1"/>
        <v>31.25</v>
      </c>
      <c r="N35" s="339">
        <f t="shared" si="2"/>
        <v>100</v>
      </c>
      <c r="O35" s="340"/>
      <c r="P35" s="338">
        <v>37.5</v>
      </c>
      <c r="Q35" s="338">
        <v>13.2</v>
      </c>
      <c r="R35" s="341">
        <f t="shared" si="3"/>
        <v>50.7</v>
      </c>
      <c r="S35" s="334">
        <v>2</v>
      </c>
      <c r="T35" s="342">
        <v>26723</v>
      </c>
      <c r="U35" s="355">
        <v>26737</v>
      </c>
      <c r="V35" s="343" t="s">
        <v>567</v>
      </c>
      <c r="W35" s="334" t="s">
        <v>17</v>
      </c>
      <c r="X35" s="334" t="s">
        <v>18</v>
      </c>
      <c r="Y35" s="344">
        <v>37.5</v>
      </c>
      <c r="Z35" s="334" t="s">
        <v>464</v>
      </c>
      <c r="AA35" s="334" t="s">
        <v>20</v>
      </c>
      <c r="AB35" s="334" t="s">
        <v>12</v>
      </c>
      <c r="AC35" s="334">
        <v>13.2</v>
      </c>
      <c r="AD35" s="343"/>
      <c r="AG35" s="344"/>
      <c r="AL35" s="343"/>
      <c r="AO35" s="344"/>
      <c r="AP35" s="343"/>
      <c r="AS35" s="344"/>
      <c r="AW35" s="344"/>
      <c r="BA35" s="345"/>
    </row>
    <row r="36" spans="1:53" s="334" customFormat="1" x14ac:dyDescent="0.15">
      <c r="A36" s="386">
        <v>1974</v>
      </c>
      <c r="B36" s="355"/>
      <c r="C36" s="812" t="s">
        <v>759</v>
      </c>
      <c r="D36" s="812"/>
      <c r="E36" s="334">
        <v>0</v>
      </c>
      <c r="G36" s="336"/>
      <c r="H36" s="454">
        <v>11</v>
      </c>
      <c r="I36" s="200">
        <v>5</v>
      </c>
      <c r="J36" s="337">
        <v>16</v>
      </c>
      <c r="K36" s="338">
        <f t="shared" si="1"/>
        <v>0</v>
      </c>
      <c r="L36" s="338">
        <f t="shared" si="1"/>
        <v>68.75</v>
      </c>
      <c r="M36" s="338">
        <f t="shared" si="1"/>
        <v>31.25</v>
      </c>
      <c r="N36" s="339">
        <f t="shared" si="2"/>
        <v>100</v>
      </c>
      <c r="O36" s="340"/>
      <c r="P36" s="338">
        <v>37.5</v>
      </c>
      <c r="Q36" s="338">
        <v>13.2</v>
      </c>
      <c r="R36" s="341">
        <f t="shared" si="3"/>
        <v>50.7</v>
      </c>
      <c r="S36" s="334">
        <v>2</v>
      </c>
      <c r="T36" s="357"/>
      <c r="V36" s="343" t="s">
        <v>567</v>
      </c>
      <c r="W36" s="334" t="s">
        <v>17</v>
      </c>
      <c r="X36" s="334" t="s">
        <v>18</v>
      </c>
      <c r="Y36" s="344">
        <v>37.5</v>
      </c>
      <c r="Z36" s="334" t="s">
        <v>464</v>
      </c>
      <c r="AA36" s="334" t="s">
        <v>20</v>
      </c>
      <c r="AB36" s="334" t="s">
        <v>12</v>
      </c>
      <c r="AC36" s="334">
        <v>13.2</v>
      </c>
      <c r="AD36" s="343"/>
      <c r="AG36" s="344"/>
      <c r="AL36" s="343"/>
      <c r="AO36" s="344"/>
      <c r="AP36" s="343"/>
      <c r="AS36" s="344"/>
      <c r="AW36" s="344"/>
      <c r="BA36" s="345"/>
    </row>
    <row r="37" spans="1:53" s="334" customFormat="1" x14ac:dyDescent="0.15">
      <c r="A37" s="386">
        <v>1974</v>
      </c>
      <c r="B37" s="355"/>
      <c r="C37" s="812" t="s">
        <v>759</v>
      </c>
      <c r="D37" s="812"/>
      <c r="E37" s="334">
        <v>365</v>
      </c>
      <c r="G37" s="336"/>
      <c r="H37" s="454">
        <v>11</v>
      </c>
      <c r="I37" s="200">
        <v>5</v>
      </c>
      <c r="J37" s="337">
        <v>16</v>
      </c>
      <c r="K37" s="338">
        <f t="shared" si="1"/>
        <v>0</v>
      </c>
      <c r="L37" s="338">
        <f t="shared" si="1"/>
        <v>68.75</v>
      </c>
      <c r="M37" s="338">
        <f t="shared" si="1"/>
        <v>31.25</v>
      </c>
      <c r="N37" s="339">
        <f t="shared" si="2"/>
        <v>100</v>
      </c>
      <c r="O37" s="340"/>
      <c r="P37" s="338">
        <v>37.5</v>
      </c>
      <c r="Q37" s="338">
        <v>13.2</v>
      </c>
      <c r="R37" s="341">
        <f t="shared" si="3"/>
        <v>50.7</v>
      </c>
      <c r="S37" s="334">
        <v>2</v>
      </c>
      <c r="T37" s="357"/>
      <c r="V37" s="343" t="s">
        <v>567</v>
      </c>
      <c r="W37" s="334" t="s">
        <v>17</v>
      </c>
      <c r="X37" s="334" t="s">
        <v>18</v>
      </c>
      <c r="Y37" s="344">
        <v>37.5</v>
      </c>
      <c r="Z37" s="334" t="s">
        <v>464</v>
      </c>
      <c r="AA37" s="334" t="s">
        <v>20</v>
      </c>
      <c r="AB37" s="334" t="s">
        <v>12</v>
      </c>
      <c r="AC37" s="334">
        <v>13.2</v>
      </c>
      <c r="AD37" s="343"/>
      <c r="AG37" s="344"/>
      <c r="AL37" s="343"/>
      <c r="AO37" s="344"/>
      <c r="AP37" s="343"/>
      <c r="AS37" s="344"/>
      <c r="AW37" s="344"/>
      <c r="BA37" s="345"/>
    </row>
    <row r="38" spans="1:53" s="334" customFormat="1" x14ac:dyDescent="0.15">
      <c r="A38" s="386">
        <v>1975</v>
      </c>
      <c r="B38" s="355"/>
      <c r="C38" s="812" t="s">
        <v>759</v>
      </c>
      <c r="D38" s="812"/>
      <c r="E38" s="334">
        <v>0</v>
      </c>
      <c r="G38" s="336"/>
      <c r="H38" s="454">
        <v>11</v>
      </c>
      <c r="I38" s="200">
        <v>5</v>
      </c>
      <c r="J38" s="337">
        <v>16</v>
      </c>
      <c r="K38" s="338">
        <f t="shared" si="1"/>
        <v>0</v>
      </c>
      <c r="L38" s="338">
        <f t="shared" si="1"/>
        <v>68.75</v>
      </c>
      <c r="M38" s="338">
        <f t="shared" si="1"/>
        <v>31.25</v>
      </c>
      <c r="N38" s="339">
        <f t="shared" si="2"/>
        <v>100</v>
      </c>
      <c r="O38" s="340"/>
      <c r="P38" s="338">
        <v>37.5</v>
      </c>
      <c r="Q38" s="338">
        <v>13.2</v>
      </c>
      <c r="R38" s="341">
        <f t="shared" si="3"/>
        <v>50.7</v>
      </c>
      <c r="S38" s="334">
        <v>2</v>
      </c>
      <c r="T38" s="357"/>
      <c r="V38" s="343" t="s">
        <v>567</v>
      </c>
      <c r="W38" s="334" t="s">
        <v>17</v>
      </c>
      <c r="X38" s="334" t="s">
        <v>18</v>
      </c>
      <c r="Y38" s="344">
        <v>37.5</v>
      </c>
      <c r="Z38" s="334" t="s">
        <v>464</v>
      </c>
      <c r="AA38" s="334" t="s">
        <v>20</v>
      </c>
      <c r="AB38" s="334" t="s">
        <v>12</v>
      </c>
      <c r="AC38" s="334">
        <v>13.2</v>
      </c>
      <c r="AD38" s="343"/>
      <c r="AG38" s="344"/>
      <c r="AL38" s="343"/>
      <c r="AO38" s="344"/>
      <c r="AP38" s="343"/>
      <c r="AS38" s="344"/>
      <c r="AW38" s="344"/>
      <c r="BA38" s="345"/>
    </row>
    <row r="39" spans="1:53" s="334" customFormat="1" x14ac:dyDescent="0.15">
      <c r="A39" s="386">
        <v>1975</v>
      </c>
      <c r="B39" s="355"/>
      <c r="C39" s="812" t="s">
        <v>759</v>
      </c>
      <c r="D39" s="812"/>
      <c r="E39" s="334">
        <v>365</v>
      </c>
      <c r="G39" s="336"/>
      <c r="H39" s="454">
        <v>11</v>
      </c>
      <c r="I39" s="200">
        <v>5</v>
      </c>
      <c r="J39" s="337">
        <v>16</v>
      </c>
      <c r="K39" s="338">
        <f t="shared" si="1"/>
        <v>0</v>
      </c>
      <c r="L39" s="338">
        <f t="shared" si="1"/>
        <v>68.75</v>
      </c>
      <c r="M39" s="338">
        <f t="shared" si="1"/>
        <v>31.25</v>
      </c>
      <c r="N39" s="339">
        <f t="shared" si="2"/>
        <v>100</v>
      </c>
      <c r="O39" s="340"/>
      <c r="P39" s="338">
        <v>37.5</v>
      </c>
      <c r="Q39" s="338">
        <v>13.2</v>
      </c>
      <c r="R39" s="341">
        <f t="shared" si="3"/>
        <v>50.7</v>
      </c>
      <c r="S39" s="334">
        <v>2</v>
      </c>
      <c r="T39" s="357"/>
      <c r="V39" s="343" t="s">
        <v>567</v>
      </c>
      <c r="W39" s="334" t="s">
        <v>17</v>
      </c>
      <c r="X39" s="334" t="s">
        <v>18</v>
      </c>
      <c r="Y39" s="344">
        <v>37.5</v>
      </c>
      <c r="Z39" s="334" t="s">
        <v>464</v>
      </c>
      <c r="AA39" s="334" t="s">
        <v>20</v>
      </c>
      <c r="AB39" s="334" t="s">
        <v>12</v>
      </c>
      <c r="AC39" s="334">
        <v>13.2</v>
      </c>
      <c r="AD39" s="343"/>
      <c r="AG39" s="344"/>
      <c r="AL39" s="343"/>
      <c r="AO39" s="344"/>
      <c r="AP39" s="343"/>
      <c r="AS39" s="344"/>
      <c r="AW39" s="344"/>
      <c r="BA39" s="345"/>
    </row>
    <row r="40" spans="1:53" s="334" customFormat="1" x14ac:dyDescent="0.15">
      <c r="A40" s="386">
        <v>1976</v>
      </c>
      <c r="B40" s="355"/>
      <c r="C40" s="812" t="s">
        <v>759</v>
      </c>
      <c r="D40" s="812"/>
      <c r="E40" s="334">
        <v>0</v>
      </c>
      <c r="G40" s="336"/>
      <c r="H40" s="454">
        <v>11</v>
      </c>
      <c r="I40" s="200">
        <v>5</v>
      </c>
      <c r="J40" s="337">
        <v>16</v>
      </c>
      <c r="K40" s="338">
        <f t="shared" si="1"/>
        <v>0</v>
      </c>
      <c r="L40" s="338">
        <f t="shared" si="1"/>
        <v>68.75</v>
      </c>
      <c r="M40" s="338">
        <f t="shared" si="1"/>
        <v>31.25</v>
      </c>
      <c r="N40" s="339">
        <f t="shared" si="2"/>
        <v>100</v>
      </c>
      <c r="O40" s="340"/>
      <c r="P40" s="338">
        <v>37.5</v>
      </c>
      <c r="Q40" s="338">
        <v>13.2</v>
      </c>
      <c r="R40" s="341">
        <f t="shared" si="3"/>
        <v>50.7</v>
      </c>
      <c r="S40" s="334">
        <v>2</v>
      </c>
      <c r="T40" s="357"/>
      <c r="V40" s="343" t="s">
        <v>567</v>
      </c>
      <c r="W40" s="334" t="s">
        <v>17</v>
      </c>
      <c r="X40" s="334" t="s">
        <v>18</v>
      </c>
      <c r="Y40" s="344">
        <v>37.5</v>
      </c>
      <c r="Z40" s="334" t="s">
        <v>464</v>
      </c>
      <c r="AA40" s="334" t="s">
        <v>20</v>
      </c>
      <c r="AB40" s="334" t="s">
        <v>12</v>
      </c>
      <c r="AC40" s="334">
        <v>13.2</v>
      </c>
      <c r="AD40" s="343"/>
      <c r="AG40" s="344"/>
      <c r="AL40" s="343"/>
      <c r="AO40" s="344"/>
      <c r="AP40" s="343"/>
      <c r="AS40" s="344"/>
      <c r="AW40" s="344"/>
      <c r="BA40" s="345"/>
    </row>
    <row r="41" spans="1:53" s="334" customFormat="1" x14ac:dyDescent="0.15">
      <c r="A41" s="386">
        <v>1976</v>
      </c>
      <c r="B41" s="355"/>
      <c r="C41" s="812" t="s">
        <v>759</v>
      </c>
      <c r="D41" s="812"/>
      <c r="E41" s="334">
        <v>366</v>
      </c>
      <c r="G41" s="336"/>
      <c r="H41" s="454">
        <v>11</v>
      </c>
      <c r="I41" s="200">
        <v>5</v>
      </c>
      <c r="J41" s="337">
        <v>16</v>
      </c>
      <c r="K41" s="338">
        <f t="shared" si="1"/>
        <v>0</v>
      </c>
      <c r="L41" s="338">
        <f t="shared" si="1"/>
        <v>68.75</v>
      </c>
      <c r="M41" s="338">
        <f t="shared" si="1"/>
        <v>31.25</v>
      </c>
      <c r="N41" s="339">
        <f t="shared" si="2"/>
        <v>100</v>
      </c>
      <c r="O41" s="340"/>
      <c r="P41" s="338">
        <v>37.5</v>
      </c>
      <c r="Q41" s="338">
        <v>13.2</v>
      </c>
      <c r="R41" s="341">
        <f t="shared" si="3"/>
        <v>50.7</v>
      </c>
      <c r="S41" s="334">
        <v>2</v>
      </c>
      <c r="T41" s="357"/>
      <c r="V41" s="343" t="s">
        <v>567</v>
      </c>
      <c r="W41" s="334" t="s">
        <v>17</v>
      </c>
      <c r="X41" s="334" t="s">
        <v>18</v>
      </c>
      <c r="Y41" s="344">
        <v>37.5</v>
      </c>
      <c r="Z41" s="334" t="s">
        <v>464</v>
      </c>
      <c r="AA41" s="334" t="s">
        <v>20</v>
      </c>
      <c r="AB41" s="334" t="s">
        <v>12</v>
      </c>
      <c r="AC41" s="334">
        <v>13.2</v>
      </c>
      <c r="AD41" s="343"/>
      <c r="AG41" s="344"/>
      <c r="AL41" s="343"/>
      <c r="AO41" s="344"/>
      <c r="AP41" s="343"/>
      <c r="AS41" s="344"/>
      <c r="AW41" s="344"/>
      <c r="BA41" s="345"/>
    </row>
    <row r="42" spans="1:53" s="334" customFormat="1" x14ac:dyDescent="0.15">
      <c r="A42" s="386">
        <v>1977</v>
      </c>
      <c r="B42" s="355"/>
      <c r="C42" s="812" t="s">
        <v>759</v>
      </c>
      <c r="D42" s="812"/>
      <c r="E42" s="334">
        <v>185</v>
      </c>
      <c r="G42" s="336"/>
      <c r="H42" s="454">
        <v>11</v>
      </c>
      <c r="I42" s="200">
        <v>5</v>
      </c>
      <c r="J42" s="337">
        <v>16</v>
      </c>
      <c r="K42" s="338">
        <f t="shared" si="1"/>
        <v>0</v>
      </c>
      <c r="L42" s="338">
        <f t="shared" si="1"/>
        <v>68.75</v>
      </c>
      <c r="M42" s="338">
        <f t="shared" si="1"/>
        <v>31.25</v>
      </c>
      <c r="N42" s="339">
        <f t="shared" si="2"/>
        <v>100</v>
      </c>
      <c r="O42" s="340"/>
      <c r="P42" s="338">
        <v>37.5</v>
      </c>
      <c r="Q42" s="338">
        <v>13.2</v>
      </c>
      <c r="R42" s="341">
        <f t="shared" si="3"/>
        <v>50.7</v>
      </c>
      <c r="S42" s="334">
        <v>2</v>
      </c>
      <c r="T42" s="357"/>
      <c r="V42" s="343" t="s">
        <v>567</v>
      </c>
      <c r="W42" s="334" t="s">
        <v>17</v>
      </c>
      <c r="X42" s="334" t="s">
        <v>18</v>
      </c>
      <c r="Y42" s="344">
        <v>37.5</v>
      </c>
      <c r="Z42" s="334" t="s">
        <v>464</v>
      </c>
      <c r="AA42" s="334" t="s">
        <v>20</v>
      </c>
      <c r="AB42" s="334" t="s">
        <v>12</v>
      </c>
      <c r="AC42" s="334">
        <v>13.2</v>
      </c>
      <c r="AD42" s="343"/>
      <c r="AG42" s="344"/>
      <c r="AL42" s="343"/>
      <c r="AO42" s="344"/>
      <c r="AP42" s="343"/>
      <c r="AS42" s="344"/>
      <c r="AW42" s="344"/>
      <c r="BA42" s="345"/>
    </row>
    <row r="43" spans="1:53" s="73" customFormat="1" x14ac:dyDescent="0.15">
      <c r="A43" s="102">
        <v>1977</v>
      </c>
      <c r="B43" s="85">
        <v>28311</v>
      </c>
      <c r="C43" s="811" t="s">
        <v>760</v>
      </c>
      <c r="D43" s="811"/>
      <c r="E43" s="73">
        <f>365-E42</f>
        <v>180</v>
      </c>
      <c r="F43" s="73">
        <v>1</v>
      </c>
      <c r="G43" s="74">
        <v>15</v>
      </c>
      <c r="H43" s="176"/>
      <c r="I43" s="75"/>
      <c r="J43" s="76">
        <v>15</v>
      </c>
      <c r="K43" s="77">
        <f t="shared" si="1"/>
        <v>100</v>
      </c>
      <c r="L43" s="77">
        <f t="shared" si="1"/>
        <v>0</v>
      </c>
      <c r="M43" s="77">
        <f t="shared" si="1"/>
        <v>0</v>
      </c>
      <c r="N43" s="78">
        <f t="shared" si="2"/>
        <v>100</v>
      </c>
      <c r="O43" s="79">
        <v>56.8</v>
      </c>
      <c r="P43" s="77"/>
      <c r="Q43" s="77"/>
      <c r="R43" s="80">
        <f t="shared" si="3"/>
        <v>56.8</v>
      </c>
      <c r="S43" s="73">
        <v>1</v>
      </c>
      <c r="T43" s="95">
        <v>28292</v>
      </c>
      <c r="U43" s="85">
        <v>28311</v>
      </c>
      <c r="V43" s="82" t="s">
        <v>566</v>
      </c>
      <c r="W43" s="73" t="s">
        <v>22</v>
      </c>
      <c r="X43" s="73" t="s">
        <v>11</v>
      </c>
      <c r="Y43" s="83">
        <v>56.8</v>
      </c>
      <c r="AD43" s="82"/>
      <c r="AG43" s="83"/>
      <c r="AL43" s="82"/>
      <c r="AO43" s="83"/>
      <c r="AP43" s="82"/>
      <c r="AS43" s="83"/>
      <c r="AW43" s="83"/>
      <c r="BA43" s="84"/>
    </row>
    <row r="44" spans="1:53" s="73" customFormat="1" x14ac:dyDescent="0.15">
      <c r="A44" s="102">
        <v>1978</v>
      </c>
      <c r="B44" s="85"/>
      <c r="C44" s="811" t="s">
        <v>760</v>
      </c>
      <c r="D44" s="811"/>
      <c r="E44" s="73">
        <v>0</v>
      </c>
      <c r="G44" s="74">
        <v>15</v>
      </c>
      <c r="H44" s="176"/>
      <c r="I44" s="75"/>
      <c r="J44" s="76">
        <v>15</v>
      </c>
      <c r="K44" s="77">
        <f t="shared" si="1"/>
        <v>100</v>
      </c>
      <c r="L44" s="77">
        <f t="shared" si="1"/>
        <v>0</v>
      </c>
      <c r="M44" s="77">
        <f t="shared" si="1"/>
        <v>0</v>
      </c>
      <c r="N44" s="78">
        <f t="shared" si="2"/>
        <v>100</v>
      </c>
      <c r="O44" s="79">
        <v>56.8</v>
      </c>
      <c r="P44" s="77"/>
      <c r="Q44" s="77"/>
      <c r="R44" s="80">
        <f t="shared" si="3"/>
        <v>56.8</v>
      </c>
      <c r="S44" s="73">
        <v>1</v>
      </c>
      <c r="T44" s="81"/>
      <c r="V44" s="82" t="s">
        <v>566</v>
      </c>
      <c r="W44" s="73" t="s">
        <v>22</v>
      </c>
      <c r="X44" s="73" t="s">
        <v>11</v>
      </c>
      <c r="Y44" s="83">
        <v>56.8</v>
      </c>
      <c r="AD44" s="82"/>
      <c r="AG44" s="83"/>
      <c r="AL44" s="82"/>
      <c r="AO44" s="83"/>
      <c r="AP44" s="82"/>
      <c r="AS44" s="83"/>
      <c r="AW44" s="83"/>
      <c r="BA44" s="84"/>
    </row>
    <row r="45" spans="1:53" s="73" customFormat="1" x14ac:dyDescent="0.15">
      <c r="A45" s="102">
        <v>1978</v>
      </c>
      <c r="B45" s="85"/>
      <c r="C45" s="811" t="s">
        <v>760</v>
      </c>
      <c r="D45" s="811"/>
      <c r="E45" s="73">
        <v>365</v>
      </c>
      <c r="G45" s="74">
        <v>15</v>
      </c>
      <c r="H45" s="176"/>
      <c r="I45" s="75"/>
      <c r="J45" s="76">
        <v>15</v>
      </c>
      <c r="K45" s="77">
        <f t="shared" si="1"/>
        <v>100</v>
      </c>
      <c r="L45" s="77">
        <f t="shared" si="1"/>
        <v>0</v>
      </c>
      <c r="M45" s="77">
        <f t="shared" si="1"/>
        <v>0</v>
      </c>
      <c r="N45" s="78">
        <f t="shared" si="2"/>
        <v>100</v>
      </c>
      <c r="O45" s="79">
        <v>56.8</v>
      </c>
      <c r="P45" s="77"/>
      <c r="Q45" s="77"/>
      <c r="R45" s="80">
        <f t="shared" si="3"/>
        <v>56.8</v>
      </c>
      <c r="S45" s="73">
        <v>1</v>
      </c>
      <c r="T45" s="81"/>
      <c r="V45" s="82" t="s">
        <v>566</v>
      </c>
      <c r="W45" s="73" t="s">
        <v>22</v>
      </c>
      <c r="X45" s="73" t="s">
        <v>11</v>
      </c>
      <c r="Y45" s="83">
        <v>56.8</v>
      </c>
      <c r="AD45" s="82"/>
      <c r="AG45" s="83"/>
      <c r="AL45" s="82"/>
      <c r="AO45" s="83"/>
      <c r="AP45" s="82"/>
      <c r="AS45" s="83"/>
      <c r="AW45" s="83"/>
      <c r="BA45" s="84"/>
    </row>
    <row r="46" spans="1:53" s="73" customFormat="1" x14ac:dyDescent="0.15">
      <c r="A46" s="102">
        <v>1979</v>
      </c>
      <c r="B46" s="85"/>
      <c r="C46" s="811" t="s">
        <v>760</v>
      </c>
      <c r="D46" s="811"/>
      <c r="E46" s="73">
        <v>344</v>
      </c>
      <c r="G46" s="74">
        <v>15</v>
      </c>
      <c r="H46" s="176"/>
      <c r="I46" s="75"/>
      <c r="J46" s="76">
        <v>15</v>
      </c>
      <c r="K46" s="77">
        <f t="shared" si="1"/>
        <v>100</v>
      </c>
      <c r="L46" s="77">
        <f t="shared" si="1"/>
        <v>0</v>
      </c>
      <c r="M46" s="77">
        <f t="shared" si="1"/>
        <v>0</v>
      </c>
      <c r="N46" s="78">
        <f t="shared" si="2"/>
        <v>100</v>
      </c>
      <c r="O46" s="79">
        <v>56.8</v>
      </c>
      <c r="P46" s="77"/>
      <c r="Q46" s="77"/>
      <c r="R46" s="80">
        <f t="shared" si="3"/>
        <v>56.8</v>
      </c>
      <c r="S46" s="73">
        <v>1</v>
      </c>
      <c r="T46" s="81"/>
      <c r="V46" s="82" t="s">
        <v>566</v>
      </c>
      <c r="W46" s="73" t="s">
        <v>22</v>
      </c>
      <c r="X46" s="73" t="s">
        <v>11</v>
      </c>
      <c r="Y46" s="83">
        <v>56.8</v>
      </c>
      <c r="AD46" s="82"/>
      <c r="AG46" s="83"/>
      <c r="AL46" s="82"/>
      <c r="AO46" s="83"/>
      <c r="AP46" s="82"/>
      <c r="AS46" s="83"/>
      <c r="AW46" s="83"/>
      <c r="BA46" s="84"/>
    </row>
    <row r="47" spans="1:53" s="334" customFormat="1" x14ac:dyDescent="0.15">
      <c r="A47" s="386">
        <v>1979</v>
      </c>
      <c r="B47" s="355">
        <v>29200</v>
      </c>
      <c r="C47" s="812" t="s">
        <v>761</v>
      </c>
      <c r="D47" s="812"/>
      <c r="E47" s="334">
        <f>365-E46</f>
        <v>21</v>
      </c>
      <c r="F47" s="334">
        <v>2</v>
      </c>
      <c r="G47" s="336">
        <v>15</v>
      </c>
      <c r="H47" s="454"/>
      <c r="I47" s="200"/>
      <c r="J47" s="337">
        <v>15</v>
      </c>
      <c r="K47" s="338">
        <f t="shared" si="1"/>
        <v>100</v>
      </c>
      <c r="L47" s="338">
        <f t="shared" si="1"/>
        <v>0</v>
      </c>
      <c r="M47" s="338">
        <f t="shared" si="1"/>
        <v>0</v>
      </c>
      <c r="N47" s="339">
        <f t="shared" si="2"/>
        <v>100</v>
      </c>
      <c r="O47" s="340">
        <v>56.8</v>
      </c>
      <c r="P47" s="338"/>
      <c r="Q47" s="338"/>
      <c r="R47" s="341">
        <f t="shared" si="3"/>
        <v>56.8</v>
      </c>
      <c r="S47" s="334">
        <v>1</v>
      </c>
      <c r="T47" s="357"/>
      <c r="U47" s="355">
        <v>29200</v>
      </c>
      <c r="V47" s="343" t="s">
        <v>566</v>
      </c>
      <c r="W47" s="334" t="s">
        <v>22</v>
      </c>
      <c r="X47" s="334" t="s">
        <v>11</v>
      </c>
      <c r="Y47" s="344">
        <v>56.8</v>
      </c>
      <c r="AD47" s="343"/>
      <c r="AG47" s="344"/>
      <c r="AL47" s="343"/>
      <c r="AO47" s="344"/>
      <c r="AP47" s="343"/>
      <c r="AS47" s="344"/>
      <c r="AW47" s="344"/>
      <c r="BA47" s="345"/>
    </row>
    <row r="48" spans="1:53" s="334" customFormat="1" x14ac:dyDescent="0.15">
      <c r="A48" s="386">
        <v>1980</v>
      </c>
      <c r="B48" s="355"/>
      <c r="C48" s="812" t="s">
        <v>761</v>
      </c>
      <c r="D48" s="812"/>
      <c r="E48" s="334">
        <v>0</v>
      </c>
      <c r="G48" s="336">
        <v>15</v>
      </c>
      <c r="H48" s="454"/>
      <c r="I48" s="200"/>
      <c r="J48" s="337">
        <v>15</v>
      </c>
      <c r="K48" s="338">
        <f t="shared" si="1"/>
        <v>100</v>
      </c>
      <c r="L48" s="338">
        <f t="shared" si="1"/>
        <v>0</v>
      </c>
      <c r="M48" s="338">
        <f t="shared" si="1"/>
        <v>0</v>
      </c>
      <c r="N48" s="339">
        <f t="shared" si="2"/>
        <v>100</v>
      </c>
      <c r="O48" s="340">
        <v>56.8</v>
      </c>
      <c r="P48" s="338"/>
      <c r="Q48" s="338"/>
      <c r="R48" s="341">
        <f t="shared" si="3"/>
        <v>56.8</v>
      </c>
      <c r="S48" s="334">
        <v>1</v>
      </c>
      <c r="T48" s="357"/>
      <c r="V48" s="343" t="s">
        <v>566</v>
      </c>
      <c r="W48" s="334" t="s">
        <v>22</v>
      </c>
      <c r="X48" s="334" t="s">
        <v>11</v>
      </c>
      <c r="Y48" s="344">
        <v>56.8</v>
      </c>
      <c r="AD48" s="343"/>
      <c r="AG48" s="344"/>
      <c r="AL48" s="343"/>
      <c r="AO48" s="344"/>
      <c r="AP48" s="343"/>
      <c r="AS48" s="344"/>
      <c r="AW48" s="344"/>
      <c r="BA48" s="345"/>
    </row>
    <row r="49" spans="1:53" s="334" customFormat="1" x14ac:dyDescent="0.15">
      <c r="A49" s="386">
        <v>1980</v>
      </c>
      <c r="B49" s="355"/>
      <c r="C49" s="812" t="s">
        <v>761</v>
      </c>
      <c r="D49" s="812"/>
      <c r="E49" s="334">
        <v>366</v>
      </c>
      <c r="G49" s="336">
        <v>15</v>
      </c>
      <c r="H49" s="454"/>
      <c r="I49" s="200"/>
      <c r="J49" s="337">
        <v>15</v>
      </c>
      <c r="K49" s="338">
        <f t="shared" si="1"/>
        <v>100</v>
      </c>
      <c r="L49" s="338">
        <f t="shared" si="1"/>
        <v>0</v>
      </c>
      <c r="M49" s="338">
        <f t="shared" si="1"/>
        <v>0</v>
      </c>
      <c r="N49" s="339">
        <f t="shared" si="2"/>
        <v>100</v>
      </c>
      <c r="O49" s="340">
        <v>56.8</v>
      </c>
      <c r="P49" s="338"/>
      <c r="Q49" s="338"/>
      <c r="R49" s="341">
        <f t="shared" si="3"/>
        <v>56.8</v>
      </c>
      <c r="S49" s="334">
        <v>1</v>
      </c>
      <c r="T49" s="357"/>
      <c r="V49" s="343" t="s">
        <v>566</v>
      </c>
      <c r="W49" s="334" t="s">
        <v>22</v>
      </c>
      <c r="X49" s="334" t="s">
        <v>11</v>
      </c>
      <c r="Y49" s="344">
        <v>56.8</v>
      </c>
      <c r="AD49" s="343"/>
      <c r="AG49" s="344"/>
      <c r="AL49" s="343"/>
      <c r="AO49" s="344"/>
      <c r="AP49" s="343"/>
      <c r="AS49" s="344"/>
      <c r="AW49" s="344"/>
      <c r="BA49" s="345"/>
    </row>
    <row r="50" spans="1:53" s="334" customFormat="1" x14ac:dyDescent="0.15">
      <c r="A50" s="386">
        <v>1981</v>
      </c>
      <c r="B50" s="355"/>
      <c r="C50" s="812" t="s">
        <v>761</v>
      </c>
      <c r="D50" s="812"/>
      <c r="E50" s="334">
        <v>180</v>
      </c>
      <c r="G50" s="336">
        <v>15</v>
      </c>
      <c r="H50" s="454"/>
      <c r="I50" s="200"/>
      <c r="J50" s="337">
        <v>15</v>
      </c>
      <c r="K50" s="338">
        <f t="shared" si="1"/>
        <v>100</v>
      </c>
      <c r="L50" s="338">
        <f t="shared" si="1"/>
        <v>0</v>
      </c>
      <c r="M50" s="338">
        <f t="shared" si="1"/>
        <v>0</v>
      </c>
      <c r="N50" s="339">
        <f t="shared" si="2"/>
        <v>100</v>
      </c>
      <c r="O50" s="340">
        <v>56.8</v>
      </c>
      <c r="P50" s="338"/>
      <c r="Q50" s="338"/>
      <c r="R50" s="341">
        <f t="shared" si="3"/>
        <v>56.8</v>
      </c>
      <c r="S50" s="334">
        <v>1</v>
      </c>
      <c r="T50" s="357"/>
      <c r="V50" s="343" t="s">
        <v>566</v>
      </c>
      <c r="W50" s="334" t="s">
        <v>22</v>
      </c>
      <c r="X50" s="334" t="s">
        <v>11</v>
      </c>
      <c r="Y50" s="344">
        <v>56.8</v>
      </c>
      <c r="AD50" s="343"/>
      <c r="AG50" s="344"/>
      <c r="AL50" s="343"/>
      <c r="AO50" s="344"/>
      <c r="AP50" s="343"/>
      <c r="AS50" s="344"/>
      <c r="AW50" s="344"/>
      <c r="BA50" s="345"/>
    </row>
    <row r="51" spans="1:53" s="73" customFormat="1" x14ac:dyDescent="0.15">
      <c r="A51" s="102">
        <v>1981</v>
      </c>
      <c r="B51" s="85">
        <v>29767</v>
      </c>
      <c r="C51" s="811" t="s">
        <v>762</v>
      </c>
      <c r="D51" s="811"/>
      <c r="E51" s="73">
        <f>365-E50</f>
        <v>185</v>
      </c>
      <c r="F51" s="73">
        <v>1</v>
      </c>
      <c r="G51" s="74"/>
      <c r="H51" s="176">
        <v>10</v>
      </c>
      <c r="I51" s="75">
        <v>4</v>
      </c>
      <c r="J51" s="76">
        <v>15</v>
      </c>
      <c r="K51" s="77">
        <f t="shared" si="1"/>
        <v>0</v>
      </c>
      <c r="L51" s="77">
        <f t="shared" si="1"/>
        <v>66.666666666666657</v>
      </c>
      <c r="M51" s="77">
        <f t="shared" si="1"/>
        <v>26.666666666666668</v>
      </c>
      <c r="N51" s="78">
        <f t="shared" si="2"/>
        <v>93.333333333333329</v>
      </c>
      <c r="O51" s="79"/>
      <c r="P51" s="77">
        <v>39.200000000000003</v>
      </c>
      <c r="Q51" s="77">
        <v>9</v>
      </c>
      <c r="R51" s="80">
        <f t="shared" si="3"/>
        <v>48.2</v>
      </c>
      <c r="S51" s="73">
        <v>5</v>
      </c>
      <c r="T51" s="95">
        <v>29748</v>
      </c>
      <c r="U51" s="85">
        <v>29767</v>
      </c>
      <c r="V51" s="82" t="s">
        <v>567</v>
      </c>
      <c r="W51" s="73" t="s">
        <v>17</v>
      </c>
      <c r="X51" s="73" t="s">
        <v>18</v>
      </c>
      <c r="Y51" s="83">
        <v>39.200000000000003</v>
      </c>
      <c r="Z51" s="73" t="s">
        <v>464</v>
      </c>
      <c r="AA51" s="73" t="s">
        <v>20</v>
      </c>
      <c r="AB51" s="73" t="s">
        <v>12</v>
      </c>
      <c r="AC51" s="73">
        <v>9</v>
      </c>
      <c r="AD51" s="82"/>
      <c r="AG51" s="83"/>
      <c r="AL51" s="82"/>
      <c r="AO51" s="83"/>
      <c r="AP51" s="82"/>
      <c r="AS51" s="83"/>
      <c r="AW51" s="83"/>
      <c r="BA51" s="84"/>
    </row>
    <row r="52" spans="1:53" s="73" customFormat="1" x14ac:dyDescent="0.15">
      <c r="A52" s="102">
        <v>1982</v>
      </c>
      <c r="B52" s="85"/>
      <c r="C52" s="811" t="s">
        <v>762</v>
      </c>
      <c r="D52" s="811"/>
      <c r="E52" s="73">
        <v>67</v>
      </c>
      <c r="G52" s="74"/>
      <c r="H52" s="176">
        <v>10</v>
      </c>
      <c r="I52" s="75">
        <v>4</v>
      </c>
      <c r="J52" s="76">
        <v>15</v>
      </c>
      <c r="K52" s="77">
        <f t="shared" si="1"/>
        <v>0</v>
      </c>
      <c r="L52" s="77">
        <f t="shared" si="1"/>
        <v>66.666666666666657</v>
      </c>
      <c r="M52" s="77">
        <f t="shared" si="1"/>
        <v>26.666666666666668</v>
      </c>
      <c r="N52" s="78">
        <f t="shared" si="2"/>
        <v>93.333333333333329</v>
      </c>
      <c r="O52" s="79"/>
      <c r="P52" s="77">
        <v>39.200000000000003</v>
      </c>
      <c r="Q52" s="77">
        <v>9</v>
      </c>
      <c r="R52" s="80">
        <f t="shared" si="3"/>
        <v>48.2</v>
      </c>
      <c r="S52" s="73">
        <v>5</v>
      </c>
      <c r="T52" s="81"/>
      <c r="V52" s="82" t="s">
        <v>567</v>
      </c>
      <c r="W52" s="73" t="s">
        <v>17</v>
      </c>
      <c r="X52" s="73" t="s">
        <v>18</v>
      </c>
      <c r="Y52" s="83">
        <v>39.200000000000003</v>
      </c>
      <c r="Z52" s="73" t="s">
        <v>464</v>
      </c>
      <c r="AA52" s="73" t="s">
        <v>20</v>
      </c>
      <c r="AB52" s="73" t="s">
        <v>12</v>
      </c>
      <c r="AC52" s="73">
        <v>9</v>
      </c>
      <c r="AD52" s="82"/>
      <c r="AG52" s="83"/>
      <c r="AL52" s="82"/>
      <c r="AO52" s="83"/>
      <c r="AP52" s="82"/>
      <c r="AS52" s="83"/>
      <c r="AW52" s="83"/>
      <c r="BA52" s="84"/>
    </row>
    <row r="53" spans="1:53" s="334" customFormat="1" x14ac:dyDescent="0.15">
      <c r="A53" s="386">
        <v>1982</v>
      </c>
      <c r="B53" s="355">
        <v>30019</v>
      </c>
      <c r="C53" s="812" t="s">
        <v>763</v>
      </c>
      <c r="D53" s="812"/>
      <c r="E53" s="334">
        <v>280</v>
      </c>
      <c r="F53" s="334">
        <v>5</v>
      </c>
      <c r="G53" s="336">
        <v>16</v>
      </c>
      <c r="H53" s="454"/>
      <c r="I53" s="200"/>
      <c r="J53" s="337">
        <v>16</v>
      </c>
      <c r="K53" s="338">
        <f t="shared" si="1"/>
        <v>100</v>
      </c>
      <c r="L53" s="338">
        <f t="shared" si="1"/>
        <v>0</v>
      </c>
      <c r="M53" s="338">
        <f t="shared" si="1"/>
        <v>0</v>
      </c>
      <c r="N53" s="339">
        <f t="shared" si="2"/>
        <v>100</v>
      </c>
      <c r="O53" s="340">
        <v>47</v>
      </c>
      <c r="P53" s="338"/>
      <c r="Q53" s="338"/>
      <c r="R53" s="341">
        <f t="shared" si="3"/>
        <v>47</v>
      </c>
      <c r="S53" s="334">
        <v>4</v>
      </c>
      <c r="T53" s="357"/>
      <c r="U53" s="355">
        <v>30019</v>
      </c>
      <c r="V53" s="343" t="s">
        <v>566</v>
      </c>
      <c r="W53" s="334" t="s">
        <v>22</v>
      </c>
      <c r="X53" s="334" t="s">
        <v>11</v>
      </c>
      <c r="Y53" s="344">
        <v>47</v>
      </c>
      <c r="AD53" s="343"/>
      <c r="AG53" s="344"/>
      <c r="AL53" s="343"/>
      <c r="AO53" s="344"/>
      <c r="AP53" s="343"/>
      <c r="AS53" s="344"/>
      <c r="AW53" s="344"/>
      <c r="BA53" s="345"/>
    </row>
    <row r="54" spans="1:53" s="73" customFormat="1" x14ac:dyDescent="0.15">
      <c r="A54" s="102">
        <v>1982</v>
      </c>
      <c r="B54" s="85">
        <v>30299</v>
      </c>
      <c r="C54" s="811" t="s">
        <v>764</v>
      </c>
      <c r="D54" s="811"/>
      <c r="E54" s="73">
        <f>365-E53-E52</f>
        <v>18</v>
      </c>
      <c r="F54" s="73">
        <v>5</v>
      </c>
      <c r="G54" s="74"/>
      <c r="H54" s="176">
        <v>12</v>
      </c>
      <c r="I54" s="75">
        <v>4</v>
      </c>
      <c r="J54" s="76">
        <v>17</v>
      </c>
      <c r="K54" s="77">
        <f t="shared" si="1"/>
        <v>0</v>
      </c>
      <c r="L54" s="77">
        <f t="shared" si="1"/>
        <v>70.588235294117652</v>
      </c>
      <c r="M54" s="77">
        <f t="shared" si="1"/>
        <v>23.52941176470588</v>
      </c>
      <c r="N54" s="78">
        <f t="shared" si="2"/>
        <v>94.117647058823536</v>
      </c>
      <c r="O54" s="79"/>
      <c r="P54" s="77">
        <v>42.2</v>
      </c>
      <c r="Q54" s="77">
        <v>9.6</v>
      </c>
      <c r="R54" s="80">
        <f t="shared" si="3"/>
        <v>51.800000000000004</v>
      </c>
      <c r="S54" s="73">
        <v>2</v>
      </c>
      <c r="T54" s="95">
        <v>30279</v>
      </c>
      <c r="U54" s="85">
        <v>30299</v>
      </c>
      <c r="V54" s="82" t="s">
        <v>567</v>
      </c>
      <c r="W54" s="73" t="s">
        <v>17</v>
      </c>
      <c r="X54" s="73" t="s">
        <v>18</v>
      </c>
      <c r="Y54" s="83">
        <v>42.2</v>
      </c>
      <c r="Z54" s="73" t="s">
        <v>464</v>
      </c>
      <c r="AA54" s="73" t="s">
        <v>20</v>
      </c>
      <c r="AB54" s="73" t="s">
        <v>12</v>
      </c>
      <c r="AC54" s="73">
        <v>9.6</v>
      </c>
      <c r="AD54" s="82"/>
      <c r="AG54" s="83"/>
      <c r="AL54" s="82"/>
      <c r="AO54" s="83"/>
      <c r="AP54" s="82"/>
      <c r="AS54" s="83"/>
      <c r="AW54" s="83"/>
      <c r="BA54" s="84"/>
    </row>
    <row r="55" spans="1:53" s="73" customFormat="1" x14ac:dyDescent="0.15">
      <c r="A55" s="102">
        <v>1983</v>
      </c>
      <c r="B55" s="85"/>
      <c r="C55" s="811" t="s">
        <v>764</v>
      </c>
      <c r="D55" s="811"/>
      <c r="E55" s="73">
        <v>0</v>
      </c>
      <c r="G55" s="74"/>
      <c r="H55" s="176">
        <v>12</v>
      </c>
      <c r="I55" s="75">
        <v>4</v>
      </c>
      <c r="J55" s="76">
        <v>17</v>
      </c>
      <c r="K55" s="77">
        <f t="shared" si="1"/>
        <v>0</v>
      </c>
      <c r="L55" s="77">
        <f t="shared" si="1"/>
        <v>70.588235294117652</v>
      </c>
      <c r="M55" s="77">
        <f t="shared" si="1"/>
        <v>23.52941176470588</v>
      </c>
      <c r="N55" s="78">
        <f t="shared" si="2"/>
        <v>94.117647058823536</v>
      </c>
      <c r="O55" s="79"/>
      <c r="P55" s="77">
        <v>42.2</v>
      </c>
      <c r="Q55" s="77">
        <v>9.6</v>
      </c>
      <c r="R55" s="80">
        <f t="shared" si="3"/>
        <v>51.800000000000004</v>
      </c>
      <c r="S55" s="73">
        <v>2</v>
      </c>
      <c r="T55" s="81"/>
      <c r="V55" s="82" t="s">
        <v>567</v>
      </c>
      <c r="W55" s="73" t="s">
        <v>17</v>
      </c>
      <c r="X55" s="73" t="s">
        <v>18</v>
      </c>
      <c r="Y55" s="83">
        <v>42.2</v>
      </c>
      <c r="Z55" s="73" t="s">
        <v>464</v>
      </c>
      <c r="AA55" s="73" t="s">
        <v>20</v>
      </c>
      <c r="AB55" s="73" t="s">
        <v>12</v>
      </c>
      <c r="AC55" s="73">
        <v>9.6</v>
      </c>
      <c r="AD55" s="82"/>
      <c r="AG55" s="83"/>
      <c r="AL55" s="82"/>
      <c r="AO55" s="83"/>
      <c r="AP55" s="82"/>
      <c r="AS55" s="83"/>
      <c r="AW55" s="83"/>
      <c r="BA55" s="84"/>
    </row>
    <row r="56" spans="1:53" s="73" customFormat="1" x14ac:dyDescent="0.15">
      <c r="A56" s="102">
        <v>1983</v>
      </c>
      <c r="B56" s="85"/>
      <c r="C56" s="811" t="s">
        <v>764</v>
      </c>
      <c r="D56" s="811"/>
      <c r="E56" s="73">
        <v>365</v>
      </c>
      <c r="G56" s="74"/>
      <c r="H56" s="176">
        <v>12</v>
      </c>
      <c r="I56" s="75">
        <v>4</v>
      </c>
      <c r="J56" s="76">
        <v>17</v>
      </c>
      <c r="K56" s="77">
        <f t="shared" si="1"/>
        <v>0</v>
      </c>
      <c r="L56" s="77">
        <f t="shared" si="1"/>
        <v>70.588235294117652</v>
      </c>
      <c r="M56" s="77">
        <f t="shared" si="1"/>
        <v>23.52941176470588</v>
      </c>
      <c r="N56" s="78">
        <f t="shared" si="2"/>
        <v>94.117647058823536</v>
      </c>
      <c r="O56" s="79"/>
      <c r="P56" s="77">
        <v>42.2</v>
      </c>
      <c r="Q56" s="77">
        <v>9.6</v>
      </c>
      <c r="R56" s="80">
        <f t="shared" si="3"/>
        <v>51.800000000000004</v>
      </c>
      <c r="S56" s="73">
        <v>2</v>
      </c>
      <c r="T56" s="81"/>
      <c r="V56" s="82" t="s">
        <v>567</v>
      </c>
      <c r="W56" s="73" t="s">
        <v>17</v>
      </c>
      <c r="X56" s="73" t="s">
        <v>18</v>
      </c>
      <c r="Y56" s="83">
        <v>42.2</v>
      </c>
      <c r="Z56" s="73" t="s">
        <v>464</v>
      </c>
      <c r="AA56" s="73" t="s">
        <v>20</v>
      </c>
      <c r="AB56" s="73" t="s">
        <v>12</v>
      </c>
      <c r="AC56" s="73">
        <v>9.6</v>
      </c>
      <c r="AD56" s="82"/>
      <c r="AG56" s="83"/>
      <c r="AL56" s="82"/>
      <c r="AO56" s="83"/>
      <c r="AP56" s="82"/>
      <c r="AS56" s="83"/>
      <c r="AW56" s="83"/>
      <c r="BA56" s="84"/>
    </row>
    <row r="57" spans="1:53" s="73" customFormat="1" x14ac:dyDescent="0.15">
      <c r="A57" s="102">
        <v>1984</v>
      </c>
      <c r="B57" s="85"/>
      <c r="C57" s="811" t="s">
        <v>764</v>
      </c>
      <c r="D57" s="811"/>
      <c r="E57" s="73">
        <v>0</v>
      </c>
      <c r="G57" s="74"/>
      <c r="H57" s="176">
        <v>12</v>
      </c>
      <c r="I57" s="75">
        <v>4</v>
      </c>
      <c r="J57" s="76">
        <v>17</v>
      </c>
      <c r="K57" s="77">
        <f t="shared" si="1"/>
        <v>0</v>
      </c>
      <c r="L57" s="77">
        <f t="shared" si="1"/>
        <v>70.588235294117652</v>
      </c>
      <c r="M57" s="77">
        <f t="shared" si="1"/>
        <v>23.52941176470588</v>
      </c>
      <c r="N57" s="78">
        <f t="shared" si="2"/>
        <v>94.117647058823536</v>
      </c>
      <c r="O57" s="79"/>
      <c r="P57" s="77">
        <v>42.2</v>
      </c>
      <c r="Q57" s="77">
        <v>9.6</v>
      </c>
      <c r="R57" s="80">
        <f t="shared" si="3"/>
        <v>51.800000000000004</v>
      </c>
      <c r="S57" s="73">
        <v>2</v>
      </c>
      <c r="T57" s="81"/>
      <c r="V57" s="82" t="s">
        <v>567</v>
      </c>
      <c r="W57" s="73" t="s">
        <v>17</v>
      </c>
      <c r="X57" s="73" t="s">
        <v>18</v>
      </c>
      <c r="Y57" s="83">
        <v>42.2</v>
      </c>
      <c r="Z57" s="73" t="s">
        <v>464</v>
      </c>
      <c r="AA57" s="73" t="s">
        <v>20</v>
      </c>
      <c r="AB57" s="73" t="s">
        <v>12</v>
      </c>
      <c r="AC57" s="73">
        <v>9.6</v>
      </c>
      <c r="AD57" s="82"/>
      <c r="AG57" s="83"/>
      <c r="AL57" s="82"/>
      <c r="AO57" s="83"/>
      <c r="AP57" s="82"/>
      <c r="AS57" s="83"/>
      <c r="AW57" s="83"/>
      <c r="BA57" s="84"/>
    </row>
    <row r="58" spans="1:53" s="73" customFormat="1" x14ac:dyDescent="0.15">
      <c r="A58" s="102">
        <v>1984</v>
      </c>
      <c r="B58" s="85"/>
      <c r="C58" s="811" t="s">
        <v>764</v>
      </c>
      <c r="D58" s="811"/>
      <c r="E58" s="73">
        <v>366</v>
      </c>
      <c r="G58" s="74"/>
      <c r="H58" s="176">
        <v>12</v>
      </c>
      <c r="I58" s="75">
        <v>4</v>
      </c>
      <c r="J58" s="76">
        <v>17</v>
      </c>
      <c r="K58" s="77">
        <f t="shared" si="1"/>
        <v>0</v>
      </c>
      <c r="L58" s="77">
        <f t="shared" si="1"/>
        <v>70.588235294117652</v>
      </c>
      <c r="M58" s="77">
        <f t="shared" si="1"/>
        <v>23.52941176470588</v>
      </c>
      <c r="N58" s="78">
        <f t="shared" si="2"/>
        <v>94.117647058823536</v>
      </c>
      <c r="O58" s="79"/>
      <c r="P58" s="77">
        <v>42.2</v>
      </c>
      <c r="Q58" s="77">
        <v>9.6</v>
      </c>
      <c r="R58" s="80">
        <f t="shared" si="3"/>
        <v>51.800000000000004</v>
      </c>
      <c r="S58" s="73">
        <v>2</v>
      </c>
      <c r="T58" s="81"/>
      <c r="V58" s="82" t="s">
        <v>567</v>
      </c>
      <c r="W58" s="73" t="s">
        <v>17</v>
      </c>
      <c r="X58" s="73" t="s">
        <v>18</v>
      </c>
      <c r="Y58" s="83">
        <v>42.2</v>
      </c>
      <c r="Z58" s="73" t="s">
        <v>464</v>
      </c>
      <c r="AA58" s="73" t="s">
        <v>20</v>
      </c>
      <c r="AB58" s="73" t="s">
        <v>12</v>
      </c>
      <c r="AC58" s="73">
        <v>9.6</v>
      </c>
      <c r="AD58" s="82"/>
      <c r="AG58" s="83"/>
      <c r="AL58" s="82"/>
      <c r="AO58" s="83"/>
      <c r="AP58" s="82"/>
      <c r="AS58" s="83"/>
      <c r="AW58" s="83"/>
      <c r="BA58" s="84"/>
    </row>
    <row r="59" spans="1:53" s="73" customFormat="1" x14ac:dyDescent="0.15">
      <c r="A59" s="102">
        <v>1985</v>
      </c>
      <c r="B59" s="85"/>
      <c r="C59" s="811" t="s">
        <v>764</v>
      </c>
      <c r="D59" s="811"/>
      <c r="E59" s="73">
        <v>0</v>
      </c>
      <c r="G59" s="74"/>
      <c r="H59" s="176">
        <v>12</v>
      </c>
      <c r="I59" s="75">
        <v>4</v>
      </c>
      <c r="J59" s="76">
        <v>17</v>
      </c>
      <c r="K59" s="77">
        <f>G59/$J59*100</f>
        <v>0</v>
      </c>
      <c r="L59" s="77">
        <f t="shared" ref="L59:M109" si="4">H59/$J59*100</f>
        <v>70.588235294117652</v>
      </c>
      <c r="M59" s="77">
        <f t="shared" si="4"/>
        <v>23.52941176470588</v>
      </c>
      <c r="N59" s="78">
        <f>K59+L59+M59</f>
        <v>94.117647058823536</v>
      </c>
      <c r="O59" s="79"/>
      <c r="P59" s="77">
        <v>42.2</v>
      </c>
      <c r="Q59" s="77">
        <v>9.6</v>
      </c>
      <c r="R59" s="80">
        <f t="shared" si="3"/>
        <v>51.800000000000004</v>
      </c>
      <c r="S59" s="73">
        <v>2</v>
      </c>
      <c r="T59" s="81"/>
      <c r="V59" s="82" t="s">
        <v>567</v>
      </c>
      <c r="W59" s="73" t="s">
        <v>17</v>
      </c>
      <c r="X59" s="73" t="s">
        <v>18</v>
      </c>
      <c r="Y59" s="83">
        <v>42.2</v>
      </c>
      <c r="Z59" s="73" t="s">
        <v>464</v>
      </c>
      <c r="AA59" s="73" t="s">
        <v>20</v>
      </c>
      <c r="AB59" s="73" t="s">
        <v>12</v>
      </c>
      <c r="AC59" s="73">
        <v>9.6</v>
      </c>
      <c r="AD59" s="82"/>
      <c r="AG59" s="83"/>
      <c r="AL59" s="82"/>
      <c r="AO59" s="83"/>
      <c r="AP59" s="82"/>
      <c r="AS59" s="83"/>
      <c r="AW59" s="83"/>
      <c r="BA59" s="84"/>
    </row>
    <row r="60" spans="1:53" s="73" customFormat="1" x14ac:dyDescent="0.15">
      <c r="A60" s="102">
        <v>1985</v>
      </c>
      <c r="B60" s="85"/>
      <c r="C60" s="811" t="s">
        <v>764</v>
      </c>
      <c r="D60" s="811"/>
      <c r="E60" s="73">
        <v>365</v>
      </c>
      <c r="G60" s="74"/>
      <c r="H60" s="176">
        <v>12</v>
      </c>
      <c r="I60" s="75">
        <v>4</v>
      </c>
      <c r="J60" s="76">
        <v>17</v>
      </c>
      <c r="K60" s="77">
        <f t="shared" ref="K60:K65" si="5">G60/$J60*100</f>
        <v>0</v>
      </c>
      <c r="L60" s="77">
        <f t="shared" si="4"/>
        <v>70.588235294117652</v>
      </c>
      <c r="M60" s="77">
        <f t="shared" si="4"/>
        <v>23.52941176470588</v>
      </c>
      <c r="N60" s="78">
        <f t="shared" ref="N60:N65" si="6">K60+L60+M60</f>
        <v>94.117647058823536</v>
      </c>
      <c r="O60" s="79"/>
      <c r="P60" s="77">
        <v>42.2</v>
      </c>
      <c r="Q60" s="77">
        <v>9.6</v>
      </c>
      <c r="R60" s="80">
        <f t="shared" si="3"/>
        <v>51.800000000000004</v>
      </c>
      <c r="S60" s="73">
        <v>2</v>
      </c>
      <c r="T60" s="81"/>
      <c r="V60" s="82" t="s">
        <v>567</v>
      </c>
      <c r="W60" s="73" t="s">
        <v>17</v>
      </c>
      <c r="X60" s="73" t="s">
        <v>18</v>
      </c>
      <c r="Y60" s="83">
        <v>42.2</v>
      </c>
      <c r="Z60" s="73" t="s">
        <v>464</v>
      </c>
      <c r="AA60" s="73" t="s">
        <v>20</v>
      </c>
      <c r="AB60" s="73" t="s">
        <v>12</v>
      </c>
      <c r="AC60" s="73">
        <v>9.6</v>
      </c>
      <c r="AD60" s="82"/>
      <c r="AG60" s="83"/>
      <c r="AL60" s="82"/>
      <c r="AO60" s="83"/>
      <c r="AP60" s="82"/>
      <c r="AS60" s="83"/>
      <c r="AW60" s="83"/>
      <c r="BA60" s="84"/>
    </row>
    <row r="61" spans="1:53" s="73" customFormat="1" x14ac:dyDescent="0.15">
      <c r="A61" s="102">
        <v>1986</v>
      </c>
      <c r="B61" s="85"/>
      <c r="C61" s="811" t="s">
        <v>764</v>
      </c>
      <c r="D61" s="811"/>
      <c r="E61" s="73">
        <v>0</v>
      </c>
      <c r="G61" s="74"/>
      <c r="H61" s="176">
        <v>12</v>
      </c>
      <c r="I61" s="75">
        <v>4</v>
      </c>
      <c r="J61" s="76">
        <v>17</v>
      </c>
      <c r="K61" s="77">
        <f t="shared" si="5"/>
        <v>0</v>
      </c>
      <c r="L61" s="77">
        <f t="shared" si="4"/>
        <v>70.588235294117652</v>
      </c>
      <c r="M61" s="77">
        <f t="shared" si="4"/>
        <v>23.52941176470588</v>
      </c>
      <c r="N61" s="78">
        <f t="shared" si="6"/>
        <v>94.117647058823536</v>
      </c>
      <c r="O61" s="79"/>
      <c r="P61" s="77">
        <v>42.2</v>
      </c>
      <c r="Q61" s="77">
        <v>9.6</v>
      </c>
      <c r="R61" s="80">
        <f t="shared" si="3"/>
        <v>51.800000000000004</v>
      </c>
      <c r="S61" s="73">
        <v>2</v>
      </c>
      <c r="T61" s="81"/>
      <c r="V61" s="82" t="s">
        <v>567</v>
      </c>
      <c r="W61" s="73" t="s">
        <v>17</v>
      </c>
      <c r="X61" s="73" t="s">
        <v>18</v>
      </c>
      <c r="Y61" s="83">
        <v>42.2</v>
      </c>
      <c r="Z61" s="73" t="s">
        <v>464</v>
      </c>
      <c r="AA61" s="73" t="s">
        <v>20</v>
      </c>
      <c r="AB61" s="73" t="s">
        <v>12</v>
      </c>
      <c r="AC61" s="73">
        <v>9.6</v>
      </c>
      <c r="AD61" s="82"/>
      <c r="AG61" s="83"/>
      <c r="AL61" s="82"/>
      <c r="AO61" s="83"/>
      <c r="AP61" s="82"/>
      <c r="AS61" s="83"/>
      <c r="AW61" s="83"/>
      <c r="BA61" s="84"/>
    </row>
    <row r="62" spans="1:53" s="73" customFormat="1" x14ac:dyDescent="0.15">
      <c r="A62" s="102">
        <v>1986</v>
      </c>
      <c r="B62" s="85"/>
      <c r="C62" s="811" t="s">
        <v>764</v>
      </c>
      <c r="D62" s="811"/>
      <c r="E62" s="73">
        <v>365</v>
      </c>
      <c r="G62" s="74"/>
      <c r="H62" s="176">
        <v>12</v>
      </c>
      <c r="I62" s="75">
        <v>4</v>
      </c>
      <c r="J62" s="76">
        <v>17</v>
      </c>
      <c r="K62" s="77">
        <f t="shared" si="5"/>
        <v>0</v>
      </c>
      <c r="L62" s="77">
        <f t="shared" si="4"/>
        <v>70.588235294117652</v>
      </c>
      <c r="M62" s="77">
        <f t="shared" si="4"/>
        <v>23.52941176470588</v>
      </c>
      <c r="N62" s="78">
        <f t="shared" si="6"/>
        <v>94.117647058823536</v>
      </c>
      <c r="O62" s="79"/>
      <c r="P62" s="77">
        <v>42.2</v>
      </c>
      <c r="Q62" s="77">
        <v>9.6</v>
      </c>
      <c r="R62" s="80">
        <f t="shared" si="3"/>
        <v>51.800000000000004</v>
      </c>
      <c r="S62" s="73">
        <v>2</v>
      </c>
      <c r="T62" s="81"/>
      <c r="V62" s="82" t="s">
        <v>567</v>
      </c>
      <c r="W62" s="73" t="s">
        <v>17</v>
      </c>
      <c r="X62" s="73" t="s">
        <v>18</v>
      </c>
      <c r="Y62" s="83">
        <v>42.2</v>
      </c>
      <c r="Z62" s="73" t="s">
        <v>464</v>
      </c>
      <c r="AA62" s="73" t="s">
        <v>20</v>
      </c>
      <c r="AB62" s="73" t="s">
        <v>12</v>
      </c>
      <c r="AC62" s="73">
        <v>9.6</v>
      </c>
      <c r="AD62" s="82"/>
      <c r="AG62" s="83"/>
      <c r="AL62" s="82"/>
      <c r="AO62" s="83"/>
      <c r="AP62" s="82"/>
      <c r="AS62" s="83"/>
      <c r="AW62" s="83"/>
      <c r="BA62" s="84"/>
    </row>
    <row r="63" spans="1:53" s="73" customFormat="1" x14ac:dyDescent="0.15">
      <c r="A63" s="102">
        <v>1987</v>
      </c>
      <c r="B63" s="85"/>
      <c r="C63" s="811" t="s">
        <v>764</v>
      </c>
      <c r="D63" s="811"/>
      <c r="E63" s="73">
        <v>68</v>
      </c>
      <c r="G63" s="74"/>
      <c r="H63" s="176">
        <v>12</v>
      </c>
      <c r="I63" s="75">
        <v>4</v>
      </c>
      <c r="J63" s="76">
        <v>17</v>
      </c>
      <c r="K63" s="77">
        <f t="shared" si="5"/>
        <v>0</v>
      </c>
      <c r="L63" s="77">
        <f t="shared" si="4"/>
        <v>70.588235294117652</v>
      </c>
      <c r="M63" s="77">
        <f t="shared" si="4"/>
        <v>23.52941176470588</v>
      </c>
      <c r="N63" s="78">
        <f t="shared" si="6"/>
        <v>94.117647058823536</v>
      </c>
      <c r="O63" s="79"/>
      <c r="P63" s="77">
        <v>42.2</v>
      </c>
      <c r="Q63" s="77">
        <v>9.6</v>
      </c>
      <c r="R63" s="80">
        <f t="shared" si="3"/>
        <v>51.800000000000004</v>
      </c>
      <c r="S63" s="73">
        <v>2</v>
      </c>
      <c r="T63" s="81"/>
      <c r="V63" s="82" t="s">
        <v>567</v>
      </c>
      <c r="W63" s="73" t="s">
        <v>17</v>
      </c>
      <c r="X63" s="73" t="s">
        <v>18</v>
      </c>
      <c r="Y63" s="83">
        <v>42.2</v>
      </c>
      <c r="Z63" s="73" t="s">
        <v>464</v>
      </c>
      <c r="AA63" s="73" t="s">
        <v>20</v>
      </c>
      <c r="AB63" s="73" t="s">
        <v>12</v>
      </c>
      <c r="AC63" s="73">
        <v>9.6</v>
      </c>
      <c r="AD63" s="82"/>
      <c r="AG63" s="83"/>
      <c r="AL63" s="82"/>
      <c r="AO63" s="83"/>
      <c r="AP63" s="82"/>
      <c r="AS63" s="83"/>
      <c r="AW63" s="83"/>
      <c r="BA63" s="84"/>
    </row>
    <row r="64" spans="1:53" s="334" customFormat="1" x14ac:dyDescent="0.15">
      <c r="A64" s="386">
        <v>1987</v>
      </c>
      <c r="B64" s="355">
        <v>31846</v>
      </c>
      <c r="C64" s="812" t="s">
        <v>765</v>
      </c>
      <c r="D64" s="812"/>
      <c r="E64" s="334">
        <f>365-E63</f>
        <v>297</v>
      </c>
      <c r="F64" s="334">
        <v>4</v>
      </c>
      <c r="G64" s="336">
        <v>16</v>
      </c>
      <c r="H64" s="454"/>
      <c r="I64" s="200"/>
      <c r="J64" s="337">
        <v>16</v>
      </c>
      <c r="K64" s="338">
        <f t="shared" si="5"/>
        <v>100</v>
      </c>
      <c r="L64" s="338">
        <f t="shared" si="4"/>
        <v>0</v>
      </c>
      <c r="M64" s="338">
        <f t="shared" si="4"/>
        <v>0</v>
      </c>
      <c r="N64" s="339">
        <f t="shared" si="6"/>
        <v>100</v>
      </c>
      <c r="O64" s="340">
        <v>48.8</v>
      </c>
      <c r="P64" s="338"/>
      <c r="Q64" s="338"/>
      <c r="R64" s="341">
        <f t="shared" si="3"/>
        <v>48.8</v>
      </c>
      <c r="S64" s="334">
        <v>4</v>
      </c>
      <c r="T64" s="342">
        <v>31825</v>
      </c>
      <c r="U64" s="355">
        <v>31846</v>
      </c>
      <c r="V64" s="343" t="s">
        <v>566</v>
      </c>
      <c r="W64" s="334" t="s">
        <v>22</v>
      </c>
      <c r="X64" s="334" t="s">
        <v>11</v>
      </c>
      <c r="Y64" s="344">
        <v>48.8</v>
      </c>
      <c r="AD64" s="343"/>
      <c r="AG64" s="344"/>
      <c r="AL64" s="343"/>
      <c r="AO64" s="344"/>
      <c r="AP64" s="343"/>
      <c r="AS64" s="344"/>
      <c r="AW64" s="344"/>
      <c r="BA64" s="345"/>
    </row>
    <row r="65" spans="1:53" s="334" customFormat="1" x14ac:dyDescent="0.15">
      <c r="A65" s="386">
        <v>1988</v>
      </c>
      <c r="B65" s="355"/>
      <c r="C65" s="812" t="s">
        <v>765</v>
      </c>
      <c r="D65" s="812"/>
      <c r="E65" s="334">
        <v>0</v>
      </c>
      <c r="G65" s="336">
        <v>16</v>
      </c>
      <c r="H65" s="454"/>
      <c r="I65" s="200"/>
      <c r="J65" s="337">
        <v>16</v>
      </c>
      <c r="K65" s="338">
        <f t="shared" si="5"/>
        <v>100</v>
      </c>
      <c r="L65" s="338">
        <f t="shared" si="4"/>
        <v>0</v>
      </c>
      <c r="M65" s="338">
        <f t="shared" si="4"/>
        <v>0</v>
      </c>
      <c r="N65" s="339">
        <f t="shared" si="6"/>
        <v>100</v>
      </c>
      <c r="O65" s="340">
        <v>48.8</v>
      </c>
      <c r="P65" s="338"/>
      <c r="Q65" s="338"/>
      <c r="R65" s="341">
        <f t="shared" si="3"/>
        <v>48.8</v>
      </c>
      <c r="S65" s="334">
        <v>4</v>
      </c>
      <c r="T65" s="357"/>
      <c r="V65" s="343" t="s">
        <v>566</v>
      </c>
      <c r="W65" s="334" t="s">
        <v>22</v>
      </c>
      <c r="X65" s="334" t="s">
        <v>11</v>
      </c>
      <c r="Y65" s="344">
        <v>48.8</v>
      </c>
      <c r="AD65" s="343"/>
      <c r="AG65" s="344"/>
      <c r="AL65" s="343"/>
      <c r="AO65" s="344"/>
      <c r="AP65" s="343"/>
      <c r="AS65" s="344"/>
      <c r="AW65" s="344"/>
      <c r="BA65" s="345"/>
    </row>
    <row r="66" spans="1:53" s="334" customFormat="1" x14ac:dyDescent="0.15">
      <c r="A66" s="386">
        <v>1988</v>
      </c>
      <c r="B66" s="355"/>
      <c r="C66" s="812" t="s">
        <v>765</v>
      </c>
      <c r="D66" s="812"/>
      <c r="E66" s="334">
        <v>366</v>
      </c>
      <c r="G66" s="336">
        <v>16</v>
      </c>
      <c r="H66" s="454"/>
      <c r="I66" s="200"/>
      <c r="J66" s="337">
        <v>16</v>
      </c>
      <c r="K66" s="338">
        <f>G66/$J66*100</f>
        <v>100</v>
      </c>
      <c r="L66" s="338">
        <f t="shared" si="4"/>
        <v>0</v>
      </c>
      <c r="M66" s="338">
        <f t="shared" si="4"/>
        <v>0</v>
      </c>
      <c r="N66" s="339">
        <f>K66+L66+M66</f>
        <v>100</v>
      </c>
      <c r="O66" s="340">
        <v>48.8</v>
      </c>
      <c r="P66" s="338"/>
      <c r="Q66" s="338"/>
      <c r="R66" s="341">
        <f t="shared" si="3"/>
        <v>48.8</v>
      </c>
      <c r="S66" s="334">
        <v>4</v>
      </c>
      <c r="T66" s="357"/>
      <c r="V66" s="343" t="s">
        <v>566</v>
      </c>
      <c r="W66" s="334" t="s">
        <v>22</v>
      </c>
      <c r="X66" s="334" t="s">
        <v>11</v>
      </c>
      <c r="Y66" s="344">
        <v>48.8</v>
      </c>
      <c r="AD66" s="343"/>
      <c r="AG66" s="344"/>
      <c r="AL66" s="343"/>
      <c r="AO66" s="344"/>
      <c r="AP66" s="343"/>
      <c r="AS66" s="344"/>
      <c r="AW66" s="344"/>
      <c r="BA66" s="345"/>
    </row>
    <row r="67" spans="1:53" s="334" customFormat="1" x14ac:dyDescent="0.15">
      <c r="A67" s="386">
        <v>1989</v>
      </c>
      <c r="B67" s="355"/>
      <c r="C67" s="812" t="s">
        <v>765</v>
      </c>
      <c r="D67" s="812"/>
      <c r="E67" s="334">
        <v>192</v>
      </c>
      <c r="G67" s="336">
        <v>16</v>
      </c>
      <c r="H67" s="454"/>
      <c r="I67" s="200"/>
      <c r="J67" s="337">
        <v>16</v>
      </c>
      <c r="K67" s="338">
        <f t="shared" ref="K67:K92" si="7">G67/$J67*100</f>
        <v>100</v>
      </c>
      <c r="L67" s="338">
        <f t="shared" si="4"/>
        <v>0</v>
      </c>
      <c r="M67" s="338">
        <f t="shared" si="4"/>
        <v>0</v>
      </c>
      <c r="N67" s="339">
        <f t="shared" ref="N67:N92" si="8">K67+L67+M67</f>
        <v>100</v>
      </c>
      <c r="O67" s="340">
        <v>48.8</v>
      </c>
      <c r="P67" s="338"/>
      <c r="Q67" s="338"/>
      <c r="R67" s="341">
        <f t="shared" si="3"/>
        <v>48.8</v>
      </c>
      <c r="S67" s="334">
        <v>4</v>
      </c>
      <c r="T67" s="357"/>
      <c r="V67" s="343" t="s">
        <v>566</v>
      </c>
      <c r="W67" s="334" t="s">
        <v>22</v>
      </c>
      <c r="X67" s="334" t="s">
        <v>11</v>
      </c>
      <c r="Y67" s="344">
        <v>48.8</v>
      </c>
      <c r="AD67" s="343"/>
      <c r="AG67" s="344"/>
      <c r="AL67" s="343"/>
      <c r="AO67" s="344"/>
      <c r="AP67" s="343"/>
      <c r="AS67" s="344"/>
      <c r="AW67" s="344"/>
      <c r="BA67" s="345"/>
    </row>
    <row r="68" spans="1:53" s="73" customFormat="1" x14ac:dyDescent="0.15">
      <c r="A68" s="102">
        <v>1989</v>
      </c>
      <c r="B68" s="85">
        <v>32701</v>
      </c>
      <c r="C68" s="811" t="s">
        <v>766</v>
      </c>
      <c r="D68" s="811"/>
      <c r="E68" s="73">
        <f>365-E67</f>
        <v>173</v>
      </c>
      <c r="F68" s="73">
        <v>1</v>
      </c>
      <c r="G68" s="74">
        <v>16</v>
      </c>
      <c r="H68" s="176"/>
      <c r="I68" s="75"/>
      <c r="J68" s="76">
        <v>16</v>
      </c>
      <c r="K68" s="77">
        <f t="shared" si="7"/>
        <v>100</v>
      </c>
      <c r="L68" s="77">
        <f t="shared" si="4"/>
        <v>0</v>
      </c>
      <c r="M68" s="77">
        <f t="shared" si="4"/>
        <v>0</v>
      </c>
      <c r="N68" s="78">
        <f t="shared" si="8"/>
        <v>100</v>
      </c>
      <c r="O68" s="79">
        <v>50</v>
      </c>
      <c r="P68" s="77"/>
      <c r="Q68" s="77"/>
      <c r="R68" s="80">
        <f t="shared" si="3"/>
        <v>50</v>
      </c>
      <c r="S68" s="73">
        <v>5</v>
      </c>
      <c r="T68" s="95">
        <v>32674</v>
      </c>
      <c r="U68" s="85">
        <v>32701</v>
      </c>
      <c r="V68" s="82" t="s">
        <v>566</v>
      </c>
      <c r="W68" s="73" t="s">
        <v>22</v>
      </c>
      <c r="X68" s="73" t="s">
        <v>11</v>
      </c>
      <c r="Y68" s="83">
        <v>46.4</v>
      </c>
      <c r="Z68" s="73" t="s">
        <v>568</v>
      </c>
      <c r="AA68" s="73" t="s">
        <v>94</v>
      </c>
      <c r="AB68" s="73" t="s">
        <v>11</v>
      </c>
      <c r="AC68" s="73">
        <v>3.6</v>
      </c>
      <c r="AD68" s="82"/>
      <c r="AG68" s="83"/>
      <c r="AL68" s="82"/>
      <c r="AO68" s="83"/>
      <c r="AP68" s="82"/>
      <c r="AS68" s="83"/>
      <c r="AW68" s="83"/>
      <c r="BA68" s="84"/>
    </row>
    <row r="69" spans="1:53" s="151" customFormat="1" x14ac:dyDescent="0.15">
      <c r="A69" s="151">
        <v>1990</v>
      </c>
      <c r="C69" s="852" t="s">
        <v>766</v>
      </c>
      <c r="D69" s="852"/>
      <c r="E69" s="151">
        <v>0</v>
      </c>
      <c r="G69" s="177">
        <v>16</v>
      </c>
      <c r="H69" s="178"/>
      <c r="I69" s="179"/>
      <c r="J69" s="180">
        <v>16</v>
      </c>
      <c r="K69" s="181">
        <f t="shared" si="7"/>
        <v>100</v>
      </c>
      <c r="L69" s="181">
        <f t="shared" si="4"/>
        <v>0</v>
      </c>
      <c r="M69" s="181">
        <f t="shared" si="4"/>
        <v>0</v>
      </c>
      <c r="N69" s="182">
        <f t="shared" si="8"/>
        <v>100</v>
      </c>
      <c r="O69" s="183">
        <v>50</v>
      </c>
      <c r="P69" s="181"/>
      <c r="Q69" s="181"/>
      <c r="R69" s="184">
        <f t="shared" si="3"/>
        <v>50</v>
      </c>
      <c r="S69" s="151">
        <v>5</v>
      </c>
      <c r="T69" s="171"/>
      <c r="V69" s="172" t="s">
        <v>566</v>
      </c>
      <c r="W69" s="151" t="s">
        <v>22</v>
      </c>
      <c r="X69" s="151" t="s">
        <v>11</v>
      </c>
      <c r="Y69" s="173">
        <v>46.4</v>
      </c>
      <c r="Z69" s="151" t="s">
        <v>568</v>
      </c>
      <c r="AA69" s="151" t="s">
        <v>94</v>
      </c>
      <c r="AB69" s="151" t="s">
        <v>11</v>
      </c>
      <c r="AC69" s="151">
        <v>3.6</v>
      </c>
      <c r="AD69" s="172"/>
      <c r="AG69" s="173"/>
      <c r="AL69" s="172"/>
      <c r="AO69" s="173"/>
      <c r="AP69" s="172"/>
      <c r="AS69" s="173"/>
      <c r="AW69" s="173"/>
      <c r="BA69" s="174"/>
    </row>
    <row r="70" spans="1:53" s="73" customFormat="1" x14ac:dyDescent="0.15">
      <c r="A70" s="73">
        <v>1990</v>
      </c>
      <c r="C70" s="811" t="s">
        <v>766</v>
      </c>
      <c r="D70" s="811"/>
      <c r="E70" s="73">
        <f>365-E69</f>
        <v>365</v>
      </c>
      <c r="G70" s="74">
        <v>16</v>
      </c>
      <c r="H70" s="176"/>
      <c r="I70" s="75"/>
      <c r="J70" s="76">
        <v>16</v>
      </c>
      <c r="K70" s="77">
        <f t="shared" si="7"/>
        <v>100</v>
      </c>
      <c r="L70" s="77">
        <f t="shared" si="4"/>
        <v>0</v>
      </c>
      <c r="M70" s="77">
        <f t="shared" si="4"/>
        <v>0</v>
      </c>
      <c r="N70" s="78">
        <f t="shared" si="8"/>
        <v>100</v>
      </c>
      <c r="O70" s="79">
        <v>50</v>
      </c>
      <c r="P70" s="77"/>
      <c r="Q70" s="77"/>
      <c r="R70" s="80">
        <f t="shared" si="3"/>
        <v>50</v>
      </c>
      <c r="S70" s="73">
        <v>5</v>
      </c>
      <c r="T70" s="81"/>
      <c r="V70" s="82" t="s">
        <v>566</v>
      </c>
      <c r="W70" s="73" t="s">
        <v>22</v>
      </c>
      <c r="X70" s="73" t="s">
        <v>11</v>
      </c>
      <c r="Y70" s="83">
        <v>46.4</v>
      </c>
      <c r="Z70" s="73" t="s">
        <v>568</v>
      </c>
      <c r="AA70" s="73" t="s">
        <v>94</v>
      </c>
      <c r="AB70" s="73" t="s">
        <v>11</v>
      </c>
      <c r="AC70" s="73">
        <v>3.6</v>
      </c>
      <c r="AD70" s="82"/>
      <c r="AG70" s="83"/>
      <c r="AL70" s="82"/>
      <c r="AO70" s="83"/>
      <c r="AP70" s="82"/>
      <c r="AS70" s="83"/>
      <c r="AW70" s="83"/>
      <c r="BA70" s="84"/>
    </row>
    <row r="71" spans="1:53" s="73" customFormat="1" x14ac:dyDescent="0.15">
      <c r="A71" s="73">
        <v>1991</v>
      </c>
      <c r="C71" s="811" t="s">
        <v>766</v>
      </c>
      <c r="D71" s="811"/>
      <c r="E71" s="73">
        <v>0</v>
      </c>
      <c r="G71" s="74">
        <v>16</v>
      </c>
      <c r="H71" s="176"/>
      <c r="I71" s="75"/>
      <c r="J71" s="76">
        <v>16</v>
      </c>
      <c r="K71" s="77">
        <f t="shared" si="7"/>
        <v>100</v>
      </c>
      <c r="L71" s="77">
        <f t="shared" si="4"/>
        <v>0</v>
      </c>
      <c r="M71" s="77">
        <f t="shared" si="4"/>
        <v>0</v>
      </c>
      <c r="N71" s="78">
        <f t="shared" si="8"/>
        <v>100</v>
      </c>
      <c r="O71" s="79">
        <v>50</v>
      </c>
      <c r="P71" s="77"/>
      <c r="Q71" s="77"/>
      <c r="R71" s="80">
        <f t="shared" si="3"/>
        <v>50</v>
      </c>
      <c r="S71" s="73">
        <v>5</v>
      </c>
      <c r="T71" s="81"/>
      <c r="V71" s="82" t="s">
        <v>566</v>
      </c>
      <c r="W71" s="73" t="s">
        <v>22</v>
      </c>
      <c r="X71" s="73" t="s">
        <v>11</v>
      </c>
      <c r="Y71" s="83">
        <v>46.4</v>
      </c>
      <c r="Z71" s="73" t="s">
        <v>568</v>
      </c>
      <c r="AA71" s="73" t="s">
        <v>94</v>
      </c>
      <c r="AB71" s="73" t="s">
        <v>11</v>
      </c>
      <c r="AC71" s="73">
        <v>3.6</v>
      </c>
      <c r="AD71" s="82"/>
      <c r="AG71" s="83"/>
      <c r="AL71" s="82"/>
      <c r="AO71" s="83"/>
      <c r="AP71" s="82"/>
      <c r="AS71" s="83"/>
      <c r="AW71" s="83"/>
      <c r="BA71" s="84"/>
    </row>
    <row r="72" spans="1:53" s="73" customFormat="1" x14ac:dyDescent="0.15">
      <c r="A72" s="73">
        <v>1991</v>
      </c>
      <c r="C72" s="811" t="s">
        <v>766</v>
      </c>
      <c r="D72" s="811"/>
      <c r="E72" s="73">
        <f>365-E71</f>
        <v>365</v>
      </c>
      <c r="G72" s="74">
        <v>16</v>
      </c>
      <c r="H72" s="176"/>
      <c r="I72" s="75"/>
      <c r="J72" s="76">
        <v>16</v>
      </c>
      <c r="K72" s="77">
        <f t="shared" si="7"/>
        <v>100</v>
      </c>
      <c r="L72" s="77">
        <f t="shared" si="4"/>
        <v>0</v>
      </c>
      <c r="M72" s="77">
        <f t="shared" si="4"/>
        <v>0</v>
      </c>
      <c r="N72" s="78">
        <f t="shared" si="8"/>
        <v>100</v>
      </c>
      <c r="O72" s="79">
        <v>50</v>
      </c>
      <c r="P72" s="77"/>
      <c r="Q72" s="77"/>
      <c r="R72" s="80">
        <f t="shared" si="3"/>
        <v>50</v>
      </c>
      <c r="S72" s="73">
        <v>5</v>
      </c>
      <c r="T72" s="81"/>
      <c r="V72" s="82" t="s">
        <v>566</v>
      </c>
      <c r="W72" s="73" t="s">
        <v>22</v>
      </c>
      <c r="X72" s="73" t="s">
        <v>11</v>
      </c>
      <c r="Y72" s="83">
        <v>46.4</v>
      </c>
      <c r="Z72" s="73" t="s">
        <v>568</v>
      </c>
      <c r="AA72" s="73" t="s">
        <v>94</v>
      </c>
      <c r="AB72" s="73" t="s">
        <v>11</v>
      </c>
      <c r="AC72" s="73">
        <v>3.6</v>
      </c>
      <c r="AD72" s="82"/>
      <c r="AG72" s="83"/>
      <c r="AL72" s="82"/>
      <c r="AO72" s="83"/>
      <c r="AP72" s="82"/>
      <c r="AS72" s="83"/>
      <c r="AW72" s="83"/>
      <c r="BA72" s="84"/>
    </row>
    <row r="73" spans="1:53" s="73" customFormat="1" x14ac:dyDescent="0.15">
      <c r="A73" s="73">
        <v>1992</v>
      </c>
      <c r="C73" s="811" t="s">
        <v>766</v>
      </c>
      <c r="D73" s="811"/>
      <c r="E73" s="73">
        <v>41</v>
      </c>
      <c r="G73" s="74">
        <v>16</v>
      </c>
      <c r="H73" s="176"/>
      <c r="I73" s="75"/>
      <c r="J73" s="76">
        <v>16</v>
      </c>
      <c r="K73" s="77">
        <f t="shared" si="7"/>
        <v>100</v>
      </c>
      <c r="L73" s="77">
        <f t="shared" si="4"/>
        <v>0</v>
      </c>
      <c r="M73" s="77">
        <f t="shared" si="4"/>
        <v>0</v>
      </c>
      <c r="N73" s="78">
        <f t="shared" si="8"/>
        <v>100</v>
      </c>
      <c r="O73" s="79">
        <v>50</v>
      </c>
      <c r="P73" s="77"/>
      <c r="Q73" s="77"/>
      <c r="R73" s="80">
        <f t="shared" ref="R73:R117" si="9">O73+P73+Q73</f>
        <v>50</v>
      </c>
      <c r="S73" s="73">
        <v>5</v>
      </c>
      <c r="T73" s="81"/>
      <c r="V73" s="82" t="s">
        <v>566</v>
      </c>
      <c r="W73" s="73" t="s">
        <v>22</v>
      </c>
      <c r="X73" s="73" t="s">
        <v>11</v>
      </c>
      <c r="Y73" s="83">
        <v>46.4</v>
      </c>
      <c r="Z73" s="73" t="s">
        <v>568</v>
      </c>
      <c r="AA73" s="73" t="s">
        <v>94</v>
      </c>
      <c r="AB73" s="73" t="s">
        <v>11</v>
      </c>
      <c r="AC73" s="73">
        <v>3.6</v>
      </c>
      <c r="AD73" s="82"/>
      <c r="AG73" s="83"/>
      <c r="AL73" s="82"/>
      <c r="AO73" s="83"/>
      <c r="AP73" s="82"/>
      <c r="AS73" s="83"/>
      <c r="AW73" s="83"/>
      <c r="BA73" s="84"/>
    </row>
    <row r="74" spans="1:53" s="334" customFormat="1" x14ac:dyDescent="0.15">
      <c r="A74" s="334">
        <v>1992</v>
      </c>
      <c r="B74" s="355">
        <v>33645</v>
      </c>
      <c r="C74" s="812" t="s">
        <v>767</v>
      </c>
      <c r="D74" s="812"/>
      <c r="E74" s="334">
        <f>366-E73</f>
        <v>325</v>
      </c>
      <c r="F74" s="334">
        <v>2</v>
      </c>
      <c r="G74" s="336">
        <v>15</v>
      </c>
      <c r="H74" s="454"/>
      <c r="I74" s="200"/>
      <c r="J74" s="337">
        <v>15</v>
      </c>
      <c r="K74" s="338">
        <f t="shared" si="7"/>
        <v>100</v>
      </c>
      <c r="L74" s="338">
        <f t="shared" si="4"/>
        <v>0</v>
      </c>
      <c r="M74" s="338">
        <f t="shared" si="4"/>
        <v>0</v>
      </c>
      <c r="N74" s="339">
        <f t="shared" si="8"/>
        <v>100</v>
      </c>
      <c r="O74" s="340">
        <v>50</v>
      </c>
      <c r="P74" s="338"/>
      <c r="Q74" s="338"/>
      <c r="R74" s="341">
        <f t="shared" si="9"/>
        <v>50</v>
      </c>
      <c r="S74" s="334">
        <v>5</v>
      </c>
      <c r="T74" s="342"/>
      <c r="U74" s="355">
        <v>33645</v>
      </c>
      <c r="V74" s="343" t="s">
        <v>566</v>
      </c>
      <c r="W74" s="334" t="s">
        <v>22</v>
      </c>
      <c r="X74" s="334" t="s">
        <v>11</v>
      </c>
      <c r="Y74" s="344">
        <v>46.4</v>
      </c>
      <c r="Z74" s="334" t="s">
        <v>568</v>
      </c>
      <c r="AA74" s="334" t="s">
        <v>94</v>
      </c>
      <c r="AB74" s="334" t="s">
        <v>11</v>
      </c>
      <c r="AC74" s="334">
        <v>3.6</v>
      </c>
      <c r="AD74" s="343"/>
      <c r="AG74" s="344"/>
      <c r="AL74" s="343"/>
      <c r="AO74" s="344"/>
      <c r="AP74" s="343"/>
      <c r="AS74" s="344"/>
      <c r="AW74" s="344"/>
      <c r="BA74" s="345"/>
    </row>
    <row r="75" spans="1:53" s="334" customFormat="1" x14ac:dyDescent="0.15">
      <c r="A75" s="334">
        <v>1993</v>
      </c>
      <c r="C75" s="812" t="s">
        <v>767</v>
      </c>
      <c r="D75" s="812"/>
      <c r="E75" s="334">
        <v>11</v>
      </c>
      <c r="G75" s="336">
        <v>15</v>
      </c>
      <c r="H75" s="454"/>
      <c r="I75" s="200"/>
      <c r="J75" s="337">
        <v>15</v>
      </c>
      <c r="K75" s="338">
        <f t="shared" si="7"/>
        <v>100</v>
      </c>
      <c r="L75" s="338">
        <f t="shared" si="4"/>
        <v>0</v>
      </c>
      <c r="M75" s="338">
        <f t="shared" si="4"/>
        <v>0</v>
      </c>
      <c r="N75" s="339">
        <f t="shared" si="8"/>
        <v>100</v>
      </c>
      <c r="O75" s="340">
        <v>50</v>
      </c>
      <c r="P75" s="338"/>
      <c r="Q75" s="338"/>
      <c r="R75" s="341">
        <f t="shared" si="9"/>
        <v>50</v>
      </c>
      <c r="S75" s="334">
        <v>5</v>
      </c>
      <c r="T75" s="342">
        <v>33933</v>
      </c>
      <c r="V75" s="343" t="s">
        <v>566</v>
      </c>
      <c r="W75" s="334" t="s">
        <v>22</v>
      </c>
      <c r="X75" s="334" t="s">
        <v>11</v>
      </c>
      <c r="Y75" s="344">
        <v>46.4</v>
      </c>
      <c r="Z75" s="334" t="s">
        <v>568</v>
      </c>
      <c r="AA75" s="334" t="s">
        <v>94</v>
      </c>
      <c r="AB75" s="334" t="s">
        <v>11</v>
      </c>
      <c r="AC75" s="334">
        <v>3.6</v>
      </c>
      <c r="AD75" s="343"/>
      <c r="AG75" s="344"/>
      <c r="AL75" s="343"/>
      <c r="AO75" s="344"/>
      <c r="AP75" s="343"/>
      <c r="AS75" s="344"/>
      <c r="AW75" s="344"/>
      <c r="BA75" s="345"/>
    </row>
    <row r="76" spans="1:53" s="73" customFormat="1" x14ac:dyDescent="0.15">
      <c r="A76" s="73">
        <v>1993</v>
      </c>
      <c r="B76" s="85">
        <v>33981</v>
      </c>
      <c r="C76" s="811" t="s">
        <v>768</v>
      </c>
      <c r="D76" s="811"/>
      <c r="E76" s="73">
        <f>365-E75</f>
        <v>354</v>
      </c>
      <c r="F76" s="73">
        <v>4</v>
      </c>
      <c r="G76" s="74">
        <v>9</v>
      </c>
      <c r="H76" s="176"/>
      <c r="I76" s="75">
        <v>6</v>
      </c>
      <c r="J76" s="76">
        <v>15</v>
      </c>
      <c r="K76" s="77">
        <f t="shared" si="7"/>
        <v>60</v>
      </c>
      <c r="L76" s="77">
        <f t="shared" si="4"/>
        <v>0</v>
      </c>
      <c r="M76" s="77">
        <f t="shared" si="4"/>
        <v>40</v>
      </c>
      <c r="N76" s="78">
        <f t="shared" si="8"/>
        <v>100</v>
      </c>
      <c r="O76" s="79">
        <v>41</v>
      </c>
      <c r="P76" s="77"/>
      <c r="Q76" s="77">
        <v>19.899999999999999</v>
      </c>
      <c r="R76" s="80">
        <f t="shared" si="9"/>
        <v>60.9</v>
      </c>
      <c r="S76" s="73">
        <v>2</v>
      </c>
      <c r="T76" s="81"/>
      <c r="U76" s="85">
        <v>33981</v>
      </c>
      <c r="V76" s="82" t="s">
        <v>566</v>
      </c>
      <c r="W76" s="73" t="s">
        <v>22</v>
      </c>
      <c r="X76" s="73" t="s">
        <v>11</v>
      </c>
      <c r="Y76" s="83">
        <v>41</v>
      </c>
      <c r="Z76" s="73" t="s">
        <v>464</v>
      </c>
      <c r="AA76" s="73" t="s">
        <v>20</v>
      </c>
      <c r="AB76" s="73" t="s">
        <v>12</v>
      </c>
      <c r="AC76" s="73">
        <v>19.899999999999999</v>
      </c>
      <c r="AD76" s="82"/>
      <c r="AG76" s="83"/>
      <c r="AL76" s="82"/>
      <c r="AO76" s="83"/>
      <c r="AP76" s="82"/>
      <c r="AS76" s="83"/>
      <c r="AW76" s="83"/>
      <c r="BA76" s="84"/>
    </row>
    <row r="77" spans="1:53" s="73" customFormat="1" x14ac:dyDescent="0.15">
      <c r="A77" s="73">
        <v>1994</v>
      </c>
      <c r="C77" s="811" t="s">
        <v>768</v>
      </c>
      <c r="D77" s="811"/>
      <c r="E77" s="73">
        <v>348</v>
      </c>
      <c r="G77" s="74">
        <v>9</v>
      </c>
      <c r="H77" s="176"/>
      <c r="I77" s="75">
        <v>6</v>
      </c>
      <c r="J77" s="76">
        <v>15</v>
      </c>
      <c r="K77" s="77">
        <f t="shared" si="7"/>
        <v>60</v>
      </c>
      <c r="L77" s="77">
        <f t="shared" si="4"/>
        <v>0</v>
      </c>
      <c r="M77" s="77">
        <f t="shared" si="4"/>
        <v>40</v>
      </c>
      <c r="N77" s="78">
        <f t="shared" si="8"/>
        <v>100</v>
      </c>
      <c r="O77" s="79">
        <v>41</v>
      </c>
      <c r="P77" s="77"/>
      <c r="Q77" s="77">
        <v>19.899999999999999</v>
      </c>
      <c r="R77" s="80">
        <f t="shared" si="9"/>
        <v>60.9</v>
      </c>
      <c r="S77" s="73">
        <v>2</v>
      </c>
      <c r="T77" s="81"/>
      <c r="V77" s="82" t="s">
        <v>566</v>
      </c>
      <c r="W77" s="73" t="s">
        <v>22</v>
      </c>
      <c r="X77" s="73" t="s">
        <v>11</v>
      </c>
      <c r="Y77" s="83">
        <v>41</v>
      </c>
      <c r="Z77" s="73" t="s">
        <v>464</v>
      </c>
      <c r="AA77" s="73" t="s">
        <v>20</v>
      </c>
      <c r="AB77" s="73" t="s">
        <v>12</v>
      </c>
      <c r="AC77" s="73">
        <v>19.899999999999999</v>
      </c>
      <c r="AD77" s="82"/>
      <c r="AG77" s="83"/>
      <c r="AL77" s="82"/>
      <c r="AO77" s="83"/>
      <c r="AP77" s="82"/>
      <c r="AS77" s="83"/>
      <c r="AW77" s="83"/>
      <c r="BA77" s="84"/>
    </row>
    <row r="78" spans="1:53" s="334" customFormat="1" x14ac:dyDescent="0.15">
      <c r="A78" s="334">
        <v>1994</v>
      </c>
      <c r="B78" s="355">
        <v>34683</v>
      </c>
      <c r="C78" s="812" t="s">
        <v>769</v>
      </c>
      <c r="D78" s="812"/>
      <c r="E78" s="334">
        <f>365-E77</f>
        <v>17</v>
      </c>
      <c r="F78" s="334">
        <v>4</v>
      </c>
      <c r="G78" s="336"/>
      <c r="H78" s="454">
        <v>8</v>
      </c>
      <c r="I78" s="200">
        <v>7</v>
      </c>
      <c r="J78" s="337">
        <v>15</v>
      </c>
      <c r="K78" s="338">
        <f t="shared" si="7"/>
        <v>0</v>
      </c>
      <c r="L78" s="338">
        <f t="shared" si="4"/>
        <v>53.333333333333336</v>
      </c>
      <c r="M78" s="338">
        <f t="shared" si="4"/>
        <v>46.666666666666664</v>
      </c>
      <c r="N78" s="339">
        <f t="shared" si="8"/>
        <v>100</v>
      </c>
      <c r="O78" s="340"/>
      <c r="P78" s="338">
        <v>27.1</v>
      </c>
      <c r="Q78" s="338">
        <v>22.3</v>
      </c>
      <c r="R78" s="341">
        <f t="shared" si="9"/>
        <v>49.400000000000006</v>
      </c>
      <c r="S78" s="334">
        <v>5</v>
      </c>
      <c r="T78" s="357"/>
      <c r="U78" s="355">
        <v>34683</v>
      </c>
      <c r="V78" s="343" t="s">
        <v>567</v>
      </c>
      <c r="W78" s="334" t="s">
        <v>17</v>
      </c>
      <c r="X78" s="334" t="s">
        <v>18</v>
      </c>
      <c r="Y78" s="344">
        <v>27.1</v>
      </c>
      <c r="Z78" s="334" t="s">
        <v>464</v>
      </c>
      <c r="AA78" s="334" t="s">
        <v>20</v>
      </c>
      <c r="AB78" s="334" t="s">
        <v>12</v>
      </c>
      <c r="AC78" s="334">
        <v>19.899999999999999</v>
      </c>
      <c r="AD78" s="343" t="s">
        <v>569</v>
      </c>
      <c r="AE78" s="334" t="s">
        <v>310</v>
      </c>
      <c r="AF78" s="334" t="s">
        <v>12</v>
      </c>
      <c r="AG78" s="344">
        <v>2.4</v>
      </c>
      <c r="AL78" s="343"/>
      <c r="AO78" s="344"/>
      <c r="AP78" s="343"/>
      <c r="AS78" s="344"/>
      <c r="AW78" s="344"/>
      <c r="BA78" s="345"/>
    </row>
    <row r="79" spans="1:53" s="334" customFormat="1" x14ac:dyDescent="0.15">
      <c r="A79" s="334">
        <v>1995</v>
      </c>
      <c r="C79" s="812" t="s">
        <v>769</v>
      </c>
      <c r="D79" s="812"/>
      <c r="E79" s="334">
        <v>0</v>
      </c>
      <c r="G79" s="336"/>
      <c r="H79" s="454">
        <v>8</v>
      </c>
      <c r="I79" s="200">
        <v>7</v>
      </c>
      <c r="J79" s="337">
        <v>15</v>
      </c>
      <c r="K79" s="338">
        <f t="shared" si="7"/>
        <v>0</v>
      </c>
      <c r="L79" s="338">
        <f t="shared" si="4"/>
        <v>53.333333333333336</v>
      </c>
      <c r="M79" s="338">
        <f t="shared" si="4"/>
        <v>46.666666666666664</v>
      </c>
      <c r="N79" s="339">
        <f t="shared" si="8"/>
        <v>100</v>
      </c>
      <c r="O79" s="340"/>
      <c r="P79" s="338">
        <v>27.1</v>
      </c>
      <c r="Q79" s="338">
        <v>22.3</v>
      </c>
      <c r="R79" s="341">
        <f t="shared" si="9"/>
        <v>49.400000000000006</v>
      </c>
      <c r="S79" s="334">
        <v>5</v>
      </c>
      <c r="T79" s="357"/>
      <c r="V79" s="343" t="s">
        <v>567</v>
      </c>
      <c r="W79" s="334" t="s">
        <v>17</v>
      </c>
      <c r="X79" s="334" t="s">
        <v>18</v>
      </c>
      <c r="Y79" s="344">
        <v>27.1</v>
      </c>
      <c r="Z79" s="334" t="s">
        <v>464</v>
      </c>
      <c r="AA79" s="334" t="s">
        <v>20</v>
      </c>
      <c r="AB79" s="334" t="s">
        <v>12</v>
      </c>
      <c r="AC79" s="334">
        <v>19.899999999999999</v>
      </c>
      <c r="AD79" s="343" t="s">
        <v>569</v>
      </c>
      <c r="AE79" s="334" t="s">
        <v>310</v>
      </c>
      <c r="AF79" s="334" t="s">
        <v>12</v>
      </c>
      <c r="AG79" s="344">
        <v>2.4</v>
      </c>
      <c r="AL79" s="343"/>
      <c r="AO79" s="344"/>
      <c r="AP79" s="343"/>
      <c r="AS79" s="344"/>
      <c r="AW79" s="344"/>
      <c r="BA79" s="345"/>
    </row>
    <row r="80" spans="1:53" s="334" customFormat="1" x14ac:dyDescent="0.15">
      <c r="A80" s="334">
        <v>1995</v>
      </c>
      <c r="C80" s="812" t="s">
        <v>769</v>
      </c>
      <c r="D80" s="812"/>
      <c r="E80" s="334">
        <f>365-E79</f>
        <v>365</v>
      </c>
      <c r="G80" s="336"/>
      <c r="H80" s="454">
        <v>8</v>
      </c>
      <c r="I80" s="200">
        <v>7</v>
      </c>
      <c r="J80" s="337">
        <v>15</v>
      </c>
      <c r="K80" s="338">
        <f t="shared" si="7"/>
        <v>0</v>
      </c>
      <c r="L80" s="338">
        <f t="shared" si="4"/>
        <v>53.333333333333336</v>
      </c>
      <c r="M80" s="338">
        <f t="shared" si="4"/>
        <v>46.666666666666664</v>
      </c>
      <c r="N80" s="339">
        <f t="shared" si="8"/>
        <v>100</v>
      </c>
      <c r="O80" s="340"/>
      <c r="P80" s="338">
        <v>27.1</v>
      </c>
      <c r="Q80" s="338">
        <v>22.3</v>
      </c>
      <c r="R80" s="341">
        <f t="shared" si="9"/>
        <v>49.400000000000006</v>
      </c>
      <c r="S80" s="334">
        <v>5</v>
      </c>
      <c r="T80" s="357"/>
      <c r="V80" s="343" t="s">
        <v>567</v>
      </c>
      <c r="W80" s="334" t="s">
        <v>17</v>
      </c>
      <c r="X80" s="334" t="s">
        <v>18</v>
      </c>
      <c r="Y80" s="344">
        <v>27.1</v>
      </c>
      <c r="Z80" s="334" t="s">
        <v>464</v>
      </c>
      <c r="AA80" s="334" t="s">
        <v>20</v>
      </c>
      <c r="AB80" s="334" t="s">
        <v>12</v>
      </c>
      <c r="AC80" s="334">
        <v>19.899999999999999</v>
      </c>
      <c r="AD80" s="343" t="s">
        <v>569</v>
      </c>
      <c r="AE80" s="334" t="s">
        <v>310</v>
      </c>
      <c r="AF80" s="334" t="s">
        <v>12</v>
      </c>
      <c r="AG80" s="344">
        <v>2.4</v>
      </c>
      <c r="AL80" s="343"/>
      <c r="AO80" s="344"/>
      <c r="AP80" s="343"/>
      <c r="AS80" s="344"/>
      <c r="AW80" s="344"/>
      <c r="BA80" s="345"/>
    </row>
    <row r="81" spans="1:53" s="334" customFormat="1" x14ac:dyDescent="0.15">
      <c r="A81" s="334">
        <v>1996</v>
      </c>
      <c r="C81" s="812" t="s">
        <v>769</v>
      </c>
      <c r="D81" s="812"/>
      <c r="E81" s="334">
        <v>0</v>
      </c>
      <c r="G81" s="336"/>
      <c r="H81" s="454">
        <v>8</v>
      </c>
      <c r="I81" s="200">
        <v>7</v>
      </c>
      <c r="J81" s="337">
        <v>15</v>
      </c>
      <c r="K81" s="338">
        <f t="shared" si="7"/>
        <v>0</v>
      </c>
      <c r="L81" s="338">
        <f t="shared" si="4"/>
        <v>53.333333333333336</v>
      </c>
      <c r="M81" s="338">
        <f t="shared" si="4"/>
        <v>46.666666666666664</v>
      </c>
      <c r="N81" s="339">
        <f t="shared" si="8"/>
        <v>100</v>
      </c>
      <c r="O81" s="340"/>
      <c r="P81" s="338">
        <v>27.1</v>
      </c>
      <c r="Q81" s="338">
        <v>22.3</v>
      </c>
      <c r="R81" s="341">
        <f t="shared" si="9"/>
        <v>49.400000000000006</v>
      </c>
      <c r="S81" s="334">
        <v>5</v>
      </c>
      <c r="T81" s="357"/>
      <c r="V81" s="343" t="s">
        <v>567</v>
      </c>
      <c r="W81" s="334" t="s">
        <v>17</v>
      </c>
      <c r="X81" s="334" t="s">
        <v>18</v>
      </c>
      <c r="Y81" s="344">
        <v>27.1</v>
      </c>
      <c r="Z81" s="334" t="s">
        <v>464</v>
      </c>
      <c r="AA81" s="334" t="s">
        <v>20</v>
      </c>
      <c r="AB81" s="334" t="s">
        <v>12</v>
      </c>
      <c r="AC81" s="334">
        <v>19.899999999999999</v>
      </c>
      <c r="AD81" s="343" t="s">
        <v>569</v>
      </c>
      <c r="AE81" s="334" t="s">
        <v>310</v>
      </c>
      <c r="AF81" s="334" t="s">
        <v>12</v>
      </c>
      <c r="AG81" s="344">
        <v>2.4</v>
      </c>
      <c r="AL81" s="343"/>
      <c r="AO81" s="344"/>
      <c r="AP81" s="343"/>
      <c r="AS81" s="344"/>
      <c r="AW81" s="344"/>
      <c r="BA81" s="345"/>
    </row>
    <row r="82" spans="1:53" s="334" customFormat="1" x14ac:dyDescent="0.15">
      <c r="A82" s="334">
        <v>1996</v>
      </c>
      <c r="C82" s="812" t="s">
        <v>769</v>
      </c>
      <c r="D82" s="812"/>
      <c r="E82" s="334">
        <v>366</v>
      </c>
      <c r="G82" s="336"/>
      <c r="H82" s="454">
        <v>8</v>
      </c>
      <c r="I82" s="200">
        <v>7</v>
      </c>
      <c r="J82" s="337">
        <v>15</v>
      </c>
      <c r="K82" s="338">
        <f t="shared" si="7"/>
        <v>0</v>
      </c>
      <c r="L82" s="338">
        <f t="shared" si="4"/>
        <v>53.333333333333336</v>
      </c>
      <c r="M82" s="338">
        <f t="shared" si="4"/>
        <v>46.666666666666664</v>
      </c>
      <c r="N82" s="339">
        <f t="shared" si="8"/>
        <v>100</v>
      </c>
      <c r="O82" s="340"/>
      <c r="P82" s="338">
        <v>27.1</v>
      </c>
      <c r="Q82" s="338">
        <v>22.3</v>
      </c>
      <c r="R82" s="341">
        <f t="shared" si="9"/>
        <v>49.400000000000006</v>
      </c>
      <c r="S82" s="334">
        <v>5</v>
      </c>
      <c r="T82" s="357"/>
      <c r="V82" s="343" t="s">
        <v>567</v>
      </c>
      <c r="W82" s="334" t="s">
        <v>17</v>
      </c>
      <c r="X82" s="334" t="s">
        <v>18</v>
      </c>
      <c r="Y82" s="344">
        <v>27.1</v>
      </c>
      <c r="Z82" s="334" t="s">
        <v>464</v>
      </c>
      <c r="AA82" s="334" t="s">
        <v>20</v>
      </c>
      <c r="AB82" s="334" t="s">
        <v>12</v>
      </c>
      <c r="AC82" s="334">
        <v>19.899999999999999</v>
      </c>
      <c r="AD82" s="343" t="s">
        <v>569</v>
      </c>
      <c r="AE82" s="334" t="s">
        <v>310</v>
      </c>
      <c r="AF82" s="334" t="s">
        <v>12</v>
      </c>
      <c r="AG82" s="344">
        <v>2.4</v>
      </c>
      <c r="AL82" s="343"/>
      <c r="AO82" s="344"/>
      <c r="AP82" s="343"/>
      <c r="AS82" s="344"/>
      <c r="AW82" s="344"/>
      <c r="BA82" s="345"/>
    </row>
    <row r="83" spans="1:53" s="334" customFormat="1" x14ac:dyDescent="0.15">
      <c r="A83" s="334">
        <v>1997</v>
      </c>
      <c r="C83" s="812" t="s">
        <v>769</v>
      </c>
      <c r="D83" s="812"/>
      <c r="E83" s="334">
        <v>176</v>
      </c>
      <c r="G83" s="336"/>
      <c r="H83" s="454">
        <v>8</v>
      </c>
      <c r="I83" s="200">
        <v>7</v>
      </c>
      <c r="J83" s="337">
        <v>15</v>
      </c>
      <c r="K83" s="338">
        <f t="shared" si="7"/>
        <v>0</v>
      </c>
      <c r="L83" s="338">
        <f t="shared" si="4"/>
        <v>53.333333333333336</v>
      </c>
      <c r="M83" s="338">
        <f t="shared" si="4"/>
        <v>46.666666666666664</v>
      </c>
      <c r="N83" s="339">
        <f t="shared" si="8"/>
        <v>100</v>
      </c>
      <c r="O83" s="340"/>
      <c r="P83" s="338">
        <v>27.1</v>
      </c>
      <c r="Q83" s="338">
        <v>22.3</v>
      </c>
      <c r="R83" s="341">
        <f t="shared" si="9"/>
        <v>49.400000000000006</v>
      </c>
      <c r="S83" s="334">
        <v>5</v>
      </c>
      <c r="T83" s="357"/>
      <c r="V83" s="343" t="s">
        <v>567</v>
      </c>
      <c r="W83" s="334" t="s">
        <v>17</v>
      </c>
      <c r="X83" s="334" t="s">
        <v>18</v>
      </c>
      <c r="Y83" s="344">
        <v>27.1</v>
      </c>
      <c r="Z83" s="334" t="s">
        <v>464</v>
      </c>
      <c r="AA83" s="334" t="s">
        <v>20</v>
      </c>
      <c r="AB83" s="334" t="s">
        <v>12</v>
      </c>
      <c r="AC83" s="334">
        <v>19.899999999999999</v>
      </c>
      <c r="AD83" s="343" t="s">
        <v>569</v>
      </c>
      <c r="AE83" s="334" t="s">
        <v>310</v>
      </c>
      <c r="AF83" s="334" t="s">
        <v>12</v>
      </c>
      <c r="AG83" s="344">
        <v>2.4</v>
      </c>
      <c r="AL83" s="343"/>
      <c r="AO83" s="344"/>
      <c r="AP83" s="343"/>
      <c r="AS83" s="344"/>
      <c r="AW83" s="344"/>
      <c r="BA83" s="345"/>
    </row>
    <row r="84" spans="1:53" s="73" customFormat="1" x14ac:dyDescent="0.15">
      <c r="A84" s="73">
        <v>1997</v>
      </c>
      <c r="B84" s="85">
        <v>35607</v>
      </c>
      <c r="C84" s="811" t="s">
        <v>770</v>
      </c>
      <c r="D84" s="811"/>
      <c r="E84" s="73">
        <f>365-E83</f>
        <v>189</v>
      </c>
      <c r="F84" s="73">
        <v>1</v>
      </c>
      <c r="G84" s="74">
        <v>15</v>
      </c>
      <c r="H84" s="176"/>
      <c r="I84" s="75"/>
      <c r="J84" s="76">
        <v>15</v>
      </c>
      <c r="K84" s="77">
        <f t="shared" si="7"/>
        <v>100</v>
      </c>
      <c r="L84" s="77">
        <f t="shared" si="4"/>
        <v>0</v>
      </c>
      <c r="M84" s="77">
        <f t="shared" si="4"/>
        <v>0</v>
      </c>
      <c r="N84" s="78">
        <f t="shared" si="8"/>
        <v>100</v>
      </c>
      <c r="O84" s="79">
        <v>48.8</v>
      </c>
      <c r="P84" s="77"/>
      <c r="Q84" s="77"/>
      <c r="R84" s="80">
        <f t="shared" si="9"/>
        <v>48.8</v>
      </c>
      <c r="S84" s="73">
        <v>5</v>
      </c>
      <c r="T84" s="95">
        <v>35587</v>
      </c>
      <c r="U84" s="85">
        <v>35607</v>
      </c>
      <c r="V84" s="82" t="s">
        <v>566</v>
      </c>
      <c r="W84" s="73" t="s">
        <v>22</v>
      </c>
      <c r="X84" s="73" t="s">
        <v>11</v>
      </c>
      <c r="Y84" s="83">
        <v>46.4</v>
      </c>
      <c r="Z84" s="73" t="s">
        <v>568</v>
      </c>
      <c r="AA84" s="73" t="s">
        <v>94</v>
      </c>
      <c r="AB84" s="73" t="s">
        <v>11</v>
      </c>
      <c r="AC84" s="73">
        <v>2.4</v>
      </c>
      <c r="AD84" s="82"/>
      <c r="AG84" s="83"/>
      <c r="AL84" s="82"/>
      <c r="AO84" s="83"/>
      <c r="AP84" s="82"/>
      <c r="AS84" s="83"/>
      <c r="AW84" s="83"/>
      <c r="BA84" s="84"/>
    </row>
    <row r="85" spans="1:53" s="73" customFormat="1" x14ac:dyDescent="0.15">
      <c r="A85" s="73">
        <v>1998</v>
      </c>
      <c r="C85" s="811" t="s">
        <v>770</v>
      </c>
      <c r="D85" s="811"/>
      <c r="E85" s="73">
        <v>0</v>
      </c>
      <c r="G85" s="74">
        <v>15</v>
      </c>
      <c r="H85" s="176"/>
      <c r="I85" s="75"/>
      <c r="J85" s="76">
        <v>15</v>
      </c>
      <c r="K85" s="77">
        <f t="shared" si="7"/>
        <v>100</v>
      </c>
      <c r="L85" s="77">
        <f t="shared" si="4"/>
        <v>0</v>
      </c>
      <c r="M85" s="77">
        <f t="shared" si="4"/>
        <v>0</v>
      </c>
      <c r="N85" s="78">
        <f t="shared" si="8"/>
        <v>100</v>
      </c>
      <c r="O85" s="79">
        <v>48.8</v>
      </c>
      <c r="P85" s="77"/>
      <c r="Q85" s="77"/>
      <c r="R85" s="80">
        <f t="shared" si="9"/>
        <v>48.8</v>
      </c>
      <c r="S85" s="73">
        <v>5</v>
      </c>
      <c r="T85" s="81"/>
      <c r="V85" s="82" t="s">
        <v>566</v>
      </c>
      <c r="W85" s="73" t="s">
        <v>22</v>
      </c>
      <c r="X85" s="73" t="s">
        <v>11</v>
      </c>
      <c r="Y85" s="83">
        <v>46.4</v>
      </c>
      <c r="Z85" s="73" t="s">
        <v>568</v>
      </c>
      <c r="AA85" s="73" t="s">
        <v>94</v>
      </c>
      <c r="AB85" s="73" t="s">
        <v>11</v>
      </c>
      <c r="AC85" s="73">
        <v>2.4</v>
      </c>
      <c r="AD85" s="82"/>
      <c r="AG85" s="83"/>
      <c r="AL85" s="82"/>
      <c r="AO85" s="83"/>
      <c r="AP85" s="82"/>
      <c r="AS85" s="83"/>
      <c r="AW85" s="83"/>
      <c r="BA85" s="84"/>
    </row>
    <row r="86" spans="1:53" s="73" customFormat="1" x14ac:dyDescent="0.15">
      <c r="A86" s="73">
        <v>1998</v>
      </c>
      <c r="C86" s="811" t="s">
        <v>770</v>
      </c>
      <c r="D86" s="811"/>
      <c r="E86" s="73">
        <f>365-E85</f>
        <v>365</v>
      </c>
      <c r="G86" s="74">
        <v>15</v>
      </c>
      <c r="H86" s="176"/>
      <c r="I86" s="75"/>
      <c r="J86" s="76">
        <v>15</v>
      </c>
      <c r="K86" s="77">
        <f t="shared" si="7"/>
        <v>100</v>
      </c>
      <c r="L86" s="77">
        <f t="shared" si="4"/>
        <v>0</v>
      </c>
      <c r="M86" s="77">
        <f t="shared" si="4"/>
        <v>0</v>
      </c>
      <c r="N86" s="78">
        <f t="shared" si="8"/>
        <v>100</v>
      </c>
      <c r="O86" s="79">
        <v>48.8</v>
      </c>
      <c r="P86" s="77"/>
      <c r="Q86" s="77"/>
      <c r="R86" s="80">
        <f t="shared" si="9"/>
        <v>48.8</v>
      </c>
      <c r="S86" s="73">
        <v>5</v>
      </c>
      <c r="T86" s="81"/>
      <c r="V86" s="82" t="s">
        <v>566</v>
      </c>
      <c r="W86" s="73" t="s">
        <v>22</v>
      </c>
      <c r="X86" s="73" t="s">
        <v>11</v>
      </c>
      <c r="Y86" s="83">
        <v>46.4</v>
      </c>
      <c r="Z86" s="73" t="s">
        <v>568</v>
      </c>
      <c r="AA86" s="73" t="s">
        <v>94</v>
      </c>
      <c r="AB86" s="73" t="s">
        <v>11</v>
      </c>
      <c r="AC86" s="73">
        <v>2.4</v>
      </c>
      <c r="AD86" s="82"/>
      <c r="AG86" s="83"/>
      <c r="AL86" s="82"/>
      <c r="AO86" s="83"/>
      <c r="AP86" s="82"/>
      <c r="AS86" s="83"/>
      <c r="AW86" s="83"/>
      <c r="BA86" s="84"/>
    </row>
    <row r="87" spans="1:53" s="73" customFormat="1" x14ac:dyDescent="0.15">
      <c r="A87" s="73">
        <v>1999</v>
      </c>
      <c r="C87" s="811" t="s">
        <v>770</v>
      </c>
      <c r="D87" s="811"/>
      <c r="E87" s="73">
        <v>0</v>
      </c>
      <c r="G87" s="74">
        <v>15</v>
      </c>
      <c r="H87" s="176"/>
      <c r="I87" s="75"/>
      <c r="J87" s="76">
        <v>15</v>
      </c>
      <c r="K87" s="77">
        <f t="shared" si="7"/>
        <v>100</v>
      </c>
      <c r="L87" s="77">
        <f t="shared" si="4"/>
        <v>0</v>
      </c>
      <c r="M87" s="77">
        <f t="shared" si="4"/>
        <v>0</v>
      </c>
      <c r="N87" s="78">
        <f t="shared" si="8"/>
        <v>100</v>
      </c>
      <c r="O87" s="79">
        <v>48.8</v>
      </c>
      <c r="P87" s="77"/>
      <c r="Q87" s="77"/>
      <c r="R87" s="80">
        <f t="shared" si="9"/>
        <v>48.8</v>
      </c>
      <c r="S87" s="73">
        <v>5</v>
      </c>
      <c r="T87" s="81"/>
      <c r="V87" s="82" t="s">
        <v>566</v>
      </c>
      <c r="W87" s="73" t="s">
        <v>22</v>
      </c>
      <c r="X87" s="73" t="s">
        <v>11</v>
      </c>
      <c r="Y87" s="83">
        <v>46.4</v>
      </c>
      <c r="Z87" s="73" t="s">
        <v>568</v>
      </c>
      <c r="AA87" s="73" t="s">
        <v>94</v>
      </c>
      <c r="AB87" s="73" t="s">
        <v>11</v>
      </c>
      <c r="AC87" s="73">
        <v>2.4</v>
      </c>
      <c r="AD87" s="82"/>
      <c r="AG87" s="83"/>
      <c r="AL87" s="82"/>
      <c r="AO87" s="83"/>
      <c r="AP87" s="82"/>
      <c r="AS87" s="83"/>
      <c r="AW87" s="83"/>
      <c r="BA87" s="84"/>
    </row>
    <row r="88" spans="1:53" s="73" customFormat="1" x14ac:dyDescent="0.15">
      <c r="A88" s="73">
        <v>1999</v>
      </c>
      <c r="C88" s="811" t="s">
        <v>770</v>
      </c>
      <c r="D88" s="811"/>
      <c r="E88" s="73">
        <f>365-E87</f>
        <v>365</v>
      </c>
      <c r="G88" s="74">
        <v>15</v>
      </c>
      <c r="H88" s="176"/>
      <c r="I88" s="75"/>
      <c r="J88" s="76">
        <v>15</v>
      </c>
      <c r="K88" s="77">
        <f t="shared" si="7"/>
        <v>100</v>
      </c>
      <c r="L88" s="77">
        <f t="shared" si="4"/>
        <v>0</v>
      </c>
      <c r="M88" s="77">
        <f t="shared" si="4"/>
        <v>0</v>
      </c>
      <c r="N88" s="78">
        <f t="shared" si="8"/>
        <v>100</v>
      </c>
      <c r="O88" s="79">
        <v>48.8</v>
      </c>
      <c r="P88" s="77"/>
      <c r="Q88" s="77"/>
      <c r="R88" s="80">
        <f t="shared" si="9"/>
        <v>48.8</v>
      </c>
      <c r="S88" s="73">
        <v>5</v>
      </c>
      <c r="T88" s="81"/>
      <c r="V88" s="82" t="s">
        <v>566</v>
      </c>
      <c r="W88" s="73" t="s">
        <v>22</v>
      </c>
      <c r="X88" s="73" t="s">
        <v>11</v>
      </c>
      <c r="Y88" s="83">
        <v>46.4</v>
      </c>
      <c r="Z88" s="73" t="s">
        <v>568</v>
      </c>
      <c r="AA88" s="73" t="s">
        <v>94</v>
      </c>
      <c r="AB88" s="73" t="s">
        <v>11</v>
      </c>
      <c r="AC88" s="73">
        <v>2.4</v>
      </c>
      <c r="AD88" s="82"/>
      <c r="AG88" s="83"/>
      <c r="AL88" s="82"/>
      <c r="AO88" s="83"/>
      <c r="AP88" s="82"/>
      <c r="AS88" s="83"/>
      <c r="AW88" s="83"/>
      <c r="BA88" s="84"/>
    </row>
    <row r="89" spans="1:53" s="73" customFormat="1" x14ac:dyDescent="0.15">
      <c r="A89" s="73">
        <v>2000</v>
      </c>
      <c r="C89" s="811" t="s">
        <v>770</v>
      </c>
      <c r="D89" s="811"/>
      <c r="E89" s="73">
        <v>0</v>
      </c>
      <c r="G89" s="74">
        <v>15</v>
      </c>
      <c r="H89" s="176"/>
      <c r="I89" s="75"/>
      <c r="J89" s="76">
        <v>15</v>
      </c>
      <c r="K89" s="77">
        <f t="shared" si="7"/>
        <v>100</v>
      </c>
      <c r="L89" s="77">
        <f t="shared" si="4"/>
        <v>0</v>
      </c>
      <c r="M89" s="77">
        <f t="shared" si="4"/>
        <v>0</v>
      </c>
      <c r="N89" s="78">
        <f t="shared" si="8"/>
        <v>100</v>
      </c>
      <c r="O89" s="79">
        <v>48.8</v>
      </c>
      <c r="P89" s="77"/>
      <c r="Q89" s="77"/>
      <c r="R89" s="80">
        <f t="shared" si="9"/>
        <v>48.8</v>
      </c>
      <c r="S89" s="73">
        <v>5</v>
      </c>
      <c r="T89" s="81"/>
      <c r="V89" s="82" t="s">
        <v>566</v>
      </c>
      <c r="W89" s="73" t="s">
        <v>22</v>
      </c>
      <c r="X89" s="73" t="s">
        <v>11</v>
      </c>
      <c r="Y89" s="83">
        <v>46.4</v>
      </c>
      <c r="Z89" s="73" t="s">
        <v>568</v>
      </c>
      <c r="AA89" s="73" t="s">
        <v>94</v>
      </c>
      <c r="AB89" s="73" t="s">
        <v>11</v>
      </c>
      <c r="AC89" s="73">
        <v>2.4</v>
      </c>
      <c r="AD89" s="82"/>
      <c r="AG89" s="83"/>
      <c r="AL89" s="82"/>
      <c r="AO89" s="83"/>
      <c r="AP89" s="82"/>
      <c r="AS89" s="83"/>
      <c r="AW89" s="83"/>
      <c r="BA89" s="84"/>
    </row>
    <row r="90" spans="1:53" s="73" customFormat="1" x14ac:dyDescent="0.15">
      <c r="A90" s="73">
        <v>2000</v>
      </c>
      <c r="C90" s="811" t="s">
        <v>770</v>
      </c>
      <c r="D90" s="811"/>
      <c r="E90" s="73">
        <v>366</v>
      </c>
      <c r="G90" s="74">
        <v>15</v>
      </c>
      <c r="H90" s="176"/>
      <c r="I90" s="75"/>
      <c r="J90" s="76">
        <v>15</v>
      </c>
      <c r="K90" s="77">
        <f t="shared" si="7"/>
        <v>100</v>
      </c>
      <c r="L90" s="77">
        <f t="shared" si="4"/>
        <v>0</v>
      </c>
      <c r="M90" s="77">
        <f t="shared" si="4"/>
        <v>0</v>
      </c>
      <c r="N90" s="78">
        <f t="shared" si="8"/>
        <v>100</v>
      </c>
      <c r="O90" s="79">
        <v>48.8</v>
      </c>
      <c r="P90" s="77"/>
      <c r="Q90" s="77"/>
      <c r="R90" s="80">
        <f t="shared" si="9"/>
        <v>48.8</v>
      </c>
      <c r="S90" s="73">
        <v>5</v>
      </c>
      <c r="T90" s="81"/>
      <c r="V90" s="82" t="s">
        <v>566</v>
      </c>
      <c r="W90" s="73" t="s">
        <v>22</v>
      </c>
      <c r="X90" s="73" t="s">
        <v>11</v>
      </c>
      <c r="Y90" s="83">
        <v>46.4</v>
      </c>
      <c r="Z90" s="73" t="s">
        <v>568</v>
      </c>
      <c r="AA90" s="73" t="s">
        <v>94</v>
      </c>
      <c r="AB90" s="73" t="s">
        <v>11</v>
      </c>
      <c r="AC90" s="73">
        <v>2.4</v>
      </c>
      <c r="AD90" s="82"/>
      <c r="AG90" s="83"/>
      <c r="AL90" s="82"/>
      <c r="AO90" s="83"/>
      <c r="AP90" s="82"/>
      <c r="AS90" s="83"/>
      <c r="AW90" s="83"/>
      <c r="BA90" s="84"/>
    </row>
    <row r="91" spans="1:53" s="73" customFormat="1" x14ac:dyDescent="0.15">
      <c r="A91" s="73">
        <v>2001</v>
      </c>
      <c r="C91" s="811" t="s">
        <v>770</v>
      </c>
      <c r="D91" s="811"/>
      <c r="E91" s="73">
        <v>0</v>
      </c>
      <c r="G91" s="74">
        <v>15</v>
      </c>
      <c r="H91" s="176"/>
      <c r="I91" s="75"/>
      <c r="J91" s="76">
        <v>15</v>
      </c>
      <c r="K91" s="77">
        <f t="shared" si="7"/>
        <v>100</v>
      </c>
      <c r="L91" s="77">
        <f t="shared" si="4"/>
        <v>0</v>
      </c>
      <c r="M91" s="77">
        <f t="shared" si="4"/>
        <v>0</v>
      </c>
      <c r="N91" s="78">
        <f t="shared" si="8"/>
        <v>100</v>
      </c>
      <c r="O91" s="79">
        <v>48.8</v>
      </c>
      <c r="P91" s="77"/>
      <c r="Q91" s="77"/>
      <c r="R91" s="80">
        <f t="shared" si="9"/>
        <v>48.8</v>
      </c>
      <c r="S91" s="73">
        <v>5</v>
      </c>
      <c r="T91" s="81"/>
      <c r="V91" s="82" t="s">
        <v>566</v>
      </c>
      <c r="W91" s="73" t="s">
        <v>22</v>
      </c>
      <c r="X91" s="73" t="s">
        <v>11</v>
      </c>
      <c r="Y91" s="83">
        <v>46.4</v>
      </c>
      <c r="Z91" s="73" t="s">
        <v>568</v>
      </c>
      <c r="AA91" s="73" t="s">
        <v>94</v>
      </c>
      <c r="AB91" s="73" t="s">
        <v>11</v>
      </c>
      <c r="AC91" s="73">
        <v>2.4</v>
      </c>
      <c r="AD91" s="82"/>
      <c r="AG91" s="83"/>
      <c r="AL91" s="82"/>
      <c r="AO91" s="83"/>
      <c r="AP91" s="82"/>
      <c r="AS91" s="83"/>
      <c r="AW91" s="83"/>
      <c r="BA91" s="84"/>
    </row>
    <row r="92" spans="1:53" s="73" customFormat="1" x14ac:dyDescent="0.15">
      <c r="A92" s="73">
        <v>2001</v>
      </c>
      <c r="C92" s="811" t="s">
        <v>770</v>
      </c>
      <c r="D92" s="811"/>
      <c r="E92" s="73">
        <f>365-E91</f>
        <v>365</v>
      </c>
      <c r="G92" s="74">
        <v>15</v>
      </c>
      <c r="H92" s="176"/>
      <c r="I92" s="75"/>
      <c r="J92" s="76">
        <v>15</v>
      </c>
      <c r="K92" s="77">
        <f t="shared" si="7"/>
        <v>100</v>
      </c>
      <c r="L92" s="77">
        <f t="shared" si="4"/>
        <v>0</v>
      </c>
      <c r="M92" s="77">
        <f t="shared" si="4"/>
        <v>0</v>
      </c>
      <c r="N92" s="78">
        <f t="shared" si="8"/>
        <v>100</v>
      </c>
      <c r="O92" s="79">
        <v>48.8</v>
      </c>
      <c r="P92" s="77"/>
      <c r="Q92" s="77"/>
      <c r="R92" s="80">
        <f t="shared" si="9"/>
        <v>48.8</v>
      </c>
      <c r="S92" s="73">
        <v>5</v>
      </c>
      <c r="T92" s="81"/>
      <c r="V92" s="82" t="s">
        <v>566</v>
      </c>
      <c r="W92" s="73" t="s">
        <v>22</v>
      </c>
      <c r="X92" s="73" t="s">
        <v>11</v>
      </c>
      <c r="Y92" s="83">
        <v>46.4</v>
      </c>
      <c r="Z92" s="73" t="s">
        <v>568</v>
      </c>
      <c r="AA92" s="73" t="s">
        <v>94</v>
      </c>
      <c r="AB92" s="73" t="s">
        <v>11</v>
      </c>
      <c r="AC92" s="73">
        <v>2.4</v>
      </c>
      <c r="AD92" s="82"/>
      <c r="AG92" s="83"/>
      <c r="AL92" s="82"/>
      <c r="AO92" s="83"/>
      <c r="AP92" s="82"/>
      <c r="AS92" s="83"/>
      <c r="AW92" s="83"/>
      <c r="BA92" s="84"/>
    </row>
    <row r="93" spans="1:53" s="73" customFormat="1" x14ac:dyDescent="0.15">
      <c r="A93" s="73">
        <v>2002</v>
      </c>
      <c r="C93" s="811" t="s">
        <v>770</v>
      </c>
      <c r="D93" s="811"/>
      <c r="E93" s="73">
        <v>156</v>
      </c>
      <c r="G93" s="74">
        <v>15</v>
      </c>
      <c r="H93" s="176"/>
      <c r="I93" s="75"/>
      <c r="J93" s="76">
        <v>15</v>
      </c>
      <c r="K93" s="77">
        <f>G93/$J93*100</f>
        <v>100</v>
      </c>
      <c r="L93" s="77">
        <f t="shared" si="4"/>
        <v>0</v>
      </c>
      <c r="M93" s="77">
        <f t="shared" si="4"/>
        <v>0</v>
      </c>
      <c r="N93" s="78">
        <f>K93+L93+M93</f>
        <v>100</v>
      </c>
      <c r="O93" s="79">
        <v>48.8</v>
      </c>
      <c r="P93" s="77"/>
      <c r="Q93" s="77"/>
      <c r="R93" s="80">
        <f t="shared" si="9"/>
        <v>48.8</v>
      </c>
      <c r="S93" s="73">
        <v>5</v>
      </c>
      <c r="T93" s="81"/>
      <c r="V93" s="82" t="s">
        <v>566</v>
      </c>
      <c r="W93" s="73" t="s">
        <v>22</v>
      </c>
      <c r="X93" s="73" t="s">
        <v>11</v>
      </c>
      <c r="Y93" s="83">
        <v>46.4</v>
      </c>
      <c r="Z93" s="73" t="s">
        <v>568</v>
      </c>
      <c r="AA93" s="73" t="s">
        <v>94</v>
      </c>
      <c r="AB93" s="73" t="s">
        <v>11</v>
      </c>
      <c r="AC93" s="73">
        <v>2.4</v>
      </c>
      <c r="AD93" s="82"/>
      <c r="AG93" s="83"/>
      <c r="AL93" s="82"/>
      <c r="AO93" s="83"/>
      <c r="AP93" s="82"/>
      <c r="AS93" s="83"/>
      <c r="AW93" s="83"/>
      <c r="BA93" s="84"/>
    </row>
    <row r="94" spans="1:53" s="334" customFormat="1" x14ac:dyDescent="0.15">
      <c r="A94" s="334">
        <v>2002</v>
      </c>
      <c r="B94" s="355">
        <v>37413</v>
      </c>
      <c r="C94" s="812" t="s">
        <v>771</v>
      </c>
      <c r="D94" s="812"/>
      <c r="E94" s="334">
        <f>365-E93</f>
        <v>209</v>
      </c>
      <c r="F94" s="334">
        <v>1</v>
      </c>
      <c r="G94" s="336">
        <v>15</v>
      </c>
      <c r="H94" s="454"/>
      <c r="I94" s="200"/>
      <c r="J94" s="337">
        <v>15</v>
      </c>
      <c r="K94" s="338">
        <f t="shared" ref="K94:M119" si="10">G94/$J94*100</f>
        <v>100</v>
      </c>
      <c r="L94" s="338">
        <f t="shared" si="4"/>
        <v>0</v>
      </c>
      <c r="M94" s="338">
        <f t="shared" si="4"/>
        <v>0</v>
      </c>
      <c r="N94" s="339">
        <f t="shared" ref="N94:N119" si="11">K94+L94+M94</f>
        <v>100</v>
      </c>
      <c r="O94" s="340">
        <v>53.6</v>
      </c>
      <c r="P94" s="338"/>
      <c r="Q94" s="338"/>
      <c r="R94" s="341">
        <f t="shared" si="9"/>
        <v>53.6</v>
      </c>
      <c r="S94" s="334">
        <v>2</v>
      </c>
      <c r="T94" s="342">
        <v>37393</v>
      </c>
      <c r="U94" s="355">
        <v>37413</v>
      </c>
      <c r="V94" s="343" t="s">
        <v>566</v>
      </c>
      <c r="W94" s="334" t="s">
        <v>22</v>
      </c>
      <c r="X94" s="334" t="s">
        <v>11</v>
      </c>
      <c r="Y94" s="344">
        <v>48.8</v>
      </c>
      <c r="Z94" s="334" t="s">
        <v>568</v>
      </c>
      <c r="AA94" s="334" t="s">
        <v>94</v>
      </c>
      <c r="AB94" s="334" t="s">
        <v>11</v>
      </c>
      <c r="AC94" s="334">
        <v>4.8</v>
      </c>
      <c r="AD94" s="343"/>
      <c r="AG94" s="344"/>
      <c r="AL94" s="343"/>
      <c r="AO94" s="344"/>
      <c r="AP94" s="343"/>
      <c r="AS94" s="344"/>
      <c r="AW94" s="344"/>
      <c r="BA94" s="345"/>
    </row>
    <row r="95" spans="1:53" s="334" customFormat="1" x14ac:dyDescent="0.15">
      <c r="A95" s="334">
        <v>2003</v>
      </c>
      <c r="C95" s="812" t="s">
        <v>771</v>
      </c>
      <c r="D95" s="812"/>
      <c r="E95" s="334">
        <v>0</v>
      </c>
      <c r="G95" s="336">
        <v>15</v>
      </c>
      <c r="H95" s="454"/>
      <c r="I95" s="200"/>
      <c r="J95" s="337">
        <v>15</v>
      </c>
      <c r="K95" s="338">
        <f t="shared" si="10"/>
        <v>100</v>
      </c>
      <c r="L95" s="338">
        <f t="shared" si="4"/>
        <v>0</v>
      </c>
      <c r="M95" s="338">
        <f t="shared" si="4"/>
        <v>0</v>
      </c>
      <c r="N95" s="339">
        <f t="shared" si="11"/>
        <v>100</v>
      </c>
      <c r="O95" s="340">
        <v>53.6</v>
      </c>
      <c r="P95" s="338"/>
      <c r="Q95" s="338"/>
      <c r="R95" s="341">
        <f t="shared" si="9"/>
        <v>53.6</v>
      </c>
      <c r="S95" s="334">
        <v>2</v>
      </c>
      <c r="T95" s="357"/>
      <c r="V95" s="343" t="s">
        <v>566</v>
      </c>
      <c r="W95" s="334" t="s">
        <v>22</v>
      </c>
      <c r="X95" s="334" t="s">
        <v>11</v>
      </c>
      <c r="Y95" s="344">
        <v>48.8</v>
      </c>
      <c r="Z95" s="334" t="s">
        <v>568</v>
      </c>
      <c r="AA95" s="334" t="s">
        <v>94</v>
      </c>
      <c r="AB95" s="334" t="s">
        <v>11</v>
      </c>
      <c r="AC95" s="334">
        <v>4.8</v>
      </c>
      <c r="AD95" s="343"/>
      <c r="AG95" s="344"/>
      <c r="AL95" s="343"/>
      <c r="AO95" s="344"/>
      <c r="AP95" s="343"/>
      <c r="AS95" s="344"/>
      <c r="AW95" s="344"/>
      <c r="BA95" s="345"/>
    </row>
    <row r="96" spans="1:53" s="334" customFormat="1" x14ac:dyDescent="0.15">
      <c r="A96" s="334">
        <v>2003</v>
      </c>
      <c r="C96" s="812" t="s">
        <v>771</v>
      </c>
      <c r="D96" s="812"/>
      <c r="E96" s="334">
        <f>365-E95</f>
        <v>365</v>
      </c>
      <c r="G96" s="336">
        <v>15</v>
      </c>
      <c r="H96" s="454"/>
      <c r="I96" s="200"/>
      <c r="J96" s="337">
        <v>15</v>
      </c>
      <c r="K96" s="338">
        <f t="shared" si="10"/>
        <v>100</v>
      </c>
      <c r="L96" s="338">
        <f t="shared" si="4"/>
        <v>0</v>
      </c>
      <c r="M96" s="338">
        <f t="shared" si="4"/>
        <v>0</v>
      </c>
      <c r="N96" s="339">
        <f t="shared" si="11"/>
        <v>100</v>
      </c>
      <c r="O96" s="340">
        <v>53.6</v>
      </c>
      <c r="P96" s="338"/>
      <c r="Q96" s="338"/>
      <c r="R96" s="341">
        <f t="shared" si="9"/>
        <v>53.6</v>
      </c>
      <c r="S96" s="334">
        <v>2</v>
      </c>
      <c r="T96" s="357"/>
      <c r="V96" s="343" t="s">
        <v>566</v>
      </c>
      <c r="W96" s="334" t="s">
        <v>22</v>
      </c>
      <c r="X96" s="334" t="s">
        <v>11</v>
      </c>
      <c r="Y96" s="344">
        <v>48.8</v>
      </c>
      <c r="Z96" s="334" t="s">
        <v>568</v>
      </c>
      <c r="AA96" s="334" t="s">
        <v>94</v>
      </c>
      <c r="AB96" s="334" t="s">
        <v>11</v>
      </c>
      <c r="AC96" s="334">
        <v>4.8</v>
      </c>
      <c r="AD96" s="343"/>
      <c r="AG96" s="344"/>
      <c r="AL96" s="343"/>
      <c r="AO96" s="344"/>
      <c r="AP96" s="343"/>
      <c r="AS96" s="344"/>
      <c r="AW96" s="344"/>
      <c r="BA96" s="345"/>
    </row>
    <row r="97" spans="1:53" s="334" customFormat="1" x14ac:dyDescent="0.15">
      <c r="A97" s="334">
        <v>2004</v>
      </c>
      <c r="C97" s="812" t="s">
        <v>771</v>
      </c>
      <c r="D97" s="812"/>
      <c r="E97" s="334">
        <v>0</v>
      </c>
      <c r="G97" s="336">
        <v>15</v>
      </c>
      <c r="H97" s="454"/>
      <c r="I97" s="200"/>
      <c r="J97" s="337">
        <v>15</v>
      </c>
      <c r="K97" s="338">
        <f t="shared" si="10"/>
        <v>100</v>
      </c>
      <c r="L97" s="338">
        <f t="shared" si="4"/>
        <v>0</v>
      </c>
      <c r="M97" s="338">
        <f t="shared" si="4"/>
        <v>0</v>
      </c>
      <c r="N97" s="339">
        <f t="shared" si="11"/>
        <v>100</v>
      </c>
      <c r="O97" s="340">
        <v>53.6</v>
      </c>
      <c r="P97" s="338"/>
      <c r="Q97" s="338"/>
      <c r="R97" s="341">
        <f t="shared" si="9"/>
        <v>53.6</v>
      </c>
      <c r="S97" s="334">
        <v>2</v>
      </c>
      <c r="T97" s="357"/>
      <c r="V97" s="343" t="s">
        <v>566</v>
      </c>
      <c r="W97" s="334" t="s">
        <v>22</v>
      </c>
      <c r="X97" s="334" t="s">
        <v>11</v>
      </c>
      <c r="Y97" s="344">
        <v>48.8</v>
      </c>
      <c r="Z97" s="334" t="s">
        <v>568</v>
      </c>
      <c r="AA97" s="334" t="s">
        <v>94</v>
      </c>
      <c r="AB97" s="334" t="s">
        <v>11</v>
      </c>
      <c r="AC97" s="334">
        <v>4.8</v>
      </c>
      <c r="AD97" s="343"/>
      <c r="AG97" s="344"/>
      <c r="AL97" s="343"/>
      <c r="AO97" s="344"/>
      <c r="AP97" s="343"/>
      <c r="AS97" s="344"/>
      <c r="AW97" s="344"/>
      <c r="BA97" s="345"/>
    </row>
    <row r="98" spans="1:53" s="334" customFormat="1" x14ac:dyDescent="0.15">
      <c r="A98" s="334">
        <v>2004</v>
      </c>
      <c r="C98" s="812" t="s">
        <v>771</v>
      </c>
      <c r="D98" s="812"/>
      <c r="E98" s="334">
        <v>366</v>
      </c>
      <c r="G98" s="336">
        <v>15</v>
      </c>
      <c r="H98" s="454"/>
      <c r="I98" s="200"/>
      <c r="J98" s="337">
        <v>15</v>
      </c>
      <c r="K98" s="338">
        <f t="shared" si="10"/>
        <v>100</v>
      </c>
      <c r="L98" s="338">
        <f t="shared" si="4"/>
        <v>0</v>
      </c>
      <c r="M98" s="338">
        <f t="shared" si="4"/>
        <v>0</v>
      </c>
      <c r="N98" s="339">
        <f t="shared" si="11"/>
        <v>100</v>
      </c>
      <c r="O98" s="340">
        <v>53.6</v>
      </c>
      <c r="P98" s="338"/>
      <c r="Q98" s="338"/>
      <c r="R98" s="341">
        <f t="shared" si="9"/>
        <v>53.6</v>
      </c>
      <c r="S98" s="334">
        <v>2</v>
      </c>
      <c r="T98" s="357"/>
      <c r="V98" s="343" t="s">
        <v>566</v>
      </c>
      <c r="W98" s="334" t="s">
        <v>22</v>
      </c>
      <c r="X98" s="334" t="s">
        <v>11</v>
      </c>
      <c r="Y98" s="344">
        <v>48.8</v>
      </c>
      <c r="Z98" s="334" t="s">
        <v>568</v>
      </c>
      <c r="AA98" s="334" t="s">
        <v>94</v>
      </c>
      <c r="AB98" s="334" t="s">
        <v>11</v>
      </c>
      <c r="AC98" s="334">
        <v>4.8</v>
      </c>
      <c r="AD98" s="343"/>
      <c r="AG98" s="344"/>
      <c r="AL98" s="343"/>
      <c r="AO98" s="344"/>
      <c r="AP98" s="343"/>
      <c r="AS98" s="344"/>
      <c r="AW98" s="344"/>
      <c r="BA98" s="345"/>
    </row>
    <row r="99" spans="1:53" s="334" customFormat="1" x14ac:dyDescent="0.15">
      <c r="A99" s="334">
        <v>2005</v>
      </c>
      <c r="C99" s="812" t="s">
        <v>771</v>
      </c>
      <c r="D99" s="812"/>
      <c r="E99" s="334">
        <v>0</v>
      </c>
      <c r="G99" s="336">
        <v>15</v>
      </c>
      <c r="H99" s="454"/>
      <c r="I99" s="200"/>
      <c r="J99" s="337">
        <v>15</v>
      </c>
      <c r="K99" s="338">
        <f t="shared" si="10"/>
        <v>100</v>
      </c>
      <c r="L99" s="338">
        <f t="shared" si="4"/>
        <v>0</v>
      </c>
      <c r="M99" s="338">
        <f t="shared" si="4"/>
        <v>0</v>
      </c>
      <c r="N99" s="339">
        <f t="shared" si="11"/>
        <v>100</v>
      </c>
      <c r="O99" s="340">
        <v>53.6</v>
      </c>
      <c r="P99" s="338"/>
      <c r="Q99" s="338"/>
      <c r="R99" s="341">
        <f t="shared" si="9"/>
        <v>53.6</v>
      </c>
      <c r="S99" s="334">
        <v>2</v>
      </c>
      <c r="T99" s="357"/>
      <c r="V99" s="343" t="s">
        <v>566</v>
      </c>
      <c r="W99" s="334" t="s">
        <v>22</v>
      </c>
      <c r="X99" s="334" t="s">
        <v>11</v>
      </c>
      <c r="Y99" s="344">
        <v>48.8</v>
      </c>
      <c r="Z99" s="334" t="s">
        <v>568</v>
      </c>
      <c r="AA99" s="334" t="s">
        <v>94</v>
      </c>
      <c r="AB99" s="334" t="s">
        <v>11</v>
      </c>
      <c r="AC99" s="334">
        <v>4.8</v>
      </c>
      <c r="AD99" s="343"/>
      <c r="AG99" s="344"/>
      <c r="AL99" s="343"/>
      <c r="AO99" s="344"/>
      <c r="AP99" s="343"/>
      <c r="AS99" s="344"/>
      <c r="AW99" s="344"/>
      <c r="BA99" s="345"/>
    </row>
    <row r="100" spans="1:53" s="334" customFormat="1" x14ac:dyDescent="0.15">
      <c r="A100" s="334">
        <v>2005</v>
      </c>
      <c r="C100" s="812" t="s">
        <v>771</v>
      </c>
      <c r="D100" s="812"/>
      <c r="E100" s="334">
        <f>365-E99</f>
        <v>365</v>
      </c>
      <c r="G100" s="336">
        <v>15</v>
      </c>
      <c r="H100" s="454"/>
      <c r="I100" s="200"/>
      <c r="J100" s="337">
        <v>15</v>
      </c>
      <c r="K100" s="338">
        <f t="shared" si="10"/>
        <v>100</v>
      </c>
      <c r="L100" s="338">
        <f t="shared" si="4"/>
        <v>0</v>
      </c>
      <c r="M100" s="338">
        <f t="shared" si="4"/>
        <v>0</v>
      </c>
      <c r="N100" s="339">
        <f t="shared" si="11"/>
        <v>100</v>
      </c>
      <c r="O100" s="340">
        <v>53.6</v>
      </c>
      <c r="P100" s="338"/>
      <c r="Q100" s="338"/>
      <c r="R100" s="341">
        <f t="shared" si="9"/>
        <v>53.6</v>
      </c>
      <c r="S100" s="334">
        <v>2</v>
      </c>
      <c r="T100" s="357"/>
      <c r="V100" s="343" t="s">
        <v>566</v>
      </c>
      <c r="W100" s="334" t="s">
        <v>22</v>
      </c>
      <c r="X100" s="334" t="s">
        <v>11</v>
      </c>
      <c r="Y100" s="344">
        <v>48.8</v>
      </c>
      <c r="Z100" s="334" t="s">
        <v>568</v>
      </c>
      <c r="AA100" s="334" t="s">
        <v>94</v>
      </c>
      <c r="AB100" s="334" t="s">
        <v>11</v>
      </c>
      <c r="AC100" s="334">
        <v>4.8</v>
      </c>
      <c r="AD100" s="343"/>
      <c r="AG100" s="344"/>
      <c r="AL100" s="343"/>
      <c r="AO100" s="344"/>
      <c r="AP100" s="343"/>
      <c r="AS100" s="344"/>
      <c r="AW100" s="344"/>
      <c r="BA100" s="345"/>
    </row>
    <row r="101" spans="1:53" s="334" customFormat="1" x14ac:dyDescent="0.15">
      <c r="A101" s="334">
        <v>2006</v>
      </c>
      <c r="C101" s="812" t="s">
        <v>771</v>
      </c>
      <c r="D101" s="812"/>
      <c r="E101" s="334">
        <v>0</v>
      </c>
      <c r="G101" s="336">
        <v>15</v>
      </c>
      <c r="H101" s="454"/>
      <c r="I101" s="200"/>
      <c r="J101" s="337">
        <v>15</v>
      </c>
      <c r="K101" s="338">
        <f t="shared" si="10"/>
        <v>100</v>
      </c>
      <c r="L101" s="338">
        <f t="shared" si="4"/>
        <v>0</v>
      </c>
      <c r="M101" s="338">
        <f t="shared" si="4"/>
        <v>0</v>
      </c>
      <c r="N101" s="339">
        <f t="shared" si="11"/>
        <v>100</v>
      </c>
      <c r="O101" s="340">
        <v>53.6</v>
      </c>
      <c r="P101" s="338"/>
      <c r="Q101" s="338"/>
      <c r="R101" s="341">
        <f t="shared" si="9"/>
        <v>53.6</v>
      </c>
      <c r="S101" s="334">
        <v>2</v>
      </c>
      <c r="T101" s="357"/>
      <c r="V101" s="343" t="s">
        <v>566</v>
      </c>
      <c r="W101" s="334" t="s">
        <v>22</v>
      </c>
      <c r="X101" s="334" t="s">
        <v>11</v>
      </c>
      <c r="Y101" s="344">
        <v>48.8</v>
      </c>
      <c r="Z101" s="334" t="s">
        <v>568</v>
      </c>
      <c r="AA101" s="334" t="s">
        <v>94</v>
      </c>
      <c r="AB101" s="334" t="s">
        <v>11</v>
      </c>
      <c r="AC101" s="334">
        <v>4.8</v>
      </c>
      <c r="AD101" s="343"/>
      <c r="AG101" s="344"/>
      <c r="AL101" s="343"/>
      <c r="AO101" s="344"/>
      <c r="AP101" s="343"/>
      <c r="AS101" s="344"/>
      <c r="AW101" s="344"/>
      <c r="BA101" s="345"/>
    </row>
    <row r="102" spans="1:53" s="334" customFormat="1" x14ac:dyDescent="0.15">
      <c r="A102" s="334">
        <v>2006</v>
      </c>
      <c r="C102" s="812" t="s">
        <v>771</v>
      </c>
      <c r="D102" s="812"/>
      <c r="E102" s="334">
        <f>365-E101</f>
        <v>365</v>
      </c>
      <c r="G102" s="336">
        <v>15</v>
      </c>
      <c r="H102" s="454"/>
      <c r="I102" s="200"/>
      <c r="J102" s="337">
        <v>15</v>
      </c>
      <c r="K102" s="338">
        <f t="shared" si="10"/>
        <v>100</v>
      </c>
      <c r="L102" s="338">
        <f t="shared" si="4"/>
        <v>0</v>
      </c>
      <c r="M102" s="338">
        <f t="shared" si="4"/>
        <v>0</v>
      </c>
      <c r="N102" s="339">
        <f t="shared" si="11"/>
        <v>100</v>
      </c>
      <c r="O102" s="340">
        <v>53.6</v>
      </c>
      <c r="P102" s="338"/>
      <c r="Q102" s="338"/>
      <c r="R102" s="341">
        <f t="shared" si="9"/>
        <v>53.6</v>
      </c>
      <c r="S102" s="334">
        <v>2</v>
      </c>
      <c r="T102" s="357"/>
      <c r="V102" s="343" t="s">
        <v>566</v>
      </c>
      <c r="W102" s="334" t="s">
        <v>22</v>
      </c>
      <c r="X102" s="334" t="s">
        <v>11</v>
      </c>
      <c r="Y102" s="344">
        <v>48.8</v>
      </c>
      <c r="Z102" s="334" t="s">
        <v>568</v>
      </c>
      <c r="AA102" s="334" t="s">
        <v>94</v>
      </c>
      <c r="AB102" s="334" t="s">
        <v>11</v>
      </c>
      <c r="AC102" s="334">
        <v>4.8</v>
      </c>
      <c r="AD102" s="343"/>
      <c r="AG102" s="344"/>
      <c r="AL102" s="343"/>
      <c r="AO102" s="344"/>
      <c r="AP102" s="343"/>
      <c r="AS102" s="344"/>
      <c r="AW102" s="344"/>
      <c r="BA102" s="345"/>
    </row>
    <row r="103" spans="1:53" s="334" customFormat="1" x14ac:dyDescent="0.15">
      <c r="A103" s="334">
        <v>2007</v>
      </c>
      <c r="C103" s="812" t="s">
        <v>771</v>
      </c>
      <c r="D103" s="812"/>
      <c r="E103" s="334">
        <v>164</v>
      </c>
      <c r="G103" s="336">
        <v>15</v>
      </c>
      <c r="H103" s="454"/>
      <c r="I103" s="200"/>
      <c r="J103" s="337">
        <v>15</v>
      </c>
      <c r="K103" s="338">
        <f t="shared" si="10"/>
        <v>100</v>
      </c>
      <c r="L103" s="338">
        <f t="shared" si="4"/>
        <v>0</v>
      </c>
      <c r="M103" s="338">
        <f t="shared" si="4"/>
        <v>0</v>
      </c>
      <c r="N103" s="339">
        <f t="shared" si="11"/>
        <v>100</v>
      </c>
      <c r="O103" s="340">
        <v>53.6</v>
      </c>
      <c r="P103" s="338"/>
      <c r="Q103" s="338"/>
      <c r="R103" s="341">
        <f t="shared" si="9"/>
        <v>53.6</v>
      </c>
      <c r="S103" s="334">
        <v>2</v>
      </c>
      <c r="T103" s="357"/>
      <c r="V103" s="343" t="s">
        <v>566</v>
      </c>
      <c r="W103" s="334" t="s">
        <v>22</v>
      </c>
      <c r="X103" s="334" t="s">
        <v>11</v>
      </c>
      <c r="Y103" s="344">
        <v>48.8</v>
      </c>
      <c r="Z103" s="334" t="s">
        <v>568</v>
      </c>
      <c r="AA103" s="334" t="s">
        <v>94</v>
      </c>
      <c r="AB103" s="334" t="s">
        <v>11</v>
      </c>
      <c r="AC103" s="334">
        <v>4.8</v>
      </c>
      <c r="AD103" s="343"/>
      <c r="AG103" s="344"/>
      <c r="AL103" s="343"/>
      <c r="AO103" s="344"/>
      <c r="AP103" s="343"/>
      <c r="AS103" s="344"/>
      <c r="AW103" s="344"/>
      <c r="BA103" s="345"/>
    </row>
    <row r="104" spans="1:53" s="73" customFormat="1" x14ac:dyDescent="0.15">
      <c r="A104" s="73">
        <v>2007</v>
      </c>
      <c r="B104" s="85">
        <v>39247</v>
      </c>
      <c r="C104" s="811" t="s">
        <v>772</v>
      </c>
      <c r="D104" s="811"/>
      <c r="E104" s="73">
        <v>201</v>
      </c>
      <c r="F104" s="73">
        <v>1</v>
      </c>
      <c r="G104" s="74">
        <v>13</v>
      </c>
      <c r="H104" s="176"/>
      <c r="I104" s="75">
        <v>2</v>
      </c>
      <c r="J104" s="76">
        <v>15</v>
      </c>
      <c r="K104" s="77">
        <f t="shared" si="10"/>
        <v>86.666666666666671</v>
      </c>
      <c r="L104" s="77">
        <f t="shared" si="4"/>
        <v>0</v>
      </c>
      <c r="M104" s="77">
        <f t="shared" si="4"/>
        <v>13.333333333333334</v>
      </c>
      <c r="N104" s="78">
        <f t="shared" si="11"/>
        <v>100</v>
      </c>
      <c r="O104" s="79">
        <v>48.2</v>
      </c>
      <c r="P104" s="77"/>
      <c r="Q104" s="77">
        <v>3.6</v>
      </c>
      <c r="R104" s="80">
        <f t="shared" si="9"/>
        <v>51.800000000000004</v>
      </c>
      <c r="S104" s="73">
        <v>3</v>
      </c>
      <c r="T104" s="95">
        <v>39226</v>
      </c>
      <c r="U104" s="85">
        <v>39247</v>
      </c>
      <c r="V104" s="82" t="s">
        <v>566</v>
      </c>
      <c r="W104" s="73" t="s">
        <v>22</v>
      </c>
      <c r="X104" s="73" t="s">
        <v>11</v>
      </c>
      <c r="Y104" s="83">
        <v>47</v>
      </c>
      <c r="Z104" s="73" t="s">
        <v>570</v>
      </c>
      <c r="AA104" s="73" t="s">
        <v>221</v>
      </c>
      <c r="AB104" s="73" t="s">
        <v>12</v>
      </c>
      <c r="AC104" s="73">
        <v>3.6</v>
      </c>
      <c r="AD104" s="82" t="s">
        <v>568</v>
      </c>
      <c r="AE104" s="73" t="s">
        <v>94</v>
      </c>
      <c r="AF104" s="73" t="s">
        <v>11</v>
      </c>
      <c r="AG104" s="83">
        <v>1.2</v>
      </c>
      <c r="AL104" s="82"/>
      <c r="AO104" s="83"/>
      <c r="AP104" s="82"/>
      <c r="AS104" s="83"/>
      <c r="AW104" s="83"/>
      <c r="BA104" s="84"/>
    </row>
    <row r="105" spans="1:53" s="73" customFormat="1" x14ac:dyDescent="0.15">
      <c r="A105" s="73">
        <v>2008</v>
      </c>
      <c r="C105" s="811" t="s">
        <v>772</v>
      </c>
      <c r="D105" s="811"/>
      <c r="E105" s="73">
        <v>188</v>
      </c>
      <c r="G105" s="74">
        <v>13</v>
      </c>
      <c r="H105" s="176"/>
      <c r="I105" s="75">
        <v>2</v>
      </c>
      <c r="J105" s="76">
        <v>15</v>
      </c>
      <c r="K105" s="77">
        <f t="shared" si="10"/>
        <v>86.666666666666671</v>
      </c>
      <c r="L105" s="77">
        <f t="shared" si="4"/>
        <v>0</v>
      </c>
      <c r="M105" s="77">
        <f t="shared" si="4"/>
        <v>13.333333333333334</v>
      </c>
      <c r="N105" s="78">
        <f t="shared" si="11"/>
        <v>100</v>
      </c>
      <c r="O105" s="79">
        <v>48.2</v>
      </c>
      <c r="P105" s="77"/>
      <c r="Q105" s="77">
        <v>3.6</v>
      </c>
      <c r="R105" s="80">
        <f t="shared" si="9"/>
        <v>51.800000000000004</v>
      </c>
      <c r="S105" s="73">
        <v>3</v>
      </c>
      <c r="T105" s="81"/>
      <c r="V105" s="82" t="s">
        <v>566</v>
      </c>
      <c r="W105" s="73" t="s">
        <v>22</v>
      </c>
      <c r="X105" s="73" t="s">
        <v>11</v>
      </c>
      <c r="Y105" s="83">
        <v>47</v>
      </c>
      <c r="Z105" s="73" t="s">
        <v>570</v>
      </c>
      <c r="AA105" s="73" t="s">
        <v>221</v>
      </c>
      <c r="AB105" s="73" t="s">
        <v>12</v>
      </c>
      <c r="AC105" s="73">
        <v>3.6</v>
      </c>
      <c r="AD105" s="82" t="s">
        <v>568</v>
      </c>
      <c r="AE105" s="73" t="s">
        <v>94</v>
      </c>
      <c r="AF105" s="73" t="s">
        <v>11</v>
      </c>
      <c r="AG105" s="83">
        <v>1.2</v>
      </c>
      <c r="AL105" s="82"/>
      <c r="AO105" s="83"/>
      <c r="AP105" s="82"/>
      <c r="AS105" s="83"/>
      <c r="AW105" s="83"/>
      <c r="BA105" s="84"/>
    </row>
    <row r="106" spans="1:53" s="334" customFormat="1" x14ac:dyDescent="0.15">
      <c r="A106" s="334">
        <v>2008</v>
      </c>
      <c r="B106" s="355">
        <v>39636</v>
      </c>
      <c r="C106" s="812" t="s">
        <v>301</v>
      </c>
      <c r="D106" s="812"/>
      <c r="E106" s="334">
        <f>366-E105</f>
        <v>178</v>
      </c>
      <c r="F106" s="334">
        <v>2</v>
      </c>
      <c r="G106" s="336">
        <v>13</v>
      </c>
      <c r="H106" s="454"/>
      <c r="I106" s="200">
        <v>2</v>
      </c>
      <c r="J106" s="337">
        <v>15</v>
      </c>
      <c r="K106" s="338">
        <f t="shared" si="10"/>
        <v>86.666666666666671</v>
      </c>
      <c r="L106" s="338">
        <f t="shared" si="4"/>
        <v>0</v>
      </c>
      <c r="M106" s="338">
        <f t="shared" si="4"/>
        <v>13.333333333333334</v>
      </c>
      <c r="N106" s="339">
        <f t="shared" si="11"/>
        <v>100</v>
      </c>
      <c r="O106" s="340">
        <v>48.2</v>
      </c>
      <c r="P106" s="338"/>
      <c r="Q106" s="338">
        <v>3.6</v>
      </c>
      <c r="R106" s="341">
        <f t="shared" si="9"/>
        <v>51.800000000000004</v>
      </c>
      <c r="S106" s="334">
        <v>3</v>
      </c>
      <c r="T106" s="357"/>
      <c r="U106" s="355">
        <v>39636</v>
      </c>
      <c r="V106" s="343" t="s">
        <v>566</v>
      </c>
      <c r="W106" s="334" t="s">
        <v>22</v>
      </c>
      <c r="X106" s="334" t="s">
        <v>11</v>
      </c>
      <c r="Y106" s="344">
        <v>47</v>
      </c>
      <c r="Z106" s="334" t="s">
        <v>570</v>
      </c>
      <c r="AA106" s="334" t="s">
        <v>221</v>
      </c>
      <c r="AB106" s="334" t="s">
        <v>12</v>
      </c>
      <c r="AC106" s="334">
        <v>3.6</v>
      </c>
      <c r="AD106" s="343" t="s">
        <v>568</v>
      </c>
      <c r="AE106" s="334" t="s">
        <v>94</v>
      </c>
      <c r="AF106" s="334" t="s">
        <v>11</v>
      </c>
      <c r="AG106" s="344">
        <v>1.2</v>
      </c>
      <c r="AL106" s="343"/>
      <c r="AO106" s="344"/>
      <c r="AP106" s="343"/>
      <c r="AS106" s="344"/>
      <c r="AW106" s="344"/>
      <c r="BA106" s="345"/>
    </row>
    <row r="107" spans="1:53" s="334" customFormat="1" x14ac:dyDescent="0.15">
      <c r="A107" s="334">
        <v>2009</v>
      </c>
      <c r="C107" s="812" t="s">
        <v>301</v>
      </c>
      <c r="D107" s="812"/>
      <c r="E107" s="334">
        <v>344</v>
      </c>
      <c r="G107" s="336">
        <v>13</v>
      </c>
      <c r="H107" s="454"/>
      <c r="I107" s="200">
        <v>2</v>
      </c>
      <c r="J107" s="337">
        <v>15</v>
      </c>
      <c r="K107" s="338">
        <f t="shared" si="10"/>
        <v>86.666666666666671</v>
      </c>
      <c r="L107" s="338">
        <f t="shared" si="4"/>
        <v>0</v>
      </c>
      <c r="M107" s="338">
        <f t="shared" si="4"/>
        <v>13.333333333333334</v>
      </c>
      <c r="N107" s="339">
        <f t="shared" si="11"/>
        <v>100</v>
      </c>
      <c r="O107" s="340">
        <v>48.2</v>
      </c>
      <c r="P107" s="338"/>
      <c r="Q107" s="338">
        <v>3.6</v>
      </c>
      <c r="R107" s="341">
        <f t="shared" si="9"/>
        <v>51.800000000000004</v>
      </c>
      <c r="S107" s="334">
        <v>3</v>
      </c>
      <c r="T107" s="357"/>
      <c r="V107" s="343" t="s">
        <v>566</v>
      </c>
      <c r="W107" s="334" t="s">
        <v>22</v>
      </c>
      <c r="X107" s="334" t="s">
        <v>11</v>
      </c>
      <c r="Y107" s="344">
        <v>47</v>
      </c>
      <c r="Z107" s="334" t="s">
        <v>570</v>
      </c>
      <c r="AA107" s="334" t="s">
        <v>221</v>
      </c>
      <c r="AB107" s="334" t="s">
        <v>12</v>
      </c>
      <c r="AC107" s="334">
        <v>3.6</v>
      </c>
      <c r="AD107" s="343" t="s">
        <v>568</v>
      </c>
      <c r="AE107" s="334" t="s">
        <v>94</v>
      </c>
      <c r="AF107" s="334" t="s">
        <v>11</v>
      </c>
      <c r="AG107" s="344">
        <v>1.2</v>
      </c>
      <c r="AL107" s="343"/>
      <c r="AO107" s="344"/>
      <c r="AP107" s="343"/>
      <c r="AS107" s="344"/>
      <c r="AW107" s="344"/>
      <c r="BA107" s="345"/>
    </row>
    <row r="108" spans="1:53" s="73" customFormat="1" x14ac:dyDescent="0.15">
      <c r="A108" s="73">
        <v>2009</v>
      </c>
      <c r="B108" s="85">
        <v>40158</v>
      </c>
      <c r="C108" s="811" t="s">
        <v>773</v>
      </c>
      <c r="D108" s="811"/>
      <c r="E108" s="73">
        <v>21</v>
      </c>
      <c r="F108" s="73">
        <v>4</v>
      </c>
      <c r="G108" s="74">
        <v>12</v>
      </c>
      <c r="H108" s="176"/>
      <c r="I108" s="75">
        <v>2</v>
      </c>
      <c r="J108" s="76">
        <v>15</v>
      </c>
      <c r="K108" s="77">
        <f t="shared" si="10"/>
        <v>80</v>
      </c>
      <c r="L108" s="77">
        <f t="shared" si="4"/>
        <v>0</v>
      </c>
      <c r="M108" s="77">
        <f t="shared" si="4"/>
        <v>13.333333333333334</v>
      </c>
      <c r="N108" s="78">
        <f t="shared" si="11"/>
        <v>93.333333333333329</v>
      </c>
      <c r="O108" s="79">
        <v>47</v>
      </c>
      <c r="P108" s="77"/>
      <c r="Q108" s="77">
        <v>3.6</v>
      </c>
      <c r="R108" s="80">
        <f t="shared" si="9"/>
        <v>50.6</v>
      </c>
      <c r="S108" s="73">
        <v>2</v>
      </c>
      <c r="T108" s="81"/>
      <c r="U108" s="85">
        <v>40158</v>
      </c>
      <c r="V108" s="82" t="s">
        <v>566</v>
      </c>
      <c r="W108" s="73" t="s">
        <v>22</v>
      </c>
      <c r="X108" s="73" t="s">
        <v>11</v>
      </c>
      <c r="Y108" s="83">
        <v>47</v>
      </c>
      <c r="Z108" s="73" t="s">
        <v>570</v>
      </c>
      <c r="AA108" s="73" t="s">
        <v>221</v>
      </c>
      <c r="AB108" s="73" t="s">
        <v>12</v>
      </c>
      <c r="AC108" s="73">
        <v>3.6</v>
      </c>
      <c r="AD108" s="82"/>
      <c r="AG108" s="83"/>
      <c r="AL108" s="82"/>
      <c r="AO108" s="83"/>
      <c r="AP108" s="82"/>
      <c r="AS108" s="83"/>
      <c r="AW108" s="83"/>
      <c r="BA108" s="84"/>
    </row>
    <row r="109" spans="1:53" s="73" customFormat="1" x14ac:dyDescent="0.15">
      <c r="A109" s="73">
        <v>2010</v>
      </c>
      <c r="C109" s="811" t="s">
        <v>773</v>
      </c>
      <c r="D109" s="811"/>
      <c r="E109" s="73">
        <v>0</v>
      </c>
      <c r="G109" s="74">
        <v>12</v>
      </c>
      <c r="H109" s="176"/>
      <c r="I109" s="75">
        <v>2</v>
      </c>
      <c r="J109" s="76">
        <v>15</v>
      </c>
      <c r="K109" s="77">
        <f t="shared" si="10"/>
        <v>80</v>
      </c>
      <c r="L109" s="77">
        <f t="shared" si="4"/>
        <v>0</v>
      </c>
      <c r="M109" s="77">
        <f t="shared" si="4"/>
        <v>13.333333333333334</v>
      </c>
      <c r="N109" s="78">
        <f t="shared" si="11"/>
        <v>93.333333333333329</v>
      </c>
      <c r="O109" s="79">
        <v>47</v>
      </c>
      <c r="P109" s="77"/>
      <c r="Q109" s="77">
        <v>3.6</v>
      </c>
      <c r="R109" s="80">
        <f t="shared" si="9"/>
        <v>50.6</v>
      </c>
      <c r="S109" s="73">
        <v>2</v>
      </c>
      <c r="T109" s="81"/>
      <c r="V109" s="82" t="s">
        <v>566</v>
      </c>
      <c r="W109" s="73" t="s">
        <v>22</v>
      </c>
      <c r="X109" s="73" t="s">
        <v>11</v>
      </c>
      <c r="Y109" s="83">
        <v>47</v>
      </c>
      <c r="Z109" s="73" t="s">
        <v>570</v>
      </c>
      <c r="AA109" s="73" t="s">
        <v>221</v>
      </c>
      <c r="AB109" s="73" t="s">
        <v>12</v>
      </c>
      <c r="AC109" s="73">
        <v>3.6</v>
      </c>
      <c r="AD109" s="82"/>
      <c r="AG109" s="83"/>
      <c r="AL109" s="82"/>
      <c r="AO109" s="83"/>
      <c r="AP109" s="82"/>
      <c r="AS109" s="83"/>
      <c r="AW109" s="83"/>
      <c r="BA109" s="84"/>
    </row>
    <row r="110" spans="1:53" s="73" customFormat="1" x14ac:dyDescent="0.15">
      <c r="A110" s="73">
        <v>2010</v>
      </c>
      <c r="C110" s="811" t="s">
        <v>773</v>
      </c>
      <c r="D110" s="811"/>
      <c r="E110" s="73">
        <v>365</v>
      </c>
      <c r="G110" s="74">
        <v>12</v>
      </c>
      <c r="H110" s="176"/>
      <c r="I110" s="75">
        <v>2</v>
      </c>
      <c r="J110" s="76">
        <v>15</v>
      </c>
      <c r="K110" s="77">
        <f t="shared" si="10"/>
        <v>80</v>
      </c>
      <c r="L110" s="77">
        <f t="shared" si="10"/>
        <v>0</v>
      </c>
      <c r="M110" s="77">
        <f t="shared" si="10"/>
        <v>13.333333333333334</v>
      </c>
      <c r="N110" s="78">
        <f t="shared" si="11"/>
        <v>93.333333333333329</v>
      </c>
      <c r="O110" s="79">
        <v>47</v>
      </c>
      <c r="P110" s="77"/>
      <c r="Q110" s="77">
        <v>3.6</v>
      </c>
      <c r="R110" s="80">
        <f t="shared" si="9"/>
        <v>50.6</v>
      </c>
      <c r="S110" s="73">
        <v>2</v>
      </c>
      <c r="T110" s="81"/>
      <c r="V110" s="82" t="s">
        <v>566</v>
      </c>
      <c r="W110" s="73" t="s">
        <v>22</v>
      </c>
      <c r="X110" s="73" t="s">
        <v>11</v>
      </c>
      <c r="Y110" s="83">
        <v>47</v>
      </c>
      <c r="Z110" s="73" t="s">
        <v>570</v>
      </c>
      <c r="AA110" s="73" t="s">
        <v>221</v>
      </c>
      <c r="AB110" s="73" t="s">
        <v>12</v>
      </c>
      <c r="AC110" s="73">
        <v>3.6</v>
      </c>
      <c r="AD110" s="82"/>
      <c r="AG110" s="83"/>
      <c r="AL110" s="82"/>
      <c r="AO110" s="83"/>
      <c r="AP110" s="82"/>
      <c r="AS110" s="83"/>
      <c r="AW110" s="83"/>
      <c r="BA110" s="84"/>
    </row>
    <row r="111" spans="1:53" s="73" customFormat="1" x14ac:dyDescent="0.15">
      <c r="A111" s="73">
        <v>2011</v>
      </c>
      <c r="C111" s="811" t="s">
        <v>773</v>
      </c>
      <c r="D111" s="811"/>
      <c r="E111" s="73">
        <v>18</v>
      </c>
      <c r="G111" s="74">
        <v>12</v>
      </c>
      <c r="H111" s="176"/>
      <c r="I111" s="75">
        <v>2</v>
      </c>
      <c r="J111" s="76">
        <v>15</v>
      </c>
      <c r="K111" s="77">
        <f t="shared" si="10"/>
        <v>80</v>
      </c>
      <c r="L111" s="77">
        <f t="shared" si="10"/>
        <v>0</v>
      </c>
      <c r="M111" s="77">
        <f t="shared" si="10"/>
        <v>13.333333333333334</v>
      </c>
      <c r="N111" s="78">
        <f t="shared" si="11"/>
        <v>93.333333333333329</v>
      </c>
      <c r="O111" s="79">
        <v>47</v>
      </c>
      <c r="P111" s="77"/>
      <c r="Q111" s="77">
        <v>3.6</v>
      </c>
      <c r="R111" s="80">
        <f t="shared" si="9"/>
        <v>50.6</v>
      </c>
      <c r="S111" s="73">
        <v>2</v>
      </c>
      <c r="T111" s="81"/>
      <c r="V111" s="82" t="s">
        <v>566</v>
      </c>
      <c r="W111" s="73" t="s">
        <v>22</v>
      </c>
      <c r="X111" s="73" t="s">
        <v>11</v>
      </c>
      <c r="Y111" s="83">
        <v>47</v>
      </c>
      <c r="Z111" s="73" t="s">
        <v>570</v>
      </c>
      <c r="AA111" s="73" t="s">
        <v>221</v>
      </c>
      <c r="AB111" s="73" t="s">
        <v>12</v>
      </c>
      <c r="AC111" s="73">
        <v>3.6</v>
      </c>
      <c r="AD111" s="82"/>
      <c r="AG111" s="83"/>
      <c r="AL111" s="82"/>
      <c r="AO111" s="83"/>
      <c r="AP111" s="82"/>
      <c r="AS111" s="83"/>
      <c r="AW111" s="83"/>
      <c r="BA111" s="84"/>
    </row>
    <row r="112" spans="1:53" s="73" customFormat="1" x14ac:dyDescent="0.15">
      <c r="A112" s="73">
        <v>2011</v>
      </c>
      <c r="B112" s="149">
        <v>40562</v>
      </c>
      <c r="C112" s="811" t="s">
        <v>773</v>
      </c>
      <c r="D112" s="811"/>
      <c r="E112" s="73">
        <v>1</v>
      </c>
      <c r="F112" s="150">
        <v>0</v>
      </c>
      <c r="G112" s="74">
        <v>11</v>
      </c>
      <c r="H112" s="176"/>
      <c r="I112" s="75">
        <v>2</v>
      </c>
      <c r="J112" s="76">
        <v>14</v>
      </c>
      <c r="K112" s="77">
        <f t="shared" si="10"/>
        <v>78.571428571428569</v>
      </c>
      <c r="L112" s="77">
        <f t="shared" si="10"/>
        <v>0</v>
      </c>
      <c r="M112" s="77">
        <f t="shared" si="10"/>
        <v>14.285714285714285</v>
      </c>
      <c r="N112" s="78">
        <f t="shared" si="11"/>
        <v>92.857142857142861</v>
      </c>
      <c r="O112" s="79">
        <v>47</v>
      </c>
      <c r="P112" s="77"/>
      <c r="Q112" s="77">
        <v>3.6</v>
      </c>
      <c r="R112" s="80">
        <f t="shared" si="9"/>
        <v>50.6</v>
      </c>
      <c r="S112" s="73">
        <v>2</v>
      </c>
      <c r="T112" s="81"/>
      <c r="V112" s="82" t="s">
        <v>566</v>
      </c>
      <c r="W112" s="73" t="s">
        <v>22</v>
      </c>
      <c r="X112" s="73" t="s">
        <v>11</v>
      </c>
      <c r="Y112" s="83">
        <v>47</v>
      </c>
      <c r="Z112" s="73" t="s">
        <v>570</v>
      </c>
      <c r="AA112" s="73" t="s">
        <v>221</v>
      </c>
      <c r="AB112" s="73" t="s">
        <v>12</v>
      </c>
      <c r="AC112" s="73">
        <v>3.6</v>
      </c>
      <c r="AD112" s="82"/>
      <c r="AG112" s="83"/>
      <c r="AL112" s="82"/>
      <c r="AO112" s="83"/>
      <c r="AP112" s="82"/>
      <c r="AS112" s="83"/>
      <c r="AW112" s="83"/>
      <c r="BA112" s="84"/>
    </row>
    <row r="113" spans="1:53" s="73" customFormat="1" x14ac:dyDescent="0.15">
      <c r="A113" s="73">
        <v>2011</v>
      </c>
      <c r="B113" s="149">
        <v>40563</v>
      </c>
      <c r="C113" s="811" t="s">
        <v>773</v>
      </c>
      <c r="D113" s="811"/>
      <c r="E113" s="73">
        <v>3</v>
      </c>
      <c r="F113" s="150">
        <v>0</v>
      </c>
      <c r="G113" s="74">
        <v>7</v>
      </c>
      <c r="H113" s="176"/>
      <c r="I113" s="75">
        <v>2</v>
      </c>
      <c r="J113" s="76">
        <v>9</v>
      </c>
      <c r="K113" s="77">
        <f t="shared" si="10"/>
        <v>77.777777777777786</v>
      </c>
      <c r="L113" s="77">
        <f t="shared" si="10"/>
        <v>0</v>
      </c>
      <c r="M113" s="77">
        <f t="shared" si="10"/>
        <v>22.222222222222221</v>
      </c>
      <c r="N113" s="78">
        <f t="shared" si="11"/>
        <v>100</v>
      </c>
      <c r="O113" s="79">
        <v>47</v>
      </c>
      <c r="P113" s="77"/>
      <c r="Q113" s="77">
        <v>3.6</v>
      </c>
      <c r="R113" s="80">
        <f t="shared" si="9"/>
        <v>50.6</v>
      </c>
      <c r="S113" s="73">
        <v>2</v>
      </c>
      <c r="T113" s="81"/>
      <c r="V113" s="82" t="s">
        <v>566</v>
      </c>
      <c r="W113" s="73" t="s">
        <v>22</v>
      </c>
      <c r="X113" s="73" t="s">
        <v>11</v>
      </c>
      <c r="Y113" s="83">
        <v>47</v>
      </c>
      <c r="Z113" s="73" t="s">
        <v>570</v>
      </c>
      <c r="AA113" s="73" t="s">
        <v>221</v>
      </c>
      <c r="AB113" s="73" t="s">
        <v>12</v>
      </c>
      <c r="AC113" s="73">
        <v>3.6</v>
      </c>
      <c r="AD113" s="82"/>
      <c r="AG113" s="83"/>
      <c r="AL113" s="82"/>
      <c r="AO113" s="83"/>
      <c r="AP113" s="82"/>
      <c r="AS113" s="83"/>
      <c r="AW113" s="83"/>
      <c r="BA113" s="84"/>
    </row>
    <row r="114" spans="1:53" s="334" customFormat="1" x14ac:dyDescent="0.15">
      <c r="A114" s="334">
        <v>2011</v>
      </c>
      <c r="B114" s="355">
        <v>40566</v>
      </c>
      <c r="C114" s="812" t="s">
        <v>774</v>
      </c>
      <c r="D114" s="812"/>
      <c r="E114" s="334">
        <f>365-E111-E112-E113-E115</f>
        <v>45</v>
      </c>
      <c r="F114" s="334">
        <v>4</v>
      </c>
      <c r="G114" s="336">
        <v>7</v>
      </c>
      <c r="H114" s="454"/>
      <c r="I114" s="200"/>
      <c r="J114" s="337">
        <v>7</v>
      </c>
      <c r="K114" s="338">
        <f t="shared" si="10"/>
        <v>100</v>
      </c>
      <c r="L114" s="338">
        <f t="shared" si="10"/>
        <v>0</v>
      </c>
      <c r="M114" s="338">
        <f t="shared" si="10"/>
        <v>0</v>
      </c>
      <c r="N114" s="339">
        <f t="shared" si="11"/>
        <v>100</v>
      </c>
      <c r="O114" s="340">
        <v>47</v>
      </c>
      <c r="P114" s="338"/>
      <c r="Q114" s="338"/>
      <c r="R114" s="341">
        <f t="shared" si="9"/>
        <v>47</v>
      </c>
      <c r="S114" s="334">
        <v>4</v>
      </c>
      <c r="T114" s="342"/>
      <c r="U114" s="355">
        <v>40566</v>
      </c>
      <c r="V114" s="343" t="s">
        <v>566</v>
      </c>
      <c r="W114" s="334" t="s">
        <v>22</v>
      </c>
      <c r="X114" s="334" t="s">
        <v>11</v>
      </c>
      <c r="Y114" s="344">
        <v>47</v>
      </c>
      <c r="AD114" s="343"/>
      <c r="AG114" s="344"/>
      <c r="AL114" s="343"/>
      <c r="AO114" s="344"/>
      <c r="AP114" s="343"/>
      <c r="AS114" s="344"/>
      <c r="AW114" s="344"/>
      <c r="BA114" s="345"/>
    </row>
    <row r="115" spans="1:53" s="73" customFormat="1" x14ac:dyDescent="0.15">
      <c r="A115" s="73">
        <v>2011</v>
      </c>
      <c r="B115" s="85">
        <v>40611</v>
      </c>
      <c r="C115" s="811" t="s">
        <v>302</v>
      </c>
      <c r="D115" s="811"/>
      <c r="E115" s="73">
        <v>298</v>
      </c>
      <c r="F115" s="73">
        <v>1</v>
      </c>
      <c r="G115" s="74"/>
      <c r="H115" s="176">
        <v>10</v>
      </c>
      <c r="I115" s="75">
        <v>5</v>
      </c>
      <c r="J115" s="76">
        <v>15</v>
      </c>
      <c r="K115" s="77">
        <f t="shared" si="10"/>
        <v>0</v>
      </c>
      <c r="L115" s="77">
        <f t="shared" si="10"/>
        <v>66.666666666666657</v>
      </c>
      <c r="M115" s="77">
        <f t="shared" si="10"/>
        <v>33.333333333333329</v>
      </c>
      <c r="N115" s="78">
        <f t="shared" si="11"/>
        <v>99.999999999999986</v>
      </c>
      <c r="O115" s="79"/>
      <c r="P115" s="77">
        <v>45.8</v>
      </c>
      <c r="Q115" s="77">
        <v>22.3</v>
      </c>
      <c r="R115" s="80">
        <f t="shared" si="9"/>
        <v>68.099999999999994</v>
      </c>
      <c r="S115" s="73">
        <v>2</v>
      </c>
      <c r="T115" s="95">
        <v>40599</v>
      </c>
      <c r="U115" s="85">
        <v>40611</v>
      </c>
      <c r="V115" s="82" t="s">
        <v>567</v>
      </c>
      <c r="W115" s="73" t="s">
        <v>17</v>
      </c>
      <c r="X115" s="73" t="s">
        <v>18</v>
      </c>
      <c r="Y115" s="83">
        <v>45.8</v>
      </c>
      <c r="Z115" s="73" t="s">
        <v>464</v>
      </c>
      <c r="AA115" s="73" t="s">
        <v>20</v>
      </c>
      <c r="AB115" s="73" t="s">
        <v>12</v>
      </c>
      <c r="AC115" s="73">
        <v>22.3</v>
      </c>
      <c r="AD115" s="82"/>
      <c r="AG115" s="83"/>
      <c r="AL115" s="82"/>
      <c r="AO115" s="83"/>
      <c r="AP115" s="82"/>
      <c r="AS115" s="83"/>
      <c r="AW115" s="83"/>
      <c r="BA115" s="84"/>
    </row>
    <row r="116" spans="1:53" s="73" customFormat="1" x14ac:dyDescent="0.15">
      <c r="A116" s="73">
        <v>2012</v>
      </c>
      <c r="C116" s="811" t="s">
        <v>302</v>
      </c>
      <c r="D116" s="811"/>
      <c r="E116" s="73">
        <v>0</v>
      </c>
      <c r="G116" s="74"/>
      <c r="H116" s="176">
        <v>10</v>
      </c>
      <c r="I116" s="75">
        <v>5</v>
      </c>
      <c r="J116" s="76">
        <v>15</v>
      </c>
      <c r="K116" s="77">
        <f t="shared" si="10"/>
        <v>0</v>
      </c>
      <c r="L116" s="77">
        <f t="shared" si="10"/>
        <v>66.666666666666657</v>
      </c>
      <c r="M116" s="77">
        <f t="shared" si="10"/>
        <v>33.333333333333329</v>
      </c>
      <c r="N116" s="78">
        <f t="shared" si="11"/>
        <v>99.999999999999986</v>
      </c>
      <c r="O116" s="79"/>
      <c r="P116" s="77">
        <v>45.8</v>
      </c>
      <c r="Q116" s="77">
        <v>22.3</v>
      </c>
      <c r="R116" s="80">
        <f t="shared" si="9"/>
        <v>68.099999999999994</v>
      </c>
      <c r="S116" s="73">
        <v>2</v>
      </c>
      <c r="T116" s="81"/>
      <c r="V116" s="82" t="s">
        <v>567</v>
      </c>
      <c r="W116" s="73" t="s">
        <v>17</v>
      </c>
      <c r="X116" s="73" t="s">
        <v>18</v>
      </c>
      <c r="Y116" s="83">
        <v>45.8</v>
      </c>
      <c r="Z116" s="73" t="s">
        <v>464</v>
      </c>
      <c r="AA116" s="73" t="s">
        <v>20</v>
      </c>
      <c r="AB116" s="73" t="s">
        <v>12</v>
      </c>
      <c r="AC116" s="73">
        <v>22.3</v>
      </c>
      <c r="AD116" s="82"/>
      <c r="AG116" s="83"/>
      <c r="AL116" s="82"/>
      <c r="AO116" s="83"/>
      <c r="AP116" s="82"/>
      <c r="AS116" s="83"/>
      <c r="AW116" s="83"/>
      <c r="BA116" s="84"/>
    </row>
    <row r="117" spans="1:53" s="301" customFormat="1" x14ac:dyDescent="0.15">
      <c r="A117" s="301">
        <v>2012</v>
      </c>
      <c r="C117" s="811" t="s">
        <v>302</v>
      </c>
      <c r="D117" s="811"/>
      <c r="E117" s="301">
        <v>366</v>
      </c>
      <c r="G117" s="74"/>
      <c r="H117" s="176">
        <v>10</v>
      </c>
      <c r="I117" s="75">
        <v>5</v>
      </c>
      <c r="J117" s="76">
        <v>15</v>
      </c>
      <c r="K117" s="77">
        <f t="shared" si="10"/>
        <v>0</v>
      </c>
      <c r="L117" s="77">
        <f t="shared" si="10"/>
        <v>66.666666666666657</v>
      </c>
      <c r="M117" s="77">
        <f t="shared" si="10"/>
        <v>33.333333333333329</v>
      </c>
      <c r="N117" s="78">
        <f t="shared" si="11"/>
        <v>99.999999999999986</v>
      </c>
      <c r="O117" s="79"/>
      <c r="P117" s="77">
        <v>45.8</v>
      </c>
      <c r="Q117" s="77">
        <v>22.3</v>
      </c>
      <c r="R117" s="80">
        <f t="shared" si="9"/>
        <v>68.099999999999994</v>
      </c>
      <c r="S117" s="301">
        <v>2</v>
      </c>
      <c r="T117" s="81"/>
      <c r="V117" s="82" t="s">
        <v>567</v>
      </c>
      <c r="W117" s="301" t="s">
        <v>17</v>
      </c>
      <c r="X117" s="301" t="s">
        <v>18</v>
      </c>
      <c r="Y117" s="83">
        <v>45.8</v>
      </c>
      <c r="Z117" s="301" t="s">
        <v>464</v>
      </c>
      <c r="AA117" s="301" t="s">
        <v>20</v>
      </c>
      <c r="AB117" s="301" t="s">
        <v>12</v>
      </c>
      <c r="AC117" s="301">
        <v>22.3</v>
      </c>
      <c r="AD117" s="82"/>
      <c r="AG117" s="83"/>
      <c r="AL117" s="82"/>
      <c r="AO117" s="83"/>
      <c r="AP117" s="82"/>
      <c r="AS117" s="83"/>
      <c r="AW117" s="83"/>
      <c r="BA117" s="84"/>
    </row>
    <row r="118" spans="1:53" s="301" customFormat="1" x14ac:dyDescent="0.15">
      <c r="A118" s="301">
        <v>2013</v>
      </c>
      <c r="C118" s="811" t="s">
        <v>302</v>
      </c>
      <c r="D118" s="811"/>
      <c r="E118" s="301">
        <v>0</v>
      </c>
      <c r="G118" s="74"/>
      <c r="H118" s="176">
        <v>10</v>
      </c>
      <c r="I118" s="75">
        <v>5</v>
      </c>
      <c r="J118" s="76">
        <v>15</v>
      </c>
      <c r="K118" s="77">
        <f t="shared" si="10"/>
        <v>0</v>
      </c>
      <c r="L118" s="77">
        <f t="shared" si="10"/>
        <v>66.666666666666657</v>
      </c>
      <c r="M118" s="77">
        <f t="shared" si="10"/>
        <v>33.333333333333329</v>
      </c>
      <c r="N118" s="78">
        <f t="shared" si="11"/>
        <v>99.999999999999986</v>
      </c>
      <c r="O118" s="79"/>
      <c r="P118" s="77">
        <v>45.8</v>
      </c>
      <c r="Q118" s="77">
        <v>22.3</v>
      </c>
      <c r="R118" s="80">
        <f>O118+P118+Q118</f>
        <v>68.099999999999994</v>
      </c>
      <c r="S118" s="301">
        <v>2</v>
      </c>
      <c r="T118" s="81"/>
      <c r="V118" s="82" t="s">
        <v>567</v>
      </c>
      <c r="W118" s="301" t="s">
        <v>17</v>
      </c>
      <c r="X118" s="301" t="s">
        <v>18</v>
      </c>
      <c r="Y118" s="83">
        <v>45.8</v>
      </c>
      <c r="Z118" s="301" t="s">
        <v>464</v>
      </c>
      <c r="AA118" s="301" t="s">
        <v>20</v>
      </c>
      <c r="AB118" s="301" t="s">
        <v>12</v>
      </c>
      <c r="AC118" s="301">
        <v>22.3</v>
      </c>
      <c r="AD118" s="82"/>
      <c r="AG118" s="83"/>
      <c r="AL118" s="82"/>
      <c r="AO118" s="83"/>
      <c r="AP118" s="82"/>
      <c r="AS118" s="83"/>
      <c r="AW118" s="83"/>
      <c r="BA118" s="84"/>
    </row>
    <row r="119" spans="1:53" s="301" customFormat="1" x14ac:dyDescent="0.15">
      <c r="A119" s="301">
        <v>2013</v>
      </c>
      <c r="C119" s="811" t="s">
        <v>302</v>
      </c>
      <c r="D119" s="811"/>
      <c r="E119" s="301">
        <v>365</v>
      </c>
      <c r="G119" s="74"/>
      <c r="H119" s="176">
        <v>10</v>
      </c>
      <c r="I119" s="75">
        <v>5</v>
      </c>
      <c r="J119" s="76">
        <v>15</v>
      </c>
      <c r="K119" s="77">
        <f t="shared" si="10"/>
        <v>0</v>
      </c>
      <c r="L119" s="77">
        <f t="shared" si="10"/>
        <v>66.666666666666657</v>
      </c>
      <c r="M119" s="77">
        <f t="shared" si="10"/>
        <v>33.333333333333329</v>
      </c>
      <c r="N119" s="78">
        <f t="shared" si="11"/>
        <v>99.999999999999986</v>
      </c>
      <c r="O119" s="79"/>
      <c r="P119" s="77">
        <v>45.8</v>
      </c>
      <c r="Q119" s="77">
        <v>22.3</v>
      </c>
      <c r="R119" s="80">
        <f>O119+P119+Q119</f>
        <v>68.099999999999994</v>
      </c>
      <c r="S119" s="301">
        <v>2</v>
      </c>
      <c r="T119" s="81"/>
      <c r="V119" s="82" t="s">
        <v>567</v>
      </c>
      <c r="W119" s="301" t="s">
        <v>17</v>
      </c>
      <c r="X119" s="301" t="s">
        <v>18</v>
      </c>
      <c r="Y119" s="83">
        <v>45.8</v>
      </c>
      <c r="Z119" s="301" t="s">
        <v>464</v>
      </c>
      <c r="AA119" s="301" t="s">
        <v>20</v>
      </c>
      <c r="AB119" s="301" t="s">
        <v>12</v>
      </c>
      <c r="AC119" s="301">
        <v>22.3</v>
      </c>
      <c r="AD119" s="82"/>
      <c r="AG119" s="83"/>
      <c r="AL119" s="82"/>
      <c r="AO119" s="83"/>
      <c r="AP119" s="82"/>
      <c r="AS119" s="83"/>
      <c r="AW119" s="83"/>
      <c r="BA119" s="84"/>
    </row>
    <row r="120" spans="1:53" s="543" customFormat="1" x14ac:dyDescent="0.15">
      <c r="A120" s="543">
        <v>2014</v>
      </c>
      <c r="B120" s="483"/>
      <c r="C120" s="811" t="s">
        <v>302</v>
      </c>
      <c r="D120" s="811"/>
      <c r="E120" s="543">
        <v>0</v>
      </c>
      <c r="F120" s="484"/>
      <c r="G120" s="74"/>
      <c r="H120" s="176">
        <v>10</v>
      </c>
      <c r="I120" s="75">
        <v>5</v>
      </c>
      <c r="J120" s="76">
        <v>15</v>
      </c>
      <c r="K120" s="77">
        <f t="shared" ref="K120:M121" si="12">G120/$J120*100</f>
        <v>0</v>
      </c>
      <c r="L120" s="77">
        <f t="shared" si="12"/>
        <v>66.666666666666657</v>
      </c>
      <c r="M120" s="77">
        <f t="shared" si="12"/>
        <v>33.333333333333329</v>
      </c>
      <c r="N120" s="78">
        <f>K120+L120+M120</f>
        <v>99.999999999999986</v>
      </c>
      <c r="O120" s="79"/>
      <c r="P120" s="77">
        <v>45.8</v>
      </c>
      <c r="Q120" s="77">
        <v>22.3</v>
      </c>
      <c r="R120" s="80">
        <f>O120+P120+Q120</f>
        <v>68.099999999999994</v>
      </c>
      <c r="S120" s="543">
        <v>2</v>
      </c>
      <c r="T120" s="471"/>
      <c r="V120" s="472" t="s">
        <v>567</v>
      </c>
      <c r="W120" s="543" t="s">
        <v>17</v>
      </c>
      <c r="X120" s="543" t="s">
        <v>18</v>
      </c>
      <c r="Y120" s="473">
        <v>45.8</v>
      </c>
      <c r="Z120" s="543" t="s">
        <v>464</v>
      </c>
      <c r="AA120" s="543" t="s">
        <v>20</v>
      </c>
      <c r="AB120" s="543" t="s">
        <v>12</v>
      </c>
      <c r="AC120" s="543">
        <v>22.3</v>
      </c>
      <c r="AD120" s="472"/>
      <c r="AG120" s="473"/>
      <c r="AL120" s="472"/>
      <c r="AO120" s="473"/>
      <c r="AP120" s="472"/>
      <c r="AS120" s="473"/>
      <c r="AW120" s="473"/>
      <c r="BA120" s="474"/>
    </row>
    <row r="121" spans="1:53" s="543" customFormat="1" x14ac:dyDescent="0.15">
      <c r="A121" s="543">
        <v>2014</v>
      </c>
      <c r="B121" s="483"/>
      <c r="C121" s="811" t="s">
        <v>302</v>
      </c>
      <c r="D121" s="811"/>
      <c r="E121" s="543">
        <v>365</v>
      </c>
      <c r="F121" s="484"/>
      <c r="G121" s="74"/>
      <c r="H121" s="176">
        <v>10</v>
      </c>
      <c r="I121" s="75">
        <v>5</v>
      </c>
      <c r="J121" s="76">
        <v>15</v>
      </c>
      <c r="K121" s="77">
        <f t="shared" si="12"/>
        <v>0</v>
      </c>
      <c r="L121" s="77">
        <f t="shared" si="12"/>
        <v>66.666666666666657</v>
      </c>
      <c r="M121" s="77">
        <f t="shared" si="12"/>
        <v>33.333333333333329</v>
      </c>
      <c r="N121" s="78">
        <f>K121+L121+M121</f>
        <v>99.999999999999986</v>
      </c>
      <c r="O121" s="79"/>
      <c r="P121" s="77">
        <v>45.8</v>
      </c>
      <c r="Q121" s="77">
        <v>22.3</v>
      </c>
      <c r="R121" s="80">
        <f>O121+P121+Q121</f>
        <v>68.099999999999994</v>
      </c>
      <c r="S121" s="543">
        <v>2</v>
      </c>
      <c r="T121" s="471"/>
      <c r="V121" s="472" t="s">
        <v>567</v>
      </c>
      <c r="W121" s="543" t="s">
        <v>17</v>
      </c>
      <c r="X121" s="543" t="s">
        <v>18</v>
      </c>
      <c r="Y121" s="473">
        <v>45.8</v>
      </c>
      <c r="Z121" s="543" t="s">
        <v>464</v>
      </c>
      <c r="AA121" s="543" t="s">
        <v>20</v>
      </c>
      <c r="AB121" s="543" t="s">
        <v>12</v>
      </c>
      <c r="AC121" s="543">
        <v>22.3</v>
      </c>
      <c r="AD121" s="472"/>
      <c r="AG121" s="473"/>
      <c r="AL121" s="472"/>
      <c r="AO121" s="473"/>
      <c r="AP121" s="472"/>
      <c r="AS121" s="473"/>
      <c r="AW121" s="473"/>
      <c r="BA121" s="474"/>
    </row>
    <row r="122" spans="1:53" s="729" customFormat="1" x14ac:dyDescent="0.15">
      <c r="A122" s="729">
        <v>2015</v>
      </c>
      <c r="B122" s="603"/>
      <c r="C122" s="811" t="s">
        <v>302</v>
      </c>
      <c r="D122" s="811"/>
      <c r="E122" s="729">
        <v>0</v>
      </c>
      <c r="F122" s="604"/>
      <c r="G122" s="74"/>
      <c r="H122" s="176">
        <v>10</v>
      </c>
      <c r="I122" s="75">
        <v>5</v>
      </c>
      <c r="J122" s="76">
        <v>15</v>
      </c>
      <c r="K122" s="77">
        <f t="shared" ref="K122:K123" si="13">G122/$J122*100</f>
        <v>0</v>
      </c>
      <c r="L122" s="77">
        <f t="shared" ref="L122:L123" si="14">H122/$J122*100</f>
        <v>66.666666666666657</v>
      </c>
      <c r="M122" s="77">
        <f t="shared" ref="M122:M123" si="15">I122/$J122*100</f>
        <v>33.333333333333329</v>
      </c>
      <c r="N122" s="78">
        <f t="shared" ref="N122:N123" si="16">K122+L122+M122</f>
        <v>99.999999999999986</v>
      </c>
      <c r="O122" s="79"/>
      <c r="P122" s="77">
        <v>45.8</v>
      </c>
      <c r="Q122" s="77">
        <v>22.3</v>
      </c>
      <c r="R122" s="80">
        <f t="shared" ref="R122:R123" si="17">O122+P122+Q122</f>
        <v>68.099999999999994</v>
      </c>
      <c r="S122" s="729">
        <v>2</v>
      </c>
      <c r="T122" s="577"/>
      <c r="V122" s="592" t="s">
        <v>567</v>
      </c>
      <c r="W122" s="729" t="s">
        <v>17</v>
      </c>
      <c r="X122" s="729" t="s">
        <v>18</v>
      </c>
      <c r="Y122" s="593">
        <v>45.8</v>
      </c>
      <c r="Z122" s="729" t="s">
        <v>464</v>
      </c>
      <c r="AA122" s="729" t="s">
        <v>20</v>
      </c>
      <c r="AB122" s="729" t="s">
        <v>12</v>
      </c>
      <c r="AC122" s="729">
        <v>22.3</v>
      </c>
      <c r="AD122" s="592"/>
      <c r="AG122" s="593"/>
      <c r="AL122" s="592"/>
      <c r="AO122" s="593"/>
      <c r="AP122" s="592"/>
      <c r="AS122" s="593"/>
      <c r="AW122" s="593"/>
      <c r="BA122" s="594"/>
    </row>
    <row r="123" spans="1:53" s="729" customFormat="1" x14ac:dyDescent="0.15">
      <c r="A123" s="729">
        <v>2015</v>
      </c>
      <c r="B123" s="603"/>
      <c r="C123" s="811" t="s">
        <v>302</v>
      </c>
      <c r="D123" s="811"/>
      <c r="E123" s="729">
        <v>365</v>
      </c>
      <c r="F123" s="604"/>
      <c r="G123" s="74"/>
      <c r="H123" s="176">
        <v>10</v>
      </c>
      <c r="I123" s="75">
        <v>5</v>
      </c>
      <c r="J123" s="76">
        <v>15</v>
      </c>
      <c r="K123" s="77">
        <f t="shared" si="13"/>
        <v>0</v>
      </c>
      <c r="L123" s="77">
        <f t="shared" si="14"/>
        <v>66.666666666666657</v>
      </c>
      <c r="M123" s="77">
        <f t="shared" si="15"/>
        <v>33.333333333333329</v>
      </c>
      <c r="N123" s="78">
        <f t="shared" si="16"/>
        <v>99.999999999999986</v>
      </c>
      <c r="O123" s="79"/>
      <c r="P123" s="77">
        <v>45.8</v>
      </c>
      <c r="Q123" s="77">
        <v>22.3</v>
      </c>
      <c r="R123" s="80">
        <f t="shared" si="17"/>
        <v>68.099999999999994</v>
      </c>
      <c r="S123" s="729">
        <v>2</v>
      </c>
      <c r="T123" s="577"/>
      <c r="V123" s="592" t="s">
        <v>567</v>
      </c>
      <c r="W123" s="729" t="s">
        <v>17</v>
      </c>
      <c r="X123" s="729" t="s">
        <v>18</v>
      </c>
      <c r="Y123" s="593">
        <v>45.8</v>
      </c>
      <c r="Z123" s="729" t="s">
        <v>464</v>
      </c>
      <c r="AA123" s="729" t="s">
        <v>20</v>
      </c>
      <c r="AB123" s="729" t="s">
        <v>12</v>
      </c>
      <c r="AC123" s="729">
        <v>22.3</v>
      </c>
      <c r="AD123" s="592"/>
      <c r="AG123" s="593"/>
      <c r="AL123" s="592"/>
      <c r="AO123" s="593"/>
      <c r="AP123" s="592"/>
      <c r="AS123" s="593"/>
      <c r="AW123" s="593"/>
      <c r="BA123" s="594"/>
    </row>
    <row r="125" spans="1:53" x14ac:dyDescent="0.15">
      <c r="B125" s="814"/>
      <c r="C125" s="814"/>
      <c r="D125" s="814"/>
      <c r="E125" s="814"/>
      <c r="F125" s="814"/>
      <c r="G125" s="814"/>
      <c r="H125" s="6"/>
      <c r="I125" s="2"/>
      <c r="J125" s="2"/>
      <c r="K125" s="2"/>
      <c r="L125" s="2"/>
      <c r="M125" s="2"/>
      <c r="N125" s="2"/>
      <c r="O125" s="848"/>
      <c r="P125" s="848"/>
      <c r="Q125" s="848"/>
    </row>
    <row r="126" spans="1:53" s="2" customFormat="1" ht="18" customHeight="1" x14ac:dyDescent="0.2">
      <c r="B126" s="22" t="s">
        <v>1284</v>
      </c>
      <c r="H126" s="6"/>
    </row>
    <row r="127" spans="1:53" s="2" customFormat="1" ht="9" customHeight="1" x14ac:dyDescent="0.15">
      <c r="H127" s="6"/>
    </row>
    <row r="128" spans="1:53" s="364" customFormat="1" ht="9" customHeight="1" x14ac:dyDescent="0.15">
      <c r="A128" s="362"/>
      <c r="B128" s="363" t="s">
        <v>1235</v>
      </c>
      <c r="C128" s="363"/>
      <c r="D128" s="363"/>
      <c r="E128" s="363"/>
      <c r="F128" s="363"/>
      <c r="G128" s="363" t="s">
        <v>1236</v>
      </c>
      <c r="H128" s="363"/>
      <c r="I128" s="363"/>
      <c r="J128" s="363"/>
      <c r="K128" s="363"/>
      <c r="L128" s="363"/>
      <c r="M128" s="363"/>
      <c r="N128" s="363"/>
      <c r="R128" s="802" t="s">
        <v>1237</v>
      </c>
      <c r="S128" s="802"/>
      <c r="T128" s="802"/>
      <c r="U128" s="802"/>
      <c r="V128" s="802"/>
      <c r="W128" s="802"/>
      <c r="X128" s="365"/>
      <c r="Y128" s="365"/>
      <c r="AA128" s="365"/>
      <c r="AB128" s="365"/>
      <c r="AC128" s="365"/>
      <c r="AD128" s="365"/>
    </row>
    <row r="129" spans="1:30" s="369" customFormat="1" ht="9" customHeight="1" x14ac:dyDescent="0.15">
      <c r="A129" s="366"/>
      <c r="B129" s="367" t="s">
        <v>1239</v>
      </c>
      <c r="C129" s="368"/>
      <c r="D129" s="368"/>
      <c r="E129" s="368"/>
      <c r="F129" s="368"/>
      <c r="G129" s="367" t="s">
        <v>1238</v>
      </c>
      <c r="H129" s="368"/>
      <c r="I129" s="368"/>
      <c r="J129" s="368"/>
      <c r="K129" s="368"/>
      <c r="L129" s="368"/>
      <c r="M129" s="368"/>
      <c r="N129" s="368"/>
      <c r="R129" s="370" t="s">
        <v>1240</v>
      </c>
      <c r="S129" s="371"/>
      <c r="T129" s="372"/>
      <c r="U129" s="372"/>
      <c r="V129" s="372"/>
      <c r="W129" s="370" t="s">
        <v>1241</v>
      </c>
      <c r="X129" s="372"/>
      <c r="Y129" s="372"/>
      <c r="AA129" s="372"/>
      <c r="AB129" s="372"/>
      <c r="AC129" s="372"/>
      <c r="AD129" s="372"/>
    </row>
    <row r="130" spans="1:30" s="351" customFormat="1" ht="12" customHeight="1" x14ac:dyDescent="0.15">
      <c r="A130" s="373" t="s">
        <v>3</v>
      </c>
      <c r="B130" s="374" t="s">
        <v>8</v>
      </c>
      <c r="C130" s="374" t="s">
        <v>9</v>
      </c>
      <c r="D130" s="374" t="s">
        <v>10</v>
      </c>
      <c r="E130" s="375" t="s">
        <v>1215</v>
      </c>
      <c r="F130" s="374"/>
      <c r="G130" s="351" t="s">
        <v>3</v>
      </c>
      <c r="H130" s="803" t="s">
        <v>0</v>
      </c>
      <c r="I130" s="803"/>
      <c r="J130" s="803" t="s">
        <v>1</v>
      </c>
      <c r="K130" s="803"/>
      <c r="L130" s="803" t="s">
        <v>2</v>
      </c>
      <c r="M130" s="803"/>
      <c r="N130" s="804" t="s">
        <v>1215</v>
      </c>
      <c r="O130" s="804"/>
      <c r="P130" s="376"/>
      <c r="Q130" s="376"/>
      <c r="R130" s="377" t="s">
        <v>3</v>
      </c>
      <c r="S130" s="378" t="s">
        <v>136</v>
      </c>
      <c r="T130" s="376" t="s">
        <v>134</v>
      </c>
      <c r="U130" s="374" t="s">
        <v>135</v>
      </c>
      <c r="V130" s="376"/>
      <c r="W130" s="379" t="s">
        <v>26</v>
      </c>
    </row>
    <row r="131" spans="1:30" s="273" customFormat="1" x14ac:dyDescent="0.15">
      <c r="A131" s="273">
        <v>1959</v>
      </c>
      <c r="B131" s="260">
        <f>(K6*($E6/365)) + (K7*($E7/365))</f>
        <v>100</v>
      </c>
      <c r="C131" s="260">
        <f>(L6*($E6/365)) + (L7*($E7/365))</f>
        <v>0</v>
      </c>
      <c r="D131" s="260">
        <f>(M6*($E6/365)) + (M7*($E7/365))</f>
        <v>0</v>
      </c>
      <c r="E131" s="261">
        <f>B131+C131+D131</f>
        <v>100</v>
      </c>
      <c r="G131" s="273">
        <v>1959</v>
      </c>
      <c r="H131" s="819">
        <f>(O6/$R6*100*($E6/365))+(O7/$R7*100*($E7/365))</f>
        <v>100</v>
      </c>
      <c r="I131" s="819"/>
      <c r="J131" s="819">
        <f>(P6/$R6*100*($E6/365))+(P7/$R7*100*($E7/365))</f>
        <v>0</v>
      </c>
      <c r="K131" s="819"/>
      <c r="L131" s="819">
        <f>(Q6/$R6*100*($E6/365))+(Q7/$R7*100*($E7/365))</f>
        <v>0</v>
      </c>
      <c r="M131" s="819"/>
      <c r="N131" s="813">
        <f>H131+J131+L131</f>
        <v>100</v>
      </c>
      <c r="O131" s="841"/>
      <c r="P131" s="262"/>
      <c r="Q131" s="262"/>
      <c r="R131" s="273">
        <v>1959</v>
      </c>
      <c r="S131" s="260">
        <f>(O6*($E6/365)) + (O7*($E7/365))</f>
        <v>53.099999999999994</v>
      </c>
      <c r="T131" s="260">
        <f>(P6*($E6/365)) + (P7*($E7/365))</f>
        <v>0</v>
      </c>
      <c r="U131" s="260">
        <f>(Q6*($E6/365)) + (Q7*($E7/365))</f>
        <v>0</v>
      </c>
      <c r="V131" s="275"/>
      <c r="W131" s="274">
        <f>S131+T131+U131</f>
        <v>53.099999999999994</v>
      </c>
    </row>
    <row r="132" spans="1:30" x14ac:dyDescent="0.15">
      <c r="A132" s="1">
        <v>1960</v>
      </c>
      <c r="B132" s="8">
        <f>(K8*($E8/366)) + (K9*($E9/366))</f>
        <v>100</v>
      </c>
      <c r="C132" s="8">
        <f>(L8*($E8/366)) + (L9*($E9/366))</f>
        <v>0</v>
      </c>
      <c r="D132" s="8">
        <f>(M8*($E8/366)) + (M9*($E9/366))</f>
        <v>0</v>
      </c>
      <c r="E132" s="52">
        <f>B132+C132+D132</f>
        <v>100</v>
      </c>
      <c r="G132" s="2">
        <v>1960</v>
      </c>
      <c r="H132" s="809">
        <f>(O8/$R8*100*($E8/366))+(O9/$R9*100*($E9/366))</f>
        <v>100</v>
      </c>
      <c r="I132" s="809"/>
      <c r="J132" s="809">
        <f>(P8/$R8*100*($E8/366))+(P9/$R9*100*($E9/366))</f>
        <v>0</v>
      </c>
      <c r="K132" s="809"/>
      <c r="L132" s="809">
        <f>(Q8/$R8*100*($E8/366))+(Q9/$R9*100*($E9/366))</f>
        <v>0</v>
      </c>
      <c r="M132" s="809"/>
      <c r="N132" s="810">
        <f>H132+J132+L132</f>
        <v>100</v>
      </c>
      <c r="O132" s="840"/>
      <c r="P132" s="5"/>
      <c r="Q132" s="5"/>
      <c r="R132" s="1">
        <v>1960</v>
      </c>
      <c r="S132" s="8">
        <f>(O8*($E8/366)) + (O9*($E9/366))</f>
        <v>53.1</v>
      </c>
      <c r="T132" s="8">
        <f>(P8*($E8/366)) + (P9*($E9/366))</f>
        <v>0</v>
      </c>
      <c r="U132" s="8">
        <f>(Q8*($E8/366)) + (Q9*($E9/366))</f>
        <v>0</v>
      </c>
      <c r="V132" s="12"/>
      <c r="W132" s="7">
        <f>S132+T132+U132</f>
        <v>53.1</v>
      </c>
    </row>
    <row r="133" spans="1:30" x14ac:dyDescent="0.15">
      <c r="A133" s="1">
        <v>1961</v>
      </c>
      <c r="B133" s="8">
        <f>(K10*($E10/365)) + (K11*($E11/365))</f>
        <v>100</v>
      </c>
      <c r="C133" s="8">
        <f>(L10*($E10/365)) + (L11*($E11/365))</f>
        <v>0</v>
      </c>
      <c r="D133" s="8">
        <f>(M10*($E10/365)) + (M11*($E11/365))</f>
        <v>0</v>
      </c>
      <c r="E133" s="52">
        <f>B133+C133+D133</f>
        <v>100</v>
      </c>
      <c r="G133" s="1">
        <v>1961</v>
      </c>
      <c r="H133" s="809">
        <f>(O10/$R10*100*($E10/365))+(O11/$R11*100*($E11/365))</f>
        <v>100</v>
      </c>
      <c r="I133" s="809"/>
      <c r="J133" s="809">
        <f>(P10/$R10*100*($E10/365))+(P11/$R11*100*($E11/365))</f>
        <v>0</v>
      </c>
      <c r="K133" s="809"/>
      <c r="L133" s="809">
        <f>(Q10/$R10*100*($E10/365))+(Q11/$R11*100*($E11/365))</f>
        <v>0</v>
      </c>
      <c r="M133" s="809"/>
      <c r="N133" s="810">
        <f>H133+J133+L133</f>
        <v>100</v>
      </c>
      <c r="O133" s="840"/>
      <c r="P133" s="5"/>
      <c r="Q133" s="5"/>
      <c r="R133" s="1">
        <v>1961</v>
      </c>
      <c r="S133" s="8">
        <f>(O10*($E10/365)) + (O11*($E11/365))</f>
        <v>52.089041095890416</v>
      </c>
      <c r="T133" s="8">
        <f>(P10*($E10/365)) + (P11*($E11/365))</f>
        <v>0</v>
      </c>
      <c r="U133" s="8">
        <f>(Q10*($E10/365)) + (Q11*($E11/365))</f>
        <v>0</v>
      </c>
      <c r="V133" s="12"/>
      <c r="W133" s="7">
        <f t="shared" ref="W133:W185" si="18">S133+T133+U133</f>
        <v>52.089041095890416</v>
      </c>
    </row>
    <row r="134" spans="1:30" x14ac:dyDescent="0.15">
      <c r="A134" s="1">
        <v>1962</v>
      </c>
      <c r="B134" s="8">
        <f>(K12*($E12/365)) + (K13*($E13/365))</f>
        <v>100</v>
      </c>
      <c r="C134" s="8">
        <f>(L12*($E12/365)) + (L13*($E13/365))</f>
        <v>0</v>
      </c>
      <c r="D134" s="8">
        <f>(M12*($E12/365)) + (M13*($E13/365))</f>
        <v>0</v>
      </c>
      <c r="E134" s="52">
        <f t="shared" ref="E134:E185" si="19">B134+C134+D134</f>
        <v>100</v>
      </c>
      <c r="G134" s="1">
        <v>1962</v>
      </c>
      <c r="H134" s="809">
        <f>(O12/$R12*100*($E12/365))+(O13/$R13*100*($E13/365))</f>
        <v>100</v>
      </c>
      <c r="I134" s="809"/>
      <c r="J134" s="809">
        <f>(P12/$R12*100*($E12/365))+(P13/$R13*100*($E13/365))</f>
        <v>0</v>
      </c>
      <c r="K134" s="809"/>
      <c r="L134" s="809">
        <f>(Q12/$R12*100*($E12/365))+(Q13/$R13*100*($E13/365))</f>
        <v>0</v>
      </c>
      <c r="M134" s="809"/>
      <c r="N134" s="810">
        <f t="shared" ref="N134:N183" si="20">H134+J134+L134</f>
        <v>100</v>
      </c>
      <c r="O134" s="840"/>
      <c r="P134" s="5"/>
      <c r="Q134" s="5"/>
      <c r="R134" s="1">
        <v>1962</v>
      </c>
      <c r="S134" s="8">
        <f>(O12*($E12/365)) + (O13*($E13/365))</f>
        <v>48.6</v>
      </c>
      <c r="T134" s="8">
        <f>(P12*($E12/365)) + (P13*($E13/365))</f>
        <v>0</v>
      </c>
      <c r="U134" s="8">
        <f>(Q12*($E12/365)) + (Q13*($E13/365))</f>
        <v>0</v>
      </c>
      <c r="V134" s="12"/>
      <c r="W134" s="7">
        <f t="shared" si="18"/>
        <v>48.6</v>
      </c>
    </row>
    <row r="135" spans="1:30" x14ac:dyDescent="0.15">
      <c r="A135" s="1">
        <v>1963</v>
      </c>
      <c r="B135" s="8">
        <f>(K14*($E14/365)) + (K15*($E15/365))</f>
        <v>100</v>
      </c>
      <c r="C135" s="8">
        <f>(L14*($E14/365)) + (L15*($E15/365))</f>
        <v>0</v>
      </c>
      <c r="D135" s="8">
        <f>(M14*($E14/365)) + (M15*($E15/365))</f>
        <v>0</v>
      </c>
      <c r="E135" s="52">
        <f t="shared" si="19"/>
        <v>100</v>
      </c>
      <c r="G135" s="1">
        <v>1963</v>
      </c>
      <c r="H135" s="809">
        <f>(O14/$R14*100*($E14/365))+(O15/$R15*100*($E15/365))</f>
        <v>100</v>
      </c>
      <c r="I135" s="809"/>
      <c r="J135" s="809">
        <f>(P14/$R14*100*($E14/365))+(P15/$R15*100*($E15/365))</f>
        <v>0</v>
      </c>
      <c r="K135" s="809"/>
      <c r="L135" s="809">
        <f>(Q14/$R14*100*($E14/365))+(Q15/$R15*100*($E15/365))</f>
        <v>0</v>
      </c>
      <c r="M135" s="809"/>
      <c r="N135" s="810">
        <f t="shared" si="20"/>
        <v>100</v>
      </c>
      <c r="O135" s="840"/>
      <c r="P135" s="5"/>
      <c r="Q135" s="5"/>
      <c r="R135" s="1">
        <v>1963</v>
      </c>
      <c r="S135" s="8">
        <f>(O14*($E14/365)) + (O15*($E15/365))</f>
        <v>48.6</v>
      </c>
      <c r="T135" s="8">
        <f>(P14*($E14/365)) + (P15*($E15/365))</f>
        <v>0</v>
      </c>
      <c r="U135" s="8">
        <f>(Q14*($E14/365)) + (Q15*($E15/365))</f>
        <v>0</v>
      </c>
      <c r="V135" s="12"/>
      <c r="W135" s="7">
        <f t="shared" si="18"/>
        <v>48.6</v>
      </c>
    </row>
    <row r="136" spans="1:30" x14ac:dyDescent="0.15">
      <c r="A136" s="1">
        <v>1964</v>
      </c>
      <c r="B136" s="8">
        <f>(K16*($E16/366)) + (K17*($E17/366))</f>
        <v>100</v>
      </c>
      <c r="C136" s="8">
        <f>(L16*($E16/366)) + (L17*($E17/366))</f>
        <v>0</v>
      </c>
      <c r="D136" s="8">
        <f>(M16*($E16/366)) + (M17*($E17/366))</f>
        <v>0</v>
      </c>
      <c r="E136" s="52">
        <f t="shared" si="19"/>
        <v>100</v>
      </c>
      <c r="G136" s="1">
        <v>1964</v>
      </c>
      <c r="H136" s="809">
        <f>(O16/$R16*100*($E16/366))+(O17/$R17*100*($E17/366))</f>
        <v>100</v>
      </c>
      <c r="I136" s="809"/>
      <c r="J136" s="809">
        <f>(P16/$R16*100*($E16/366))+(P17/$R17*100*($E17/366))</f>
        <v>0</v>
      </c>
      <c r="K136" s="809"/>
      <c r="L136" s="809">
        <f>(Q16/$R16*100*($E16/366))+(Q17/$R17*100*($E17/366))</f>
        <v>0</v>
      </c>
      <c r="M136" s="809"/>
      <c r="N136" s="810">
        <f t="shared" si="20"/>
        <v>100</v>
      </c>
      <c r="O136" s="840"/>
      <c r="P136" s="5"/>
      <c r="Q136" s="5"/>
      <c r="R136" s="1">
        <v>1964</v>
      </c>
      <c r="S136" s="8">
        <f>(O16*($E16/366)) + (O17*($E17/366))</f>
        <v>48.6</v>
      </c>
      <c r="T136" s="8">
        <f>(P16*($E16/366)) + (P17*($E17/366))</f>
        <v>0</v>
      </c>
      <c r="U136" s="8">
        <f>(Q16*($E16/366)) + (Q17*($E17/366))</f>
        <v>0</v>
      </c>
      <c r="V136" s="12"/>
      <c r="W136" s="7">
        <f t="shared" si="18"/>
        <v>48.6</v>
      </c>
    </row>
    <row r="137" spans="1:30" x14ac:dyDescent="0.15">
      <c r="A137" s="1">
        <v>1965</v>
      </c>
      <c r="B137" s="8">
        <f>(K18*($E18/365)) + (K19*($E19/365))</f>
        <v>100</v>
      </c>
      <c r="C137" s="8">
        <f>(L18*($E18/365)) + (L19*($E19/365))</f>
        <v>0</v>
      </c>
      <c r="D137" s="8">
        <f>(M18*($E18/365)) + (M19*($E19/365))</f>
        <v>0</v>
      </c>
      <c r="E137" s="52">
        <f t="shared" si="19"/>
        <v>100</v>
      </c>
      <c r="G137" s="1">
        <v>1965</v>
      </c>
      <c r="H137" s="809">
        <f>(O18/$R18*100*($E18/365))+(O19/$R19*100*($E19/365))</f>
        <v>100</v>
      </c>
      <c r="I137" s="809"/>
      <c r="J137" s="809">
        <f>(P18/$R18*100*($E18/365))+(P19/$R19*100*($E19/365))</f>
        <v>0</v>
      </c>
      <c r="K137" s="809"/>
      <c r="L137" s="809">
        <f>(Q18/$R18*100*($E18/365))+(Q19/$R19*100*($E19/365))</f>
        <v>0</v>
      </c>
      <c r="M137" s="809"/>
      <c r="N137" s="810">
        <f t="shared" si="20"/>
        <v>100</v>
      </c>
      <c r="O137" s="840"/>
      <c r="P137" s="5"/>
      <c r="Q137" s="5"/>
      <c r="R137" s="1">
        <v>1965</v>
      </c>
      <c r="S137" s="8">
        <f>(O18*($E18/365)) + (O19*($E19/365))</f>
        <v>49.654794520547945</v>
      </c>
      <c r="T137" s="8">
        <f>(P18*($E18/365)) + (P19*($E19/365))</f>
        <v>0</v>
      </c>
      <c r="U137" s="8">
        <f>(Q18*($E18/365)) + (Q19*($E19/365))</f>
        <v>0</v>
      </c>
      <c r="V137" s="12"/>
      <c r="W137" s="7">
        <f t="shared" si="18"/>
        <v>49.654794520547945</v>
      </c>
    </row>
    <row r="138" spans="1:30" x14ac:dyDescent="0.15">
      <c r="A138" s="1">
        <v>1966</v>
      </c>
      <c r="B138" s="8">
        <f>(K20*($E20/365)) + (K21*($E21/365))</f>
        <v>100</v>
      </c>
      <c r="C138" s="8">
        <f>(L20*($E20/365)) + (L21*($E21/365))</f>
        <v>0</v>
      </c>
      <c r="D138" s="8">
        <f>(M20*($E20/365)) + (M21*($E21/365))</f>
        <v>0</v>
      </c>
      <c r="E138" s="52">
        <f t="shared" si="19"/>
        <v>100</v>
      </c>
      <c r="G138" s="1">
        <v>1966</v>
      </c>
      <c r="H138" s="809">
        <f>(O20/$R20*100*($E20/365))+(O21/$R21*100*($E21/365))</f>
        <v>100</v>
      </c>
      <c r="I138" s="809"/>
      <c r="J138" s="809">
        <f>(P20/$R20*100*($E20/365))+(P21/$R21*100*($E21/365))</f>
        <v>0</v>
      </c>
      <c r="K138" s="809"/>
      <c r="L138" s="809">
        <f>(Q20/$R20*100*($E20/365))+(Q21/$R21*100*($E21/365))</f>
        <v>0</v>
      </c>
      <c r="M138" s="809"/>
      <c r="N138" s="810">
        <f t="shared" si="20"/>
        <v>100</v>
      </c>
      <c r="O138" s="840"/>
      <c r="P138" s="5"/>
      <c r="Q138" s="5"/>
      <c r="R138" s="1">
        <v>1966</v>
      </c>
      <c r="S138" s="8">
        <f>(O20*($E20/365)) + (O21*($E21/365))</f>
        <v>50</v>
      </c>
      <c r="T138" s="8">
        <f>(P20*($E20/365)) + (P21*($E21/365))</f>
        <v>0</v>
      </c>
      <c r="U138" s="8">
        <f>(Q20*($E20/365)) + (Q21*($E21/365))</f>
        <v>0</v>
      </c>
      <c r="V138" s="12"/>
      <c r="W138" s="7">
        <f t="shared" si="18"/>
        <v>50</v>
      </c>
    </row>
    <row r="139" spans="1:30" x14ac:dyDescent="0.15">
      <c r="A139" s="1">
        <v>1967</v>
      </c>
      <c r="B139" s="8">
        <f>(K22*($E22/365)) + (K23*($E23/365))</f>
        <v>100</v>
      </c>
      <c r="C139" s="8">
        <f>(L22*($E22/365)) + (L23*($E23/365))</f>
        <v>0</v>
      </c>
      <c r="D139" s="8">
        <f>(M22*($E22/365)) + (M23*($E23/365))</f>
        <v>0</v>
      </c>
      <c r="E139" s="52">
        <f t="shared" si="19"/>
        <v>100</v>
      </c>
      <c r="G139" s="1">
        <v>1967</v>
      </c>
      <c r="H139" s="809">
        <f>(O22/$R22*100*($E22/365))+(O23/$R23*100*($E23/365))</f>
        <v>100</v>
      </c>
      <c r="I139" s="809"/>
      <c r="J139" s="809">
        <f>(P22/$R22*100*($E22/365))+(P23/$R23*100*($E23/365))</f>
        <v>0</v>
      </c>
      <c r="K139" s="809"/>
      <c r="L139" s="809">
        <f>(Q22/$R22*100*($E22/365))+(Q23/$R23*100*($E23/365))</f>
        <v>0</v>
      </c>
      <c r="M139" s="809"/>
      <c r="N139" s="810">
        <f t="shared" si="20"/>
        <v>100</v>
      </c>
      <c r="O139" s="840"/>
      <c r="P139" s="5"/>
      <c r="Q139" s="5"/>
      <c r="R139" s="1">
        <v>1967</v>
      </c>
      <c r="S139" s="8">
        <f>(O22*($E22/365)) + (O23*($E23/365))</f>
        <v>50</v>
      </c>
      <c r="T139" s="8">
        <f>(P22*($E22/365)) + (P23*($E23/365))</f>
        <v>0</v>
      </c>
      <c r="U139" s="8">
        <f>(Q22*($E22/365)) + (Q23*($E23/365))</f>
        <v>0</v>
      </c>
      <c r="V139" s="12"/>
      <c r="W139" s="7">
        <f t="shared" si="18"/>
        <v>50</v>
      </c>
    </row>
    <row r="140" spans="1:30" x14ac:dyDescent="0.15">
      <c r="A140" s="1">
        <v>1968</v>
      </c>
      <c r="B140" s="8">
        <f>(K24*($E24/366)) + (K25*($E25/366))</f>
        <v>100</v>
      </c>
      <c r="C140" s="8">
        <f>(L24*($E24/366)) + (L25*($E25/366))</f>
        <v>0</v>
      </c>
      <c r="D140" s="8">
        <f>(M24*($E24/366)) + (M25*($E25/366))</f>
        <v>0</v>
      </c>
      <c r="E140" s="52">
        <f t="shared" si="19"/>
        <v>100</v>
      </c>
      <c r="G140" s="1">
        <v>1968</v>
      </c>
      <c r="H140" s="809">
        <f>(O24/$R24*100*($E24/366))+(O25/$R25*100*($E25/366))</f>
        <v>100</v>
      </c>
      <c r="I140" s="809"/>
      <c r="J140" s="809">
        <f>(P24/$R24*100*($E24/366))+(P25/$R25*100*($E25/366))</f>
        <v>0</v>
      </c>
      <c r="K140" s="809"/>
      <c r="L140" s="809">
        <f>(Q24/$R24*100*($E24/366))+(Q25/$R25*100*($E25/366))</f>
        <v>0</v>
      </c>
      <c r="M140" s="809"/>
      <c r="N140" s="810">
        <f t="shared" si="20"/>
        <v>100</v>
      </c>
      <c r="O140" s="840"/>
      <c r="P140" s="5"/>
      <c r="Q140" s="5"/>
      <c r="R140" s="1">
        <v>1968</v>
      </c>
      <c r="S140" s="8">
        <f>(O24*($E24/366)) + (O25*($E25/366))</f>
        <v>50</v>
      </c>
      <c r="T140" s="8">
        <f>(P24*($E24/366)) + (P25*($E25/366))</f>
        <v>0</v>
      </c>
      <c r="U140" s="8">
        <f>(Q24*($E24/366)) + (Q25*($E25/366))</f>
        <v>0</v>
      </c>
      <c r="V140" s="12"/>
      <c r="W140" s="7">
        <f t="shared" si="18"/>
        <v>50</v>
      </c>
    </row>
    <row r="141" spans="1:30" x14ac:dyDescent="0.15">
      <c r="A141" s="1">
        <v>1969</v>
      </c>
      <c r="B141" s="8">
        <f>(K26*($E26/365)) + (K27*($E27/365))</f>
        <v>100</v>
      </c>
      <c r="C141" s="8">
        <f>(L26*($E26/365)) + (L27*($E27/365))</f>
        <v>0</v>
      </c>
      <c r="D141" s="8">
        <f>(M26*($E26/365)) + (M27*($E27/365))</f>
        <v>0</v>
      </c>
      <c r="E141" s="52">
        <f t="shared" si="19"/>
        <v>100</v>
      </c>
      <c r="G141" s="1">
        <v>1969</v>
      </c>
      <c r="H141" s="809">
        <f>(O26/$R26*100*($E26/365))+(O27/$R27*100*($E27/365))</f>
        <v>100</v>
      </c>
      <c r="I141" s="809"/>
      <c r="J141" s="809">
        <f>(P26/$R26*100*($E26/365))+(P27/$R27*100*($E27/365))</f>
        <v>0</v>
      </c>
      <c r="K141" s="809"/>
      <c r="L141" s="809">
        <f>(Q26/$R26*100*($E26/365))+(Q27/$R27*100*($E27/365))</f>
        <v>0</v>
      </c>
      <c r="M141" s="809"/>
      <c r="N141" s="810">
        <f t="shared" si="20"/>
        <v>100</v>
      </c>
      <c r="O141" s="840"/>
      <c r="P141" s="5"/>
      <c r="Q141" s="5"/>
      <c r="R141" s="1">
        <v>1969</v>
      </c>
      <c r="S141" s="8">
        <f>(O26*($E26/365)) + (O27*($E27/365))</f>
        <v>51.052876712328768</v>
      </c>
      <c r="T141" s="8">
        <f>(P26*($E26/365)) + (P27*($E27/365))</f>
        <v>0</v>
      </c>
      <c r="U141" s="8">
        <f>(Q26*($E26/365)) + (Q27*($E27/365))</f>
        <v>0</v>
      </c>
      <c r="V141" s="12"/>
      <c r="W141" s="7">
        <f t="shared" si="18"/>
        <v>51.052876712328768</v>
      </c>
    </row>
    <row r="142" spans="1:30" x14ac:dyDescent="0.15">
      <c r="A142" s="1">
        <v>1970</v>
      </c>
      <c r="B142" s="8">
        <f>(K28*($E28/365)) + (K29*($E29/365))</f>
        <v>100</v>
      </c>
      <c r="C142" s="8">
        <f>(L28*($E28/365)) + (L29*($E29/365))</f>
        <v>0</v>
      </c>
      <c r="D142" s="8">
        <f>(M28*($E28/365)) + (M29*($E29/365))</f>
        <v>0</v>
      </c>
      <c r="E142" s="52">
        <f t="shared" si="19"/>
        <v>100</v>
      </c>
      <c r="G142" s="1">
        <v>1970</v>
      </c>
      <c r="H142" s="809">
        <f>(O28/$R28*100*($E28/365))+(O29/$R29*100*($E29/365))</f>
        <v>100</v>
      </c>
      <c r="I142" s="809"/>
      <c r="J142" s="809">
        <f>(P28/$R28*100*($E28/365))+(P29/$R29*100*($E29/365))</f>
        <v>0</v>
      </c>
      <c r="K142" s="809"/>
      <c r="L142" s="809">
        <f>(Q28/$R28*100*($E28/365))+(Q29/$R29*100*($E29/365))</f>
        <v>0</v>
      </c>
      <c r="M142" s="809"/>
      <c r="N142" s="810">
        <f t="shared" si="20"/>
        <v>100</v>
      </c>
      <c r="O142" s="840"/>
      <c r="P142" s="5"/>
      <c r="Q142" s="5"/>
      <c r="R142" s="1">
        <v>1970</v>
      </c>
      <c r="S142" s="8">
        <f>(O28*($E28/365)) + (O29*($E29/365))</f>
        <v>52.1</v>
      </c>
      <c r="T142" s="8">
        <f>(P28*($E28/365)) + (P29*($E29/365))</f>
        <v>0</v>
      </c>
      <c r="U142" s="8">
        <f>(Q28*($E28/365)) + (Q29*($E29/365))</f>
        <v>0</v>
      </c>
      <c r="V142" s="12"/>
      <c r="W142" s="7">
        <f t="shared" si="18"/>
        <v>52.1</v>
      </c>
    </row>
    <row r="143" spans="1:30" x14ac:dyDescent="0.15">
      <c r="A143" s="1">
        <v>1971</v>
      </c>
      <c r="B143" s="8">
        <f>(K30*($E30/365)) + (K31*($E31/365))</f>
        <v>100</v>
      </c>
      <c r="C143" s="8">
        <f>(L30*($E30/365)) + (L31*($E31/365))</f>
        <v>0</v>
      </c>
      <c r="D143" s="8">
        <f>(M30*($E30/365)) + (M31*($E31/365))</f>
        <v>0</v>
      </c>
      <c r="E143" s="52">
        <f t="shared" si="19"/>
        <v>100</v>
      </c>
      <c r="G143" s="1">
        <v>1971</v>
      </c>
      <c r="H143" s="809">
        <f>(O30/$R30*100*($E30/365))+(O31/$R31*100*($E31/365))</f>
        <v>100</v>
      </c>
      <c r="I143" s="809"/>
      <c r="J143" s="809">
        <f>(P30/$R30*100*($E30/365))+(P31/$R31*100*($E31/365))</f>
        <v>0</v>
      </c>
      <c r="K143" s="809"/>
      <c r="L143" s="809">
        <f>(Q30/$R30*100*($E30/365))+(Q31/$R31*100*($E31/365))</f>
        <v>0</v>
      </c>
      <c r="M143" s="809"/>
      <c r="N143" s="810">
        <f t="shared" si="20"/>
        <v>100</v>
      </c>
      <c r="O143" s="840"/>
      <c r="P143" s="5"/>
      <c r="Q143" s="5"/>
      <c r="R143" s="1">
        <v>1971</v>
      </c>
      <c r="S143" s="8">
        <f>(O30*($E30/365)) + (O31*($E31/365))</f>
        <v>52.1</v>
      </c>
      <c r="T143" s="8">
        <f>(P30*($E30/365)) + (P31*($E31/365))</f>
        <v>0</v>
      </c>
      <c r="U143" s="8">
        <f>(Q30*($E30/365)) + (Q31*($E31/365))</f>
        <v>0</v>
      </c>
      <c r="V143" s="12"/>
      <c r="W143" s="7">
        <f t="shared" si="18"/>
        <v>52.1</v>
      </c>
    </row>
    <row r="144" spans="1:30" x14ac:dyDescent="0.15">
      <c r="A144" s="1">
        <v>1972</v>
      </c>
      <c r="B144" s="8">
        <f>(K32*($E32/366)) + (K33*($E33/366))</f>
        <v>100</v>
      </c>
      <c r="C144" s="8">
        <f>(L32*($E32/366)) + (L33*($E33/366))</f>
        <v>0</v>
      </c>
      <c r="D144" s="8">
        <f>(M32*($E32/366)) + (M33*($E33/366))</f>
        <v>0</v>
      </c>
      <c r="E144" s="52">
        <f t="shared" si="19"/>
        <v>100</v>
      </c>
      <c r="G144" s="1">
        <v>1972</v>
      </c>
      <c r="H144" s="809">
        <f>(O32/$R32*100*($E32/366))+(O33/$R33*100*($E33/366))</f>
        <v>100</v>
      </c>
      <c r="I144" s="809"/>
      <c r="J144" s="809">
        <f>(P32/$R32*100*($E32/366))+(P33/$R33*100*($E33/366))</f>
        <v>0</v>
      </c>
      <c r="K144" s="809"/>
      <c r="L144" s="809">
        <f>(Q32/$R32*100*($E32/366))+(Q33/$R33*100*($E33/366))</f>
        <v>0</v>
      </c>
      <c r="M144" s="809"/>
      <c r="N144" s="810">
        <f t="shared" si="20"/>
        <v>100</v>
      </c>
      <c r="O144" s="840"/>
      <c r="P144" s="5"/>
      <c r="Q144" s="5"/>
      <c r="R144" s="1">
        <v>1972</v>
      </c>
      <c r="S144" s="8">
        <f>(O32*($E32/366)) + (O33*($E33/366))</f>
        <v>52.1</v>
      </c>
      <c r="T144" s="8">
        <f>(P32*($E32/366)) + (P33*($E33/366))</f>
        <v>0</v>
      </c>
      <c r="U144" s="8">
        <f>(Q32*($E32/366)) + (Q33*($E33/366))</f>
        <v>0</v>
      </c>
      <c r="V144" s="12"/>
      <c r="W144" s="7">
        <f t="shared" si="18"/>
        <v>52.1</v>
      </c>
    </row>
    <row r="145" spans="1:23" x14ac:dyDescent="0.15">
      <c r="A145" s="1">
        <v>1973</v>
      </c>
      <c r="B145" s="8">
        <f>(K34*($E34/365)) + (K35*($E35/365))</f>
        <v>19.726027397260275</v>
      </c>
      <c r="C145" s="8">
        <f>(L34*($E34/365)) + (L35*($E35/365))</f>
        <v>55.188356164383563</v>
      </c>
      <c r="D145" s="8">
        <f>(M34*($E34/365)) + (M35*($E35/365))</f>
        <v>25.085616438356166</v>
      </c>
      <c r="E145" s="52">
        <f t="shared" si="19"/>
        <v>100</v>
      </c>
      <c r="G145" s="1">
        <v>1973</v>
      </c>
      <c r="H145" s="809">
        <f>(O34/$R34*100*($E34/365))+(O35/$R35*100*($E35/365))</f>
        <v>19.726027397260275</v>
      </c>
      <c r="I145" s="809"/>
      <c r="J145" s="809">
        <f>(P34/$R34*100*($E34/365))+(P35/$R35*100*($E35/365))</f>
        <v>59.374240090783822</v>
      </c>
      <c r="K145" s="809"/>
      <c r="L145" s="809">
        <f>(Q34/$R34*100*($E34/365))+(Q35/$R35*100*($E35/365))</f>
        <v>20.899732511955907</v>
      </c>
      <c r="M145" s="809"/>
      <c r="N145" s="810">
        <f t="shared" si="20"/>
        <v>100</v>
      </c>
      <c r="O145" s="840"/>
      <c r="P145" s="5"/>
      <c r="Q145" s="5"/>
      <c r="R145" s="1">
        <v>1973</v>
      </c>
      <c r="S145" s="8">
        <f>(O34*($E34/365)) + (O35*($E35/365))</f>
        <v>10.277260273972603</v>
      </c>
      <c r="T145" s="8">
        <f>(P34*($E34/365)) + (P35*($E35/365))</f>
        <v>30.102739726027398</v>
      </c>
      <c r="U145" s="8">
        <f>(Q34*($E34/365)) + (Q35*($E35/365))</f>
        <v>10.596164383561645</v>
      </c>
      <c r="V145" s="12"/>
      <c r="W145" s="7">
        <f t="shared" si="18"/>
        <v>50.976164383561645</v>
      </c>
    </row>
    <row r="146" spans="1:23" x14ac:dyDescent="0.15">
      <c r="A146" s="1">
        <v>1974</v>
      </c>
      <c r="B146" s="8">
        <f>(K36*($E36/365)) + (K37*($E37/365))</f>
        <v>0</v>
      </c>
      <c r="C146" s="8">
        <f>(L36*($E36/365)) + (L37*($E37/365))</f>
        <v>68.75</v>
      </c>
      <c r="D146" s="8">
        <f>(M36*($E36/365)) + (M37*($E37/365))</f>
        <v>31.25</v>
      </c>
      <c r="E146" s="52">
        <f t="shared" si="19"/>
        <v>100</v>
      </c>
      <c r="G146" s="1">
        <v>1974</v>
      </c>
      <c r="H146" s="809">
        <f>(O36/$R36*100*($E36/365))+(O37/$R37*100*($E37/365))</f>
        <v>0</v>
      </c>
      <c r="I146" s="809"/>
      <c r="J146" s="809">
        <f>(P36/$R36*100*($E36/365))+(P37/$R37*100*($E37/365))</f>
        <v>73.964497041420117</v>
      </c>
      <c r="K146" s="809"/>
      <c r="L146" s="809">
        <f>(Q36/$R36*100*($E36/365))+(Q37/$R37*100*($E37/365))</f>
        <v>26.035502958579883</v>
      </c>
      <c r="M146" s="809"/>
      <c r="N146" s="810">
        <f t="shared" si="20"/>
        <v>100</v>
      </c>
      <c r="O146" s="840"/>
      <c r="P146" s="5"/>
      <c r="Q146" s="5"/>
      <c r="R146" s="1">
        <v>1974</v>
      </c>
      <c r="S146" s="8">
        <f>(O36*($E36/365)) + (O37*($E37/365))</f>
        <v>0</v>
      </c>
      <c r="T146" s="8">
        <f>(P36*($E36/365)) + (P37*($E37/365))</f>
        <v>37.5</v>
      </c>
      <c r="U146" s="8">
        <f>(Q36*($E36/365)) + (Q37*($E37/365))</f>
        <v>13.2</v>
      </c>
      <c r="V146" s="12"/>
      <c r="W146" s="7">
        <f t="shared" si="18"/>
        <v>50.7</v>
      </c>
    </row>
    <row r="147" spans="1:23" x14ac:dyDescent="0.15">
      <c r="A147" s="1">
        <v>1975</v>
      </c>
      <c r="B147" s="8">
        <f>(K38*($E38/365)) + (K39*($E39/365))</f>
        <v>0</v>
      </c>
      <c r="C147" s="8">
        <f>(L38*($E38/365)) + (L39*($E39/365))</f>
        <v>68.75</v>
      </c>
      <c r="D147" s="8">
        <f>(M38*($E38/365)) + (M39*($E39/365))</f>
        <v>31.25</v>
      </c>
      <c r="E147" s="52">
        <f t="shared" si="19"/>
        <v>100</v>
      </c>
      <c r="G147" s="1">
        <v>1975</v>
      </c>
      <c r="H147" s="809">
        <f>(O38/$R38*100*($E38/365))+(O39/$R39*100*($E39/365))</f>
        <v>0</v>
      </c>
      <c r="I147" s="809"/>
      <c r="J147" s="809">
        <f>(P38/$R38*100*($E38/365))+(P39/$R39*100*($E39/365))</f>
        <v>73.964497041420117</v>
      </c>
      <c r="K147" s="809"/>
      <c r="L147" s="809">
        <f>(Q38/$R38*100*($E38/365))+(Q39/$R39*100*($E39/365))</f>
        <v>26.035502958579883</v>
      </c>
      <c r="M147" s="809"/>
      <c r="N147" s="810">
        <f t="shared" si="20"/>
        <v>100</v>
      </c>
      <c r="O147" s="840"/>
      <c r="P147" s="5"/>
      <c r="Q147" s="5"/>
      <c r="R147" s="1">
        <v>1975</v>
      </c>
      <c r="S147" s="8">
        <f>(O38*($E38/365)) + (O39*($E39/365))</f>
        <v>0</v>
      </c>
      <c r="T147" s="8">
        <f>(P38*($E38/365)) + (P39*($E39/365))</f>
        <v>37.5</v>
      </c>
      <c r="U147" s="8">
        <f>(Q38*($E38/365)) + (Q39*($E39/365))</f>
        <v>13.2</v>
      </c>
      <c r="V147" s="12"/>
      <c r="W147" s="7">
        <f t="shared" si="18"/>
        <v>50.7</v>
      </c>
    </row>
    <row r="148" spans="1:23" x14ac:dyDescent="0.15">
      <c r="A148" s="1">
        <v>1976</v>
      </c>
      <c r="B148" s="8">
        <f>(K40*($E40/366)) + (K41*($E41/366))</f>
        <v>0</v>
      </c>
      <c r="C148" s="8">
        <f>(L40*($E40/366)) + (L41*($E41/366))</f>
        <v>68.75</v>
      </c>
      <c r="D148" s="8">
        <f>(M40*($E40/366)) + (M41*($E41/366))</f>
        <v>31.25</v>
      </c>
      <c r="E148" s="52">
        <f t="shared" si="19"/>
        <v>100</v>
      </c>
      <c r="G148" s="1">
        <v>1976</v>
      </c>
      <c r="H148" s="809">
        <f>(O40/$R40*100*($E40/366))+(O41/$R41*100*($E41/366))</f>
        <v>0</v>
      </c>
      <c r="I148" s="809"/>
      <c r="J148" s="809">
        <f>(P40/$R40*100*($E40/366))+(P41/$R41*100*($E41/366))</f>
        <v>73.964497041420117</v>
      </c>
      <c r="K148" s="809"/>
      <c r="L148" s="809">
        <f>(Q40/$R40*100*($E40/366))+(Q41/$R41*100*($E41/366))</f>
        <v>26.035502958579883</v>
      </c>
      <c r="M148" s="809"/>
      <c r="N148" s="810">
        <f t="shared" si="20"/>
        <v>100</v>
      </c>
      <c r="O148" s="840"/>
      <c r="P148" s="5"/>
      <c r="Q148" s="5"/>
      <c r="R148" s="1">
        <v>1976</v>
      </c>
      <c r="S148" s="8">
        <f>(O40*($E40/366)) + (O41*($E41/366))</f>
        <v>0</v>
      </c>
      <c r="T148" s="8">
        <f>(P40*($E40/366)) + (P41*($E41/366))</f>
        <v>37.5</v>
      </c>
      <c r="U148" s="8">
        <f>(Q40*($E40/366)) + (Q41*($E41/366))</f>
        <v>13.2</v>
      </c>
      <c r="V148" s="12"/>
      <c r="W148" s="7">
        <f t="shared" si="18"/>
        <v>50.7</v>
      </c>
    </row>
    <row r="149" spans="1:23" x14ac:dyDescent="0.15">
      <c r="A149" s="1">
        <v>1977</v>
      </c>
      <c r="B149" s="8">
        <f>(K42*($E42/365)) + (K43*($E43/365))</f>
        <v>49.315068493150683</v>
      </c>
      <c r="C149" s="8">
        <f>(L42*($E42/365)) + (L43*($E43/365))</f>
        <v>34.845890410958908</v>
      </c>
      <c r="D149" s="8">
        <f>(M42*($E42/365)) + (M43*($E43/365))</f>
        <v>15.839041095890412</v>
      </c>
      <c r="E149" s="52">
        <f t="shared" si="19"/>
        <v>100</v>
      </c>
      <c r="G149" s="1">
        <v>1977</v>
      </c>
      <c r="H149" s="809">
        <f>(O42/$R42*100*($E42/365))+(O43/$R43*100*($E43/365))</f>
        <v>49.315068493150683</v>
      </c>
      <c r="I149" s="809"/>
      <c r="J149" s="809">
        <f>(P42/$R42*100*($E42/365))+(P43/$R43*100*($E43/365))</f>
        <v>37.488854664829375</v>
      </c>
      <c r="K149" s="809"/>
      <c r="L149" s="809">
        <f>(Q42/$R42*100*($E42/365))+(Q43/$R43*100*($E43/365))</f>
        <v>13.196076842019941</v>
      </c>
      <c r="M149" s="809"/>
      <c r="N149" s="810">
        <f t="shared" si="20"/>
        <v>100</v>
      </c>
      <c r="O149" s="840"/>
      <c r="P149" s="5"/>
      <c r="Q149" s="5"/>
      <c r="R149" s="1">
        <v>1977</v>
      </c>
      <c r="S149" s="8">
        <f>(O42*($E42/365)) + (O43*($E43/365))</f>
        <v>28.010958904109586</v>
      </c>
      <c r="T149" s="8">
        <f>(P42*($E42/365)) + (P43*($E43/365))</f>
        <v>19.006849315068493</v>
      </c>
      <c r="U149" s="8">
        <f>(Q42*($E42/365)) + (Q43*($E43/365))</f>
        <v>6.6904109589041099</v>
      </c>
      <c r="V149" s="12"/>
      <c r="W149" s="7">
        <f t="shared" si="18"/>
        <v>53.708219178082189</v>
      </c>
    </row>
    <row r="150" spans="1:23" x14ac:dyDescent="0.15">
      <c r="A150" s="1">
        <v>1978</v>
      </c>
      <c r="B150" s="8">
        <f>(K44*($E44/365)) + (K45*($E45/365))</f>
        <v>100</v>
      </c>
      <c r="C150" s="8">
        <f>(L44*($E44/365)) + (L45*($E45/365))</f>
        <v>0</v>
      </c>
      <c r="D150" s="8">
        <f>(M44*($E44/365)) + (M45*($E45/365))</f>
        <v>0</v>
      </c>
      <c r="E150" s="52">
        <f t="shared" si="19"/>
        <v>100</v>
      </c>
      <c r="G150" s="1">
        <v>1978</v>
      </c>
      <c r="H150" s="809">
        <f>(O44/$R44*100*($E44/365))+(O45/$R45*100*($E45/365))</f>
        <v>100</v>
      </c>
      <c r="I150" s="809"/>
      <c r="J150" s="809">
        <f>(P44/$R44*100*($E44/365))+(P45/$R45*100*($E45/365))</f>
        <v>0</v>
      </c>
      <c r="K150" s="809"/>
      <c r="L150" s="809">
        <f>(Q44/$R44*100*($E44/365))+(Q45/$R45*100*($E45/365))</f>
        <v>0</v>
      </c>
      <c r="M150" s="809"/>
      <c r="N150" s="810">
        <f t="shared" si="20"/>
        <v>100</v>
      </c>
      <c r="O150" s="840"/>
      <c r="P150" s="5"/>
      <c r="Q150" s="5"/>
      <c r="R150" s="1">
        <v>1978</v>
      </c>
      <c r="S150" s="8">
        <f>(O44*($E44/365)) + (O45*($E45/365))</f>
        <v>56.8</v>
      </c>
      <c r="T150" s="8">
        <f>(P44*($E44/365)) + (P45*($E45/365))</f>
        <v>0</v>
      </c>
      <c r="U150" s="8">
        <f>(Q44*($E44/365)) + (Q45*($E45/365))</f>
        <v>0</v>
      </c>
      <c r="V150" s="12"/>
      <c r="W150" s="7">
        <f t="shared" si="18"/>
        <v>56.8</v>
      </c>
    </row>
    <row r="151" spans="1:23" x14ac:dyDescent="0.15">
      <c r="A151" s="1">
        <v>1979</v>
      </c>
      <c r="B151" s="8">
        <f>(K46*($E46/365)) + (K47*($E47/365))</f>
        <v>100</v>
      </c>
      <c r="C151" s="8">
        <f>(L46*($E46/365)) + (L47*($E47/365))</f>
        <v>0</v>
      </c>
      <c r="D151" s="8">
        <f>(M46*($E46/365)) + (M47*($E47/365))</f>
        <v>0</v>
      </c>
      <c r="E151" s="52">
        <f t="shared" si="19"/>
        <v>100</v>
      </c>
      <c r="G151" s="1">
        <v>1979</v>
      </c>
      <c r="H151" s="809">
        <f>(O46/$R46*100*($E46/365))+(O47/$R47*100*($E47/365))</f>
        <v>100</v>
      </c>
      <c r="I151" s="809"/>
      <c r="J151" s="809">
        <f>(P46/$R46*100*($E46/365))+(P47/$R47*100*($E47/365))</f>
        <v>0</v>
      </c>
      <c r="K151" s="809"/>
      <c r="L151" s="809">
        <f>(Q46/$R46*100*($E46/365))+(Q47/$R47*100*($E47/365))</f>
        <v>0</v>
      </c>
      <c r="M151" s="809"/>
      <c r="N151" s="810">
        <f t="shared" si="20"/>
        <v>100</v>
      </c>
      <c r="O151" s="840"/>
      <c r="P151" s="5"/>
      <c r="Q151" s="5"/>
      <c r="R151" s="1">
        <v>1979</v>
      </c>
      <c r="S151" s="8">
        <f>(O46*($E46/365)) + (O47*($E47/365))</f>
        <v>56.8</v>
      </c>
      <c r="T151" s="8">
        <f>(P46*($E46/365)) + (P47*($E47/365))</f>
        <v>0</v>
      </c>
      <c r="U151" s="8">
        <f>(Q46*($E46/365)) + (Q47*($E47/365))</f>
        <v>0</v>
      </c>
      <c r="V151" s="12"/>
      <c r="W151" s="7">
        <f t="shared" si="18"/>
        <v>56.8</v>
      </c>
    </row>
    <row r="152" spans="1:23" x14ac:dyDescent="0.15">
      <c r="A152" s="1">
        <v>1980</v>
      </c>
      <c r="B152" s="8">
        <f>(K48*($E48/366)) + (K49*($E49/366))</f>
        <v>100</v>
      </c>
      <c r="C152" s="8">
        <f>(L48*($E48/366)) + (L49*($E49/366))</f>
        <v>0</v>
      </c>
      <c r="D152" s="8">
        <f>(M48*($E48/366)) + (M49*($E49/366))</f>
        <v>0</v>
      </c>
      <c r="E152" s="52">
        <f t="shared" si="19"/>
        <v>100</v>
      </c>
      <c r="G152" s="1">
        <v>1980</v>
      </c>
      <c r="H152" s="809">
        <f>(O48/$R48*100*($E48/366))+(O49/$R49*100*($E49/366))</f>
        <v>100</v>
      </c>
      <c r="I152" s="809"/>
      <c r="J152" s="809">
        <f>(P48/$R48*100*($E48/366))+(P49/$R49*100*($E49/366))</f>
        <v>0</v>
      </c>
      <c r="K152" s="809"/>
      <c r="L152" s="809">
        <f>(Q48/$R48*100*($E48/366))+(Q49/$R49*100*($E49/366))</f>
        <v>0</v>
      </c>
      <c r="M152" s="809"/>
      <c r="N152" s="810">
        <f t="shared" si="20"/>
        <v>100</v>
      </c>
      <c r="O152" s="840"/>
      <c r="P152" s="5"/>
      <c r="Q152" s="5"/>
      <c r="R152" s="1">
        <v>1980</v>
      </c>
      <c r="S152" s="8">
        <f>(O48*($E48/366)) + (O49*($E49/366))</f>
        <v>56.8</v>
      </c>
      <c r="T152" s="8">
        <f>(P48*($E48/366)) + (P49*($E49/366))</f>
        <v>0</v>
      </c>
      <c r="U152" s="8">
        <f>(Q48*($E48/366)) + (Q49*($E49/366))</f>
        <v>0</v>
      </c>
      <c r="V152" s="12"/>
      <c r="W152" s="7">
        <f t="shared" si="18"/>
        <v>56.8</v>
      </c>
    </row>
    <row r="153" spans="1:23" x14ac:dyDescent="0.15">
      <c r="A153" s="1">
        <v>1981</v>
      </c>
      <c r="B153" s="8">
        <f>(K50*($E50/365)) + (K51*($E51/365))</f>
        <v>49.315068493150683</v>
      </c>
      <c r="C153" s="8">
        <f>(L50*($E50/365)) + (L51*($E51/365))</f>
        <v>33.789954337899538</v>
      </c>
      <c r="D153" s="8">
        <f>(M50*($E50/365)) + (M51*($E51/365))</f>
        <v>13.515981735159819</v>
      </c>
      <c r="E153" s="52">
        <f t="shared" si="19"/>
        <v>96.621004566210047</v>
      </c>
      <c r="G153" s="1">
        <v>1981</v>
      </c>
      <c r="H153" s="809">
        <f>(O50/$R50*100*($E50/365))+(O51/$R51*100*($E51/365))</f>
        <v>49.315068493150683</v>
      </c>
      <c r="I153" s="809"/>
      <c r="J153" s="809">
        <f>(P50/$R50*100*($E50/365))+(P51/$R51*100*($E51/365))</f>
        <v>41.220940146649234</v>
      </c>
      <c r="K153" s="809"/>
      <c r="L153" s="809">
        <f>(Q50/$R50*100*($E50/365))+(Q51/$R51*100*($E51/365))</f>
        <v>9.4639913602000814</v>
      </c>
      <c r="M153" s="809"/>
      <c r="N153" s="810">
        <f t="shared" si="20"/>
        <v>100</v>
      </c>
      <c r="O153" s="840"/>
      <c r="R153" s="1">
        <v>1981</v>
      </c>
      <c r="S153" s="8">
        <f>(O50*($E50/365)) + (O51*($E51/365))</f>
        <v>28.010958904109586</v>
      </c>
      <c r="T153" s="8">
        <f>(P50*($E50/365)) + (P51*($E51/365))</f>
        <v>19.868493150684934</v>
      </c>
      <c r="U153" s="8">
        <f>(Q50*($E50/365)) + (Q51*($E51/365))</f>
        <v>4.5616438356164384</v>
      </c>
      <c r="V153" s="12"/>
      <c r="W153" s="7">
        <f t="shared" si="18"/>
        <v>52.441095890410956</v>
      </c>
    </row>
    <row r="154" spans="1:23" x14ac:dyDescent="0.15">
      <c r="A154" s="1">
        <v>1982</v>
      </c>
      <c r="B154" s="8">
        <f>(K52*($E52/365)) + (K53*($E53/365))+(K54*($E54/365))</f>
        <v>76.712328767123282</v>
      </c>
      <c r="C154" s="8">
        <f>(L52*($E52/365)) + (L53*($E53/365))+(L54*($E54/365))</f>
        <v>15.718506580714475</v>
      </c>
      <c r="D154" s="8">
        <f>(M52*($E52/365)) + (M53*($E53/365))+(M54*($E54/365))</f>
        <v>6.0553317217297877</v>
      </c>
      <c r="E154" s="52">
        <f t="shared" si="19"/>
        <v>98.486167069567543</v>
      </c>
      <c r="G154" s="1">
        <v>1982</v>
      </c>
      <c r="H154" s="809">
        <f>(O52/$R52*100*($E52/365))+(O53/$R53*100*($E53/365))+(O54/$R54*100*($E54/365))</f>
        <v>76.712328767123282</v>
      </c>
      <c r="I154" s="809"/>
      <c r="J154" s="809">
        <f>(P52/$R52*100*($E52/365))+(P53/$R53*100*($E53/365))+(P54/$R54*100*($E54/365))</f>
        <v>18.94622444386555</v>
      </c>
      <c r="K154" s="809"/>
      <c r="L154" s="809">
        <f>(Q52/$R52*100*($E52/365))+(Q53/$R53*100*($E53/365))+(Q54/$R54*100*($E54/365))</f>
        <v>4.3414467890111617</v>
      </c>
      <c r="M154" s="809"/>
      <c r="N154" s="810">
        <f t="shared" si="20"/>
        <v>99.999999999999986</v>
      </c>
      <c r="O154" s="840"/>
      <c r="R154" s="1">
        <v>1982</v>
      </c>
      <c r="S154" s="8">
        <f>(O52*($E52/365)) + (O53*($E53/365))+(O54*($E54/365))</f>
        <v>36.054794520547944</v>
      </c>
      <c r="T154" s="8">
        <f>(P52*($E52/365)) + (P53*($E53/365))+(P54*($E54/365))</f>
        <v>9.2767123287671236</v>
      </c>
      <c r="U154" s="8">
        <f>(Q52*($E52/365)) + (Q53*($E53/365))+(Q54*($E54/365))</f>
        <v>2.1254794520547944</v>
      </c>
      <c r="V154" s="12"/>
      <c r="W154" s="7">
        <f t="shared" si="18"/>
        <v>47.456986301369867</v>
      </c>
    </row>
    <row r="155" spans="1:23" x14ac:dyDescent="0.15">
      <c r="A155" s="1">
        <v>1983</v>
      </c>
      <c r="B155" s="8">
        <f>(K55*($E55/365)) + (K56*($E56/365))</f>
        <v>0</v>
      </c>
      <c r="C155" s="8">
        <f>(L55*($E55/365)) + (L56*($E56/365))</f>
        <v>70.588235294117652</v>
      </c>
      <c r="D155" s="8">
        <f>(M55*($E55/365)) + (M56*($E56/365))</f>
        <v>23.52941176470588</v>
      </c>
      <c r="E155" s="52">
        <f t="shared" si="19"/>
        <v>94.117647058823536</v>
      </c>
      <c r="G155" s="1">
        <v>1983</v>
      </c>
      <c r="H155" s="809">
        <f>(O55/$R55*100*($E55/365))+(O56/$R56*100*($E56/365))</f>
        <v>0</v>
      </c>
      <c r="I155" s="809"/>
      <c r="J155" s="809">
        <f>(P55/$R55*100*($E55/365))+(P56/$R56*100*($E56/365))</f>
        <v>81.467181467181476</v>
      </c>
      <c r="K155" s="809"/>
      <c r="L155" s="809">
        <f>(Q55/$R55*100*($E55/365))+(Q56/$R56*100*($E56/365))</f>
        <v>18.532818532818531</v>
      </c>
      <c r="M155" s="809"/>
      <c r="N155" s="810">
        <f t="shared" si="20"/>
        <v>100</v>
      </c>
      <c r="O155" s="840"/>
      <c r="R155" s="1">
        <v>1983</v>
      </c>
      <c r="S155" s="8">
        <f>(O55*($E55/365)) + (O56*($E56/365))</f>
        <v>0</v>
      </c>
      <c r="T155" s="8">
        <f>(P55*($E55/365)) + (P56*($E56/365))</f>
        <v>42.2</v>
      </c>
      <c r="U155" s="8">
        <f>(Q55*($E55/365)) + (Q56*($E56/365))</f>
        <v>9.6</v>
      </c>
      <c r="V155" s="12"/>
      <c r="W155" s="7">
        <f t="shared" si="18"/>
        <v>51.800000000000004</v>
      </c>
    </row>
    <row r="156" spans="1:23" x14ac:dyDescent="0.15">
      <c r="A156" s="1">
        <v>1984</v>
      </c>
      <c r="B156" s="8">
        <f>(K57*($E57/366)) + (K58*($E58/366))</f>
        <v>0</v>
      </c>
      <c r="C156" s="8">
        <f>(L57*($E57/366)) + (L58*($E58/366))</f>
        <v>70.588235294117652</v>
      </c>
      <c r="D156" s="8">
        <f>(M57*($E57/366)) + (M58*($E58/366))</f>
        <v>23.52941176470588</v>
      </c>
      <c r="E156" s="52">
        <f t="shared" si="19"/>
        <v>94.117647058823536</v>
      </c>
      <c r="G156" s="1">
        <v>1984</v>
      </c>
      <c r="H156" s="809">
        <f>(O57/$R57*100*($E57/366))+(O58/$R58*100*($E58/366))</f>
        <v>0</v>
      </c>
      <c r="I156" s="809"/>
      <c r="J156" s="809">
        <f>(P57/$R57*100*($E57/366))+(P58/$R58*100*($E58/366))</f>
        <v>81.467181467181476</v>
      </c>
      <c r="K156" s="809"/>
      <c r="L156" s="809">
        <f>(Q57/$R57*100*($E57/366))+(Q58/$R58*100*($E58/366))</f>
        <v>18.532818532818531</v>
      </c>
      <c r="M156" s="809"/>
      <c r="N156" s="810">
        <f t="shared" si="20"/>
        <v>100</v>
      </c>
      <c r="O156" s="840"/>
      <c r="R156" s="1">
        <v>1984</v>
      </c>
      <c r="S156" s="8">
        <f>(O57*($E57/366)) + (O58*($E58/366))</f>
        <v>0</v>
      </c>
      <c r="T156" s="8">
        <f>(P57*($E57/366)) + (P58*($E58/366))</f>
        <v>42.2</v>
      </c>
      <c r="U156" s="8">
        <f>(Q57*($E57/366)) + (Q58*($E58/366))</f>
        <v>9.6</v>
      </c>
      <c r="V156" s="12"/>
      <c r="W156" s="7">
        <f t="shared" si="18"/>
        <v>51.800000000000004</v>
      </c>
    </row>
    <row r="157" spans="1:23" x14ac:dyDescent="0.15">
      <c r="A157" s="1">
        <v>1985</v>
      </c>
      <c r="B157" s="8">
        <f>(K59*($E59/365)) + (K60*($E60/365))</f>
        <v>0</v>
      </c>
      <c r="C157" s="8">
        <f>(L59*($E59/365)) + (L60*($E60/365))</f>
        <v>70.588235294117652</v>
      </c>
      <c r="D157" s="8">
        <f>(M59*($E59/365)) + (M60*($E60/365))</f>
        <v>23.52941176470588</v>
      </c>
      <c r="E157" s="52">
        <f t="shared" si="19"/>
        <v>94.117647058823536</v>
      </c>
      <c r="G157" s="1">
        <v>1985</v>
      </c>
      <c r="H157" s="809">
        <f>(O59/$R59*100*($E59/365))+(O60/$R60*100*($E60/365))</f>
        <v>0</v>
      </c>
      <c r="I157" s="809"/>
      <c r="J157" s="809">
        <f>(P59/$R59*100*($E59/365))+(P60/$R60*100*($E60/365))</f>
        <v>81.467181467181476</v>
      </c>
      <c r="K157" s="809"/>
      <c r="L157" s="809">
        <f>(Q59/$R59*100*($E59/365))+(Q60/$R60*100*($E60/365))</f>
        <v>18.532818532818531</v>
      </c>
      <c r="M157" s="809"/>
      <c r="N157" s="810">
        <f t="shared" si="20"/>
        <v>100</v>
      </c>
      <c r="O157" s="840"/>
      <c r="R157" s="1">
        <v>1985</v>
      </c>
      <c r="S157" s="8">
        <f>(O59*($E59/365)) + (O60*($E60/365))</f>
        <v>0</v>
      </c>
      <c r="T157" s="8">
        <f>(P59*($E59/365)) + (P60*($E60/365))</f>
        <v>42.2</v>
      </c>
      <c r="U157" s="8">
        <f>(Q59*($E59/365)) + (Q60*($E60/365))</f>
        <v>9.6</v>
      </c>
      <c r="V157" s="12"/>
      <c r="W157" s="7">
        <f t="shared" si="18"/>
        <v>51.800000000000004</v>
      </c>
    </row>
    <row r="158" spans="1:23" x14ac:dyDescent="0.15">
      <c r="A158" s="1">
        <v>1986</v>
      </c>
      <c r="B158" s="8">
        <f>(K61*($E61/365)) + (K62*($E62/365))</f>
        <v>0</v>
      </c>
      <c r="C158" s="8">
        <f>(L61*($E61/365)) + (L62*($E62/365))</f>
        <v>70.588235294117652</v>
      </c>
      <c r="D158" s="8">
        <f>(M61*($E61/365)) + (M62*($E62/365))</f>
        <v>23.52941176470588</v>
      </c>
      <c r="E158" s="52">
        <f t="shared" si="19"/>
        <v>94.117647058823536</v>
      </c>
      <c r="G158" s="1">
        <v>1986</v>
      </c>
      <c r="H158" s="809">
        <f>(O61/$R61*100*($E61/365))+(O62/$R62*100*($E62/365))</f>
        <v>0</v>
      </c>
      <c r="I158" s="809"/>
      <c r="J158" s="809">
        <f>(P61/$R61*100*($E61/365))+(P62/$R62*100*($E62/365))</f>
        <v>81.467181467181476</v>
      </c>
      <c r="K158" s="809"/>
      <c r="L158" s="809">
        <f>(Q61/$R61*100*($E61/365))+(Q62/$R62*100*($E62/365))</f>
        <v>18.532818532818531</v>
      </c>
      <c r="M158" s="809"/>
      <c r="N158" s="810">
        <f t="shared" si="20"/>
        <v>100</v>
      </c>
      <c r="O158" s="840"/>
      <c r="R158" s="1">
        <v>1986</v>
      </c>
      <c r="S158" s="8">
        <f>(O61*($E61/365)) + (O62*($E62/365))</f>
        <v>0</v>
      </c>
      <c r="T158" s="8">
        <f>(P61*($E61/365)) + (P62*($E62/365))</f>
        <v>42.2</v>
      </c>
      <c r="U158" s="8">
        <f>(Q61*($E61/365)) + (Q62*($E62/365))</f>
        <v>9.6</v>
      </c>
      <c r="V158" s="12"/>
      <c r="W158" s="7">
        <f t="shared" si="18"/>
        <v>51.800000000000004</v>
      </c>
    </row>
    <row r="159" spans="1:23" x14ac:dyDescent="0.15">
      <c r="A159" s="1">
        <v>1987</v>
      </c>
      <c r="B159" s="8">
        <f>(K63*($E63/365)) + (K64*($E64/365))</f>
        <v>81.369863013698634</v>
      </c>
      <c r="C159" s="8">
        <f>(L63*($E63/365)) + (L64*($E64/365))</f>
        <v>13.15068493150685</v>
      </c>
      <c r="D159" s="8">
        <f>(M63*($E63/365)) + (M64*($E64/365))</f>
        <v>4.3835616438356162</v>
      </c>
      <c r="E159" s="52">
        <f t="shared" si="19"/>
        <v>98.904109589041099</v>
      </c>
      <c r="G159" s="1">
        <v>1987</v>
      </c>
      <c r="H159" s="809">
        <f>(O63/$R63*100*($E63/365))+(O64/$R64*100*($E64/365))</f>
        <v>81.369863013698634</v>
      </c>
      <c r="I159" s="809"/>
      <c r="J159" s="809">
        <f>(P63/$R63*100*($E63/365))+(P64/$R64*100*($E64/365))</f>
        <v>15.177447506214632</v>
      </c>
      <c r="K159" s="809"/>
      <c r="L159" s="809">
        <f>(Q63/$R63*100*($E63/365))+(Q64/$R64*100*($E64/365))</f>
        <v>3.4526894800867405</v>
      </c>
      <c r="M159" s="809"/>
      <c r="N159" s="810">
        <f t="shared" si="20"/>
        <v>100.00000000000001</v>
      </c>
      <c r="O159" s="840"/>
      <c r="R159" s="1">
        <v>1987</v>
      </c>
      <c r="S159" s="8">
        <f>(O63*($E63/365)) + (O64*($E64/365))</f>
        <v>39.70849315068493</v>
      </c>
      <c r="T159" s="8">
        <f>(P63*($E63/365)) + (P64*($E64/365))</f>
        <v>7.8619178082191787</v>
      </c>
      <c r="U159" s="8">
        <f>(Q63*($E63/365)) + (Q64*($E64/365))</f>
        <v>1.7884931506849315</v>
      </c>
      <c r="V159" s="12"/>
      <c r="W159" s="7">
        <f t="shared" si="18"/>
        <v>49.358904109589034</v>
      </c>
    </row>
    <row r="160" spans="1:23" x14ac:dyDescent="0.15">
      <c r="A160" s="1">
        <v>1988</v>
      </c>
      <c r="B160" s="8">
        <f>(K65*($E65/366)) + (K66*($E66/366))</f>
        <v>100</v>
      </c>
      <c r="C160" s="8">
        <f>(L65*($E65/366)) + (L66*($E66/366))</f>
        <v>0</v>
      </c>
      <c r="D160" s="8">
        <f>(M65*($E65/366)) + (M66*($E66/366))</f>
        <v>0</v>
      </c>
      <c r="E160" s="52">
        <f t="shared" si="19"/>
        <v>100</v>
      </c>
      <c r="G160" s="1">
        <v>1988</v>
      </c>
      <c r="H160" s="809">
        <f>(O65/$R65*100*($E65/366))+(O66/$R66*100*($E66/366))</f>
        <v>100</v>
      </c>
      <c r="I160" s="809"/>
      <c r="J160" s="809">
        <f>(P65/$R65*100*($E65/366))+(P66/$R66*100*($E66/366))</f>
        <v>0</v>
      </c>
      <c r="K160" s="809"/>
      <c r="L160" s="809">
        <f>(Q65/$R65*100*($E65/366))+(Q66/$R66*100*($E66/366))</f>
        <v>0</v>
      </c>
      <c r="M160" s="809"/>
      <c r="N160" s="810">
        <f t="shared" si="20"/>
        <v>100</v>
      </c>
      <c r="O160" s="840"/>
      <c r="R160" s="1">
        <v>1988</v>
      </c>
      <c r="S160" s="8">
        <f>(O65*($E65/366)) + (O66*($E66/366))</f>
        <v>48.8</v>
      </c>
      <c r="T160" s="8">
        <f>(P65*($E65/366)) + (P66*($E66/366))</f>
        <v>0</v>
      </c>
      <c r="U160" s="8">
        <f>(Q65*($E65/366)) + (Q66*($E66/366))</f>
        <v>0</v>
      </c>
      <c r="V160" s="12"/>
      <c r="W160" s="7">
        <f t="shared" si="18"/>
        <v>48.8</v>
      </c>
    </row>
    <row r="161" spans="1:23" x14ac:dyDescent="0.15">
      <c r="A161" s="1">
        <v>1989</v>
      </c>
      <c r="B161" s="8">
        <f>(K67*($E67/365)) + (K68*($E68/365))</f>
        <v>100</v>
      </c>
      <c r="C161" s="8">
        <f>(L67*($E67/365)) + (L68*($E68/365))</f>
        <v>0</v>
      </c>
      <c r="D161" s="8">
        <f>(M67*($E67/365)) + (M68*($E68/365))</f>
        <v>0</v>
      </c>
      <c r="E161" s="52">
        <f t="shared" si="19"/>
        <v>100</v>
      </c>
      <c r="G161" s="1">
        <v>1989</v>
      </c>
      <c r="H161" s="809">
        <f>(O67/$R67*100*($E67/365))+(O68/$R68*100*($E68/365))</f>
        <v>100</v>
      </c>
      <c r="I161" s="809"/>
      <c r="J161" s="809">
        <f>(P67/$R67*100*($E67/365))+(P68/$R68*100*($E68/365))</f>
        <v>0</v>
      </c>
      <c r="K161" s="809"/>
      <c r="L161" s="809">
        <f>(Q67/$R67*100*($E67/365))+(Q68/$R68*100*($E68/365))</f>
        <v>0</v>
      </c>
      <c r="M161" s="809"/>
      <c r="N161" s="810">
        <f t="shared" si="20"/>
        <v>100</v>
      </c>
      <c r="O161" s="840"/>
      <c r="R161" s="1">
        <v>1989</v>
      </c>
      <c r="S161" s="8">
        <f>(O67*($E67/365)) + (O68*($E68/365))</f>
        <v>49.368767123287668</v>
      </c>
      <c r="T161" s="8">
        <f>(P67*($E67/365)) + (P68*($E68/365))</f>
        <v>0</v>
      </c>
      <c r="U161" s="8">
        <f>(Q67*($E67/365)) + (Q68*($E68/365))</f>
        <v>0</v>
      </c>
      <c r="V161" s="12"/>
      <c r="W161" s="7">
        <f t="shared" si="18"/>
        <v>49.368767123287668</v>
      </c>
    </row>
    <row r="162" spans="1:23" x14ac:dyDescent="0.15">
      <c r="A162" s="1">
        <v>1990</v>
      </c>
      <c r="B162" s="8">
        <f>(K69*($E69/365)) + (K70*($E70/365))</f>
        <v>100</v>
      </c>
      <c r="C162" s="8">
        <f>(L69*($E69/365)) + (L70*($E70/365))</f>
        <v>0</v>
      </c>
      <c r="D162" s="8">
        <f>(M69*($E69/365)) + (M70*($E70/365))</f>
        <v>0</v>
      </c>
      <c r="E162" s="52">
        <f t="shared" si="19"/>
        <v>100</v>
      </c>
      <c r="G162" s="1">
        <v>1990</v>
      </c>
      <c r="H162" s="809">
        <f>(O69/$R69*100*($E69/365))+(O70/$R70*100*($E70/365))</f>
        <v>100</v>
      </c>
      <c r="I162" s="809"/>
      <c r="J162" s="809">
        <f>(P69/$R69*100*($E69/365))+(P70/$R70*100*($E70/365))</f>
        <v>0</v>
      </c>
      <c r="K162" s="809"/>
      <c r="L162" s="809">
        <f>(Q69/$R69*100*($E69/365))+(Q70/$R70*100*($E70/365))</f>
        <v>0</v>
      </c>
      <c r="M162" s="809"/>
      <c r="N162" s="810">
        <f t="shared" si="20"/>
        <v>100</v>
      </c>
      <c r="O162" s="840"/>
      <c r="R162" s="1">
        <v>1990</v>
      </c>
      <c r="S162" s="8">
        <f>(O69*($E69/365)) + (O70*($E70/365))</f>
        <v>50</v>
      </c>
      <c r="T162" s="8">
        <f>(P69*($E69/365)) + (P70*($E70/365))</f>
        <v>0</v>
      </c>
      <c r="U162" s="8">
        <f>(Q69*($E69/365)) + (Q70*($E70/365))</f>
        <v>0</v>
      </c>
      <c r="V162" s="12"/>
      <c r="W162" s="7">
        <f t="shared" si="18"/>
        <v>50</v>
      </c>
    </row>
    <row r="163" spans="1:23" x14ac:dyDescent="0.15">
      <c r="A163" s="1">
        <v>1991</v>
      </c>
      <c r="B163" s="8">
        <f>(K71*($E71/365)) + (K72*($E72/365))</f>
        <v>100</v>
      </c>
      <c r="C163" s="8">
        <f>(L71*($E71/365)) + (L72*($E72/365))</f>
        <v>0</v>
      </c>
      <c r="D163" s="8">
        <f>(M71*($E71/365)) + (M72*($E72/365))</f>
        <v>0</v>
      </c>
      <c r="E163" s="52">
        <f t="shared" si="19"/>
        <v>100</v>
      </c>
      <c r="G163" s="1">
        <v>1991</v>
      </c>
      <c r="H163" s="809">
        <f>(O71/$R71*100*($E71/365))+(O72/$R72*100*($E72/365))</f>
        <v>100</v>
      </c>
      <c r="I163" s="809"/>
      <c r="J163" s="809">
        <f>(P71/$R71*100*($E71/365))+(P72/$R72*100*($E72/365))</f>
        <v>0</v>
      </c>
      <c r="K163" s="809"/>
      <c r="L163" s="809">
        <f>(Q71/$R71*100*($E71/365))+(Q72/$R72*100*($E72/365))</f>
        <v>0</v>
      </c>
      <c r="M163" s="809"/>
      <c r="N163" s="810">
        <f t="shared" si="20"/>
        <v>100</v>
      </c>
      <c r="O163" s="840"/>
      <c r="R163" s="1">
        <v>1991</v>
      </c>
      <c r="S163" s="8">
        <f>(O71*($E71/365)) + (O72*($E72/365))</f>
        <v>50</v>
      </c>
      <c r="T163" s="8">
        <f>(P71*($E71/365)) + (P72*($E72/365))</f>
        <v>0</v>
      </c>
      <c r="U163" s="8">
        <f>(Q71*($E71/365)) + (Q72*($E72/365))</f>
        <v>0</v>
      </c>
      <c r="V163" s="12"/>
      <c r="W163" s="7">
        <f t="shared" si="18"/>
        <v>50</v>
      </c>
    </row>
    <row r="164" spans="1:23" x14ac:dyDescent="0.15">
      <c r="A164" s="1">
        <v>1992</v>
      </c>
      <c r="B164" s="8">
        <f>(K73*($E73/366)) + (K74*($E74/366))</f>
        <v>100</v>
      </c>
      <c r="C164" s="8">
        <f>(L73*($E73/366)) + (L74*($E74/366))</f>
        <v>0</v>
      </c>
      <c r="D164" s="8">
        <f>(M73*($E73/366)) + (M74*($E74/366))</f>
        <v>0</v>
      </c>
      <c r="E164" s="52">
        <f t="shared" si="19"/>
        <v>100</v>
      </c>
      <c r="G164" s="1">
        <v>1992</v>
      </c>
      <c r="H164" s="809">
        <f>(O73/$R73*100*($E73/366))+(O74/$R74*100*($E74/366))</f>
        <v>100</v>
      </c>
      <c r="I164" s="809"/>
      <c r="J164" s="809">
        <f>(P73/$R73*100*($E73/366))+(P74/$R74*100*($E74/366))</f>
        <v>0</v>
      </c>
      <c r="K164" s="809"/>
      <c r="L164" s="809">
        <f>(Q73/$R73*100*($E73/366))+(Q74/$R74*100*($E74/366))</f>
        <v>0</v>
      </c>
      <c r="M164" s="809"/>
      <c r="N164" s="810">
        <f t="shared" si="20"/>
        <v>100</v>
      </c>
      <c r="O164" s="840"/>
      <c r="R164" s="1">
        <v>1992</v>
      </c>
      <c r="S164" s="8">
        <f>(O73*($E73/366)) + (O74*($E74/366))</f>
        <v>50</v>
      </c>
      <c r="T164" s="8">
        <f>(P73*($E73/366)) + (P74*($E74/366))</f>
        <v>0</v>
      </c>
      <c r="U164" s="8">
        <f>(Q73*($E73/366)) + (Q74*($E74/366))</f>
        <v>0</v>
      </c>
      <c r="V164" s="12"/>
      <c r="W164" s="7">
        <f t="shared" si="18"/>
        <v>50</v>
      </c>
    </row>
    <row r="165" spans="1:23" x14ac:dyDescent="0.15">
      <c r="A165" s="1">
        <v>1993</v>
      </c>
      <c r="B165" s="8">
        <f>(K75*($E75/365)) + (K76*($E76/365))</f>
        <v>61.205479452054796</v>
      </c>
      <c r="C165" s="8">
        <f>(L75*($E75/365)) + (L76*($E76/365))</f>
        <v>0</v>
      </c>
      <c r="D165" s="8">
        <f>(M75*($E75/365)) + (M76*($E76/365))</f>
        <v>38.794520547945204</v>
      </c>
      <c r="E165" s="52">
        <f t="shared" si="19"/>
        <v>100</v>
      </c>
      <c r="G165" s="1">
        <v>1993</v>
      </c>
      <c r="H165" s="809">
        <f>(O75/$R75*100*($E75/365))+(O76/$R76*100*($E76/365))</f>
        <v>68.308252918550522</v>
      </c>
      <c r="I165" s="809"/>
      <c r="J165" s="809">
        <f>(P75/$R75*100*($E75/365))+(P76/$R76*100*($E76/365))</f>
        <v>0</v>
      </c>
      <c r="K165" s="809"/>
      <c r="L165" s="809">
        <f>(Q75/$R75*100*($E75/365))+(Q76/$R76*100*($E76/365))</f>
        <v>31.691747081449488</v>
      </c>
      <c r="M165" s="809"/>
      <c r="N165" s="810">
        <f t="shared" si="20"/>
        <v>100.00000000000001</v>
      </c>
      <c r="O165" s="840"/>
      <c r="R165" s="1">
        <v>1993</v>
      </c>
      <c r="S165" s="8">
        <f>(O75*($E75/365)) + (O76*($E76/365))</f>
        <v>41.271232876712332</v>
      </c>
      <c r="T165" s="8">
        <f>(P75*($E75/365)) + (P76*($E76/365))</f>
        <v>0</v>
      </c>
      <c r="U165" s="8">
        <f>(Q75*($E75/365)) + (Q76*($E76/365))</f>
        <v>19.300273972602739</v>
      </c>
      <c r="V165" s="12"/>
      <c r="W165" s="7">
        <f t="shared" si="18"/>
        <v>60.571506849315071</v>
      </c>
    </row>
    <row r="166" spans="1:23" x14ac:dyDescent="0.15">
      <c r="A166" s="1">
        <v>1994</v>
      </c>
      <c r="B166" s="8">
        <f>(K77*($E77/365)) + (K78*($E78/365))</f>
        <v>57.205479452054796</v>
      </c>
      <c r="C166" s="8">
        <f>(L77*($E77/365)) + (L78*($E78/365))</f>
        <v>2.484018264840183</v>
      </c>
      <c r="D166" s="8">
        <f>(M77*($E77/365)) + (M78*($E78/365))</f>
        <v>40.310502283105016</v>
      </c>
      <c r="E166" s="52">
        <f t="shared" si="19"/>
        <v>100</v>
      </c>
      <c r="G166" s="1">
        <v>1994</v>
      </c>
      <c r="H166" s="809">
        <f>(O77/$R77*100*($E77/365))+(O78/$R78*100*($E78/365))</f>
        <v>64.187866927592964</v>
      </c>
      <c r="I166" s="809"/>
      <c r="J166" s="809">
        <f>(P77/$R77*100*($E77/365))+(P78/$R78*100*($E78/365))</f>
        <v>2.5550440907326273</v>
      </c>
      <c r="K166" s="809"/>
      <c r="L166" s="809">
        <f>(Q77/$R77*100*($E77/365))+(Q78/$R78*100*($E78/365))</f>
        <v>33.257088981674414</v>
      </c>
      <c r="M166" s="809"/>
      <c r="N166" s="810">
        <f t="shared" si="20"/>
        <v>100</v>
      </c>
      <c r="O166" s="840"/>
      <c r="R166" s="1">
        <v>1994</v>
      </c>
      <c r="S166" s="8">
        <f>(O77*($E77/365)) + (O78*($E78/365))</f>
        <v>39.090410958904108</v>
      </c>
      <c r="T166" s="8">
        <f>(P77*($E77/365)) + (P78*($E78/365))</f>
        <v>1.2621917808219179</v>
      </c>
      <c r="U166" s="8">
        <f>(Q77*($E77/365)) + (Q78*($E78/365))</f>
        <v>20.011780821917807</v>
      </c>
      <c r="V166" s="12"/>
      <c r="W166" s="7">
        <f t="shared" si="18"/>
        <v>60.364383561643834</v>
      </c>
    </row>
    <row r="167" spans="1:23" x14ac:dyDescent="0.15">
      <c r="A167" s="1">
        <v>1995</v>
      </c>
      <c r="B167" s="8">
        <f>(K79*($E79/365)) + (K80*($E80/365))</f>
        <v>0</v>
      </c>
      <c r="C167" s="8">
        <f>(L79*($E79/365)) + (L80*($E80/365))</f>
        <v>53.333333333333336</v>
      </c>
      <c r="D167" s="8">
        <f>(M79*($E79/365)) + (M80*($E80/365))</f>
        <v>46.666666666666664</v>
      </c>
      <c r="E167" s="52">
        <f t="shared" si="19"/>
        <v>100</v>
      </c>
      <c r="G167" s="1">
        <v>1995</v>
      </c>
      <c r="H167" s="809">
        <f>(O79/$R79*100*($E79/365))+(O80/$R80*100*($E80/365))</f>
        <v>0</v>
      </c>
      <c r="I167" s="809"/>
      <c r="J167" s="809">
        <f>(P79/$R79*100*($E79/365))+(P80/$R80*100*($E80/365))</f>
        <v>54.858299595141702</v>
      </c>
      <c r="K167" s="809"/>
      <c r="L167" s="809">
        <f>(Q79/$R79*100*($E79/365))+(Q80/$R80*100*($E80/365))</f>
        <v>45.141700404858298</v>
      </c>
      <c r="M167" s="809"/>
      <c r="N167" s="810">
        <f t="shared" si="20"/>
        <v>100</v>
      </c>
      <c r="O167" s="840"/>
      <c r="R167" s="1">
        <v>1995</v>
      </c>
      <c r="S167" s="8">
        <f>(O79*($E79/365)) + (O80*($E80/365))</f>
        <v>0</v>
      </c>
      <c r="T167" s="8">
        <f>(P79*($E79/365)) + (P80*($E80/365))</f>
        <v>27.1</v>
      </c>
      <c r="U167" s="8">
        <f>(Q79*($E79/365)) + (Q80*($E80/365))</f>
        <v>22.3</v>
      </c>
      <c r="V167" s="12"/>
      <c r="W167" s="7">
        <f t="shared" si="18"/>
        <v>49.400000000000006</v>
      </c>
    </row>
    <row r="168" spans="1:23" x14ac:dyDescent="0.15">
      <c r="A168" s="1">
        <v>1996</v>
      </c>
      <c r="B168" s="8">
        <f>(K81*($E81/366)) + (K82*($E82/366))</f>
        <v>0</v>
      </c>
      <c r="C168" s="8">
        <f>(L81*($E81/366)) + (L82*($E82/366))</f>
        <v>53.333333333333336</v>
      </c>
      <c r="D168" s="8">
        <f>(M81*($E81/366)) + (M82*($E82/366))</f>
        <v>46.666666666666664</v>
      </c>
      <c r="E168" s="52">
        <f t="shared" si="19"/>
        <v>100</v>
      </c>
      <c r="G168" s="1">
        <v>1996</v>
      </c>
      <c r="H168" s="809">
        <f>(O81/$R81*100*($E81/366))+(O82/$R82*100*($E82/366))</f>
        <v>0</v>
      </c>
      <c r="I168" s="809"/>
      <c r="J168" s="809">
        <f>(P81/$R81*100*($E81/366))+(P82/$R82*100*($E82/366))</f>
        <v>54.858299595141702</v>
      </c>
      <c r="K168" s="809"/>
      <c r="L168" s="809">
        <f>(Q81/$R81*100*($E81/366))+(Q82/$R82*100*($E82/366))</f>
        <v>45.141700404858298</v>
      </c>
      <c r="M168" s="809"/>
      <c r="N168" s="810">
        <f t="shared" si="20"/>
        <v>100</v>
      </c>
      <c r="O168" s="840"/>
      <c r="R168" s="1">
        <v>1996</v>
      </c>
      <c r="S168" s="8">
        <f>(O81*($E81/366)) + (O82*($E82/366))</f>
        <v>0</v>
      </c>
      <c r="T168" s="8">
        <f>(P81*($E81/366)) + (P82*($E82/366))</f>
        <v>27.1</v>
      </c>
      <c r="U168" s="8">
        <f>(Q81*($E81/366)) + (Q82*($E82/366))</f>
        <v>22.3</v>
      </c>
      <c r="V168" s="12"/>
      <c r="W168" s="7">
        <f t="shared" si="18"/>
        <v>49.400000000000006</v>
      </c>
    </row>
    <row r="169" spans="1:23" x14ac:dyDescent="0.15">
      <c r="A169" s="1">
        <v>1997</v>
      </c>
      <c r="B169" s="8">
        <f>(K83*($E83/365)) + (K84*($E84/365))</f>
        <v>51.780821917808218</v>
      </c>
      <c r="C169" s="8">
        <f>(L83*($E83/365)) + (L84*($E84/365))</f>
        <v>25.716894977168952</v>
      </c>
      <c r="D169" s="8">
        <f>(M83*($E83/365)) + (M84*($E84/365))</f>
        <v>22.50228310502283</v>
      </c>
      <c r="E169" s="52">
        <f t="shared" si="19"/>
        <v>100</v>
      </c>
      <c r="G169" s="1">
        <v>1997</v>
      </c>
      <c r="H169" s="809">
        <f>(O83/$R83*100*($E83/365))+(O84/$R84*100*($E84/365))</f>
        <v>51.780821917808218</v>
      </c>
      <c r="I169" s="809"/>
      <c r="J169" s="809">
        <f>(P83/$R83*100*($E83/365))+(P84/$R84*100*($E84/365))</f>
        <v>26.452221174643672</v>
      </c>
      <c r="K169" s="809"/>
      <c r="L169" s="809">
        <f>(Q83/$R83*100*($E83/365))+(Q84/$R84*100*($E84/365))</f>
        <v>21.76695690754811</v>
      </c>
      <c r="M169" s="809"/>
      <c r="N169" s="810">
        <f t="shared" si="20"/>
        <v>100</v>
      </c>
      <c r="O169" s="840"/>
      <c r="R169" s="1">
        <v>1997</v>
      </c>
      <c r="S169" s="8">
        <f>(O83*($E83/365)) + (O84*($E84/365))</f>
        <v>25.269041095890408</v>
      </c>
      <c r="T169" s="8">
        <f>(P83*($E83/365)) + (P84*($E84/365))</f>
        <v>13.067397260273975</v>
      </c>
      <c r="U169" s="8">
        <f>(Q83*($E83/365)) + (Q84*($E84/365))</f>
        <v>10.752876712328767</v>
      </c>
      <c r="V169" s="12"/>
      <c r="W169" s="7">
        <f t="shared" si="18"/>
        <v>49.08931506849315</v>
      </c>
    </row>
    <row r="170" spans="1:23" x14ac:dyDescent="0.15">
      <c r="A170" s="1">
        <v>1998</v>
      </c>
      <c r="B170" s="8">
        <f>(K85*($E85/365)) + (K86*($E86/365))</f>
        <v>100</v>
      </c>
      <c r="C170" s="8">
        <f>(L85*($E85/365)) + (L86*($E86/365))</f>
        <v>0</v>
      </c>
      <c r="D170" s="8">
        <f>(M85*($E85/365)) + (M86*($E86/365))</f>
        <v>0</v>
      </c>
      <c r="E170" s="52">
        <f t="shared" si="19"/>
        <v>100</v>
      </c>
      <c r="G170" s="1">
        <v>1998</v>
      </c>
      <c r="H170" s="809">
        <f>(O85/$R85*100*($E85/365))+(O86/$R86*100*($E86/365))</f>
        <v>100</v>
      </c>
      <c r="I170" s="809"/>
      <c r="J170" s="809">
        <f>(P85/$R85*100*($E85/365))+(P86/$R86*100*($E86/365))</f>
        <v>0</v>
      </c>
      <c r="K170" s="809"/>
      <c r="L170" s="809">
        <f>(Q85/$R85*100*($E85/365))+(Q86/$R86*100*($E86/365))</f>
        <v>0</v>
      </c>
      <c r="M170" s="809"/>
      <c r="N170" s="810">
        <f t="shared" si="20"/>
        <v>100</v>
      </c>
      <c r="O170" s="840"/>
      <c r="R170" s="1">
        <v>1998</v>
      </c>
      <c r="S170" s="8">
        <f>(O85*($E85/365)) + (O86*($E86/365))</f>
        <v>48.8</v>
      </c>
      <c r="T170" s="8">
        <f>(P85*($E85/365)) + (P86*($E86/365))</f>
        <v>0</v>
      </c>
      <c r="U170" s="8">
        <f>(Q85*($E85/365)) + (Q86*($E86/365))</f>
        <v>0</v>
      </c>
      <c r="V170" s="12"/>
      <c r="W170" s="7">
        <f t="shared" si="18"/>
        <v>48.8</v>
      </c>
    </row>
    <row r="171" spans="1:23" x14ac:dyDescent="0.15">
      <c r="A171" s="1">
        <v>1999</v>
      </c>
      <c r="B171" s="8">
        <f>(K87*($E87/365)) + (K88*($E88/365))</f>
        <v>100</v>
      </c>
      <c r="C171" s="8">
        <f>(L87*($E87/365)) + (L88*($E88/365))</f>
        <v>0</v>
      </c>
      <c r="D171" s="8">
        <f>(M87*($E87/365)) + (M88*($E88/365))</f>
        <v>0</v>
      </c>
      <c r="E171" s="52">
        <f t="shared" si="19"/>
        <v>100</v>
      </c>
      <c r="G171" s="1">
        <v>1999</v>
      </c>
      <c r="H171" s="809">
        <f>(O87/$R87*100*($E87/365))+(O88/$R88*100*($E88/365))</f>
        <v>100</v>
      </c>
      <c r="I171" s="809"/>
      <c r="J171" s="809">
        <f>(P87/$R87*100*($E87/365))+(P88/$R88*100*($E88/365))</f>
        <v>0</v>
      </c>
      <c r="K171" s="809"/>
      <c r="L171" s="809">
        <f>(Q87/$R87*100*($E87/365))+(Q88/$R88*100*($E88/365))</f>
        <v>0</v>
      </c>
      <c r="M171" s="809"/>
      <c r="N171" s="810">
        <f t="shared" si="20"/>
        <v>100</v>
      </c>
      <c r="O171" s="840"/>
      <c r="R171" s="1">
        <v>1999</v>
      </c>
      <c r="S171" s="8">
        <f>(O87*($E87/365)) + (O88*($E88/365))</f>
        <v>48.8</v>
      </c>
      <c r="T171" s="8">
        <f>(P87*($E87/365)) + (P88*($E88/365))</f>
        <v>0</v>
      </c>
      <c r="U171" s="8">
        <f>(Q87*($E87/365)) + (Q88*($E88/365))</f>
        <v>0</v>
      </c>
      <c r="V171" s="12"/>
      <c r="W171" s="7">
        <f t="shared" si="18"/>
        <v>48.8</v>
      </c>
    </row>
    <row r="172" spans="1:23" x14ac:dyDescent="0.15">
      <c r="A172" s="1">
        <v>2000</v>
      </c>
      <c r="B172" s="8">
        <f>(K89*($E89/366)) + (K90*($E90/366))</f>
        <v>100</v>
      </c>
      <c r="C172" s="8">
        <f>(L89*($E89/366)) + (L90*($E90/366))</f>
        <v>0</v>
      </c>
      <c r="D172" s="8">
        <f>(M89*($E89/366)) + (M90*($E90/366))</f>
        <v>0</v>
      </c>
      <c r="E172" s="52">
        <f t="shared" si="19"/>
        <v>100</v>
      </c>
      <c r="G172" s="1">
        <v>2000</v>
      </c>
      <c r="H172" s="809">
        <f>(O89/$R89*100*($E89/366))+(O90/$R90*100*($E90/366))</f>
        <v>100</v>
      </c>
      <c r="I172" s="809"/>
      <c r="J172" s="809">
        <f>(P89/$R89*100*($E89/366))+(P90/$R90*100*($E90/366))</f>
        <v>0</v>
      </c>
      <c r="K172" s="809"/>
      <c r="L172" s="809">
        <f>(Q89/$R89*100*($E89/366))+(Q90/$R90*100*($E90/366))</f>
        <v>0</v>
      </c>
      <c r="M172" s="809"/>
      <c r="N172" s="810">
        <f t="shared" si="20"/>
        <v>100</v>
      </c>
      <c r="O172" s="840"/>
      <c r="R172" s="1">
        <v>2000</v>
      </c>
      <c r="S172" s="8">
        <f>(O89*($E89/366)) + (O90*($E90/366))</f>
        <v>48.8</v>
      </c>
      <c r="T172" s="8">
        <f>(P89*($E89/366)) + (P90*($E90/366))</f>
        <v>0</v>
      </c>
      <c r="U172" s="8">
        <f>(Q89*($E89/366)) + (Q90*($E90/366))</f>
        <v>0</v>
      </c>
      <c r="V172" s="12"/>
      <c r="W172" s="7">
        <f t="shared" si="18"/>
        <v>48.8</v>
      </c>
    </row>
    <row r="173" spans="1:23" x14ac:dyDescent="0.15">
      <c r="A173" s="1">
        <v>2001</v>
      </c>
      <c r="B173" s="8">
        <f>(K91*($E91/365)) + (K92*($E92/365))</f>
        <v>100</v>
      </c>
      <c r="C173" s="8">
        <f>(L91*($E91/365)) + (L92*($E92/365))</f>
        <v>0</v>
      </c>
      <c r="D173" s="8">
        <f>(M91*($E91/365)) + (M92*($E92/365))</f>
        <v>0</v>
      </c>
      <c r="E173" s="52">
        <f t="shared" si="19"/>
        <v>100</v>
      </c>
      <c r="G173" s="1">
        <v>2001</v>
      </c>
      <c r="H173" s="809">
        <f>(O91/$R91*100*($E91/365))+(O92/$R92*100*($E92/365))</f>
        <v>100</v>
      </c>
      <c r="I173" s="809"/>
      <c r="J173" s="809">
        <f>(P91/$R91*100*($E91/365))+(P92/$R92*100*($E92/365))</f>
        <v>0</v>
      </c>
      <c r="K173" s="809"/>
      <c r="L173" s="809">
        <f>(Q91/$R91*100*($E91/365))+(Q92/$R92*100*($E92/365))</f>
        <v>0</v>
      </c>
      <c r="M173" s="809"/>
      <c r="N173" s="810">
        <f t="shared" si="20"/>
        <v>100</v>
      </c>
      <c r="O173" s="840"/>
      <c r="R173" s="1">
        <v>2001</v>
      </c>
      <c r="S173" s="8">
        <f>(O91*($E91/365)) + (O92*($E92/365))</f>
        <v>48.8</v>
      </c>
      <c r="T173" s="8">
        <f>(P91*($E91/365)) + (P92*($E92/365))</f>
        <v>0</v>
      </c>
      <c r="U173" s="8">
        <f>(Q91*($E91/365)) + (Q92*($E92/365))</f>
        <v>0</v>
      </c>
      <c r="V173" s="12"/>
      <c r="W173" s="7">
        <f t="shared" si="18"/>
        <v>48.8</v>
      </c>
    </row>
    <row r="174" spans="1:23" x14ac:dyDescent="0.15">
      <c r="A174" s="1">
        <v>2002</v>
      </c>
      <c r="B174" s="8">
        <f>(K93*($E93/365)) + (K94*($E94/365))</f>
        <v>100</v>
      </c>
      <c r="C174" s="8">
        <f>(L93*($E93/365)) + (L94*($E94/365))</f>
        <v>0</v>
      </c>
      <c r="D174" s="8">
        <f>(M93*($E93/365)) + (M94*($E94/365))</f>
        <v>0</v>
      </c>
      <c r="E174" s="52">
        <f t="shared" si="19"/>
        <v>100</v>
      </c>
      <c r="G174" s="1">
        <v>2002</v>
      </c>
      <c r="H174" s="809">
        <f>(O93/$R93*100*($E93/365))+(O94/$R94*100*($E94/365))</f>
        <v>100</v>
      </c>
      <c r="I174" s="809"/>
      <c r="J174" s="809">
        <f>(P93/$R93*100*($E93/365))+(P94/$R94*100*($E94/365))</f>
        <v>0</v>
      </c>
      <c r="K174" s="809"/>
      <c r="L174" s="809">
        <f>(Q93/$R93*100*($E93/365))+(Q94/$R94*100*($E94/365))</f>
        <v>0</v>
      </c>
      <c r="M174" s="809"/>
      <c r="N174" s="810">
        <f t="shared" si="20"/>
        <v>100</v>
      </c>
      <c r="O174" s="840"/>
      <c r="R174" s="1">
        <v>2002</v>
      </c>
      <c r="S174" s="8">
        <f>(O93*($E93/365)) + (O94*($E94/365))</f>
        <v>51.548493150684934</v>
      </c>
      <c r="T174" s="8">
        <f>(P93*($E93/365)) + (P94*($E94/365))</f>
        <v>0</v>
      </c>
      <c r="U174" s="8">
        <f>(Q93*($E93/365)) + (Q94*($E94/365))</f>
        <v>0</v>
      </c>
      <c r="V174" s="12"/>
      <c r="W174" s="7">
        <f t="shared" si="18"/>
        <v>51.548493150684934</v>
      </c>
    </row>
    <row r="175" spans="1:23" x14ac:dyDescent="0.15">
      <c r="A175" s="1">
        <v>2003</v>
      </c>
      <c r="B175" s="8">
        <f>(K95*($E95/365)) + (K96*($E96/365))</f>
        <v>100</v>
      </c>
      <c r="C175" s="8">
        <f>(L95*($E95/365)) + (L96*($E96/365))</f>
        <v>0</v>
      </c>
      <c r="D175" s="8">
        <f>(M95*($E95/365)) + (M96*($E96/365))</f>
        <v>0</v>
      </c>
      <c r="E175" s="52">
        <f t="shared" si="19"/>
        <v>100</v>
      </c>
      <c r="G175" s="1">
        <v>2003</v>
      </c>
      <c r="H175" s="809">
        <f>(O95/$R95*100*($E95/365))+(O96/$R96*100*($E96/365))</f>
        <v>100</v>
      </c>
      <c r="I175" s="809"/>
      <c r="J175" s="809">
        <f>(P95/$R95*100*($E95/365))+(P96/$R96*100*($E96/365))</f>
        <v>0</v>
      </c>
      <c r="K175" s="809"/>
      <c r="L175" s="809">
        <f>(Q95/$R95*100*($E95/365))+(Q96/$R96*100*($E96/365))</f>
        <v>0</v>
      </c>
      <c r="M175" s="809"/>
      <c r="N175" s="810">
        <f t="shared" si="20"/>
        <v>100</v>
      </c>
      <c r="O175" s="840"/>
      <c r="R175" s="1">
        <v>2003</v>
      </c>
      <c r="S175" s="8">
        <f>(O95*($E95/365)) + (O96*($E96/365))</f>
        <v>53.6</v>
      </c>
      <c r="T175" s="8">
        <f>(P95*($E95/365)) + (P96*($E96/365))</f>
        <v>0</v>
      </c>
      <c r="U175" s="8">
        <f>(Q95*($E95/365)) + (Q96*($E96/365))</f>
        <v>0</v>
      </c>
      <c r="V175" s="12"/>
      <c r="W175" s="7">
        <f t="shared" si="18"/>
        <v>53.6</v>
      </c>
    </row>
    <row r="176" spans="1:23" x14ac:dyDescent="0.15">
      <c r="A176" s="1">
        <v>2004</v>
      </c>
      <c r="B176" s="8">
        <f>(K97*($E97/366)) + (K98*($E98/366))</f>
        <v>100</v>
      </c>
      <c r="C176" s="8">
        <f>(L97*($E97/366)) + (L98*($E98/366))</f>
        <v>0</v>
      </c>
      <c r="D176" s="8">
        <f>(M97*($E97/366)) + (M98*($E98/366))</f>
        <v>0</v>
      </c>
      <c r="E176" s="52">
        <f t="shared" si="19"/>
        <v>100</v>
      </c>
      <c r="G176" s="1">
        <v>2004</v>
      </c>
      <c r="H176" s="809">
        <f>(O97/$R97*100*($E97/366))+(O98/$R98*100*($E98/366))</f>
        <v>100</v>
      </c>
      <c r="I176" s="809"/>
      <c r="J176" s="809">
        <f>(P97/$R97*100*($E97/366))+(P98/$R98*100*($E98/366))</f>
        <v>0</v>
      </c>
      <c r="K176" s="809"/>
      <c r="L176" s="809">
        <f>(Q97/$R97*100*($E97/366))+(Q98/$R98*100*($E98/366))</f>
        <v>0</v>
      </c>
      <c r="M176" s="809"/>
      <c r="N176" s="810">
        <f t="shared" si="20"/>
        <v>100</v>
      </c>
      <c r="O176" s="840"/>
      <c r="R176" s="1">
        <v>2004</v>
      </c>
      <c r="S176" s="8">
        <f>(O97*($E97/366)) + (O98*($E98/366))</f>
        <v>53.6</v>
      </c>
      <c r="T176" s="8">
        <f>(P97*($E97/366)) + (P98*($E98/366))</f>
        <v>0</v>
      </c>
      <c r="U176" s="8">
        <f>(Q97*($E97/366)) + (Q98*($E98/366))</f>
        <v>0</v>
      </c>
      <c r="V176" s="12"/>
      <c r="W176" s="7">
        <f t="shared" si="18"/>
        <v>53.6</v>
      </c>
    </row>
    <row r="177" spans="1:23" x14ac:dyDescent="0.15">
      <c r="A177" s="1">
        <v>2005</v>
      </c>
      <c r="B177" s="8">
        <f>(K99*($E99/365)) + (K100*($E100/365))</f>
        <v>100</v>
      </c>
      <c r="C177" s="8">
        <f>(L99*($E99/365)) + (L100*($E100/365))</f>
        <v>0</v>
      </c>
      <c r="D177" s="8">
        <f>(M99*($E99/365)) + (M100*($E100/365))</f>
        <v>0</v>
      </c>
      <c r="E177" s="52">
        <f t="shared" si="19"/>
        <v>100</v>
      </c>
      <c r="G177" s="1">
        <v>2005</v>
      </c>
      <c r="H177" s="809">
        <f>(O99/$R99*100*($E99/365))+(O100/$R100*100*($E100/365))</f>
        <v>100</v>
      </c>
      <c r="I177" s="809"/>
      <c r="J177" s="809">
        <f>(P99/$R99*100*($E99/365))+(P100/$R100*100*($E100/365))</f>
        <v>0</v>
      </c>
      <c r="K177" s="809"/>
      <c r="L177" s="809">
        <f>(Q99/$R99*100*($E99/365))+(Q100/$R100*100*($E100/365))</f>
        <v>0</v>
      </c>
      <c r="M177" s="809"/>
      <c r="N177" s="810">
        <f t="shared" si="20"/>
        <v>100</v>
      </c>
      <c r="O177" s="840"/>
      <c r="R177" s="1">
        <v>2005</v>
      </c>
      <c r="S177" s="8">
        <f>(O99*($E99/365)) + (O100*($E100/365))</f>
        <v>53.6</v>
      </c>
      <c r="T177" s="8">
        <f>(P99*($E99/365)) + (P100*($E100/365))</f>
        <v>0</v>
      </c>
      <c r="U177" s="8">
        <f>(Q99*($E99/365)) + (Q100*($E100/365))</f>
        <v>0</v>
      </c>
      <c r="V177" s="12"/>
      <c r="W177" s="7">
        <f t="shared" si="18"/>
        <v>53.6</v>
      </c>
    </row>
    <row r="178" spans="1:23" x14ac:dyDescent="0.15">
      <c r="A178" s="1">
        <v>2006</v>
      </c>
      <c r="B178" s="8">
        <f>(K101*($E101/365)) + (K102*($E102/365))</f>
        <v>100</v>
      </c>
      <c r="C178" s="8">
        <f>(L101*($E101/365)) + (L102*($E102/365))</f>
        <v>0</v>
      </c>
      <c r="D178" s="8">
        <f>(M101*($E101/365)) + (M102*($E102/365))</f>
        <v>0</v>
      </c>
      <c r="E178" s="52">
        <f t="shared" si="19"/>
        <v>100</v>
      </c>
      <c r="G178" s="1">
        <v>2006</v>
      </c>
      <c r="H178" s="809">
        <f>(O101/$R101*100*($E101/365))+(O102/$R102*100*($E102/365))</f>
        <v>100</v>
      </c>
      <c r="I178" s="809"/>
      <c r="J178" s="809">
        <f>(P101/$R101*100*($E101/365))+(P102/$R102*100*($E102/365))</f>
        <v>0</v>
      </c>
      <c r="K178" s="809"/>
      <c r="L178" s="809">
        <f>(Q101/$R101*100*($E101/365))+(Q102/$R102*100*($E102/365))</f>
        <v>0</v>
      </c>
      <c r="M178" s="809"/>
      <c r="N178" s="810">
        <f t="shared" si="20"/>
        <v>100</v>
      </c>
      <c r="O178" s="840"/>
      <c r="R178" s="1">
        <v>2006</v>
      </c>
      <c r="S178" s="8">
        <f>(O101*($E101/365)) + (O102*($E102/365))</f>
        <v>53.6</v>
      </c>
      <c r="T178" s="8">
        <f>(P101*($E101/365)) + (P102*($E102/365))</f>
        <v>0</v>
      </c>
      <c r="U178" s="8">
        <f>(Q101*($E101/365)) + (Q102*($E102/365))</f>
        <v>0</v>
      </c>
      <c r="V178" s="12"/>
      <c r="W178" s="7">
        <f t="shared" si="18"/>
        <v>53.6</v>
      </c>
    </row>
    <row r="179" spans="1:23" x14ac:dyDescent="0.15">
      <c r="A179" s="1">
        <v>2007</v>
      </c>
      <c r="B179" s="8">
        <f>(K103*($E103/365)) + (K104*($E104/365))</f>
        <v>92.657534246575352</v>
      </c>
      <c r="C179" s="8">
        <f>(L103*($E103/365)) + (L104*($E104/365))</f>
        <v>0</v>
      </c>
      <c r="D179" s="8">
        <f>(M103*($E103/365)) + (M104*($E104/365))</f>
        <v>7.3424657534246576</v>
      </c>
      <c r="E179" s="52">
        <f t="shared" si="19"/>
        <v>100.00000000000001</v>
      </c>
      <c r="G179" s="1">
        <v>2007</v>
      </c>
      <c r="H179" s="809">
        <f>(O103/$R103*100*($E103/365))+(O104/$R104*100*($E104/365))</f>
        <v>96.172846035859735</v>
      </c>
      <c r="I179" s="809"/>
      <c r="J179" s="809">
        <f>(P103/$R103*100*($E103/365))+(P104/$R104*100*($E104/365))</f>
        <v>0</v>
      </c>
      <c r="K179" s="809"/>
      <c r="L179" s="809">
        <f>(Q103/$R103*100*($E103/365))+(Q104/$R104*100*($E104/365))</f>
        <v>3.8271539641402654</v>
      </c>
      <c r="M179" s="809"/>
      <c r="N179" s="810">
        <f t="shared" si="20"/>
        <v>100</v>
      </c>
      <c r="O179" s="840"/>
      <c r="R179" s="1">
        <v>2007</v>
      </c>
      <c r="S179" s="8">
        <f>(O103*($E103/365)) + (O104*($E104/365))</f>
        <v>50.626301369863015</v>
      </c>
      <c r="T179" s="8">
        <f>(P103*($E103/365)) + (P104*($E104/365))</f>
        <v>0</v>
      </c>
      <c r="U179" s="8">
        <f>(Q103*($E103/365)) + (Q104*($E104/365))</f>
        <v>1.9824657534246575</v>
      </c>
      <c r="V179" s="12"/>
      <c r="W179" s="7">
        <f t="shared" si="18"/>
        <v>52.60876712328767</v>
      </c>
    </row>
    <row r="180" spans="1:23" x14ac:dyDescent="0.15">
      <c r="A180" s="1">
        <v>2008</v>
      </c>
      <c r="B180" s="8">
        <f>(K105*($E105/366)) + (K106*($E106/366))</f>
        <v>86.666666666666671</v>
      </c>
      <c r="C180" s="8">
        <f>(L105*($E105/366)) + (L106*($E106/366))</f>
        <v>0</v>
      </c>
      <c r="D180" s="8">
        <f>(M105*($E105/366)) + (M106*($E106/366))</f>
        <v>13.333333333333334</v>
      </c>
      <c r="E180" s="52">
        <f t="shared" si="19"/>
        <v>100</v>
      </c>
      <c r="G180" s="1">
        <v>2008</v>
      </c>
      <c r="H180" s="809">
        <f>(O105/$R105*100*($E105/366))+(O106/$R106*100*($E106/366))</f>
        <v>93.050193050193059</v>
      </c>
      <c r="I180" s="809"/>
      <c r="J180" s="809">
        <f>(P105/$R105*100*($E105/366))+(P106/$R106*100*($E106/366))</f>
        <v>0</v>
      </c>
      <c r="K180" s="809"/>
      <c r="L180" s="809">
        <f>(Q105/$R105*100*($E105/366))+(Q106/$R106*100*($E106/366))</f>
        <v>6.9498069498069501</v>
      </c>
      <c r="M180" s="809"/>
      <c r="N180" s="810">
        <f t="shared" si="20"/>
        <v>100.00000000000001</v>
      </c>
      <c r="O180" s="840"/>
      <c r="R180" s="1">
        <v>2008</v>
      </c>
      <c r="S180" s="8">
        <f>(O105*($E105/366)) + (O106*($E106/366))</f>
        <v>48.2</v>
      </c>
      <c r="T180" s="8">
        <f>(P105*($E105/366)) + (P106*($E106/366))</f>
        <v>0</v>
      </c>
      <c r="U180" s="8">
        <f>(Q105*($E105/366)) + (Q106*($E106/366))</f>
        <v>3.6</v>
      </c>
      <c r="V180" s="12"/>
      <c r="W180" s="7">
        <f t="shared" si="18"/>
        <v>51.800000000000004</v>
      </c>
    </row>
    <row r="181" spans="1:23" x14ac:dyDescent="0.15">
      <c r="A181" s="1">
        <v>2009</v>
      </c>
      <c r="B181" s="8">
        <f>(K107*($E107/365)) + (K108*($E108/365))</f>
        <v>86.283105022831052</v>
      </c>
      <c r="C181" s="8">
        <f>(L107*($E107/365)) + (L108*($E108/365))</f>
        <v>0</v>
      </c>
      <c r="D181" s="8">
        <f>(M107*($E107/365)) + (M108*($E108/365))</f>
        <v>13.333333333333334</v>
      </c>
      <c r="E181" s="52">
        <f t="shared" si="19"/>
        <v>99.61643835616438</v>
      </c>
      <c r="G181" s="1">
        <v>2009</v>
      </c>
      <c r="H181" s="809">
        <f>(O107/$R107*100*($E107/365))+(O108/$R108*100*($E108/365))</f>
        <v>93.040710396279195</v>
      </c>
      <c r="I181" s="809"/>
      <c r="J181" s="809">
        <f>(P107/$R107*100*($E107/365))+(P108/$R108*100*($E108/365))</f>
        <v>0</v>
      </c>
      <c r="K181" s="809"/>
      <c r="L181" s="809">
        <f>(Q107/$R107*100*($E107/365))+(Q108/$R108*100*($E108/365))</f>
        <v>6.959289603720813</v>
      </c>
      <c r="M181" s="809"/>
      <c r="N181" s="810">
        <f t="shared" si="20"/>
        <v>100.00000000000001</v>
      </c>
      <c r="O181" s="840"/>
      <c r="R181" s="1">
        <v>2009</v>
      </c>
      <c r="S181" s="8">
        <f>(O107*($E107/365)) + (O108*($E108/365))</f>
        <v>48.13095890410959</v>
      </c>
      <c r="T181" s="8">
        <f>(P107*($E107/365)) + (P108*($E108/365))</f>
        <v>0</v>
      </c>
      <c r="U181" s="8">
        <f>(Q107*($E107/365)) + (Q108*($E108/365))</f>
        <v>3.6</v>
      </c>
      <c r="V181" s="12"/>
      <c r="W181" s="7">
        <f t="shared" si="18"/>
        <v>51.730958904109592</v>
      </c>
    </row>
    <row r="182" spans="1:23" x14ac:dyDescent="0.15">
      <c r="A182" s="1">
        <v>2010</v>
      </c>
      <c r="B182" s="8">
        <f>(K109*($E109/365)) + (K110*($E110/365))</f>
        <v>80</v>
      </c>
      <c r="C182" s="8">
        <f>(L109*($E109/365)) + (L110*($E110/365))</f>
        <v>0</v>
      </c>
      <c r="D182" s="8">
        <f>(M109*($E109/365)) + (M110*($E110/365))</f>
        <v>13.333333333333334</v>
      </c>
      <c r="E182" s="52">
        <f t="shared" si="19"/>
        <v>93.333333333333329</v>
      </c>
      <c r="G182" s="1">
        <v>2010</v>
      </c>
      <c r="H182" s="809">
        <f>(O109/$R109*100*($E109/365))+(O110/$R110*100*($E110/365))</f>
        <v>92.885375494071141</v>
      </c>
      <c r="I182" s="809"/>
      <c r="J182" s="809">
        <f>(P109/$R109*100*($E109/365))+(P110/$R110*100*($E110/365))</f>
        <v>0</v>
      </c>
      <c r="K182" s="809"/>
      <c r="L182" s="809">
        <f>(Q109/$R109*100*($E109/365))+(Q110/$R110*100*($E110/365))</f>
        <v>7.1146245059288544</v>
      </c>
      <c r="M182" s="809"/>
      <c r="N182" s="810">
        <f t="shared" si="20"/>
        <v>100</v>
      </c>
      <c r="O182" s="840"/>
      <c r="R182" s="1">
        <v>2010</v>
      </c>
      <c r="S182" s="8">
        <f>(O109*($E109/365)) + (O110*($E110/365))</f>
        <v>47</v>
      </c>
      <c r="T182" s="8">
        <f>(P109*($E109/365)) + (P110*($E110/365))</f>
        <v>0</v>
      </c>
      <c r="U182" s="8">
        <f>(Q109*($E109/365)) + (Q110*($E110/365))</f>
        <v>3.6</v>
      </c>
      <c r="V182" s="12"/>
      <c r="W182" s="7">
        <f t="shared" si="18"/>
        <v>50.6</v>
      </c>
    </row>
    <row r="183" spans="1:23" x14ac:dyDescent="0.15">
      <c r="A183" s="1">
        <v>2011</v>
      </c>
      <c r="B183" s="8">
        <f>(K111*($E111/365)) + (K112*($E112/365))+(K113*($E113/365))+(K114*($E114/365))+(K115*($E115/365))</f>
        <v>17.128506196999346</v>
      </c>
      <c r="C183" s="8">
        <f>(L111*($E111/365)) + (L112*($E112/365))+(L113*($E113/365))+(L114*($E114/365))+(L115*($E115/365))</f>
        <v>54.42922374429223</v>
      </c>
      <c r="D183" s="8">
        <f>(M111*($E111/365)) + (M112*($E112/365))+(M113*($E113/365))+(M114*($E114/365))+(M115*($E115/365))</f>
        <v>28.093933463796475</v>
      </c>
      <c r="E183" s="52">
        <f t="shared" si="19"/>
        <v>99.651663405088044</v>
      </c>
      <c r="G183" s="1">
        <v>2011</v>
      </c>
      <c r="H183" s="809">
        <f>(O111/$R111*100*($E111/365))+(O112/$R112*100*($E112/365))+(O113/$R113*100*($E113/365))+(O114/$R114*100*($E114/365))+(O115/$R115*100*($E115/365))</f>
        <v>17.927337701012508</v>
      </c>
      <c r="I183" s="809"/>
      <c r="J183" s="809">
        <f>(P111/$R111*100*($E111/365))+(P112/$R112*100*($E112/365))+(P113/$R113*100*($E113/365))+(P114/$R114*100*($E114/365))+(P115/$R115*100*($E115/365))</f>
        <v>54.908776376400539</v>
      </c>
      <c r="K183" s="809"/>
      <c r="L183" s="809">
        <f>(Q111/$R111*100*($E111/365))+(Q112/$R112*100*($E112/365))+(Q113/$R113*100*($E113/365))+(Q114/$R114*100*($E114/365))+(Q115/$R115*100*($E115/365))</f>
        <v>27.163885922586953</v>
      </c>
      <c r="M183" s="809"/>
      <c r="N183" s="810">
        <f t="shared" si="20"/>
        <v>100</v>
      </c>
      <c r="O183" s="840"/>
      <c r="R183" s="1">
        <v>2011</v>
      </c>
      <c r="S183" s="8">
        <f>(O111*($E111/365)) + (O112*($E112/365))+(O113*($E113/365))+(O114*($E114/365))+(O115*($E115/365))</f>
        <v>8.6273972602739715</v>
      </c>
      <c r="T183" s="8">
        <f>(P111*($E111/365)) + (P112*($E112/365))+(P113*($E113/365))+(P114*($E114/365))+(P115*($E115/365))</f>
        <v>37.392876712328764</v>
      </c>
      <c r="U183" s="8">
        <f>(Q111*($E111/365)) + (Q112*($E112/365))+(Q113*($E113/365))+(Q114*($E114/365))+(Q115*($E115/365))</f>
        <v>18.423561643835619</v>
      </c>
      <c r="V183" s="12"/>
      <c r="W183" s="7">
        <f t="shared" si="18"/>
        <v>64.443835616438349</v>
      </c>
    </row>
    <row r="184" spans="1:23" x14ac:dyDescent="0.15">
      <c r="A184" s="1">
        <v>2012</v>
      </c>
      <c r="B184" s="8">
        <f>(K116*($E116/366))+(K117*($E117/366))</f>
        <v>0</v>
      </c>
      <c r="C184" s="8">
        <f>(L116*($E116/366))+(L117*($E117/366))</f>
        <v>66.666666666666657</v>
      </c>
      <c r="D184" s="8">
        <f>(M116*($E116/366))+(M117*($E117/366))</f>
        <v>33.333333333333329</v>
      </c>
      <c r="E184" s="52">
        <f t="shared" si="19"/>
        <v>99.999999999999986</v>
      </c>
      <c r="G184" s="1">
        <v>2012</v>
      </c>
      <c r="H184" s="809">
        <f>(O116/$R116*100*($E116/366))+(O117/$R117*100*($E117/366))</f>
        <v>0</v>
      </c>
      <c r="I184" s="809"/>
      <c r="J184" s="809">
        <f>(P116/$R116*100*($E116/366))+(P117/$R117*100*($E117/366))</f>
        <v>67.25403817914831</v>
      </c>
      <c r="K184" s="809"/>
      <c r="L184" s="809">
        <f>(Q116/$R116*100*($E116/366))+(Q117/$R117*100*($E117/366))</f>
        <v>32.74596182085169</v>
      </c>
      <c r="M184" s="809"/>
      <c r="N184" s="810">
        <f>H184+J184+L184</f>
        <v>100</v>
      </c>
      <c r="O184" s="840"/>
      <c r="R184" s="1">
        <v>2012</v>
      </c>
      <c r="S184" s="8">
        <f>(O116*($E116/366))+(O117*($E117/366))</f>
        <v>0</v>
      </c>
      <c r="T184" s="8">
        <f>(P116*($E116/366))+(P117*($E117/366))</f>
        <v>45.8</v>
      </c>
      <c r="U184" s="8">
        <f>(Q116*($E116/366))+(Q117*($E117/366))</f>
        <v>22.3</v>
      </c>
      <c r="V184" s="12"/>
      <c r="W184" s="7">
        <f t="shared" si="18"/>
        <v>68.099999999999994</v>
      </c>
    </row>
    <row r="185" spans="1:23" x14ac:dyDescent="0.15">
      <c r="A185" s="1">
        <v>2013</v>
      </c>
      <c r="B185" s="8">
        <f>(K118*($E118/365))+(K119*($E119/365))</f>
        <v>0</v>
      </c>
      <c r="C185" s="8">
        <f>(L118*($E118/365))+(L119*($E119/365))</f>
        <v>66.666666666666657</v>
      </c>
      <c r="D185" s="8">
        <f>(M118*($E118/365))+(M119*($E119/365))</f>
        <v>33.333333333333329</v>
      </c>
      <c r="E185" s="52">
        <f t="shared" si="19"/>
        <v>99.999999999999986</v>
      </c>
      <c r="G185" s="1">
        <v>2013</v>
      </c>
      <c r="H185" s="809">
        <f>(O118/$R118*100*($E118/365))+(O119/$R119*100*($E119/365))</f>
        <v>0</v>
      </c>
      <c r="I185" s="809"/>
      <c r="J185" s="809">
        <f>(P118/$R118*100*($E118/365))+(P119/$R119*100*($E119/365))</f>
        <v>67.25403817914831</v>
      </c>
      <c r="K185" s="809"/>
      <c r="L185" s="809">
        <f>(Q118/$R118*100*($E118/365))+(Q119/$R119*100*($E119/365))</f>
        <v>32.74596182085169</v>
      </c>
      <c r="M185" s="809"/>
      <c r="N185" s="810">
        <f>H185+J185+L185</f>
        <v>100</v>
      </c>
      <c r="O185" s="840"/>
      <c r="R185" s="1">
        <v>2013</v>
      </c>
      <c r="S185" s="8">
        <f>(O118*($E118/365))+(O119*($E119/365))</f>
        <v>0</v>
      </c>
      <c r="T185" s="8">
        <f>(P118*($E118/365))+(P119*($E119/365))</f>
        <v>45.8</v>
      </c>
      <c r="U185" s="8">
        <f>(Q118*($E118/365))+(Q119*($E119/365))</f>
        <v>22.3</v>
      </c>
      <c r="V185" s="12"/>
      <c r="W185" s="7">
        <f t="shared" si="18"/>
        <v>68.099999999999994</v>
      </c>
    </row>
    <row r="186" spans="1:23" x14ac:dyDescent="0.15">
      <c r="A186" s="1">
        <v>2014</v>
      </c>
      <c r="B186" s="8">
        <f>(K120*($E120/365))+(K121*($E121/365))</f>
        <v>0</v>
      </c>
      <c r="C186" s="8">
        <f>(L120*($E120/365))+(L121*($E121/365))</f>
        <v>66.666666666666657</v>
      </c>
      <c r="D186" s="8">
        <f>(M120*($E120/365))+(M121*($E121/365))</f>
        <v>33.333333333333329</v>
      </c>
      <c r="E186" s="52">
        <f>B186+C186+D186</f>
        <v>99.999999999999986</v>
      </c>
      <c r="G186" s="1">
        <v>2014</v>
      </c>
      <c r="H186" s="809">
        <f>(O120/$R120*100*($E120/365))+(O121/$R121*100*($E121/365))</f>
        <v>0</v>
      </c>
      <c r="I186" s="809"/>
      <c r="J186" s="809">
        <f>(P120/$R120*100*($E120/365))+(P121/$R121*100*($E121/365))</f>
        <v>67.25403817914831</v>
      </c>
      <c r="K186" s="809"/>
      <c r="L186" s="809">
        <f>(Q120/$R120*100*($E120/365))+(Q121/$R121*100*($E121/365))</f>
        <v>32.74596182085169</v>
      </c>
      <c r="M186" s="809"/>
      <c r="N186" s="810">
        <f>H186+J186+L186</f>
        <v>100</v>
      </c>
      <c r="O186" s="840"/>
      <c r="R186" s="1">
        <v>2014</v>
      </c>
      <c r="S186" s="8">
        <f>(O120*($E120/365))+(O121*($E121/365))</f>
        <v>0</v>
      </c>
      <c r="T186" s="8">
        <f>(P120*($E120/365))+(P121*($E121/365))</f>
        <v>45.8</v>
      </c>
      <c r="U186" s="8">
        <f>(Q120*($E120/365))+(Q121*($E121/365))</f>
        <v>22.3</v>
      </c>
      <c r="V186" s="12"/>
      <c r="W186" s="7">
        <f>S186+T186+U186</f>
        <v>68.099999999999994</v>
      </c>
    </row>
    <row r="187" spans="1:23" s="735" customFormat="1" x14ac:dyDescent="0.15">
      <c r="A187" s="735">
        <v>2015</v>
      </c>
      <c r="B187" s="727">
        <f>(K122*($E122/365))+(K123*($E123/365))</f>
        <v>0</v>
      </c>
      <c r="C187" s="727">
        <f>(L122*($E122/365))+(L123*($E123/365))</f>
        <v>66.666666666666657</v>
      </c>
      <c r="D187" s="727">
        <f>(M122*($E122/365))+(M123*($E123/365))</f>
        <v>33.333333333333329</v>
      </c>
      <c r="E187" s="52">
        <f>B187+C187+D187</f>
        <v>99.999999999999986</v>
      </c>
      <c r="G187" s="735">
        <v>2015</v>
      </c>
      <c r="H187" s="809">
        <f>(O122/$R122*100*($E122/365))+(O123/$R123*100*($E123/365))</f>
        <v>0</v>
      </c>
      <c r="I187" s="809"/>
      <c r="J187" s="809">
        <f>(P122/$R122*100*($E122/365))+(P123/$R123*100*($E123/365))</f>
        <v>67.25403817914831</v>
      </c>
      <c r="K187" s="809"/>
      <c r="L187" s="809">
        <f>(Q122/$R122*100*($E122/365))+(Q123/$R123*100*($E123/365))</f>
        <v>32.74596182085169</v>
      </c>
      <c r="M187" s="809"/>
      <c r="N187" s="810">
        <f>H187+J187+L187</f>
        <v>100</v>
      </c>
      <c r="O187" s="840"/>
      <c r="R187" s="735">
        <v>2015</v>
      </c>
      <c r="S187" s="727">
        <f>(O122*($E122/365))+(O123*($E123/365))</f>
        <v>0</v>
      </c>
      <c r="T187" s="727">
        <f>(P122*($E122/365))+(P123*($E123/365))</f>
        <v>45.8</v>
      </c>
      <c r="U187" s="727">
        <f>(Q122*($E122/365))+(Q123*($E123/365))</f>
        <v>22.3</v>
      </c>
      <c r="V187" s="12"/>
      <c r="W187" s="731">
        <f>S187+T187+U187</f>
        <v>68.099999999999994</v>
      </c>
    </row>
    <row r="188" spans="1:23" s="735" customFormat="1" x14ac:dyDescent="0.15"/>
  </sheetData>
  <mergeCells count="374">
    <mergeCell ref="H187:I187"/>
    <mergeCell ref="J187:K187"/>
    <mergeCell ref="L187:M187"/>
    <mergeCell ref="N187:O187"/>
    <mergeCell ref="AT4:AW4"/>
    <mergeCell ref="AX4:BA4"/>
    <mergeCell ref="H185:I185"/>
    <mergeCell ref="J185:K185"/>
    <mergeCell ref="L185:M185"/>
    <mergeCell ref="N185:O185"/>
    <mergeCell ref="N180:O180"/>
    <mergeCell ref="N181:O181"/>
    <mergeCell ref="L180:M180"/>
    <mergeCell ref="N179:O179"/>
    <mergeCell ref="L168:M168"/>
    <mergeCell ref="L171:M171"/>
    <mergeCell ref="L172:M172"/>
    <mergeCell ref="J180:K180"/>
    <mergeCell ref="J181:K181"/>
    <mergeCell ref="J182:K182"/>
    <mergeCell ref="J183:K183"/>
    <mergeCell ref="J174:K174"/>
    <mergeCell ref="N184:O184"/>
    <mergeCell ref="N182:O182"/>
    <mergeCell ref="C119:D119"/>
    <mergeCell ref="H184:I184"/>
    <mergeCell ref="J184:K184"/>
    <mergeCell ref="L184:M184"/>
    <mergeCell ref="H165:I165"/>
    <mergeCell ref="H166:I166"/>
    <mergeCell ref="H167:I167"/>
    <mergeCell ref="H168:I168"/>
    <mergeCell ref="J172:K172"/>
    <mergeCell ref="J173:K173"/>
    <mergeCell ref="J159:K159"/>
    <mergeCell ref="J160:K160"/>
    <mergeCell ref="J161:K161"/>
    <mergeCell ref="J162:K162"/>
    <mergeCell ref="J163:K163"/>
    <mergeCell ref="J164:K164"/>
    <mergeCell ref="J165:K165"/>
    <mergeCell ref="J166:K166"/>
    <mergeCell ref="C122:D122"/>
    <mergeCell ref="C123:D123"/>
    <mergeCell ref="J167:K167"/>
    <mergeCell ref="J168:K168"/>
    <mergeCell ref="J169:K169"/>
    <mergeCell ref="J170:K170"/>
    <mergeCell ref="N183:O183"/>
    <mergeCell ref="L183:M183"/>
    <mergeCell ref="H183:I183"/>
    <mergeCell ref="L182:M182"/>
    <mergeCell ref="L181:M181"/>
    <mergeCell ref="L176:M176"/>
    <mergeCell ref="L178:M178"/>
    <mergeCell ref="H180:I180"/>
    <mergeCell ref="H181:I181"/>
    <mergeCell ref="J176:K176"/>
    <mergeCell ref="J177:K177"/>
    <mergeCell ref="J178:K178"/>
    <mergeCell ref="J179:K179"/>
    <mergeCell ref="N173:O173"/>
    <mergeCell ref="N176:O176"/>
    <mergeCell ref="N177:O177"/>
    <mergeCell ref="N178:O178"/>
    <mergeCell ref="L179:M179"/>
    <mergeCell ref="L173:M173"/>
    <mergeCell ref="L174:M174"/>
    <mergeCell ref="L177:M177"/>
    <mergeCell ref="L165:M165"/>
    <mergeCell ref="L166:M166"/>
    <mergeCell ref="L167:M167"/>
    <mergeCell ref="C117:D117"/>
    <mergeCell ref="B125:G125"/>
    <mergeCell ref="O125:Q125"/>
    <mergeCell ref="R128:W128"/>
    <mergeCell ref="N174:O174"/>
    <mergeCell ref="N175:O175"/>
    <mergeCell ref="N159:O159"/>
    <mergeCell ref="N160:O160"/>
    <mergeCell ref="C118:D118"/>
    <mergeCell ref="N163:O163"/>
    <mergeCell ref="N168:O168"/>
    <mergeCell ref="N169:O169"/>
    <mergeCell ref="N170:O170"/>
    <mergeCell ref="N171:O171"/>
    <mergeCell ref="L175:M175"/>
    <mergeCell ref="L169:M169"/>
    <mergeCell ref="L170:M170"/>
    <mergeCell ref="N164:O164"/>
    <mergeCell ref="N165:O165"/>
    <mergeCell ref="N166:O166"/>
    <mergeCell ref="N167:O167"/>
    <mergeCell ref="N161:O161"/>
    <mergeCell ref="N162:O162"/>
    <mergeCell ref="N172:O172"/>
    <mergeCell ref="J171:K171"/>
    <mergeCell ref="H159:I159"/>
    <mergeCell ref="H160:I160"/>
    <mergeCell ref="H161:I161"/>
    <mergeCell ref="H182:I182"/>
    <mergeCell ref="H171:I171"/>
    <mergeCell ref="H172:I172"/>
    <mergeCell ref="H173:I173"/>
    <mergeCell ref="H174:I174"/>
    <mergeCell ref="H175:I175"/>
    <mergeCell ref="H176:I176"/>
    <mergeCell ref="H169:I169"/>
    <mergeCell ref="H170:I170"/>
    <mergeCell ref="H177:I177"/>
    <mergeCell ref="H178:I178"/>
    <mergeCell ref="H179:I179"/>
    <mergeCell ref="H162:I162"/>
    <mergeCell ref="H163:I163"/>
    <mergeCell ref="H164:I164"/>
    <mergeCell ref="J175:K175"/>
    <mergeCell ref="H157:I157"/>
    <mergeCell ref="J157:K157"/>
    <mergeCell ref="L157:M157"/>
    <mergeCell ref="L160:M160"/>
    <mergeCell ref="L161:M161"/>
    <mergeCell ref="L162:M162"/>
    <mergeCell ref="L163:M163"/>
    <mergeCell ref="L164:M164"/>
    <mergeCell ref="N157:O157"/>
    <mergeCell ref="H158:I158"/>
    <mergeCell ref="J158:K158"/>
    <mergeCell ref="L158:M158"/>
    <mergeCell ref="N158:O158"/>
    <mergeCell ref="L159:M159"/>
    <mergeCell ref="H155:I155"/>
    <mergeCell ref="J155:K155"/>
    <mergeCell ref="L155:M155"/>
    <mergeCell ref="N155:O155"/>
    <mergeCell ref="H156:I156"/>
    <mergeCell ref="J156:K156"/>
    <mergeCell ref="L156:M156"/>
    <mergeCell ref="N156:O156"/>
    <mergeCell ref="H153:I153"/>
    <mergeCell ref="J153:K153"/>
    <mergeCell ref="L153:M153"/>
    <mergeCell ref="N153:O153"/>
    <mergeCell ref="H154:I154"/>
    <mergeCell ref="J154:K154"/>
    <mergeCell ref="L154:M154"/>
    <mergeCell ref="N154:O154"/>
    <mergeCell ref="H151:I151"/>
    <mergeCell ref="J151:K151"/>
    <mergeCell ref="L151:M151"/>
    <mergeCell ref="N151:O151"/>
    <mergeCell ref="H152:I152"/>
    <mergeCell ref="J152:K152"/>
    <mergeCell ref="L152:M152"/>
    <mergeCell ref="N152:O152"/>
    <mergeCell ref="H149:I149"/>
    <mergeCell ref="J149:K149"/>
    <mergeCell ref="L149:M149"/>
    <mergeCell ref="N149:O149"/>
    <mergeCell ref="H150:I150"/>
    <mergeCell ref="J150:K150"/>
    <mergeCell ref="L150:M150"/>
    <mergeCell ref="N150:O150"/>
    <mergeCell ref="H147:I147"/>
    <mergeCell ref="J147:K147"/>
    <mergeCell ref="L147:M147"/>
    <mergeCell ref="N147:O147"/>
    <mergeCell ref="H148:I148"/>
    <mergeCell ref="J148:K148"/>
    <mergeCell ref="L148:M148"/>
    <mergeCell ref="N148:O148"/>
    <mergeCell ref="H145:I145"/>
    <mergeCell ref="J145:K145"/>
    <mergeCell ref="L145:M145"/>
    <mergeCell ref="N145:O145"/>
    <mergeCell ref="H146:I146"/>
    <mergeCell ref="J146:K146"/>
    <mergeCell ref="L146:M146"/>
    <mergeCell ref="N146:O146"/>
    <mergeCell ref="H143:I143"/>
    <mergeCell ref="J143:K143"/>
    <mergeCell ref="L143:M143"/>
    <mergeCell ref="N143:O143"/>
    <mergeCell ref="H144:I144"/>
    <mergeCell ref="J144:K144"/>
    <mergeCell ref="L144:M144"/>
    <mergeCell ref="N144:O144"/>
    <mergeCell ref="L141:M141"/>
    <mergeCell ref="N141:O141"/>
    <mergeCell ref="H142:I142"/>
    <mergeCell ref="J142:K142"/>
    <mergeCell ref="L142:M142"/>
    <mergeCell ref="N142:O142"/>
    <mergeCell ref="H139:I139"/>
    <mergeCell ref="J139:K139"/>
    <mergeCell ref="L139:M139"/>
    <mergeCell ref="N139:O139"/>
    <mergeCell ref="H140:I140"/>
    <mergeCell ref="J140:K140"/>
    <mergeCell ref="L140:M140"/>
    <mergeCell ref="N140:O140"/>
    <mergeCell ref="G3:M3"/>
    <mergeCell ref="O3:Q3"/>
    <mergeCell ref="H132:I132"/>
    <mergeCell ref="J132:K132"/>
    <mergeCell ref="L132:M132"/>
    <mergeCell ref="N132:O132"/>
    <mergeCell ref="H131:I131"/>
    <mergeCell ref="J131:K131"/>
    <mergeCell ref="H137:I137"/>
    <mergeCell ref="J137:K137"/>
    <mergeCell ref="L137:M137"/>
    <mergeCell ref="N137:O137"/>
    <mergeCell ref="H135:I135"/>
    <mergeCell ref="J135:K135"/>
    <mergeCell ref="L135:M135"/>
    <mergeCell ref="N135:O135"/>
    <mergeCell ref="H136:I136"/>
    <mergeCell ref="J136:K136"/>
    <mergeCell ref="L136:M136"/>
    <mergeCell ref="N136:O136"/>
    <mergeCell ref="A4:A5"/>
    <mergeCell ref="B4:B5"/>
    <mergeCell ref="C4:D5"/>
    <mergeCell ref="E4:E5"/>
    <mergeCell ref="H130:I130"/>
    <mergeCell ref="J130:K130"/>
    <mergeCell ref="F4:F5"/>
    <mergeCell ref="G4:J4"/>
    <mergeCell ref="C11:D11"/>
    <mergeCell ref="C12:D12"/>
    <mergeCell ref="C9:D9"/>
    <mergeCell ref="C10:D10"/>
    <mergeCell ref="C13:D13"/>
    <mergeCell ref="C14:D14"/>
    <mergeCell ref="C15:D15"/>
    <mergeCell ref="C16:D16"/>
    <mergeCell ref="C17:D17"/>
    <mergeCell ref="C18:D18"/>
    <mergeCell ref="C19:D19"/>
    <mergeCell ref="C20:D20"/>
    <mergeCell ref="C21:D21"/>
    <mergeCell ref="C22:D22"/>
    <mergeCell ref="C23:D23"/>
    <mergeCell ref="C24:D24"/>
    <mergeCell ref="AH4:AK4"/>
    <mergeCell ref="AL4:AO4"/>
    <mergeCell ref="U4:U5"/>
    <mergeCell ref="V4:Y4"/>
    <mergeCell ref="AP4:AS4"/>
    <mergeCell ref="C8:D8"/>
    <mergeCell ref="K4:N4"/>
    <mergeCell ref="O4:R4"/>
    <mergeCell ref="S4:S5"/>
    <mergeCell ref="T4:T5"/>
    <mergeCell ref="Z4:AC4"/>
    <mergeCell ref="AD4:AG4"/>
    <mergeCell ref="C7:D7"/>
    <mergeCell ref="C6:D6"/>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15:D115"/>
    <mergeCell ref="C116:D116"/>
    <mergeCell ref="C109:D109"/>
    <mergeCell ref="C110:D110"/>
    <mergeCell ref="C111:D111"/>
    <mergeCell ref="C112:D112"/>
    <mergeCell ref="C113:D113"/>
    <mergeCell ref="C114:D114"/>
    <mergeCell ref="N186:O186"/>
    <mergeCell ref="C120:D120"/>
    <mergeCell ref="C121:D121"/>
    <mergeCell ref="H186:I186"/>
    <mergeCell ref="J186:K186"/>
    <mergeCell ref="L186:M186"/>
    <mergeCell ref="L131:M131"/>
    <mergeCell ref="N131:O131"/>
    <mergeCell ref="L130:M130"/>
    <mergeCell ref="N130:O130"/>
    <mergeCell ref="H133:I133"/>
    <mergeCell ref="J133:K133"/>
    <mergeCell ref="L133:M133"/>
    <mergeCell ref="N133:O133"/>
    <mergeCell ref="H134:I134"/>
    <mergeCell ref="J134:K134"/>
    <mergeCell ref="L134:M134"/>
    <mergeCell ref="N134:O134"/>
    <mergeCell ref="H138:I138"/>
    <mergeCell ref="J138:K138"/>
    <mergeCell ref="L138:M138"/>
    <mergeCell ref="N138:O138"/>
    <mergeCell ref="H141:I141"/>
    <mergeCell ref="J141:K141"/>
  </mergeCells>
  <phoneticPr fontId="0" type="noConversion"/>
  <pageMargins left="0.78740157499999996" right="0.78740157499999996" top="0.984251969" bottom="0.984251969" header="0.4921259845" footer="0.4921259845"/>
  <pageSetup paperSize="9" orientation="portrait" r:id="rId1"/>
  <headerFooter alignWithMargins="0"/>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207"/>
  <sheetViews>
    <sheetView zoomScale="120" zoomScaleNormal="120" workbookViewId="0">
      <pane xSplit="1" ySplit="5" topLeftCell="H120" activePane="bottomRight" state="frozen"/>
      <selection pane="topRight" activeCell="B1" sqref="B1"/>
      <selection pane="bottomLeft" activeCell="A6" sqref="A6"/>
      <selection pane="bottomRight" activeCell="W204" sqref="W204"/>
    </sheetView>
  </sheetViews>
  <sheetFormatPr baseColWidth="10" defaultColWidth="10.7109375" defaultRowHeight="9" x14ac:dyDescent="0.15"/>
  <cols>
    <col min="1" max="1" width="5.85546875" style="1" customWidth="1"/>
    <col min="2" max="6" width="7.85546875" style="1" customWidth="1"/>
    <col min="7" max="18" width="4.42578125" style="1" customWidth="1"/>
    <col min="19" max="21" width="7.85546875" style="1" customWidth="1"/>
    <col min="22" max="45" width="5.7109375" style="1" customWidth="1"/>
    <col min="46" max="46" width="5.7109375" style="37" customWidth="1"/>
    <col min="47" max="52" width="5.7109375" style="1" customWidth="1"/>
    <col min="53" max="53" width="5.7109375" style="2" customWidth="1"/>
    <col min="54" max="16384" width="10.7109375" style="1"/>
  </cols>
  <sheetData>
    <row r="1" spans="1:53" s="2" customFormat="1" ht="15" customHeight="1" x14ac:dyDescent="0.2">
      <c r="B1" s="22" t="s">
        <v>14</v>
      </c>
      <c r="AT1" s="36"/>
      <c r="BA1" s="3"/>
    </row>
    <row r="2" spans="1:53" s="2" customFormat="1" ht="15" customHeight="1" x14ac:dyDescent="0.2">
      <c r="B2" s="22" t="s">
        <v>59</v>
      </c>
      <c r="AT2" s="36"/>
      <c r="BA2" s="3"/>
    </row>
    <row r="3" spans="1:53" s="2" customFormat="1" x14ac:dyDescent="0.15">
      <c r="G3" s="814"/>
      <c r="H3" s="814"/>
      <c r="I3" s="814"/>
      <c r="J3" s="814"/>
      <c r="K3" s="814"/>
      <c r="L3" s="814"/>
      <c r="M3" s="814"/>
      <c r="O3" s="814"/>
      <c r="P3" s="814"/>
      <c r="Q3" s="814"/>
      <c r="AT3" s="36"/>
      <c r="BA3" s="3"/>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2" t="s">
        <v>23</v>
      </c>
      <c r="AU5" s="351" t="s">
        <v>24</v>
      </c>
      <c r="AV5" s="351" t="s">
        <v>25</v>
      </c>
      <c r="AW5" s="353" t="s">
        <v>1217</v>
      </c>
      <c r="AX5" s="351" t="s">
        <v>23</v>
      </c>
      <c r="AY5" s="351" t="s">
        <v>24</v>
      </c>
      <c r="AZ5" s="351" t="s">
        <v>25</v>
      </c>
      <c r="BA5" s="354" t="s">
        <v>1217</v>
      </c>
    </row>
    <row r="6" spans="1:53" s="257" customFormat="1" x14ac:dyDescent="0.15">
      <c r="A6" s="263">
        <v>1959</v>
      </c>
      <c r="B6" s="542"/>
      <c r="C6" s="815" t="s">
        <v>1251</v>
      </c>
      <c r="D6" s="815"/>
      <c r="E6" s="545">
        <v>46</v>
      </c>
      <c r="F6" s="545"/>
      <c r="G6" s="265"/>
      <c r="H6" s="545">
        <v>17</v>
      </c>
      <c r="I6" s="545">
        <v>3</v>
      </c>
      <c r="J6" s="272">
        <v>20</v>
      </c>
      <c r="K6" s="248">
        <f t="shared" ref="K6:M8" si="0">G6/$J6*100</f>
        <v>0</v>
      </c>
      <c r="L6" s="248">
        <f t="shared" si="0"/>
        <v>85</v>
      </c>
      <c r="M6" s="248">
        <f t="shared" si="0"/>
        <v>15</v>
      </c>
      <c r="N6" s="267">
        <f>K6+L6+M6</f>
        <v>100</v>
      </c>
      <c r="O6" s="247"/>
      <c r="P6" s="248">
        <v>45.8</v>
      </c>
      <c r="Q6" s="248">
        <v>3.7</v>
      </c>
      <c r="R6" s="249">
        <f>O6+P6+Q6</f>
        <v>49.5</v>
      </c>
      <c r="S6" s="545">
        <v>5</v>
      </c>
      <c r="T6" s="278"/>
      <c r="U6" s="545"/>
      <c r="V6" s="256" t="s">
        <v>516</v>
      </c>
      <c r="W6" s="257" t="s">
        <v>17</v>
      </c>
      <c r="X6" s="257" t="s">
        <v>18</v>
      </c>
      <c r="Y6" s="258">
        <v>45.8</v>
      </c>
      <c r="Z6" s="257" t="s">
        <v>517</v>
      </c>
      <c r="AA6" s="257" t="s">
        <v>97</v>
      </c>
      <c r="AB6" s="257" t="s">
        <v>12</v>
      </c>
      <c r="AC6" s="257">
        <v>3.7</v>
      </c>
      <c r="AD6" s="256"/>
      <c r="AG6" s="258"/>
      <c r="AL6" s="256"/>
      <c r="AO6" s="258"/>
      <c r="AP6" s="256"/>
      <c r="AT6" s="287"/>
      <c r="AU6" s="288"/>
      <c r="AV6" s="288"/>
      <c r="AW6" s="289"/>
      <c r="BA6" s="259"/>
    </row>
    <row r="7" spans="1:53" s="257" customFormat="1" x14ac:dyDescent="0.15">
      <c r="A7" s="263">
        <v>1959</v>
      </c>
      <c r="B7" s="542">
        <v>21597</v>
      </c>
      <c r="C7" s="815" t="s">
        <v>718</v>
      </c>
      <c r="D7" s="815"/>
      <c r="E7" s="545">
        <f xml:space="preserve"> 365-E6</f>
        <v>319</v>
      </c>
      <c r="F7" s="545">
        <v>4</v>
      </c>
      <c r="G7" s="265"/>
      <c r="H7" s="545">
        <v>21</v>
      </c>
      <c r="I7" s="545"/>
      <c r="J7" s="272">
        <v>21</v>
      </c>
      <c r="K7" s="248">
        <f t="shared" si="0"/>
        <v>0</v>
      </c>
      <c r="L7" s="248">
        <f t="shared" si="0"/>
        <v>100</v>
      </c>
      <c r="M7" s="248">
        <f t="shared" si="0"/>
        <v>0</v>
      </c>
      <c r="N7" s="267">
        <f>K7+L7+M7</f>
        <v>100</v>
      </c>
      <c r="O7" s="247"/>
      <c r="P7" s="248">
        <v>45.8</v>
      </c>
      <c r="Q7" s="248"/>
      <c r="R7" s="249">
        <f>O7+P7+Q7</f>
        <v>45.8</v>
      </c>
      <c r="S7" s="545">
        <v>4</v>
      </c>
      <c r="T7" s="278"/>
      <c r="U7" s="542">
        <v>21597</v>
      </c>
      <c r="V7" s="256" t="s">
        <v>516</v>
      </c>
      <c r="W7" s="257" t="s">
        <v>17</v>
      </c>
      <c r="X7" s="257" t="s">
        <v>18</v>
      </c>
      <c r="Y7" s="258">
        <v>45.8</v>
      </c>
      <c r="AD7" s="256"/>
      <c r="AG7" s="258"/>
      <c r="AL7" s="256"/>
      <c r="AO7" s="258"/>
      <c r="AP7" s="256"/>
      <c r="AS7" s="258"/>
      <c r="AT7" s="282"/>
      <c r="AU7" s="326"/>
      <c r="AV7" s="326"/>
      <c r="AW7" s="258"/>
      <c r="BA7" s="259"/>
    </row>
    <row r="8" spans="1:53" s="73" customFormat="1" x14ac:dyDescent="0.15">
      <c r="A8" s="102">
        <v>1960</v>
      </c>
      <c r="B8" s="540"/>
      <c r="C8" s="811" t="s">
        <v>718</v>
      </c>
      <c r="D8" s="811"/>
      <c r="E8" s="543">
        <v>84</v>
      </c>
      <c r="F8" s="543"/>
      <c r="G8" s="480"/>
      <c r="H8" s="543">
        <v>21</v>
      </c>
      <c r="I8" s="543"/>
      <c r="J8" s="482">
        <v>21</v>
      </c>
      <c r="K8" s="477">
        <f t="shared" si="0"/>
        <v>0</v>
      </c>
      <c r="L8" s="477">
        <f t="shared" si="0"/>
        <v>100</v>
      </c>
      <c r="M8" s="477">
        <f t="shared" si="0"/>
        <v>0</v>
      </c>
      <c r="N8" s="481">
        <f>K8+L8+M8</f>
        <v>100</v>
      </c>
      <c r="O8" s="476"/>
      <c r="P8" s="477">
        <v>45.8</v>
      </c>
      <c r="Q8" s="477"/>
      <c r="R8" s="478">
        <f>O8+P8+Q8</f>
        <v>45.8</v>
      </c>
      <c r="S8" s="543">
        <v>4</v>
      </c>
      <c r="T8" s="471"/>
      <c r="U8" s="543"/>
      <c r="V8" s="82" t="s">
        <v>516</v>
      </c>
      <c r="W8" s="73" t="s">
        <v>17</v>
      </c>
      <c r="X8" s="73" t="s">
        <v>18</v>
      </c>
      <c r="Y8" s="83">
        <v>45.8</v>
      </c>
      <c r="AD8" s="82"/>
      <c r="AG8" s="83"/>
      <c r="AL8" s="82"/>
      <c r="AO8" s="83"/>
      <c r="AP8" s="82"/>
      <c r="AT8" s="161"/>
      <c r="AU8" s="325"/>
      <c r="AV8" s="325"/>
      <c r="AW8" s="83"/>
      <c r="BA8" s="84"/>
    </row>
    <row r="9" spans="1:53" s="334" customFormat="1" x14ac:dyDescent="0.15">
      <c r="A9" s="386">
        <v>1960</v>
      </c>
      <c r="B9" s="541">
        <v>22000</v>
      </c>
      <c r="C9" s="812" t="s">
        <v>719</v>
      </c>
      <c r="D9" s="812"/>
      <c r="E9" s="544">
        <v>123</v>
      </c>
      <c r="F9" s="544">
        <v>5</v>
      </c>
      <c r="G9" s="497"/>
      <c r="H9" s="544">
        <v>22</v>
      </c>
      <c r="I9" s="544"/>
      <c r="J9" s="499">
        <v>22</v>
      </c>
      <c r="K9" s="495">
        <f t="shared" ref="K9:M24" si="1">G9/$J9*100</f>
        <v>0</v>
      </c>
      <c r="L9" s="495">
        <f t="shared" si="1"/>
        <v>100</v>
      </c>
      <c r="M9" s="495">
        <f t="shared" si="1"/>
        <v>0</v>
      </c>
      <c r="N9" s="498">
        <f t="shared" ref="N9:N72" si="2">K9+L9+M9</f>
        <v>100</v>
      </c>
      <c r="O9" s="494"/>
      <c r="P9" s="495">
        <v>45.8</v>
      </c>
      <c r="Q9" s="495"/>
      <c r="R9" s="496">
        <f t="shared" ref="R9:R72" si="3">O9+P9+Q9</f>
        <v>45.8</v>
      </c>
      <c r="S9" s="544">
        <v>4</v>
      </c>
      <c r="T9" s="492"/>
      <c r="U9" s="541">
        <v>22000</v>
      </c>
      <c r="V9" s="343" t="s">
        <v>516</v>
      </c>
      <c r="W9" s="334" t="s">
        <v>17</v>
      </c>
      <c r="X9" s="334" t="s">
        <v>18</v>
      </c>
      <c r="Y9" s="344">
        <v>45.8</v>
      </c>
      <c r="AD9" s="343"/>
      <c r="AG9" s="344"/>
      <c r="AL9" s="343"/>
      <c r="AO9" s="344"/>
      <c r="AP9" s="343"/>
      <c r="AT9" s="449"/>
      <c r="AW9" s="344"/>
      <c r="BA9" s="345"/>
    </row>
    <row r="10" spans="1:53" s="73" customFormat="1" x14ac:dyDescent="0.15">
      <c r="A10" s="102">
        <v>1960</v>
      </c>
      <c r="B10" s="540">
        <v>22123</v>
      </c>
      <c r="C10" s="811" t="s">
        <v>720</v>
      </c>
      <c r="D10" s="811"/>
      <c r="E10" s="543">
        <f>366-E9-E8</f>
        <v>159</v>
      </c>
      <c r="F10" s="543">
        <v>5</v>
      </c>
      <c r="G10" s="480"/>
      <c r="H10" s="543">
        <v>24</v>
      </c>
      <c r="I10" s="543"/>
      <c r="J10" s="482">
        <v>24</v>
      </c>
      <c r="K10" s="477">
        <f t="shared" si="1"/>
        <v>0</v>
      </c>
      <c r="L10" s="477">
        <f t="shared" si="1"/>
        <v>100</v>
      </c>
      <c r="M10" s="477">
        <f t="shared" si="1"/>
        <v>0</v>
      </c>
      <c r="N10" s="481">
        <f t="shared" si="2"/>
        <v>100</v>
      </c>
      <c r="O10" s="476"/>
      <c r="P10" s="477">
        <v>45.8</v>
      </c>
      <c r="Q10" s="477"/>
      <c r="R10" s="478">
        <f t="shared" si="3"/>
        <v>45.8</v>
      </c>
      <c r="S10" s="543">
        <v>4</v>
      </c>
      <c r="T10" s="471"/>
      <c r="U10" s="540">
        <v>22123</v>
      </c>
      <c r="V10" s="82" t="s">
        <v>516</v>
      </c>
      <c r="W10" s="73" t="s">
        <v>17</v>
      </c>
      <c r="X10" s="73" t="s">
        <v>18</v>
      </c>
      <c r="Y10" s="83">
        <v>45.8</v>
      </c>
      <c r="AD10" s="82"/>
      <c r="AG10" s="83"/>
      <c r="AL10" s="82"/>
      <c r="AO10" s="83"/>
      <c r="AP10" s="82"/>
      <c r="AT10" s="161"/>
      <c r="AW10" s="83"/>
      <c r="BA10" s="84"/>
    </row>
    <row r="11" spans="1:53" s="73" customFormat="1" x14ac:dyDescent="0.15">
      <c r="A11" s="102">
        <v>1961</v>
      </c>
      <c r="B11" s="540"/>
      <c r="C11" s="811" t="s">
        <v>720</v>
      </c>
      <c r="D11" s="811"/>
      <c r="E11" s="543">
        <v>0</v>
      </c>
      <c r="F11" s="543"/>
      <c r="G11" s="480"/>
      <c r="H11" s="543">
        <v>24</v>
      </c>
      <c r="I11" s="543"/>
      <c r="J11" s="482">
        <v>24</v>
      </c>
      <c r="K11" s="477">
        <f t="shared" si="1"/>
        <v>0</v>
      </c>
      <c r="L11" s="477">
        <f t="shared" si="1"/>
        <v>100</v>
      </c>
      <c r="M11" s="477">
        <f t="shared" si="1"/>
        <v>0</v>
      </c>
      <c r="N11" s="481">
        <f t="shared" si="2"/>
        <v>100</v>
      </c>
      <c r="O11" s="476"/>
      <c r="P11" s="477">
        <v>45.8</v>
      </c>
      <c r="Q11" s="477"/>
      <c r="R11" s="478">
        <f t="shared" si="3"/>
        <v>45.8</v>
      </c>
      <c r="S11" s="543">
        <v>4</v>
      </c>
      <c r="T11" s="471"/>
      <c r="U11" s="543"/>
      <c r="V11" s="82" t="s">
        <v>516</v>
      </c>
      <c r="W11" s="73" t="s">
        <v>17</v>
      </c>
      <c r="X11" s="73" t="s">
        <v>18</v>
      </c>
      <c r="Y11" s="83">
        <v>45.8</v>
      </c>
      <c r="AD11" s="82"/>
      <c r="AG11" s="83"/>
      <c r="AL11" s="82"/>
      <c r="AO11" s="83"/>
      <c r="AP11" s="82"/>
      <c r="AT11" s="161"/>
      <c r="AW11" s="83"/>
      <c r="BA11" s="84"/>
    </row>
    <row r="12" spans="1:53" s="73" customFormat="1" x14ac:dyDescent="0.15">
      <c r="A12" s="102">
        <v>1961</v>
      </c>
      <c r="B12" s="540"/>
      <c r="C12" s="811" t="s">
        <v>720</v>
      </c>
      <c r="D12" s="811"/>
      <c r="E12" s="543">
        <v>365</v>
      </c>
      <c r="F12" s="543"/>
      <c r="G12" s="480"/>
      <c r="H12" s="543">
        <v>24</v>
      </c>
      <c r="I12" s="543"/>
      <c r="J12" s="482">
        <v>24</v>
      </c>
      <c r="K12" s="477">
        <f t="shared" si="1"/>
        <v>0</v>
      </c>
      <c r="L12" s="477">
        <f t="shared" si="1"/>
        <v>100</v>
      </c>
      <c r="M12" s="477">
        <f t="shared" si="1"/>
        <v>0</v>
      </c>
      <c r="N12" s="481">
        <f t="shared" si="2"/>
        <v>100</v>
      </c>
      <c r="O12" s="476"/>
      <c r="P12" s="477">
        <v>45.8</v>
      </c>
      <c r="Q12" s="477"/>
      <c r="R12" s="478">
        <f t="shared" si="3"/>
        <v>45.8</v>
      </c>
      <c r="S12" s="543">
        <v>4</v>
      </c>
      <c r="T12" s="471"/>
      <c r="U12" s="543"/>
      <c r="V12" s="82" t="s">
        <v>516</v>
      </c>
      <c r="W12" s="73" t="s">
        <v>17</v>
      </c>
      <c r="X12" s="73" t="s">
        <v>18</v>
      </c>
      <c r="Y12" s="83">
        <v>45.8</v>
      </c>
      <c r="AD12" s="82"/>
      <c r="AG12" s="83"/>
      <c r="AL12" s="82"/>
      <c r="AO12" s="83"/>
      <c r="AP12" s="82"/>
      <c r="AT12" s="161"/>
      <c r="AW12" s="83"/>
      <c r="BA12" s="84"/>
    </row>
    <row r="13" spans="1:53" s="73" customFormat="1" x14ac:dyDescent="0.15">
      <c r="A13" s="102">
        <v>1962</v>
      </c>
      <c r="B13" s="540"/>
      <c r="C13" s="811" t="s">
        <v>720</v>
      </c>
      <c r="D13" s="811"/>
      <c r="E13" s="543">
        <v>51</v>
      </c>
      <c r="F13" s="543"/>
      <c r="G13" s="480"/>
      <c r="H13" s="543">
        <v>24</v>
      </c>
      <c r="I13" s="543"/>
      <c r="J13" s="482">
        <v>24</v>
      </c>
      <c r="K13" s="477">
        <f t="shared" si="1"/>
        <v>0</v>
      </c>
      <c r="L13" s="477">
        <f t="shared" si="1"/>
        <v>100</v>
      </c>
      <c r="M13" s="477">
        <f t="shared" si="1"/>
        <v>0</v>
      </c>
      <c r="N13" s="481">
        <f t="shared" si="2"/>
        <v>100</v>
      </c>
      <c r="O13" s="476"/>
      <c r="P13" s="477">
        <v>45.8</v>
      </c>
      <c r="Q13" s="477"/>
      <c r="R13" s="478">
        <f t="shared" si="3"/>
        <v>45.8</v>
      </c>
      <c r="S13" s="543">
        <v>4</v>
      </c>
      <c r="T13" s="471"/>
      <c r="U13" s="543"/>
      <c r="V13" s="82" t="s">
        <v>516</v>
      </c>
      <c r="W13" s="73" t="s">
        <v>17</v>
      </c>
      <c r="X13" s="73" t="s">
        <v>18</v>
      </c>
      <c r="Y13" s="83">
        <v>45.8</v>
      </c>
      <c r="AD13" s="82"/>
      <c r="AG13" s="83"/>
      <c r="AL13" s="82"/>
      <c r="AO13" s="83"/>
      <c r="AP13" s="82"/>
      <c r="AT13" s="161"/>
      <c r="AW13" s="83"/>
      <c r="BA13" s="84"/>
    </row>
    <row r="14" spans="1:53" s="334" customFormat="1" x14ac:dyDescent="0.15">
      <c r="A14" s="386">
        <v>1962</v>
      </c>
      <c r="B14" s="541">
        <v>22698</v>
      </c>
      <c r="C14" s="812" t="s">
        <v>721</v>
      </c>
      <c r="D14" s="812"/>
      <c r="E14" s="544">
        <f>365-E13</f>
        <v>314</v>
      </c>
      <c r="F14" s="544">
        <v>2</v>
      </c>
      <c r="G14" s="497"/>
      <c r="H14" s="544">
        <v>21</v>
      </c>
      <c r="I14" s="544">
        <v>3</v>
      </c>
      <c r="J14" s="499">
        <v>24</v>
      </c>
      <c r="K14" s="495">
        <f t="shared" si="1"/>
        <v>0</v>
      </c>
      <c r="L14" s="495">
        <f t="shared" si="1"/>
        <v>87.5</v>
      </c>
      <c r="M14" s="495">
        <f t="shared" si="1"/>
        <v>12.5</v>
      </c>
      <c r="N14" s="498">
        <f t="shared" si="2"/>
        <v>100</v>
      </c>
      <c r="O14" s="494"/>
      <c r="P14" s="495">
        <v>46.8</v>
      </c>
      <c r="Q14" s="495">
        <v>3.7</v>
      </c>
      <c r="R14" s="496">
        <f t="shared" si="3"/>
        <v>50.5</v>
      </c>
      <c r="S14" s="544">
        <v>2</v>
      </c>
      <c r="T14" s="492"/>
      <c r="U14" s="541">
        <v>22698</v>
      </c>
      <c r="V14" s="343" t="s">
        <v>516</v>
      </c>
      <c r="W14" s="334" t="s">
        <v>17</v>
      </c>
      <c r="X14" s="334" t="s">
        <v>18</v>
      </c>
      <c r="Y14" s="344">
        <v>45.8</v>
      </c>
      <c r="Z14" s="334" t="s">
        <v>517</v>
      </c>
      <c r="AA14" s="334" t="s">
        <v>97</v>
      </c>
      <c r="AB14" s="334" t="s">
        <v>12</v>
      </c>
      <c r="AC14" s="334">
        <v>3.7</v>
      </c>
      <c r="AD14" s="343" t="s">
        <v>518</v>
      </c>
      <c r="AE14" s="334" t="s">
        <v>88</v>
      </c>
      <c r="AF14" s="334" t="s">
        <v>18</v>
      </c>
      <c r="AG14" s="344">
        <v>1</v>
      </c>
      <c r="AL14" s="343"/>
      <c r="AO14" s="344"/>
      <c r="AP14" s="343"/>
      <c r="AT14" s="449"/>
      <c r="AW14" s="344"/>
      <c r="BA14" s="345"/>
    </row>
    <row r="15" spans="1:53" s="334" customFormat="1" x14ac:dyDescent="0.15">
      <c r="A15" s="386">
        <v>1962.6</v>
      </c>
      <c r="B15" s="541"/>
      <c r="C15" s="812" t="s">
        <v>721</v>
      </c>
      <c r="D15" s="812"/>
      <c r="E15" s="544">
        <v>171</v>
      </c>
      <c r="F15" s="544"/>
      <c r="G15" s="497"/>
      <c r="H15" s="544">
        <v>21</v>
      </c>
      <c r="I15" s="544">
        <v>3</v>
      </c>
      <c r="J15" s="499">
        <v>24</v>
      </c>
      <c r="K15" s="495">
        <f t="shared" si="1"/>
        <v>0</v>
      </c>
      <c r="L15" s="495">
        <f t="shared" si="1"/>
        <v>87.5</v>
      </c>
      <c r="M15" s="495">
        <f t="shared" si="1"/>
        <v>12.5</v>
      </c>
      <c r="N15" s="498">
        <f t="shared" si="2"/>
        <v>100</v>
      </c>
      <c r="O15" s="494"/>
      <c r="P15" s="495">
        <v>46.8</v>
      </c>
      <c r="Q15" s="495">
        <v>3.7</v>
      </c>
      <c r="R15" s="496">
        <f t="shared" si="3"/>
        <v>50.5</v>
      </c>
      <c r="S15" s="544">
        <v>2</v>
      </c>
      <c r="T15" s="492"/>
      <c r="U15" s="544"/>
      <c r="V15" s="343" t="s">
        <v>516</v>
      </c>
      <c r="W15" s="334" t="s">
        <v>17</v>
      </c>
      <c r="X15" s="334" t="s">
        <v>18</v>
      </c>
      <c r="Y15" s="344">
        <v>45.8</v>
      </c>
      <c r="Z15" s="334" t="s">
        <v>517</v>
      </c>
      <c r="AA15" s="334" t="s">
        <v>97</v>
      </c>
      <c r="AB15" s="334" t="s">
        <v>12</v>
      </c>
      <c r="AC15" s="334">
        <v>3.7</v>
      </c>
      <c r="AD15" s="343" t="s">
        <v>518</v>
      </c>
      <c r="AE15" s="334" t="s">
        <v>88</v>
      </c>
      <c r="AF15" s="334" t="s">
        <v>18</v>
      </c>
      <c r="AG15" s="344">
        <v>1</v>
      </c>
      <c r="AL15" s="343"/>
      <c r="AO15" s="344"/>
      <c r="AP15" s="343"/>
      <c r="AT15" s="449"/>
      <c r="AW15" s="344"/>
      <c r="BA15" s="345"/>
    </row>
    <row r="16" spans="1:53" s="73" customFormat="1" x14ac:dyDescent="0.15">
      <c r="A16" s="102">
        <v>1963.05714285714</v>
      </c>
      <c r="B16" s="540">
        <v>23183</v>
      </c>
      <c r="C16" s="811" t="s">
        <v>722</v>
      </c>
      <c r="D16" s="811"/>
      <c r="E16" s="543">
        <v>167</v>
      </c>
      <c r="F16" s="543">
        <v>1</v>
      </c>
      <c r="G16" s="480"/>
      <c r="H16" s="543">
        <v>23</v>
      </c>
      <c r="I16" s="543"/>
      <c r="J16" s="482">
        <v>23</v>
      </c>
      <c r="K16" s="477">
        <f t="shared" si="1"/>
        <v>0</v>
      </c>
      <c r="L16" s="477">
        <f t="shared" si="1"/>
        <v>100</v>
      </c>
      <c r="M16" s="477">
        <f t="shared" si="1"/>
        <v>0</v>
      </c>
      <c r="N16" s="481">
        <f t="shared" si="2"/>
        <v>100</v>
      </c>
      <c r="O16" s="476"/>
      <c r="P16" s="477">
        <v>41.3</v>
      </c>
      <c r="Q16" s="477"/>
      <c r="R16" s="478">
        <f t="shared" si="3"/>
        <v>41.3</v>
      </c>
      <c r="S16" s="543">
        <v>6</v>
      </c>
      <c r="T16" s="479">
        <v>23129</v>
      </c>
      <c r="U16" s="540">
        <v>23183</v>
      </c>
      <c r="V16" s="82" t="s">
        <v>516</v>
      </c>
      <c r="W16" s="73" t="s">
        <v>17</v>
      </c>
      <c r="X16" s="73" t="s">
        <v>18</v>
      </c>
      <c r="Y16" s="83">
        <v>41.3</v>
      </c>
      <c r="AD16" s="82"/>
      <c r="AG16" s="83"/>
      <c r="AL16" s="82"/>
      <c r="AO16" s="83"/>
      <c r="AP16" s="82"/>
      <c r="AT16" s="161"/>
      <c r="AW16" s="83"/>
      <c r="BA16" s="84"/>
    </row>
    <row r="17" spans="1:53" s="334" customFormat="1" x14ac:dyDescent="0.15">
      <c r="A17" s="386">
        <v>1963</v>
      </c>
      <c r="B17" s="541">
        <v>23350</v>
      </c>
      <c r="C17" s="812" t="s">
        <v>723</v>
      </c>
      <c r="D17" s="812"/>
      <c r="E17" s="544">
        <f>365-E16-E15</f>
        <v>27</v>
      </c>
      <c r="F17" s="544">
        <v>2</v>
      </c>
      <c r="G17" s="497"/>
      <c r="H17" s="544">
        <v>17</v>
      </c>
      <c r="I17" s="544">
        <v>9</v>
      </c>
      <c r="J17" s="499">
        <v>26</v>
      </c>
      <c r="K17" s="495">
        <f t="shared" si="1"/>
        <v>0</v>
      </c>
      <c r="L17" s="495">
        <f t="shared" si="1"/>
        <v>65.384615384615387</v>
      </c>
      <c r="M17" s="495">
        <f t="shared" si="1"/>
        <v>34.615384615384613</v>
      </c>
      <c r="N17" s="498">
        <f t="shared" si="2"/>
        <v>100</v>
      </c>
      <c r="O17" s="494"/>
      <c r="P17" s="495">
        <v>42.3</v>
      </c>
      <c r="Q17" s="495">
        <v>18.899999999999999</v>
      </c>
      <c r="R17" s="496">
        <f t="shared" si="3"/>
        <v>61.199999999999996</v>
      </c>
      <c r="S17" s="544">
        <v>3</v>
      </c>
      <c r="T17" s="492"/>
      <c r="U17" s="541">
        <v>23350</v>
      </c>
      <c r="V17" s="343" t="s">
        <v>516</v>
      </c>
      <c r="W17" s="334" t="s">
        <v>17</v>
      </c>
      <c r="X17" s="334" t="s">
        <v>18</v>
      </c>
      <c r="Y17" s="344">
        <v>41.3</v>
      </c>
      <c r="Z17" s="334" t="s">
        <v>519</v>
      </c>
      <c r="AA17" s="334" t="s">
        <v>20</v>
      </c>
      <c r="AB17" s="334" t="s">
        <v>12</v>
      </c>
      <c r="AC17" s="334">
        <v>13.8</v>
      </c>
      <c r="AD17" s="343" t="s">
        <v>517</v>
      </c>
      <c r="AE17" s="334" t="s">
        <v>97</v>
      </c>
      <c r="AF17" s="334" t="s">
        <v>12</v>
      </c>
      <c r="AG17" s="334">
        <v>5.0999999999999996</v>
      </c>
      <c r="AH17" s="343" t="s">
        <v>518</v>
      </c>
      <c r="AI17" s="334" t="s">
        <v>88</v>
      </c>
      <c r="AJ17" s="334" t="s">
        <v>18</v>
      </c>
      <c r="AK17" s="334">
        <v>1</v>
      </c>
      <c r="AL17" s="343"/>
      <c r="AO17" s="344"/>
      <c r="AP17" s="343"/>
      <c r="AT17" s="449"/>
      <c r="AW17" s="344"/>
      <c r="BA17" s="345"/>
    </row>
    <row r="18" spans="1:53" s="334" customFormat="1" x14ac:dyDescent="0.15">
      <c r="A18" s="386">
        <v>1963.5142857142901</v>
      </c>
      <c r="B18" s="541"/>
      <c r="C18" s="812" t="s">
        <v>723</v>
      </c>
      <c r="D18" s="812"/>
      <c r="E18" s="544">
        <v>203</v>
      </c>
      <c r="F18" s="544"/>
      <c r="G18" s="497"/>
      <c r="H18" s="544">
        <v>17</v>
      </c>
      <c r="I18" s="544">
        <v>9</v>
      </c>
      <c r="J18" s="499">
        <v>26</v>
      </c>
      <c r="K18" s="495">
        <f t="shared" si="1"/>
        <v>0</v>
      </c>
      <c r="L18" s="495">
        <f t="shared" si="1"/>
        <v>65.384615384615387</v>
      </c>
      <c r="M18" s="495">
        <f t="shared" si="1"/>
        <v>34.615384615384613</v>
      </c>
      <c r="N18" s="498">
        <f t="shared" si="2"/>
        <v>100</v>
      </c>
      <c r="O18" s="494"/>
      <c r="P18" s="495">
        <v>42.3</v>
      </c>
      <c r="Q18" s="495">
        <v>18.899999999999999</v>
      </c>
      <c r="R18" s="496">
        <f t="shared" si="3"/>
        <v>61.199999999999996</v>
      </c>
      <c r="S18" s="544">
        <v>3</v>
      </c>
      <c r="T18" s="492"/>
      <c r="U18" s="544"/>
      <c r="V18" s="343" t="s">
        <v>516</v>
      </c>
      <c r="W18" s="334" t="s">
        <v>17</v>
      </c>
      <c r="X18" s="334" t="s">
        <v>18</v>
      </c>
      <c r="Y18" s="344">
        <v>41.3</v>
      </c>
      <c r="Z18" s="334" t="s">
        <v>519</v>
      </c>
      <c r="AA18" s="334" t="s">
        <v>20</v>
      </c>
      <c r="AB18" s="334" t="s">
        <v>12</v>
      </c>
      <c r="AC18" s="334">
        <v>13.8</v>
      </c>
      <c r="AD18" s="343" t="s">
        <v>517</v>
      </c>
      <c r="AE18" s="334" t="s">
        <v>97</v>
      </c>
      <c r="AF18" s="334" t="s">
        <v>12</v>
      </c>
      <c r="AG18" s="334">
        <v>5.0999999999999996</v>
      </c>
      <c r="AH18" s="343" t="s">
        <v>518</v>
      </c>
      <c r="AI18" s="334" t="s">
        <v>88</v>
      </c>
      <c r="AJ18" s="334" t="s">
        <v>18</v>
      </c>
      <c r="AK18" s="334">
        <v>1</v>
      </c>
      <c r="AL18" s="343"/>
      <c r="AO18" s="344"/>
      <c r="AP18" s="343"/>
      <c r="AT18" s="449"/>
      <c r="AW18" s="344"/>
      <c r="BA18" s="345"/>
    </row>
    <row r="19" spans="1:53" s="73" customFormat="1" x14ac:dyDescent="0.15">
      <c r="A19" s="102">
        <v>1963.9714285714299</v>
      </c>
      <c r="B19" s="540">
        <v>23580</v>
      </c>
      <c r="C19" s="811" t="s">
        <v>724</v>
      </c>
      <c r="D19" s="811"/>
      <c r="E19" s="543">
        <f>366-E18</f>
        <v>163</v>
      </c>
      <c r="F19" s="543">
        <v>5</v>
      </c>
      <c r="G19" s="480"/>
      <c r="H19" s="543">
        <v>17</v>
      </c>
      <c r="I19" s="543">
        <v>9</v>
      </c>
      <c r="J19" s="482">
        <v>26</v>
      </c>
      <c r="K19" s="477">
        <f t="shared" si="1"/>
        <v>0</v>
      </c>
      <c r="L19" s="477">
        <f t="shared" si="1"/>
        <v>65.384615384615387</v>
      </c>
      <c r="M19" s="477">
        <f t="shared" si="1"/>
        <v>34.615384615384613</v>
      </c>
      <c r="N19" s="481">
        <f t="shared" si="2"/>
        <v>100</v>
      </c>
      <c r="O19" s="476"/>
      <c r="P19" s="477">
        <v>42.3</v>
      </c>
      <c r="Q19" s="477">
        <v>18.899999999999999</v>
      </c>
      <c r="R19" s="478">
        <f t="shared" si="3"/>
        <v>61.199999999999996</v>
      </c>
      <c r="S19" s="543">
        <v>3</v>
      </c>
      <c r="T19" s="471"/>
      <c r="U19" s="540">
        <v>23580</v>
      </c>
      <c r="V19" s="82" t="s">
        <v>516</v>
      </c>
      <c r="W19" s="73" t="s">
        <v>17</v>
      </c>
      <c r="X19" s="73" t="s">
        <v>18</v>
      </c>
      <c r="Y19" s="83">
        <v>41.3</v>
      </c>
      <c r="Z19" s="73" t="s">
        <v>519</v>
      </c>
      <c r="AA19" s="73" t="s">
        <v>20</v>
      </c>
      <c r="AB19" s="73" t="s">
        <v>12</v>
      </c>
      <c r="AC19" s="73">
        <v>13.8</v>
      </c>
      <c r="AD19" s="82" t="s">
        <v>517</v>
      </c>
      <c r="AE19" s="73" t="s">
        <v>97</v>
      </c>
      <c r="AF19" s="73" t="s">
        <v>12</v>
      </c>
      <c r="AG19" s="73">
        <v>5.0999999999999996</v>
      </c>
      <c r="AH19" s="82" t="s">
        <v>518</v>
      </c>
      <c r="AI19" s="73" t="s">
        <v>88</v>
      </c>
      <c r="AJ19" s="73" t="s">
        <v>18</v>
      </c>
      <c r="AK19" s="73">
        <v>1</v>
      </c>
      <c r="AL19" s="82"/>
      <c r="AO19" s="83"/>
      <c r="AP19" s="82"/>
      <c r="AT19" s="161"/>
      <c r="AW19" s="83"/>
      <c r="BA19" s="84"/>
    </row>
    <row r="20" spans="1:53" s="73" customFormat="1" x14ac:dyDescent="0.15">
      <c r="A20" s="102">
        <v>1965</v>
      </c>
      <c r="B20" s="540"/>
      <c r="C20" s="811" t="s">
        <v>724</v>
      </c>
      <c r="D20" s="811"/>
      <c r="E20" s="543">
        <v>0</v>
      </c>
      <c r="F20" s="543"/>
      <c r="G20" s="480"/>
      <c r="H20" s="543">
        <v>17</v>
      </c>
      <c r="I20" s="543">
        <v>9</v>
      </c>
      <c r="J20" s="482">
        <v>26</v>
      </c>
      <c r="K20" s="477">
        <f t="shared" si="1"/>
        <v>0</v>
      </c>
      <c r="L20" s="477">
        <f t="shared" si="1"/>
        <v>65.384615384615387</v>
      </c>
      <c r="M20" s="477">
        <f t="shared" si="1"/>
        <v>34.615384615384613</v>
      </c>
      <c r="N20" s="481">
        <f t="shared" si="2"/>
        <v>100</v>
      </c>
      <c r="O20" s="476"/>
      <c r="P20" s="477">
        <v>42.3</v>
      </c>
      <c r="Q20" s="477">
        <v>18.899999999999999</v>
      </c>
      <c r="R20" s="478">
        <f t="shared" si="3"/>
        <v>61.199999999999996</v>
      </c>
      <c r="S20" s="543">
        <v>3</v>
      </c>
      <c r="T20" s="471"/>
      <c r="U20" s="543"/>
      <c r="V20" s="82" t="s">
        <v>516</v>
      </c>
      <c r="W20" s="73" t="s">
        <v>17</v>
      </c>
      <c r="X20" s="73" t="s">
        <v>18</v>
      </c>
      <c r="Y20" s="83">
        <v>41.3</v>
      </c>
      <c r="Z20" s="73" t="s">
        <v>519</v>
      </c>
      <c r="AA20" s="73" t="s">
        <v>20</v>
      </c>
      <c r="AB20" s="73" t="s">
        <v>12</v>
      </c>
      <c r="AC20" s="73">
        <v>13.8</v>
      </c>
      <c r="AD20" s="82" t="s">
        <v>517</v>
      </c>
      <c r="AE20" s="73" t="s">
        <v>97</v>
      </c>
      <c r="AF20" s="73" t="s">
        <v>12</v>
      </c>
      <c r="AG20" s="73">
        <v>5.0999999999999996</v>
      </c>
      <c r="AH20" s="82" t="s">
        <v>518</v>
      </c>
      <c r="AI20" s="73" t="s">
        <v>88</v>
      </c>
      <c r="AJ20" s="73" t="s">
        <v>18</v>
      </c>
      <c r="AK20" s="73">
        <v>1</v>
      </c>
      <c r="AL20" s="82"/>
      <c r="AO20" s="83"/>
      <c r="AP20" s="82"/>
      <c r="AT20" s="161"/>
      <c r="AW20" s="83"/>
      <c r="BA20" s="84"/>
    </row>
    <row r="21" spans="1:53" s="73" customFormat="1" x14ac:dyDescent="0.15">
      <c r="A21" s="102">
        <v>1964.88571428572</v>
      </c>
      <c r="B21" s="540"/>
      <c r="C21" s="811" t="s">
        <v>724</v>
      </c>
      <c r="D21" s="811"/>
      <c r="E21" s="543">
        <v>365</v>
      </c>
      <c r="F21" s="543"/>
      <c r="G21" s="480"/>
      <c r="H21" s="543">
        <v>17</v>
      </c>
      <c r="I21" s="543">
        <v>9</v>
      </c>
      <c r="J21" s="482">
        <v>26</v>
      </c>
      <c r="K21" s="477">
        <f t="shared" si="1"/>
        <v>0</v>
      </c>
      <c r="L21" s="477">
        <f t="shared" si="1"/>
        <v>65.384615384615387</v>
      </c>
      <c r="M21" s="477">
        <f t="shared" si="1"/>
        <v>34.615384615384613</v>
      </c>
      <c r="N21" s="481">
        <f t="shared" si="2"/>
        <v>100</v>
      </c>
      <c r="O21" s="476"/>
      <c r="P21" s="477">
        <v>42.3</v>
      </c>
      <c r="Q21" s="477">
        <v>18.899999999999999</v>
      </c>
      <c r="R21" s="478">
        <f t="shared" si="3"/>
        <v>61.199999999999996</v>
      </c>
      <c r="S21" s="543">
        <v>3</v>
      </c>
      <c r="T21" s="471"/>
      <c r="U21" s="543"/>
      <c r="V21" s="82" t="s">
        <v>516</v>
      </c>
      <c r="W21" s="73" t="s">
        <v>17</v>
      </c>
      <c r="X21" s="73" t="s">
        <v>18</v>
      </c>
      <c r="Y21" s="83">
        <v>41.3</v>
      </c>
      <c r="Z21" s="73" t="s">
        <v>519</v>
      </c>
      <c r="AA21" s="73" t="s">
        <v>20</v>
      </c>
      <c r="AB21" s="73" t="s">
        <v>12</v>
      </c>
      <c r="AC21" s="73">
        <v>13.8</v>
      </c>
      <c r="AD21" s="82" t="s">
        <v>517</v>
      </c>
      <c r="AE21" s="73" t="s">
        <v>97</v>
      </c>
      <c r="AF21" s="73" t="s">
        <v>12</v>
      </c>
      <c r="AG21" s="73">
        <v>5.0999999999999996</v>
      </c>
      <c r="AH21" s="82" t="s">
        <v>518</v>
      </c>
      <c r="AI21" s="73" t="s">
        <v>88</v>
      </c>
      <c r="AJ21" s="73" t="s">
        <v>18</v>
      </c>
      <c r="AK21" s="73">
        <v>1</v>
      </c>
      <c r="AL21" s="82"/>
      <c r="AO21" s="83"/>
      <c r="AP21" s="82"/>
      <c r="AT21" s="161"/>
      <c r="AW21" s="83"/>
      <c r="BA21" s="84"/>
    </row>
    <row r="22" spans="1:53" s="73" customFormat="1" x14ac:dyDescent="0.15">
      <c r="A22" s="102">
        <v>1966</v>
      </c>
      <c r="B22" s="540"/>
      <c r="C22" s="811" t="s">
        <v>724</v>
      </c>
      <c r="D22" s="811"/>
      <c r="E22" s="543">
        <v>53</v>
      </c>
      <c r="F22" s="543"/>
      <c r="G22" s="480"/>
      <c r="H22" s="543">
        <v>17</v>
      </c>
      <c r="I22" s="543">
        <v>9</v>
      </c>
      <c r="J22" s="482">
        <v>26</v>
      </c>
      <c r="K22" s="477">
        <f t="shared" si="1"/>
        <v>0</v>
      </c>
      <c r="L22" s="477">
        <f t="shared" si="1"/>
        <v>65.384615384615387</v>
      </c>
      <c r="M22" s="477">
        <f t="shared" si="1"/>
        <v>34.615384615384613</v>
      </c>
      <c r="N22" s="481">
        <f t="shared" si="2"/>
        <v>100</v>
      </c>
      <c r="O22" s="476"/>
      <c r="P22" s="477">
        <v>42.3</v>
      </c>
      <c r="Q22" s="477">
        <v>18.899999999999999</v>
      </c>
      <c r="R22" s="478">
        <f t="shared" si="3"/>
        <v>61.199999999999996</v>
      </c>
      <c r="S22" s="543">
        <v>3</v>
      </c>
      <c r="T22" s="471"/>
      <c r="U22" s="543"/>
      <c r="V22" s="82" t="s">
        <v>516</v>
      </c>
      <c r="W22" s="73" t="s">
        <v>17</v>
      </c>
      <c r="X22" s="73" t="s">
        <v>18</v>
      </c>
      <c r="Y22" s="83">
        <v>41.3</v>
      </c>
      <c r="Z22" s="73" t="s">
        <v>519</v>
      </c>
      <c r="AA22" s="73" t="s">
        <v>20</v>
      </c>
      <c r="AB22" s="73" t="s">
        <v>12</v>
      </c>
      <c r="AC22" s="73">
        <v>13.8</v>
      </c>
      <c r="AD22" s="82" t="s">
        <v>517</v>
      </c>
      <c r="AE22" s="73" t="s">
        <v>97</v>
      </c>
      <c r="AF22" s="73" t="s">
        <v>12</v>
      </c>
      <c r="AG22" s="73">
        <v>5.0999999999999996</v>
      </c>
      <c r="AH22" s="82" t="s">
        <v>518</v>
      </c>
      <c r="AI22" s="73" t="s">
        <v>88</v>
      </c>
      <c r="AJ22" s="73" t="s">
        <v>18</v>
      </c>
      <c r="AK22" s="73">
        <v>1</v>
      </c>
      <c r="AL22" s="82"/>
      <c r="AO22" s="83"/>
      <c r="AP22" s="82"/>
      <c r="AT22" s="161"/>
      <c r="AW22" s="83"/>
      <c r="BA22" s="84"/>
    </row>
    <row r="23" spans="1:53" s="334" customFormat="1" x14ac:dyDescent="0.15">
      <c r="A23" s="386">
        <v>1965.8</v>
      </c>
      <c r="B23" s="541">
        <v>24161</v>
      </c>
      <c r="C23" s="812" t="s">
        <v>725</v>
      </c>
      <c r="D23" s="812"/>
      <c r="E23" s="544">
        <f>365-E22</f>
        <v>312</v>
      </c>
      <c r="F23" s="544">
        <v>5</v>
      </c>
      <c r="G23" s="497"/>
      <c r="H23" s="544">
        <v>17</v>
      </c>
      <c r="I23" s="544">
        <v>9</v>
      </c>
      <c r="J23" s="499">
        <v>26</v>
      </c>
      <c r="K23" s="495">
        <f t="shared" si="1"/>
        <v>0</v>
      </c>
      <c r="L23" s="495">
        <f t="shared" si="1"/>
        <v>65.384615384615387</v>
      </c>
      <c r="M23" s="495">
        <f t="shared" si="1"/>
        <v>34.615384615384613</v>
      </c>
      <c r="N23" s="498">
        <f t="shared" si="2"/>
        <v>100</v>
      </c>
      <c r="O23" s="494"/>
      <c r="P23" s="495">
        <v>42.3</v>
      </c>
      <c r="Q23" s="495">
        <v>18.899999999999999</v>
      </c>
      <c r="R23" s="496">
        <f t="shared" si="3"/>
        <v>61.199999999999996</v>
      </c>
      <c r="S23" s="544">
        <v>3</v>
      </c>
      <c r="T23" s="492"/>
      <c r="U23" s="541">
        <v>24161</v>
      </c>
      <c r="V23" s="343" t="s">
        <v>516</v>
      </c>
      <c r="W23" s="334" t="s">
        <v>17</v>
      </c>
      <c r="X23" s="334" t="s">
        <v>18</v>
      </c>
      <c r="Y23" s="344">
        <v>41.3</v>
      </c>
      <c r="Z23" s="334" t="s">
        <v>519</v>
      </c>
      <c r="AA23" s="334" t="s">
        <v>20</v>
      </c>
      <c r="AB23" s="334" t="s">
        <v>12</v>
      </c>
      <c r="AC23" s="334">
        <v>13.8</v>
      </c>
      <c r="AD23" s="343" t="s">
        <v>517</v>
      </c>
      <c r="AE23" s="334" t="s">
        <v>97</v>
      </c>
      <c r="AF23" s="334" t="s">
        <v>12</v>
      </c>
      <c r="AG23" s="334">
        <v>5.0999999999999996</v>
      </c>
      <c r="AH23" s="343" t="s">
        <v>518</v>
      </c>
      <c r="AI23" s="334" t="s">
        <v>88</v>
      </c>
      <c r="AJ23" s="334" t="s">
        <v>18</v>
      </c>
      <c r="AK23" s="334">
        <v>1</v>
      </c>
      <c r="AL23" s="343"/>
      <c r="AO23" s="344"/>
      <c r="AP23" s="343"/>
      <c r="AT23" s="449"/>
      <c r="AW23" s="344"/>
      <c r="BA23" s="345"/>
    </row>
    <row r="24" spans="1:53" s="334" customFormat="1" x14ac:dyDescent="0.15">
      <c r="A24" s="386">
        <v>1967</v>
      </c>
      <c r="B24" s="541"/>
      <c r="C24" s="812" t="s">
        <v>725</v>
      </c>
      <c r="D24" s="812"/>
      <c r="E24" s="544">
        <v>0</v>
      </c>
      <c r="F24" s="544"/>
      <c r="G24" s="497"/>
      <c r="H24" s="544">
        <v>17</v>
      </c>
      <c r="I24" s="544">
        <v>9</v>
      </c>
      <c r="J24" s="499">
        <v>26</v>
      </c>
      <c r="K24" s="495">
        <f t="shared" si="1"/>
        <v>0</v>
      </c>
      <c r="L24" s="495">
        <f t="shared" si="1"/>
        <v>65.384615384615387</v>
      </c>
      <c r="M24" s="495">
        <f t="shared" si="1"/>
        <v>34.615384615384613</v>
      </c>
      <c r="N24" s="498">
        <f t="shared" si="2"/>
        <v>100</v>
      </c>
      <c r="O24" s="494"/>
      <c r="P24" s="495">
        <v>42.3</v>
      </c>
      <c r="Q24" s="495">
        <v>18.899999999999999</v>
      </c>
      <c r="R24" s="496">
        <f t="shared" si="3"/>
        <v>61.199999999999996</v>
      </c>
      <c r="S24" s="544">
        <v>3</v>
      </c>
      <c r="T24" s="492"/>
      <c r="U24" s="544"/>
      <c r="V24" s="343" t="s">
        <v>516</v>
      </c>
      <c r="W24" s="334" t="s">
        <v>17</v>
      </c>
      <c r="X24" s="334" t="s">
        <v>18</v>
      </c>
      <c r="Y24" s="344">
        <v>41.3</v>
      </c>
      <c r="Z24" s="334" t="s">
        <v>519</v>
      </c>
      <c r="AA24" s="334" t="s">
        <v>20</v>
      </c>
      <c r="AB24" s="334" t="s">
        <v>12</v>
      </c>
      <c r="AC24" s="334">
        <v>13.8</v>
      </c>
      <c r="AD24" s="343" t="s">
        <v>517</v>
      </c>
      <c r="AE24" s="334" t="s">
        <v>97</v>
      </c>
      <c r="AF24" s="334" t="s">
        <v>12</v>
      </c>
      <c r="AG24" s="334">
        <v>5.0999999999999996</v>
      </c>
      <c r="AH24" s="343" t="s">
        <v>518</v>
      </c>
      <c r="AI24" s="334" t="s">
        <v>88</v>
      </c>
      <c r="AJ24" s="334" t="s">
        <v>18</v>
      </c>
      <c r="AK24" s="334">
        <v>1</v>
      </c>
      <c r="AL24" s="343"/>
      <c r="AO24" s="344"/>
      <c r="AP24" s="343"/>
      <c r="AT24" s="449"/>
      <c r="AW24" s="344"/>
      <c r="BA24" s="345"/>
    </row>
    <row r="25" spans="1:53" s="334" customFormat="1" x14ac:dyDescent="0.15">
      <c r="A25" s="386">
        <v>1966.7142857142901</v>
      </c>
      <c r="B25" s="541"/>
      <c r="C25" s="812" t="s">
        <v>725</v>
      </c>
      <c r="D25" s="812"/>
      <c r="E25" s="544">
        <v>365</v>
      </c>
      <c r="F25" s="544"/>
      <c r="G25" s="497"/>
      <c r="H25" s="544">
        <v>17</v>
      </c>
      <c r="I25" s="544">
        <v>9</v>
      </c>
      <c r="J25" s="499">
        <v>26</v>
      </c>
      <c r="K25" s="495">
        <f t="shared" ref="K25:M66" si="4">G25/$J25*100</f>
        <v>0</v>
      </c>
      <c r="L25" s="495">
        <f t="shared" si="4"/>
        <v>65.384615384615387</v>
      </c>
      <c r="M25" s="495">
        <f t="shared" si="4"/>
        <v>34.615384615384613</v>
      </c>
      <c r="N25" s="498">
        <f t="shared" si="2"/>
        <v>100</v>
      </c>
      <c r="O25" s="494"/>
      <c r="P25" s="495">
        <v>42.3</v>
      </c>
      <c r="Q25" s="495">
        <v>18.899999999999999</v>
      </c>
      <c r="R25" s="496">
        <f t="shared" si="3"/>
        <v>61.199999999999996</v>
      </c>
      <c r="S25" s="544">
        <v>3</v>
      </c>
      <c r="T25" s="492"/>
      <c r="U25" s="544"/>
      <c r="V25" s="343" t="s">
        <v>516</v>
      </c>
      <c r="W25" s="334" t="s">
        <v>17</v>
      </c>
      <c r="X25" s="334" t="s">
        <v>18</v>
      </c>
      <c r="Y25" s="344">
        <v>41.3</v>
      </c>
      <c r="Z25" s="334" t="s">
        <v>519</v>
      </c>
      <c r="AA25" s="334" t="s">
        <v>20</v>
      </c>
      <c r="AB25" s="334" t="s">
        <v>12</v>
      </c>
      <c r="AC25" s="334">
        <v>13.8</v>
      </c>
      <c r="AD25" s="343" t="s">
        <v>517</v>
      </c>
      <c r="AE25" s="334" t="s">
        <v>97</v>
      </c>
      <c r="AF25" s="334" t="s">
        <v>12</v>
      </c>
      <c r="AG25" s="334">
        <v>5.0999999999999996</v>
      </c>
      <c r="AH25" s="343" t="s">
        <v>518</v>
      </c>
      <c r="AI25" s="334" t="s">
        <v>88</v>
      </c>
      <c r="AJ25" s="334" t="s">
        <v>18</v>
      </c>
      <c r="AK25" s="334">
        <v>1</v>
      </c>
      <c r="AL25" s="343"/>
      <c r="AO25" s="344"/>
      <c r="AP25" s="343"/>
      <c r="AT25" s="449"/>
      <c r="AW25" s="344"/>
      <c r="BA25" s="345"/>
    </row>
    <row r="26" spans="1:53" s="334" customFormat="1" x14ac:dyDescent="0.15">
      <c r="A26" s="386">
        <v>1968</v>
      </c>
      <c r="B26" s="541"/>
      <c r="C26" s="812" t="s">
        <v>725</v>
      </c>
      <c r="D26" s="812"/>
      <c r="E26" s="544">
        <v>176</v>
      </c>
      <c r="F26" s="544"/>
      <c r="G26" s="497"/>
      <c r="H26" s="544">
        <v>17</v>
      </c>
      <c r="I26" s="544">
        <v>9</v>
      </c>
      <c r="J26" s="499">
        <v>26</v>
      </c>
      <c r="K26" s="495">
        <f t="shared" si="4"/>
        <v>0</v>
      </c>
      <c r="L26" s="495">
        <f t="shared" si="4"/>
        <v>65.384615384615387</v>
      </c>
      <c r="M26" s="495">
        <f t="shared" si="4"/>
        <v>34.615384615384613</v>
      </c>
      <c r="N26" s="498">
        <f t="shared" si="2"/>
        <v>100</v>
      </c>
      <c r="O26" s="494"/>
      <c r="P26" s="495">
        <v>42.3</v>
      </c>
      <c r="Q26" s="495">
        <v>18.899999999999999</v>
      </c>
      <c r="R26" s="496">
        <f t="shared" si="3"/>
        <v>61.199999999999996</v>
      </c>
      <c r="S26" s="544">
        <v>3</v>
      </c>
      <c r="T26" s="492"/>
      <c r="U26" s="544"/>
      <c r="V26" s="343" t="s">
        <v>516</v>
      </c>
      <c r="W26" s="334" t="s">
        <v>17</v>
      </c>
      <c r="X26" s="334" t="s">
        <v>18</v>
      </c>
      <c r="Y26" s="344">
        <v>41.3</v>
      </c>
      <c r="Z26" s="334" t="s">
        <v>519</v>
      </c>
      <c r="AA26" s="334" t="s">
        <v>20</v>
      </c>
      <c r="AB26" s="334" t="s">
        <v>12</v>
      </c>
      <c r="AC26" s="334">
        <v>13.8</v>
      </c>
      <c r="AD26" s="343" t="s">
        <v>517</v>
      </c>
      <c r="AE26" s="334" t="s">
        <v>97</v>
      </c>
      <c r="AF26" s="334" t="s">
        <v>12</v>
      </c>
      <c r="AG26" s="334">
        <v>5.0999999999999996</v>
      </c>
      <c r="AH26" s="343" t="s">
        <v>518</v>
      </c>
      <c r="AI26" s="334" t="s">
        <v>88</v>
      </c>
      <c r="AJ26" s="334" t="s">
        <v>18</v>
      </c>
      <c r="AK26" s="334">
        <v>1</v>
      </c>
      <c r="AL26" s="343"/>
      <c r="AO26" s="344"/>
      <c r="AP26" s="343"/>
      <c r="AT26" s="449"/>
      <c r="AW26" s="344"/>
      <c r="BA26" s="345"/>
    </row>
    <row r="27" spans="1:53" s="73" customFormat="1" x14ac:dyDescent="0.15">
      <c r="A27" s="102">
        <v>1967.62857142857</v>
      </c>
      <c r="B27" s="540">
        <v>25014</v>
      </c>
      <c r="C27" s="811" t="s">
        <v>726</v>
      </c>
      <c r="D27" s="811"/>
      <c r="E27" s="543">
        <v>170</v>
      </c>
      <c r="F27" s="543">
        <v>1</v>
      </c>
      <c r="G27" s="480"/>
      <c r="H27" s="543">
        <v>23</v>
      </c>
      <c r="I27" s="543"/>
      <c r="J27" s="482">
        <v>23</v>
      </c>
      <c r="K27" s="477">
        <f t="shared" si="4"/>
        <v>0</v>
      </c>
      <c r="L27" s="477">
        <f t="shared" si="4"/>
        <v>100</v>
      </c>
      <c r="M27" s="477">
        <f t="shared" si="4"/>
        <v>0</v>
      </c>
      <c r="N27" s="481">
        <f t="shared" si="2"/>
        <v>100</v>
      </c>
      <c r="O27" s="476"/>
      <c r="P27" s="477">
        <v>42.2</v>
      </c>
      <c r="Q27" s="477"/>
      <c r="R27" s="478">
        <f t="shared" si="3"/>
        <v>42.2</v>
      </c>
      <c r="S27" s="543">
        <v>4</v>
      </c>
      <c r="T27" s="479">
        <v>24977</v>
      </c>
      <c r="U27" s="540">
        <v>25014</v>
      </c>
      <c r="V27" s="82" t="s">
        <v>516</v>
      </c>
      <c r="W27" s="73" t="s">
        <v>17</v>
      </c>
      <c r="X27" s="73" t="s">
        <v>18</v>
      </c>
      <c r="Y27" s="83">
        <v>42.2</v>
      </c>
      <c r="AD27" s="82"/>
      <c r="AG27" s="83"/>
      <c r="AL27" s="82"/>
      <c r="AO27" s="83"/>
      <c r="AP27" s="82"/>
      <c r="AT27" s="161"/>
      <c r="AW27" s="83"/>
      <c r="BA27" s="84"/>
    </row>
    <row r="28" spans="1:53" s="334" customFormat="1" x14ac:dyDescent="0.15">
      <c r="A28" s="386">
        <v>1968</v>
      </c>
      <c r="B28" s="541">
        <v>25184</v>
      </c>
      <c r="C28" s="812" t="s">
        <v>727</v>
      </c>
      <c r="D28" s="812"/>
      <c r="E28" s="544">
        <f>366-E27-E26</f>
        <v>20</v>
      </c>
      <c r="F28" s="544">
        <v>2</v>
      </c>
      <c r="G28" s="497"/>
      <c r="H28" s="544">
        <v>18</v>
      </c>
      <c r="I28" s="544">
        <v>9</v>
      </c>
      <c r="J28" s="499">
        <v>27</v>
      </c>
      <c r="K28" s="495">
        <f t="shared" si="4"/>
        <v>0</v>
      </c>
      <c r="L28" s="495">
        <f t="shared" si="4"/>
        <v>66.666666666666657</v>
      </c>
      <c r="M28" s="495">
        <f t="shared" si="4"/>
        <v>33.333333333333329</v>
      </c>
      <c r="N28" s="498">
        <f t="shared" si="2"/>
        <v>99.999999999999986</v>
      </c>
      <c r="O28" s="494"/>
      <c r="P28" s="495">
        <v>43.6</v>
      </c>
      <c r="Q28" s="495">
        <v>14.4</v>
      </c>
      <c r="R28" s="496">
        <f t="shared" si="3"/>
        <v>58</v>
      </c>
      <c r="S28" s="544">
        <v>3</v>
      </c>
      <c r="T28" s="492"/>
      <c r="U28" s="541">
        <v>25184</v>
      </c>
      <c r="V28" s="343" t="s">
        <v>516</v>
      </c>
      <c r="W28" s="334" t="s">
        <v>17</v>
      </c>
      <c r="X28" s="334" t="s">
        <v>18</v>
      </c>
      <c r="Y28" s="344">
        <v>42.2</v>
      </c>
      <c r="Z28" s="334" t="s">
        <v>520</v>
      </c>
      <c r="AA28" s="334" t="s">
        <v>98</v>
      </c>
      <c r="AB28" s="334" t="s">
        <v>12</v>
      </c>
      <c r="AC28" s="334">
        <v>14.4</v>
      </c>
      <c r="AD28" s="343" t="s">
        <v>518</v>
      </c>
      <c r="AE28" s="334" t="s">
        <v>88</v>
      </c>
      <c r="AF28" s="334" t="s">
        <v>18</v>
      </c>
      <c r="AG28" s="344">
        <v>1.4</v>
      </c>
      <c r="AL28" s="343"/>
      <c r="AO28" s="344"/>
      <c r="AP28" s="343"/>
      <c r="AT28" s="449"/>
      <c r="AW28" s="344"/>
      <c r="BA28" s="345"/>
    </row>
    <row r="29" spans="1:53" s="334" customFormat="1" x14ac:dyDescent="0.15">
      <c r="A29" s="386">
        <v>1969</v>
      </c>
      <c r="B29" s="541"/>
      <c r="C29" s="812" t="s">
        <v>727</v>
      </c>
      <c r="D29" s="812"/>
      <c r="E29" s="544">
        <v>216</v>
      </c>
      <c r="F29" s="544"/>
      <c r="G29" s="497"/>
      <c r="H29" s="544">
        <v>18</v>
      </c>
      <c r="I29" s="544">
        <v>9</v>
      </c>
      <c r="J29" s="499">
        <v>27</v>
      </c>
      <c r="K29" s="495">
        <f t="shared" si="4"/>
        <v>0</v>
      </c>
      <c r="L29" s="495">
        <f t="shared" si="4"/>
        <v>66.666666666666657</v>
      </c>
      <c r="M29" s="495">
        <f t="shared" si="4"/>
        <v>33.333333333333329</v>
      </c>
      <c r="N29" s="498">
        <f t="shared" si="2"/>
        <v>99.999999999999986</v>
      </c>
      <c r="O29" s="494"/>
      <c r="P29" s="495">
        <v>43.6</v>
      </c>
      <c r="Q29" s="495">
        <v>14.4</v>
      </c>
      <c r="R29" s="496">
        <f t="shared" si="3"/>
        <v>58</v>
      </c>
      <c r="S29" s="544">
        <v>3</v>
      </c>
      <c r="T29" s="492"/>
      <c r="U29" s="544"/>
      <c r="V29" s="343" t="s">
        <v>516</v>
      </c>
      <c r="W29" s="334" t="s">
        <v>17</v>
      </c>
      <c r="X29" s="334" t="s">
        <v>18</v>
      </c>
      <c r="Y29" s="344">
        <v>42.2</v>
      </c>
      <c r="Z29" s="334" t="s">
        <v>520</v>
      </c>
      <c r="AA29" s="334" t="s">
        <v>98</v>
      </c>
      <c r="AB29" s="334" t="s">
        <v>12</v>
      </c>
      <c r="AC29" s="334">
        <v>14.4</v>
      </c>
      <c r="AD29" s="343" t="s">
        <v>518</v>
      </c>
      <c r="AE29" s="334" t="s">
        <v>88</v>
      </c>
      <c r="AF29" s="334" t="s">
        <v>18</v>
      </c>
      <c r="AG29" s="344">
        <v>1.4</v>
      </c>
      <c r="AL29" s="343"/>
      <c r="AO29" s="344"/>
      <c r="AP29" s="343"/>
      <c r="AT29" s="449"/>
      <c r="AW29" s="344"/>
      <c r="BA29" s="345"/>
    </row>
    <row r="30" spans="1:53" s="73" customFormat="1" x14ac:dyDescent="0.15">
      <c r="A30" s="102">
        <v>1968.5428571428599</v>
      </c>
      <c r="B30" s="540">
        <v>25420</v>
      </c>
      <c r="C30" s="811" t="s">
        <v>728</v>
      </c>
      <c r="D30" s="811"/>
      <c r="E30" s="543">
        <f>365-E29</f>
        <v>149</v>
      </c>
      <c r="F30" s="543">
        <v>4</v>
      </c>
      <c r="G30" s="480"/>
      <c r="H30" s="543">
        <v>24</v>
      </c>
      <c r="I30" s="543"/>
      <c r="J30" s="482">
        <v>24</v>
      </c>
      <c r="K30" s="477">
        <f t="shared" si="4"/>
        <v>0</v>
      </c>
      <c r="L30" s="477">
        <f t="shared" si="4"/>
        <v>100</v>
      </c>
      <c r="M30" s="477">
        <f t="shared" si="4"/>
        <v>0</v>
      </c>
      <c r="N30" s="481">
        <f t="shared" si="2"/>
        <v>100</v>
      </c>
      <c r="O30" s="476"/>
      <c r="P30" s="477">
        <v>42.2</v>
      </c>
      <c r="Q30" s="477"/>
      <c r="R30" s="478">
        <f t="shared" si="3"/>
        <v>42.2</v>
      </c>
      <c r="S30" s="543">
        <v>4</v>
      </c>
      <c r="T30" s="471"/>
      <c r="U30" s="540">
        <v>25420</v>
      </c>
      <c r="V30" s="82" t="s">
        <v>516</v>
      </c>
      <c r="W30" s="73" t="s">
        <v>17</v>
      </c>
      <c r="X30" s="73" t="s">
        <v>18</v>
      </c>
      <c r="Y30" s="83">
        <v>42.2</v>
      </c>
      <c r="AD30" s="82"/>
      <c r="AG30" s="83"/>
      <c r="AL30" s="82"/>
      <c r="AO30" s="83"/>
      <c r="AP30" s="82"/>
      <c r="AT30" s="161"/>
      <c r="AW30" s="83"/>
      <c r="BA30" s="84"/>
    </row>
    <row r="31" spans="1:53" s="73" customFormat="1" x14ac:dyDescent="0.15">
      <c r="A31" s="102">
        <v>1970</v>
      </c>
      <c r="B31" s="540"/>
      <c r="C31" s="811" t="s">
        <v>728</v>
      </c>
      <c r="D31" s="811"/>
      <c r="E31" s="543">
        <v>85</v>
      </c>
      <c r="F31" s="543"/>
      <c r="G31" s="480"/>
      <c r="H31" s="543">
        <v>24</v>
      </c>
      <c r="I31" s="543"/>
      <c r="J31" s="482">
        <v>24</v>
      </c>
      <c r="K31" s="477">
        <f t="shared" si="4"/>
        <v>0</v>
      </c>
      <c r="L31" s="477">
        <f t="shared" si="4"/>
        <v>100</v>
      </c>
      <c r="M31" s="477">
        <f t="shared" si="4"/>
        <v>0</v>
      </c>
      <c r="N31" s="481">
        <f t="shared" si="2"/>
        <v>100</v>
      </c>
      <c r="O31" s="476"/>
      <c r="P31" s="477">
        <v>42.2</v>
      </c>
      <c r="Q31" s="477"/>
      <c r="R31" s="478">
        <f t="shared" si="3"/>
        <v>42.2</v>
      </c>
      <c r="S31" s="543">
        <v>4</v>
      </c>
      <c r="T31" s="471"/>
      <c r="U31" s="543"/>
      <c r="V31" s="82" t="s">
        <v>516</v>
      </c>
      <c r="W31" s="73" t="s">
        <v>17</v>
      </c>
      <c r="X31" s="73" t="s">
        <v>18</v>
      </c>
      <c r="Y31" s="83">
        <v>42.2</v>
      </c>
      <c r="AD31" s="82"/>
      <c r="AG31" s="83"/>
      <c r="AL31" s="82"/>
      <c r="AO31" s="83"/>
      <c r="AP31" s="82"/>
      <c r="AT31" s="161"/>
      <c r="AW31" s="83"/>
      <c r="BA31" s="84"/>
    </row>
    <row r="32" spans="1:53" s="334" customFormat="1" x14ac:dyDescent="0.15">
      <c r="A32" s="386">
        <v>1970</v>
      </c>
      <c r="B32" s="541">
        <v>25654</v>
      </c>
      <c r="C32" s="812" t="s">
        <v>729</v>
      </c>
      <c r="D32" s="812"/>
      <c r="E32" s="544">
        <v>132</v>
      </c>
      <c r="F32" s="544">
        <v>2</v>
      </c>
      <c r="G32" s="497"/>
      <c r="H32" s="544">
        <v>18</v>
      </c>
      <c r="I32" s="544">
        <v>9</v>
      </c>
      <c r="J32" s="499">
        <v>27</v>
      </c>
      <c r="K32" s="495">
        <f t="shared" si="4"/>
        <v>0</v>
      </c>
      <c r="L32" s="495">
        <f t="shared" si="4"/>
        <v>66.666666666666657</v>
      </c>
      <c r="M32" s="495">
        <f t="shared" si="4"/>
        <v>33.333333333333329</v>
      </c>
      <c r="N32" s="498">
        <f t="shared" si="2"/>
        <v>99.999999999999986</v>
      </c>
      <c r="O32" s="494"/>
      <c r="P32" s="495">
        <v>43.6</v>
      </c>
      <c r="Q32" s="495">
        <v>14.4</v>
      </c>
      <c r="R32" s="496">
        <f t="shared" si="3"/>
        <v>58</v>
      </c>
      <c r="S32" s="544">
        <v>3</v>
      </c>
      <c r="T32" s="492"/>
      <c r="U32" s="541">
        <v>25654</v>
      </c>
      <c r="V32" s="343" t="s">
        <v>516</v>
      </c>
      <c r="W32" s="334" t="s">
        <v>17</v>
      </c>
      <c r="X32" s="334" t="s">
        <v>18</v>
      </c>
      <c r="Y32" s="344">
        <v>42.2</v>
      </c>
      <c r="Z32" s="334" t="s">
        <v>520</v>
      </c>
      <c r="AA32" s="334" t="s">
        <v>98</v>
      </c>
      <c r="AB32" s="334" t="s">
        <v>12</v>
      </c>
      <c r="AC32" s="334">
        <v>14.4</v>
      </c>
      <c r="AD32" s="343" t="s">
        <v>518</v>
      </c>
      <c r="AE32" s="334" t="s">
        <v>88</v>
      </c>
      <c r="AF32" s="334" t="s">
        <v>18</v>
      </c>
      <c r="AG32" s="344">
        <v>1.4</v>
      </c>
      <c r="AL32" s="343"/>
      <c r="AO32" s="344"/>
      <c r="AP32" s="343"/>
      <c r="AT32" s="449"/>
      <c r="AW32" s="344"/>
      <c r="BA32" s="345"/>
    </row>
    <row r="33" spans="1:53" s="73" customFormat="1" x14ac:dyDescent="0.15">
      <c r="A33" s="102">
        <v>1970</v>
      </c>
      <c r="B33" s="540">
        <v>25786</v>
      </c>
      <c r="C33" s="811" t="s">
        <v>730</v>
      </c>
      <c r="D33" s="811"/>
      <c r="E33" s="543">
        <f>365-E32-E31</f>
        <v>148</v>
      </c>
      <c r="F33" s="543">
        <v>4</v>
      </c>
      <c r="G33" s="480"/>
      <c r="H33" s="543">
        <v>18</v>
      </c>
      <c r="I33" s="543">
        <v>10</v>
      </c>
      <c r="J33" s="482">
        <v>28</v>
      </c>
      <c r="K33" s="477">
        <f t="shared" si="4"/>
        <v>0</v>
      </c>
      <c r="L33" s="477">
        <f t="shared" si="4"/>
        <v>64.285714285714292</v>
      </c>
      <c r="M33" s="477">
        <f t="shared" si="4"/>
        <v>35.714285714285715</v>
      </c>
      <c r="N33" s="481">
        <f t="shared" si="2"/>
        <v>100</v>
      </c>
      <c r="O33" s="476"/>
      <c r="P33" s="477">
        <v>43.6</v>
      </c>
      <c r="Q33" s="477">
        <v>14.4</v>
      </c>
      <c r="R33" s="478">
        <f t="shared" si="3"/>
        <v>58</v>
      </c>
      <c r="S33" s="543">
        <v>3</v>
      </c>
      <c r="T33" s="471"/>
      <c r="U33" s="540">
        <v>25786</v>
      </c>
      <c r="V33" s="82" t="s">
        <v>516</v>
      </c>
      <c r="W33" s="73" t="s">
        <v>17</v>
      </c>
      <c r="X33" s="73" t="s">
        <v>18</v>
      </c>
      <c r="Y33" s="83">
        <v>42.2</v>
      </c>
      <c r="Z33" s="73" t="s">
        <v>520</v>
      </c>
      <c r="AA33" s="73" t="s">
        <v>98</v>
      </c>
      <c r="AB33" s="73" t="s">
        <v>12</v>
      </c>
      <c r="AC33" s="73">
        <v>14.4</v>
      </c>
      <c r="AD33" s="82" t="s">
        <v>518</v>
      </c>
      <c r="AE33" s="73" t="s">
        <v>88</v>
      </c>
      <c r="AF33" s="73" t="s">
        <v>18</v>
      </c>
      <c r="AG33" s="83">
        <v>1.4</v>
      </c>
      <c r="AL33" s="82"/>
      <c r="AO33" s="83"/>
      <c r="AP33" s="82"/>
      <c r="AT33" s="161"/>
      <c r="AW33" s="83"/>
      <c r="BA33" s="84"/>
    </row>
    <row r="34" spans="1:53" s="73" customFormat="1" x14ac:dyDescent="0.15">
      <c r="A34" s="102">
        <v>1971</v>
      </c>
      <c r="B34" s="540"/>
      <c r="C34" s="811" t="s">
        <v>730</v>
      </c>
      <c r="D34" s="811"/>
      <c r="E34" s="543">
        <v>57</v>
      </c>
      <c r="F34" s="543"/>
      <c r="G34" s="480"/>
      <c r="H34" s="543">
        <v>18</v>
      </c>
      <c r="I34" s="543">
        <v>10</v>
      </c>
      <c r="J34" s="482">
        <v>28</v>
      </c>
      <c r="K34" s="477">
        <f t="shared" si="4"/>
        <v>0</v>
      </c>
      <c r="L34" s="477">
        <f t="shared" si="4"/>
        <v>64.285714285714292</v>
      </c>
      <c r="M34" s="477">
        <f t="shared" si="4"/>
        <v>35.714285714285715</v>
      </c>
      <c r="N34" s="481">
        <f t="shared" si="2"/>
        <v>100</v>
      </c>
      <c r="O34" s="476"/>
      <c r="P34" s="477">
        <v>43.6</v>
      </c>
      <c r="Q34" s="477">
        <v>14.4</v>
      </c>
      <c r="R34" s="478">
        <f t="shared" si="3"/>
        <v>58</v>
      </c>
      <c r="S34" s="543">
        <v>3</v>
      </c>
      <c r="T34" s="471"/>
      <c r="U34" s="543"/>
      <c r="V34" s="82" t="s">
        <v>516</v>
      </c>
      <c r="W34" s="73" t="s">
        <v>17</v>
      </c>
      <c r="X34" s="73" t="s">
        <v>18</v>
      </c>
      <c r="Y34" s="83">
        <v>42.2</v>
      </c>
      <c r="Z34" s="73" t="s">
        <v>520</v>
      </c>
      <c r="AA34" s="73" t="s">
        <v>98</v>
      </c>
      <c r="AB34" s="73" t="s">
        <v>12</v>
      </c>
      <c r="AC34" s="73">
        <v>14.4</v>
      </c>
      <c r="AD34" s="82" t="s">
        <v>518</v>
      </c>
      <c r="AE34" s="73" t="s">
        <v>88</v>
      </c>
      <c r="AF34" s="73" t="s">
        <v>18</v>
      </c>
      <c r="AG34" s="83">
        <v>1.4</v>
      </c>
      <c r="AL34" s="82"/>
      <c r="AO34" s="83"/>
      <c r="AP34" s="82"/>
      <c r="AT34" s="161"/>
      <c r="AW34" s="83"/>
      <c r="BA34" s="84"/>
    </row>
    <row r="35" spans="1:53" s="334" customFormat="1" x14ac:dyDescent="0.15">
      <c r="A35" s="386">
        <v>1971</v>
      </c>
      <c r="B35" s="541">
        <v>25991</v>
      </c>
      <c r="C35" s="812" t="s">
        <v>731</v>
      </c>
      <c r="D35" s="812"/>
      <c r="E35" s="544">
        <v>308</v>
      </c>
      <c r="F35" s="544">
        <v>4</v>
      </c>
      <c r="G35" s="497"/>
      <c r="H35" s="544">
        <v>17</v>
      </c>
      <c r="I35" s="544">
        <v>10</v>
      </c>
      <c r="J35" s="499">
        <v>27</v>
      </c>
      <c r="K35" s="495">
        <f t="shared" si="4"/>
        <v>0</v>
      </c>
      <c r="L35" s="495">
        <f t="shared" si="4"/>
        <v>62.962962962962962</v>
      </c>
      <c r="M35" s="495">
        <f t="shared" si="4"/>
        <v>37.037037037037038</v>
      </c>
      <c r="N35" s="498">
        <f t="shared" si="2"/>
        <v>100</v>
      </c>
      <c r="O35" s="494"/>
      <c r="P35" s="495">
        <v>42.2</v>
      </c>
      <c r="Q35" s="495">
        <v>14.4</v>
      </c>
      <c r="R35" s="496">
        <f t="shared" si="3"/>
        <v>56.6</v>
      </c>
      <c r="S35" s="544">
        <v>3</v>
      </c>
      <c r="T35" s="492"/>
      <c r="U35" s="541">
        <v>25991</v>
      </c>
      <c r="V35" s="343" t="s">
        <v>516</v>
      </c>
      <c r="W35" s="334" t="s">
        <v>17</v>
      </c>
      <c r="X35" s="334" t="s">
        <v>18</v>
      </c>
      <c r="Y35" s="344">
        <v>42.2</v>
      </c>
      <c r="Z35" s="334" t="s">
        <v>520</v>
      </c>
      <c r="AA35" s="334" t="s">
        <v>98</v>
      </c>
      <c r="AB35" s="334" t="s">
        <v>12</v>
      </c>
      <c r="AC35" s="334">
        <v>14.4</v>
      </c>
      <c r="AD35" s="343"/>
      <c r="AG35" s="344"/>
      <c r="AL35" s="343"/>
      <c r="AO35" s="344"/>
      <c r="AP35" s="343"/>
      <c r="AT35" s="449"/>
      <c r="AW35" s="344"/>
      <c r="BA35" s="345"/>
    </row>
    <row r="36" spans="1:53" s="334" customFormat="1" x14ac:dyDescent="0.15">
      <c r="A36" s="386">
        <v>1972</v>
      </c>
      <c r="B36" s="541"/>
      <c r="C36" s="812" t="s">
        <v>731</v>
      </c>
      <c r="D36" s="812"/>
      <c r="E36" s="544">
        <v>48</v>
      </c>
      <c r="F36" s="544"/>
      <c r="G36" s="497"/>
      <c r="H36" s="544">
        <v>17</v>
      </c>
      <c r="I36" s="544">
        <v>10</v>
      </c>
      <c r="J36" s="499">
        <v>27</v>
      </c>
      <c r="K36" s="495">
        <f t="shared" si="4"/>
        <v>0</v>
      </c>
      <c r="L36" s="495">
        <f t="shared" si="4"/>
        <v>62.962962962962962</v>
      </c>
      <c r="M36" s="495">
        <f t="shared" si="4"/>
        <v>37.037037037037038</v>
      </c>
      <c r="N36" s="498">
        <f t="shared" si="2"/>
        <v>100</v>
      </c>
      <c r="O36" s="494"/>
      <c r="P36" s="495">
        <v>42.2</v>
      </c>
      <c r="Q36" s="495">
        <v>14.4</v>
      </c>
      <c r="R36" s="496">
        <f t="shared" si="3"/>
        <v>56.6</v>
      </c>
      <c r="S36" s="544">
        <v>3</v>
      </c>
      <c r="T36" s="492"/>
      <c r="U36" s="544"/>
      <c r="V36" s="343" t="s">
        <v>516</v>
      </c>
      <c r="W36" s="334" t="s">
        <v>17</v>
      </c>
      <c r="X36" s="334" t="s">
        <v>18</v>
      </c>
      <c r="Y36" s="344">
        <v>42.2</v>
      </c>
      <c r="Z36" s="334" t="s">
        <v>520</v>
      </c>
      <c r="AA36" s="334" t="s">
        <v>98</v>
      </c>
      <c r="AB36" s="334" t="s">
        <v>12</v>
      </c>
      <c r="AC36" s="334">
        <v>14.4</v>
      </c>
      <c r="AD36" s="343"/>
      <c r="AG36" s="344"/>
      <c r="AL36" s="343"/>
      <c r="AO36" s="344"/>
      <c r="AP36" s="343"/>
      <c r="AT36" s="449"/>
      <c r="AW36" s="344"/>
      <c r="BA36" s="345"/>
    </row>
    <row r="37" spans="1:53" s="73" customFormat="1" x14ac:dyDescent="0.15">
      <c r="A37" s="102">
        <v>1972</v>
      </c>
      <c r="B37" s="540">
        <v>26347</v>
      </c>
      <c r="C37" s="811" t="s">
        <v>732</v>
      </c>
      <c r="D37" s="811"/>
      <c r="E37" s="543">
        <v>129</v>
      </c>
      <c r="F37" s="543">
        <v>4</v>
      </c>
      <c r="G37" s="480"/>
      <c r="H37" s="543">
        <v>25</v>
      </c>
      <c r="I37" s="543"/>
      <c r="J37" s="482">
        <v>25</v>
      </c>
      <c r="K37" s="477">
        <f t="shared" si="4"/>
        <v>0</v>
      </c>
      <c r="L37" s="477">
        <f t="shared" si="4"/>
        <v>100</v>
      </c>
      <c r="M37" s="477">
        <f t="shared" si="4"/>
        <v>0</v>
      </c>
      <c r="N37" s="481">
        <f t="shared" si="2"/>
        <v>100</v>
      </c>
      <c r="O37" s="476"/>
      <c r="P37" s="477">
        <v>42.2</v>
      </c>
      <c r="Q37" s="477"/>
      <c r="R37" s="478">
        <f t="shared" si="3"/>
        <v>42.2</v>
      </c>
      <c r="S37" s="543">
        <v>4</v>
      </c>
      <c r="T37" s="471"/>
      <c r="U37" s="540">
        <v>26347</v>
      </c>
      <c r="V37" s="82" t="s">
        <v>516</v>
      </c>
      <c r="W37" s="73" t="s">
        <v>17</v>
      </c>
      <c r="X37" s="73" t="s">
        <v>18</v>
      </c>
      <c r="Y37" s="83">
        <v>42.2</v>
      </c>
      <c r="AD37" s="82"/>
      <c r="AG37" s="83"/>
      <c r="AL37" s="82"/>
      <c r="AO37" s="83"/>
      <c r="AP37" s="82"/>
      <c r="AT37" s="161"/>
      <c r="AW37" s="83"/>
      <c r="BA37" s="84"/>
    </row>
    <row r="38" spans="1:53" s="334" customFormat="1" x14ac:dyDescent="0.15">
      <c r="A38" s="386">
        <v>1972</v>
      </c>
      <c r="B38" s="541">
        <v>26476</v>
      </c>
      <c r="C38" s="812" t="s">
        <v>733</v>
      </c>
      <c r="D38" s="812"/>
      <c r="E38" s="544">
        <f>366-E36-E37</f>
        <v>189</v>
      </c>
      <c r="F38" s="544">
        <v>1</v>
      </c>
      <c r="G38" s="497">
        <v>4</v>
      </c>
      <c r="H38" s="544">
        <v>17</v>
      </c>
      <c r="I38" s="544">
        <v>5</v>
      </c>
      <c r="J38" s="499">
        <v>26</v>
      </c>
      <c r="K38" s="495">
        <f t="shared" si="4"/>
        <v>15.384615384615385</v>
      </c>
      <c r="L38" s="495">
        <f t="shared" si="4"/>
        <v>65.384615384615387</v>
      </c>
      <c r="M38" s="495">
        <f t="shared" si="4"/>
        <v>19.230769230769234</v>
      </c>
      <c r="N38" s="498">
        <f t="shared" si="2"/>
        <v>100</v>
      </c>
      <c r="O38" s="494">
        <v>3.3</v>
      </c>
      <c r="P38" s="495">
        <v>42.4</v>
      </c>
      <c r="Q38" s="495">
        <v>4.5999999999999996</v>
      </c>
      <c r="R38" s="496">
        <f t="shared" si="3"/>
        <v>50.3</v>
      </c>
      <c r="S38" s="544">
        <v>2</v>
      </c>
      <c r="T38" s="487">
        <v>26426</v>
      </c>
      <c r="U38" s="541">
        <v>26476</v>
      </c>
      <c r="V38" s="343" t="s">
        <v>516</v>
      </c>
      <c r="W38" s="334" t="s">
        <v>17</v>
      </c>
      <c r="X38" s="334" t="s">
        <v>18</v>
      </c>
      <c r="Y38" s="344">
        <v>42.4</v>
      </c>
      <c r="Z38" s="334" t="s">
        <v>517</v>
      </c>
      <c r="AA38" s="334" t="s">
        <v>97</v>
      </c>
      <c r="AB38" s="334" t="s">
        <v>12</v>
      </c>
      <c r="AC38" s="334">
        <v>4.5999999999999996</v>
      </c>
      <c r="AD38" s="343" t="s">
        <v>521</v>
      </c>
      <c r="AE38" s="334" t="s">
        <v>22</v>
      </c>
      <c r="AF38" s="334" t="s">
        <v>11</v>
      </c>
      <c r="AG38" s="344">
        <v>3.3</v>
      </c>
      <c r="AL38" s="343"/>
      <c r="AO38" s="344"/>
      <c r="AP38" s="343"/>
      <c r="AT38" s="449"/>
      <c r="AW38" s="344"/>
      <c r="BA38" s="345"/>
    </row>
    <row r="39" spans="1:53" s="334" customFormat="1" x14ac:dyDescent="0.15">
      <c r="A39" s="386">
        <v>1973</v>
      </c>
      <c r="B39" s="541"/>
      <c r="C39" s="812" t="s">
        <v>733</v>
      </c>
      <c r="D39" s="812"/>
      <c r="E39" s="544">
        <v>250</v>
      </c>
      <c r="F39" s="544"/>
      <c r="G39" s="497">
        <v>4</v>
      </c>
      <c r="H39" s="544">
        <v>17</v>
      </c>
      <c r="I39" s="544">
        <v>5</v>
      </c>
      <c r="J39" s="499">
        <v>26</v>
      </c>
      <c r="K39" s="495">
        <f t="shared" si="4"/>
        <v>15.384615384615385</v>
      </c>
      <c r="L39" s="495">
        <f t="shared" si="4"/>
        <v>65.384615384615387</v>
      </c>
      <c r="M39" s="495">
        <f t="shared" si="4"/>
        <v>19.230769230769234</v>
      </c>
      <c r="N39" s="498">
        <f t="shared" si="2"/>
        <v>100</v>
      </c>
      <c r="O39" s="494">
        <v>3.3</v>
      </c>
      <c r="P39" s="495">
        <v>42.4</v>
      </c>
      <c r="Q39" s="495">
        <v>4.5999999999999996</v>
      </c>
      <c r="R39" s="496">
        <f t="shared" si="3"/>
        <v>50.3</v>
      </c>
      <c r="S39" s="544">
        <v>2</v>
      </c>
      <c r="T39" s="492"/>
      <c r="U39" s="544"/>
      <c r="V39" s="343" t="s">
        <v>516</v>
      </c>
      <c r="W39" s="334" t="s">
        <v>17</v>
      </c>
      <c r="X39" s="334" t="s">
        <v>18</v>
      </c>
      <c r="Y39" s="344">
        <v>42.4</v>
      </c>
      <c r="Z39" s="334" t="s">
        <v>517</v>
      </c>
      <c r="AA39" s="334" t="s">
        <v>97</v>
      </c>
      <c r="AB39" s="334" t="s">
        <v>12</v>
      </c>
      <c r="AC39" s="334">
        <v>4.5999999999999996</v>
      </c>
      <c r="AD39" s="343" t="s">
        <v>521</v>
      </c>
      <c r="AE39" s="334" t="s">
        <v>22</v>
      </c>
      <c r="AF39" s="334" t="s">
        <v>11</v>
      </c>
      <c r="AG39" s="344">
        <v>3.3</v>
      </c>
      <c r="AL39" s="343"/>
      <c r="AO39" s="344"/>
      <c r="AP39" s="343"/>
      <c r="AT39" s="449"/>
      <c r="AW39" s="344"/>
      <c r="BA39" s="345"/>
    </row>
    <row r="40" spans="1:53" s="73" customFormat="1" x14ac:dyDescent="0.15">
      <c r="A40" s="102">
        <v>1973</v>
      </c>
      <c r="B40" s="540">
        <v>26915</v>
      </c>
      <c r="C40" s="811" t="s">
        <v>734</v>
      </c>
      <c r="D40" s="811"/>
      <c r="E40" s="543">
        <v>115</v>
      </c>
      <c r="F40" s="543">
        <v>5</v>
      </c>
      <c r="G40" s="480"/>
      <c r="H40" s="543">
        <v>19</v>
      </c>
      <c r="I40" s="543">
        <v>10</v>
      </c>
      <c r="J40" s="482">
        <v>29</v>
      </c>
      <c r="K40" s="477">
        <f t="shared" si="4"/>
        <v>0</v>
      </c>
      <c r="L40" s="477">
        <f t="shared" si="4"/>
        <v>65.517241379310349</v>
      </c>
      <c r="M40" s="477">
        <f t="shared" si="4"/>
        <v>34.482758620689658</v>
      </c>
      <c r="N40" s="481">
        <f t="shared" si="2"/>
        <v>100</v>
      </c>
      <c r="O40" s="476"/>
      <c r="P40" s="477">
        <v>44.6</v>
      </c>
      <c r="Q40" s="477">
        <v>14.3</v>
      </c>
      <c r="R40" s="478">
        <f t="shared" si="3"/>
        <v>58.900000000000006</v>
      </c>
      <c r="S40" s="543">
        <v>3</v>
      </c>
      <c r="T40" s="471"/>
      <c r="U40" s="540">
        <v>26915</v>
      </c>
      <c r="V40" s="82" t="s">
        <v>516</v>
      </c>
      <c r="W40" s="73" t="s">
        <v>17</v>
      </c>
      <c r="X40" s="73" t="s">
        <v>18</v>
      </c>
      <c r="Y40" s="83">
        <v>42.4</v>
      </c>
      <c r="Z40" s="73" t="s">
        <v>519</v>
      </c>
      <c r="AA40" s="73" t="s">
        <v>20</v>
      </c>
      <c r="AB40" s="73" t="s">
        <v>12</v>
      </c>
      <c r="AC40" s="73">
        <v>9.6999999999999993</v>
      </c>
      <c r="AD40" s="82" t="s">
        <v>517</v>
      </c>
      <c r="AE40" s="73" t="s">
        <v>97</v>
      </c>
      <c r="AF40" s="73" t="s">
        <v>12</v>
      </c>
      <c r="AG40" s="83">
        <v>4.5999999999999996</v>
      </c>
      <c r="AH40" s="82" t="s">
        <v>518</v>
      </c>
      <c r="AI40" s="73" t="s">
        <v>88</v>
      </c>
      <c r="AJ40" s="73" t="s">
        <v>18</v>
      </c>
      <c r="AK40" s="73">
        <v>2.2000000000000002</v>
      </c>
      <c r="AL40" s="82"/>
      <c r="AO40" s="83"/>
      <c r="AP40" s="82"/>
      <c r="AT40" s="161"/>
      <c r="AW40" s="83"/>
      <c r="BA40" s="84"/>
    </row>
    <row r="41" spans="1:53" s="73" customFormat="1" x14ac:dyDescent="0.15">
      <c r="A41" s="102">
        <v>1974</v>
      </c>
      <c r="B41" s="540"/>
      <c r="C41" s="811" t="s">
        <v>734</v>
      </c>
      <c r="D41" s="811"/>
      <c r="E41" s="543">
        <v>72</v>
      </c>
      <c r="F41" s="543"/>
      <c r="G41" s="480"/>
      <c r="H41" s="543">
        <v>19</v>
      </c>
      <c r="I41" s="543">
        <v>10</v>
      </c>
      <c r="J41" s="482">
        <v>29</v>
      </c>
      <c r="K41" s="477">
        <f t="shared" si="4"/>
        <v>0</v>
      </c>
      <c r="L41" s="477">
        <f t="shared" si="4"/>
        <v>65.517241379310349</v>
      </c>
      <c r="M41" s="477">
        <f t="shared" si="4"/>
        <v>34.482758620689658</v>
      </c>
      <c r="N41" s="481">
        <f t="shared" si="2"/>
        <v>100</v>
      </c>
      <c r="O41" s="476"/>
      <c r="P41" s="477">
        <v>44.6</v>
      </c>
      <c r="Q41" s="477">
        <v>14.3</v>
      </c>
      <c r="R41" s="478">
        <f t="shared" si="3"/>
        <v>58.900000000000006</v>
      </c>
      <c r="S41" s="543">
        <v>3</v>
      </c>
      <c r="T41" s="471"/>
      <c r="U41" s="543"/>
      <c r="V41" s="82" t="s">
        <v>516</v>
      </c>
      <c r="W41" s="73" t="s">
        <v>17</v>
      </c>
      <c r="X41" s="73" t="s">
        <v>18</v>
      </c>
      <c r="Y41" s="83">
        <v>42.4</v>
      </c>
      <c r="Z41" s="73" t="s">
        <v>519</v>
      </c>
      <c r="AA41" s="73" t="s">
        <v>20</v>
      </c>
      <c r="AB41" s="73" t="s">
        <v>12</v>
      </c>
      <c r="AC41" s="73">
        <v>9.6999999999999993</v>
      </c>
      <c r="AD41" s="82" t="s">
        <v>517</v>
      </c>
      <c r="AE41" s="73" t="s">
        <v>97</v>
      </c>
      <c r="AF41" s="73" t="s">
        <v>12</v>
      </c>
      <c r="AG41" s="83">
        <v>4.5999999999999996</v>
      </c>
      <c r="AH41" s="82" t="s">
        <v>518</v>
      </c>
      <c r="AI41" s="73" t="s">
        <v>88</v>
      </c>
      <c r="AJ41" s="73" t="s">
        <v>18</v>
      </c>
      <c r="AK41" s="73">
        <v>2.2000000000000002</v>
      </c>
      <c r="AL41" s="82"/>
      <c r="AO41" s="83"/>
      <c r="AP41" s="82"/>
      <c r="AT41" s="161"/>
      <c r="AW41" s="83"/>
      <c r="BA41" s="84"/>
    </row>
    <row r="42" spans="1:53" s="334" customFormat="1" x14ac:dyDescent="0.15">
      <c r="A42" s="386">
        <v>1974</v>
      </c>
      <c r="B42" s="541">
        <v>27102</v>
      </c>
      <c r="C42" s="812" t="s">
        <v>735</v>
      </c>
      <c r="D42" s="812"/>
      <c r="E42" s="544">
        <v>254</v>
      </c>
      <c r="F42" s="544">
        <v>4</v>
      </c>
      <c r="G42" s="497"/>
      <c r="H42" s="544">
        <v>16</v>
      </c>
      <c r="I42" s="544">
        <v>10</v>
      </c>
      <c r="J42" s="499">
        <v>26</v>
      </c>
      <c r="K42" s="495">
        <f t="shared" si="4"/>
        <v>0</v>
      </c>
      <c r="L42" s="495">
        <f t="shared" si="4"/>
        <v>61.53846153846154</v>
      </c>
      <c r="M42" s="495">
        <f t="shared" si="4"/>
        <v>38.461538461538467</v>
      </c>
      <c r="N42" s="498">
        <f t="shared" si="2"/>
        <v>100</v>
      </c>
      <c r="O42" s="494"/>
      <c r="P42" s="495">
        <v>42.4</v>
      </c>
      <c r="Q42" s="495">
        <v>14.3</v>
      </c>
      <c r="R42" s="496">
        <f t="shared" si="3"/>
        <v>56.7</v>
      </c>
      <c r="S42" s="544">
        <v>3</v>
      </c>
      <c r="T42" s="492"/>
      <c r="U42" s="541">
        <v>27102</v>
      </c>
      <c r="V42" s="343" t="s">
        <v>516</v>
      </c>
      <c r="W42" s="334" t="s">
        <v>17</v>
      </c>
      <c r="X42" s="334" t="s">
        <v>18</v>
      </c>
      <c r="Y42" s="344">
        <v>42.4</v>
      </c>
      <c r="Z42" s="334" t="s">
        <v>519</v>
      </c>
      <c r="AA42" s="334" t="s">
        <v>20</v>
      </c>
      <c r="AB42" s="334" t="s">
        <v>12</v>
      </c>
      <c r="AC42" s="334">
        <v>9.6999999999999993</v>
      </c>
      <c r="AD42" s="343" t="s">
        <v>517</v>
      </c>
      <c r="AE42" s="334" t="s">
        <v>97</v>
      </c>
      <c r="AF42" s="334" t="s">
        <v>12</v>
      </c>
      <c r="AG42" s="344">
        <v>4.5999999999999996</v>
      </c>
      <c r="AH42" s="343"/>
      <c r="AL42" s="343"/>
      <c r="AO42" s="344"/>
      <c r="AP42" s="343"/>
      <c r="AT42" s="449"/>
      <c r="AW42" s="344"/>
      <c r="BA42" s="345"/>
    </row>
    <row r="43" spans="1:53" s="73" customFormat="1" x14ac:dyDescent="0.15">
      <c r="A43" s="102">
        <v>1974</v>
      </c>
      <c r="B43" s="540">
        <v>27356</v>
      </c>
      <c r="C43" s="811" t="s">
        <v>736</v>
      </c>
      <c r="D43" s="811"/>
      <c r="E43" s="543">
        <f>365-E42-E41</f>
        <v>39</v>
      </c>
      <c r="F43" s="543">
        <v>4</v>
      </c>
      <c r="G43" s="480"/>
      <c r="H43" s="543">
        <v>25</v>
      </c>
      <c r="I43" s="543"/>
      <c r="J43" s="482">
        <v>25</v>
      </c>
      <c r="K43" s="477">
        <f t="shared" si="4"/>
        <v>0</v>
      </c>
      <c r="L43" s="477">
        <f t="shared" si="4"/>
        <v>100</v>
      </c>
      <c r="M43" s="477">
        <f t="shared" si="4"/>
        <v>0</v>
      </c>
      <c r="N43" s="481">
        <f t="shared" si="2"/>
        <v>100</v>
      </c>
      <c r="O43" s="476"/>
      <c r="P43" s="477">
        <v>44.6</v>
      </c>
      <c r="Q43" s="477"/>
      <c r="R43" s="478">
        <f t="shared" si="3"/>
        <v>44.6</v>
      </c>
      <c r="S43" s="543">
        <v>5</v>
      </c>
      <c r="T43" s="471"/>
      <c r="U43" s="540">
        <v>27356</v>
      </c>
      <c r="V43" s="82" t="s">
        <v>516</v>
      </c>
      <c r="W43" s="73" t="s">
        <v>17</v>
      </c>
      <c r="X43" s="73" t="s">
        <v>18</v>
      </c>
      <c r="Y43" s="83">
        <v>42.4</v>
      </c>
      <c r="Z43" s="82" t="s">
        <v>518</v>
      </c>
      <c r="AA43" s="73" t="s">
        <v>88</v>
      </c>
      <c r="AB43" s="73" t="s">
        <v>18</v>
      </c>
      <c r="AC43" s="73">
        <v>2.2000000000000002</v>
      </c>
      <c r="AD43" s="82"/>
      <c r="AG43" s="83"/>
      <c r="AL43" s="82"/>
      <c r="AO43" s="83"/>
      <c r="AP43" s="82"/>
      <c r="AT43" s="161"/>
      <c r="AW43" s="83"/>
      <c r="BA43" s="84"/>
    </row>
    <row r="44" spans="1:53" s="73" customFormat="1" x14ac:dyDescent="0.15">
      <c r="A44" s="102">
        <v>1975</v>
      </c>
      <c r="B44" s="540"/>
      <c r="C44" s="811" t="s">
        <v>736</v>
      </c>
      <c r="D44" s="811"/>
      <c r="E44" s="543">
        <v>0</v>
      </c>
      <c r="F44" s="543"/>
      <c r="G44" s="480"/>
      <c r="H44" s="543">
        <v>25</v>
      </c>
      <c r="I44" s="543"/>
      <c r="J44" s="482">
        <v>25</v>
      </c>
      <c r="K44" s="477">
        <f t="shared" si="4"/>
        <v>0</v>
      </c>
      <c r="L44" s="477">
        <f t="shared" si="4"/>
        <v>100</v>
      </c>
      <c r="M44" s="477">
        <f t="shared" si="4"/>
        <v>0</v>
      </c>
      <c r="N44" s="481">
        <f t="shared" si="2"/>
        <v>100</v>
      </c>
      <c r="O44" s="476"/>
      <c r="P44" s="477">
        <v>44.6</v>
      </c>
      <c r="Q44" s="477"/>
      <c r="R44" s="478">
        <f t="shared" si="3"/>
        <v>44.6</v>
      </c>
      <c r="S44" s="543">
        <v>5</v>
      </c>
      <c r="T44" s="471"/>
      <c r="U44" s="543"/>
      <c r="V44" s="82" t="s">
        <v>516</v>
      </c>
      <c r="W44" s="73" t="s">
        <v>17</v>
      </c>
      <c r="X44" s="73" t="s">
        <v>18</v>
      </c>
      <c r="Y44" s="83">
        <v>42.4</v>
      </c>
      <c r="Z44" s="82" t="s">
        <v>518</v>
      </c>
      <c r="AA44" s="73" t="s">
        <v>88</v>
      </c>
      <c r="AB44" s="73" t="s">
        <v>18</v>
      </c>
      <c r="AC44" s="73">
        <v>2.2000000000000002</v>
      </c>
      <c r="AD44" s="82"/>
      <c r="AG44" s="83"/>
      <c r="AL44" s="82"/>
      <c r="AO44" s="83"/>
      <c r="AP44" s="82"/>
      <c r="AT44" s="161"/>
      <c r="AW44" s="83"/>
      <c r="BA44" s="84"/>
    </row>
    <row r="45" spans="1:53" s="73" customFormat="1" x14ac:dyDescent="0.15">
      <c r="A45" s="102">
        <v>1975</v>
      </c>
      <c r="B45" s="540"/>
      <c r="C45" s="811" t="s">
        <v>736</v>
      </c>
      <c r="D45" s="811"/>
      <c r="E45" s="543">
        <v>365</v>
      </c>
      <c r="F45" s="543"/>
      <c r="G45" s="480"/>
      <c r="H45" s="543">
        <v>25</v>
      </c>
      <c r="I45" s="543"/>
      <c r="J45" s="482">
        <v>25</v>
      </c>
      <c r="K45" s="477">
        <f t="shared" si="4"/>
        <v>0</v>
      </c>
      <c r="L45" s="477">
        <f t="shared" si="4"/>
        <v>100</v>
      </c>
      <c r="M45" s="477">
        <f t="shared" si="4"/>
        <v>0</v>
      </c>
      <c r="N45" s="481">
        <f t="shared" si="2"/>
        <v>100</v>
      </c>
      <c r="O45" s="476"/>
      <c r="P45" s="477">
        <v>44.6</v>
      </c>
      <c r="Q45" s="477"/>
      <c r="R45" s="478">
        <f t="shared" si="3"/>
        <v>44.6</v>
      </c>
      <c r="S45" s="543">
        <v>5</v>
      </c>
      <c r="T45" s="471"/>
      <c r="U45" s="543"/>
      <c r="V45" s="82" t="s">
        <v>516</v>
      </c>
      <c r="W45" s="73" t="s">
        <v>17</v>
      </c>
      <c r="X45" s="73" t="s">
        <v>18</v>
      </c>
      <c r="Y45" s="83">
        <v>42.4</v>
      </c>
      <c r="Z45" s="82" t="s">
        <v>518</v>
      </c>
      <c r="AA45" s="73" t="s">
        <v>88</v>
      </c>
      <c r="AB45" s="73" t="s">
        <v>18</v>
      </c>
      <c r="AC45" s="73">
        <v>2.2000000000000002</v>
      </c>
      <c r="AD45" s="82"/>
      <c r="AG45" s="83"/>
      <c r="AL45" s="82"/>
      <c r="AO45" s="83"/>
      <c r="AP45" s="82"/>
      <c r="AT45" s="161"/>
      <c r="AW45" s="83"/>
      <c r="BA45" s="84"/>
    </row>
    <row r="46" spans="1:53" s="73" customFormat="1" x14ac:dyDescent="0.15">
      <c r="A46" s="102">
        <v>1976</v>
      </c>
      <c r="B46" s="540"/>
      <c r="C46" s="811" t="s">
        <v>736</v>
      </c>
      <c r="D46" s="811"/>
      <c r="E46" s="543">
        <v>43</v>
      </c>
      <c r="F46" s="543"/>
      <c r="G46" s="480"/>
      <c r="H46" s="543">
        <v>25</v>
      </c>
      <c r="I46" s="543"/>
      <c r="J46" s="482">
        <v>25</v>
      </c>
      <c r="K46" s="477">
        <f t="shared" si="4"/>
        <v>0</v>
      </c>
      <c r="L46" s="477">
        <f t="shared" si="4"/>
        <v>100</v>
      </c>
      <c r="M46" s="477">
        <f t="shared" si="4"/>
        <v>0</v>
      </c>
      <c r="N46" s="481">
        <f t="shared" si="2"/>
        <v>100</v>
      </c>
      <c r="O46" s="476"/>
      <c r="P46" s="477">
        <v>44.6</v>
      </c>
      <c r="Q46" s="477"/>
      <c r="R46" s="478">
        <f t="shared" si="3"/>
        <v>44.6</v>
      </c>
      <c r="S46" s="543">
        <v>5</v>
      </c>
      <c r="T46" s="471"/>
      <c r="U46" s="543"/>
      <c r="V46" s="82" t="s">
        <v>516</v>
      </c>
      <c r="W46" s="73" t="s">
        <v>17</v>
      </c>
      <c r="X46" s="73" t="s">
        <v>18</v>
      </c>
      <c r="Y46" s="83">
        <v>42.4</v>
      </c>
      <c r="Z46" s="82" t="s">
        <v>518</v>
      </c>
      <c r="AA46" s="73" t="s">
        <v>88</v>
      </c>
      <c r="AB46" s="73" t="s">
        <v>18</v>
      </c>
      <c r="AC46" s="73">
        <v>2.2000000000000002</v>
      </c>
      <c r="AD46" s="82"/>
      <c r="AG46" s="83"/>
      <c r="AL46" s="82"/>
      <c r="AO46" s="83"/>
      <c r="AP46" s="82"/>
      <c r="AT46" s="161"/>
      <c r="AW46" s="83"/>
      <c r="BA46" s="84"/>
    </row>
    <row r="47" spans="1:53" s="334" customFormat="1" x14ac:dyDescent="0.15">
      <c r="A47" s="386">
        <v>1976</v>
      </c>
      <c r="B47" s="541">
        <v>27803</v>
      </c>
      <c r="C47" s="812" t="s">
        <v>737</v>
      </c>
      <c r="D47" s="812"/>
      <c r="E47" s="544">
        <v>167</v>
      </c>
      <c r="F47" s="544">
        <v>5</v>
      </c>
      <c r="G47" s="497"/>
      <c r="H47" s="544">
        <v>22</v>
      </c>
      <c r="I47" s="544"/>
      <c r="J47" s="499">
        <v>22</v>
      </c>
      <c r="K47" s="495">
        <f t="shared" si="4"/>
        <v>0</v>
      </c>
      <c r="L47" s="495">
        <f t="shared" si="4"/>
        <v>100</v>
      </c>
      <c r="M47" s="495">
        <f t="shared" si="4"/>
        <v>0</v>
      </c>
      <c r="N47" s="498">
        <f t="shared" si="2"/>
        <v>100</v>
      </c>
      <c r="O47" s="494"/>
      <c r="P47" s="495">
        <v>42.4</v>
      </c>
      <c r="Q47" s="495"/>
      <c r="R47" s="496">
        <f t="shared" si="3"/>
        <v>42.4</v>
      </c>
      <c r="S47" s="544">
        <v>6</v>
      </c>
      <c r="T47" s="492"/>
      <c r="U47" s="541">
        <v>27803</v>
      </c>
      <c r="V47" s="343" t="s">
        <v>516</v>
      </c>
      <c r="W47" s="334" t="s">
        <v>17</v>
      </c>
      <c r="X47" s="334" t="s">
        <v>18</v>
      </c>
      <c r="Y47" s="344">
        <v>42.4</v>
      </c>
      <c r="Z47" s="343"/>
      <c r="AD47" s="343"/>
      <c r="AG47" s="344"/>
      <c r="AL47" s="343"/>
      <c r="AO47" s="344"/>
      <c r="AP47" s="343"/>
      <c r="AT47" s="449"/>
      <c r="AW47" s="344"/>
      <c r="BA47" s="345"/>
    </row>
    <row r="48" spans="1:53" s="73" customFormat="1" x14ac:dyDescent="0.15">
      <c r="A48" s="102">
        <v>1976</v>
      </c>
      <c r="B48" s="540">
        <v>27970</v>
      </c>
      <c r="C48" s="811" t="s">
        <v>738</v>
      </c>
      <c r="D48" s="811"/>
      <c r="E48" s="543">
        <f>366-E47-E46</f>
        <v>156</v>
      </c>
      <c r="F48" s="543">
        <v>1</v>
      </c>
      <c r="G48" s="480"/>
      <c r="H48" s="543">
        <v>21</v>
      </c>
      <c r="I48" s="543"/>
      <c r="J48" s="482">
        <v>22</v>
      </c>
      <c r="K48" s="477">
        <f t="shared" si="4"/>
        <v>0</v>
      </c>
      <c r="L48" s="477">
        <f t="shared" si="4"/>
        <v>95.454545454545453</v>
      </c>
      <c r="M48" s="477">
        <f t="shared" si="4"/>
        <v>0</v>
      </c>
      <c r="N48" s="481">
        <f t="shared" si="2"/>
        <v>95.454545454545453</v>
      </c>
      <c r="O48" s="476"/>
      <c r="P48" s="477">
        <v>41.7</v>
      </c>
      <c r="Q48" s="477"/>
      <c r="R48" s="478">
        <f t="shared" si="3"/>
        <v>41.7</v>
      </c>
      <c r="S48" s="543">
        <v>4</v>
      </c>
      <c r="T48" s="479">
        <v>27931</v>
      </c>
      <c r="U48" s="540">
        <v>27970</v>
      </c>
      <c r="V48" s="82" t="s">
        <v>516</v>
      </c>
      <c r="W48" s="73" t="s">
        <v>17</v>
      </c>
      <c r="X48" s="73" t="s">
        <v>18</v>
      </c>
      <c r="Y48" s="83">
        <v>41.7</v>
      </c>
      <c r="AD48" s="82"/>
      <c r="AG48" s="83"/>
      <c r="AL48" s="82"/>
      <c r="AO48" s="83"/>
      <c r="AP48" s="82"/>
      <c r="AT48" s="161"/>
      <c r="AW48" s="83"/>
      <c r="BA48" s="84"/>
    </row>
    <row r="49" spans="1:53" s="73" customFormat="1" x14ac:dyDescent="0.15">
      <c r="A49" s="102">
        <v>1977</v>
      </c>
      <c r="B49" s="540"/>
      <c r="C49" s="811" t="s">
        <v>738</v>
      </c>
      <c r="D49" s="811"/>
      <c r="E49" s="543">
        <v>0</v>
      </c>
      <c r="F49" s="543"/>
      <c r="G49" s="480"/>
      <c r="H49" s="543">
        <v>21</v>
      </c>
      <c r="I49" s="543"/>
      <c r="J49" s="482">
        <v>22</v>
      </c>
      <c r="K49" s="477">
        <f t="shared" si="4"/>
        <v>0</v>
      </c>
      <c r="L49" s="477">
        <f t="shared" si="4"/>
        <v>95.454545454545453</v>
      </c>
      <c r="M49" s="477">
        <f t="shared" si="4"/>
        <v>0</v>
      </c>
      <c r="N49" s="481">
        <f t="shared" si="2"/>
        <v>95.454545454545453</v>
      </c>
      <c r="O49" s="476"/>
      <c r="P49" s="477">
        <v>41.7</v>
      </c>
      <c r="Q49" s="477"/>
      <c r="R49" s="478">
        <f t="shared" si="3"/>
        <v>41.7</v>
      </c>
      <c r="S49" s="543">
        <v>4</v>
      </c>
      <c r="T49" s="471"/>
      <c r="U49" s="543"/>
      <c r="V49" s="82" t="s">
        <v>516</v>
      </c>
      <c r="W49" s="73" t="s">
        <v>17</v>
      </c>
      <c r="X49" s="73" t="s">
        <v>18</v>
      </c>
      <c r="Y49" s="83">
        <v>41.7</v>
      </c>
      <c r="AD49" s="82"/>
      <c r="AG49" s="83"/>
      <c r="AL49" s="82"/>
      <c r="AO49" s="83"/>
      <c r="AP49" s="82"/>
      <c r="AT49" s="161"/>
      <c r="AW49" s="83"/>
      <c r="BA49" s="84"/>
    </row>
    <row r="50" spans="1:53" s="73" customFormat="1" x14ac:dyDescent="0.15">
      <c r="A50" s="102">
        <v>1977</v>
      </c>
      <c r="B50" s="540"/>
      <c r="C50" s="811" t="s">
        <v>738</v>
      </c>
      <c r="D50" s="811"/>
      <c r="E50" s="543">
        <v>365</v>
      </c>
      <c r="F50" s="543"/>
      <c r="G50" s="480"/>
      <c r="H50" s="543">
        <v>21</v>
      </c>
      <c r="I50" s="543"/>
      <c r="J50" s="482">
        <v>22</v>
      </c>
      <c r="K50" s="477">
        <f t="shared" si="4"/>
        <v>0</v>
      </c>
      <c r="L50" s="477">
        <f t="shared" si="4"/>
        <v>95.454545454545453</v>
      </c>
      <c r="M50" s="477">
        <f t="shared" si="4"/>
        <v>0</v>
      </c>
      <c r="N50" s="481">
        <f t="shared" si="2"/>
        <v>95.454545454545453</v>
      </c>
      <c r="O50" s="476"/>
      <c r="P50" s="477">
        <v>41.7</v>
      </c>
      <c r="Q50" s="477"/>
      <c r="R50" s="478">
        <f t="shared" si="3"/>
        <v>41.7</v>
      </c>
      <c r="S50" s="543">
        <v>4</v>
      </c>
      <c r="T50" s="471"/>
      <c r="U50" s="543"/>
      <c r="V50" s="82" t="s">
        <v>516</v>
      </c>
      <c r="W50" s="73" t="s">
        <v>17</v>
      </c>
      <c r="X50" s="73" t="s">
        <v>18</v>
      </c>
      <c r="Y50" s="83">
        <v>41.7</v>
      </c>
      <c r="AD50" s="82"/>
      <c r="AG50" s="83"/>
      <c r="AL50" s="82"/>
      <c r="AO50" s="83"/>
      <c r="AP50" s="82"/>
      <c r="AT50" s="161"/>
      <c r="AW50" s="83"/>
      <c r="BA50" s="84"/>
    </row>
    <row r="51" spans="1:53" s="73" customFormat="1" x14ac:dyDescent="0.15">
      <c r="A51" s="102">
        <v>1978</v>
      </c>
      <c r="B51" s="540"/>
      <c r="C51" s="811" t="s">
        <v>738</v>
      </c>
      <c r="D51" s="811"/>
      <c r="E51" s="543">
        <v>71</v>
      </c>
      <c r="F51" s="543"/>
      <c r="G51" s="480"/>
      <c r="H51" s="543">
        <v>21</v>
      </c>
      <c r="I51" s="543"/>
      <c r="J51" s="482">
        <v>22</v>
      </c>
      <c r="K51" s="477">
        <f t="shared" si="4"/>
        <v>0</v>
      </c>
      <c r="L51" s="477">
        <f t="shared" si="4"/>
        <v>95.454545454545453</v>
      </c>
      <c r="M51" s="477">
        <f t="shared" si="4"/>
        <v>0</v>
      </c>
      <c r="N51" s="481">
        <f t="shared" si="2"/>
        <v>95.454545454545453</v>
      </c>
      <c r="O51" s="476"/>
      <c r="P51" s="477">
        <v>41.7</v>
      </c>
      <c r="Q51" s="477"/>
      <c r="R51" s="478">
        <f t="shared" si="3"/>
        <v>41.7</v>
      </c>
      <c r="S51" s="543">
        <v>4</v>
      </c>
      <c r="T51" s="471"/>
      <c r="U51" s="543"/>
      <c r="V51" s="82" t="s">
        <v>516</v>
      </c>
      <c r="W51" s="73" t="s">
        <v>17</v>
      </c>
      <c r="X51" s="73" t="s">
        <v>18</v>
      </c>
      <c r="Y51" s="83">
        <v>41.7</v>
      </c>
      <c r="AD51" s="82"/>
      <c r="AG51" s="83"/>
      <c r="AL51" s="82"/>
      <c r="AO51" s="83"/>
      <c r="AP51" s="82"/>
      <c r="AT51" s="161"/>
      <c r="AW51" s="83"/>
      <c r="BA51" s="84"/>
    </row>
    <row r="52" spans="1:53" s="334" customFormat="1" x14ac:dyDescent="0.15">
      <c r="A52" s="386">
        <v>1978</v>
      </c>
      <c r="B52" s="541">
        <v>28562</v>
      </c>
      <c r="C52" s="812" t="s">
        <v>739</v>
      </c>
      <c r="D52" s="812"/>
      <c r="E52" s="544">
        <f>365-E51</f>
        <v>294</v>
      </c>
      <c r="F52" s="544">
        <v>5</v>
      </c>
      <c r="G52" s="497"/>
      <c r="H52" s="544">
        <v>20</v>
      </c>
      <c r="I52" s="544"/>
      <c r="J52" s="499">
        <v>21</v>
      </c>
      <c r="K52" s="495">
        <f t="shared" si="4"/>
        <v>0</v>
      </c>
      <c r="L52" s="495">
        <f t="shared" si="4"/>
        <v>95.238095238095227</v>
      </c>
      <c r="M52" s="495">
        <f t="shared" si="4"/>
        <v>0</v>
      </c>
      <c r="N52" s="498">
        <f t="shared" si="2"/>
        <v>95.238095238095227</v>
      </c>
      <c r="O52" s="494"/>
      <c r="P52" s="495">
        <v>41.7</v>
      </c>
      <c r="Q52" s="495"/>
      <c r="R52" s="496">
        <f t="shared" si="3"/>
        <v>41.7</v>
      </c>
      <c r="S52" s="544">
        <v>4</v>
      </c>
      <c r="T52" s="492"/>
      <c r="U52" s="541">
        <v>28562</v>
      </c>
      <c r="V52" s="343" t="s">
        <v>516</v>
      </c>
      <c r="W52" s="334" t="s">
        <v>17</v>
      </c>
      <c r="X52" s="334" t="s">
        <v>18</v>
      </c>
      <c r="Y52" s="344">
        <v>41.7</v>
      </c>
      <c r="AD52" s="343"/>
      <c r="AG52" s="344"/>
      <c r="AL52" s="343"/>
      <c r="AO52" s="344"/>
      <c r="AP52" s="343"/>
      <c r="AT52" s="449"/>
      <c r="AW52" s="344"/>
      <c r="BA52" s="345"/>
    </row>
    <row r="53" spans="1:53" s="334" customFormat="1" x14ac:dyDescent="0.15">
      <c r="A53" s="386">
        <v>1979</v>
      </c>
      <c r="B53" s="541"/>
      <c r="C53" s="812" t="s">
        <v>739</v>
      </c>
      <c r="D53" s="812"/>
      <c r="E53" s="544">
        <v>79</v>
      </c>
      <c r="F53" s="544"/>
      <c r="G53" s="497"/>
      <c r="H53" s="544">
        <v>20</v>
      </c>
      <c r="I53" s="544"/>
      <c r="J53" s="499">
        <v>21</v>
      </c>
      <c r="K53" s="495">
        <f t="shared" si="4"/>
        <v>0</v>
      </c>
      <c r="L53" s="495">
        <f t="shared" si="4"/>
        <v>95.238095238095227</v>
      </c>
      <c r="M53" s="495">
        <f t="shared" si="4"/>
        <v>0</v>
      </c>
      <c r="N53" s="498">
        <f t="shared" si="2"/>
        <v>95.238095238095227</v>
      </c>
      <c r="O53" s="494"/>
      <c r="P53" s="495">
        <v>41.7</v>
      </c>
      <c r="Q53" s="495"/>
      <c r="R53" s="496">
        <f t="shared" si="3"/>
        <v>41.7</v>
      </c>
      <c r="S53" s="544">
        <v>4</v>
      </c>
      <c r="T53" s="492"/>
      <c r="U53" s="544"/>
      <c r="V53" s="343" t="s">
        <v>516</v>
      </c>
      <c r="W53" s="334" t="s">
        <v>17</v>
      </c>
      <c r="X53" s="334" t="s">
        <v>18</v>
      </c>
      <c r="Y53" s="344">
        <v>41.7</v>
      </c>
      <c r="AD53" s="343"/>
      <c r="AG53" s="344"/>
      <c r="AL53" s="343"/>
      <c r="AO53" s="344"/>
      <c r="AP53" s="343"/>
      <c r="AT53" s="449"/>
      <c r="AW53" s="344"/>
      <c r="BA53" s="345"/>
    </row>
    <row r="54" spans="1:53" s="73" customFormat="1" x14ac:dyDescent="0.15">
      <c r="A54" s="102">
        <v>1979</v>
      </c>
      <c r="B54" s="540">
        <v>28935</v>
      </c>
      <c r="C54" s="811" t="s">
        <v>740</v>
      </c>
      <c r="D54" s="811"/>
      <c r="E54" s="543">
        <v>137</v>
      </c>
      <c r="F54" s="543">
        <v>5</v>
      </c>
      <c r="G54" s="480"/>
      <c r="H54" s="543">
        <v>17</v>
      </c>
      <c r="I54" s="543">
        <v>4</v>
      </c>
      <c r="J54" s="482">
        <v>21</v>
      </c>
      <c r="K54" s="477">
        <f t="shared" si="4"/>
        <v>0</v>
      </c>
      <c r="L54" s="477">
        <f t="shared" si="4"/>
        <v>80.952380952380949</v>
      </c>
      <c r="M54" s="477">
        <f t="shared" si="4"/>
        <v>19.047619047619047</v>
      </c>
      <c r="N54" s="481">
        <f t="shared" si="2"/>
        <v>100</v>
      </c>
      <c r="O54" s="476"/>
      <c r="P54" s="477">
        <v>43.9</v>
      </c>
      <c r="Q54" s="477">
        <v>2.4</v>
      </c>
      <c r="R54" s="478">
        <f t="shared" si="3"/>
        <v>46.3</v>
      </c>
      <c r="S54" s="543">
        <v>6</v>
      </c>
      <c r="T54" s="471"/>
      <c r="U54" s="540">
        <v>28935</v>
      </c>
      <c r="V54" s="82" t="s">
        <v>516</v>
      </c>
      <c r="W54" s="73" t="s">
        <v>17</v>
      </c>
      <c r="X54" s="73" t="s">
        <v>18</v>
      </c>
      <c r="Y54" s="83">
        <v>41.7</v>
      </c>
      <c r="Z54" s="73" t="s">
        <v>517</v>
      </c>
      <c r="AA54" s="73" t="s">
        <v>97</v>
      </c>
      <c r="AB54" s="73" t="s">
        <v>12</v>
      </c>
      <c r="AC54" s="73">
        <v>2.4</v>
      </c>
      <c r="AD54" s="82" t="s">
        <v>518</v>
      </c>
      <c r="AE54" s="73" t="s">
        <v>88</v>
      </c>
      <c r="AF54" s="73" t="s">
        <v>18</v>
      </c>
      <c r="AG54" s="83">
        <v>2.2000000000000002</v>
      </c>
      <c r="AL54" s="82"/>
      <c r="AO54" s="83"/>
      <c r="AP54" s="82"/>
      <c r="AT54" s="161"/>
      <c r="AW54" s="83"/>
      <c r="BA54" s="84"/>
    </row>
    <row r="55" spans="1:53" s="334" customFormat="1" x14ac:dyDescent="0.15">
      <c r="A55" s="386">
        <v>1979</v>
      </c>
      <c r="B55" s="541">
        <v>29072</v>
      </c>
      <c r="C55" s="812" t="s">
        <v>741</v>
      </c>
      <c r="D55" s="812"/>
      <c r="E55" s="544">
        <f>365-E54-E53</f>
        <v>149</v>
      </c>
      <c r="F55" s="544">
        <v>1</v>
      </c>
      <c r="G55" s="497">
        <v>2</v>
      </c>
      <c r="H55" s="544">
        <v>17</v>
      </c>
      <c r="I55" s="544">
        <v>4</v>
      </c>
      <c r="J55" s="499">
        <v>25</v>
      </c>
      <c r="K55" s="495">
        <f t="shared" si="4"/>
        <v>8</v>
      </c>
      <c r="L55" s="495">
        <f t="shared" si="4"/>
        <v>68</v>
      </c>
      <c r="M55" s="495">
        <f t="shared" si="4"/>
        <v>16</v>
      </c>
      <c r="N55" s="498">
        <f t="shared" si="2"/>
        <v>92</v>
      </c>
      <c r="O55" s="494">
        <v>1.5</v>
      </c>
      <c r="P55" s="495">
        <v>41.4</v>
      </c>
      <c r="Q55" s="495">
        <v>3.3</v>
      </c>
      <c r="R55" s="496">
        <f t="shared" si="3"/>
        <v>46.199999999999996</v>
      </c>
      <c r="S55" s="544">
        <v>5</v>
      </c>
      <c r="T55" s="487">
        <v>29009</v>
      </c>
      <c r="U55" s="541">
        <v>29072</v>
      </c>
      <c r="V55" s="343" t="s">
        <v>516</v>
      </c>
      <c r="W55" s="334" t="s">
        <v>17</v>
      </c>
      <c r="X55" s="334" t="s">
        <v>18</v>
      </c>
      <c r="Y55" s="344">
        <v>41.4</v>
      </c>
      <c r="Z55" s="334" t="s">
        <v>517</v>
      </c>
      <c r="AA55" s="334" t="s">
        <v>97</v>
      </c>
      <c r="AB55" s="334" t="s">
        <v>12</v>
      </c>
      <c r="AC55" s="334">
        <v>3.3</v>
      </c>
      <c r="AD55" s="343" t="s">
        <v>521</v>
      </c>
      <c r="AE55" s="334" t="s">
        <v>22</v>
      </c>
      <c r="AF55" s="334" t="s">
        <v>11</v>
      </c>
      <c r="AG55" s="344">
        <v>1.5</v>
      </c>
      <c r="AL55" s="343"/>
      <c r="AO55" s="344"/>
      <c r="AP55" s="343"/>
      <c r="AT55" s="449"/>
      <c r="AW55" s="344"/>
      <c r="BA55" s="345"/>
    </row>
    <row r="56" spans="1:53" s="334" customFormat="1" x14ac:dyDescent="0.15">
      <c r="A56" s="386">
        <v>1980</v>
      </c>
      <c r="B56" s="541"/>
      <c r="C56" s="812" t="s">
        <v>741</v>
      </c>
      <c r="D56" s="812"/>
      <c r="E56" s="544">
        <v>94</v>
      </c>
      <c r="F56" s="544"/>
      <c r="G56" s="497">
        <v>2</v>
      </c>
      <c r="H56" s="544">
        <v>17</v>
      </c>
      <c r="I56" s="544">
        <v>4</v>
      </c>
      <c r="J56" s="499">
        <v>25</v>
      </c>
      <c r="K56" s="495">
        <f t="shared" si="4"/>
        <v>8</v>
      </c>
      <c r="L56" s="495">
        <f t="shared" si="4"/>
        <v>68</v>
      </c>
      <c r="M56" s="495">
        <f t="shared" si="4"/>
        <v>16</v>
      </c>
      <c r="N56" s="498">
        <f t="shared" si="2"/>
        <v>92</v>
      </c>
      <c r="O56" s="494">
        <v>1.5</v>
      </c>
      <c r="P56" s="495">
        <v>41.4</v>
      </c>
      <c r="Q56" s="495">
        <v>3.3</v>
      </c>
      <c r="R56" s="496">
        <f t="shared" si="3"/>
        <v>46.199999999999996</v>
      </c>
      <c r="S56" s="544">
        <v>5</v>
      </c>
      <c r="T56" s="492"/>
      <c r="U56" s="544"/>
      <c r="V56" s="343" t="s">
        <v>516</v>
      </c>
      <c r="W56" s="334" t="s">
        <v>17</v>
      </c>
      <c r="X56" s="334" t="s">
        <v>18</v>
      </c>
      <c r="Y56" s="344">
        <v>41.4</v>
      </c>
      <c r="Z56" s="334" t="s">
        <v>517</v>
      </c>
      <c r="AA56" s="334" t="s">
        <v>97</v>
      </c>
      <c r="AB56" s="334" t="s">
        <v>12</v>
      </c>
      <c r="AC56" s="334">
        <v>3.3</v>
      </c>
      <c r="AD56" s="343" t="s">
        <v>521</v>
      </c>
      <c r="AE56" s="334" t="s">
        <v>22</v>
      </c>
      <c r="AF56" s="334" t="s">
        <v>11</v>
      </c>
      <c r="AG56" s="344">
        <v>1.5</v>
      </c>
      <c r="AL56" s="343"/>
      <c r="AO56" s="344"/>
      <c r="AP56" s="343"/>
      <c r="AT56" s="449"/>
      <c r="AW56" s="344"/>
      <c r="BA56" s="345"/>
    </row>
    <row r="57" spans="1:53" s="73" customFormat="1" x14ac:dyDescent="0.15">
      <c r="A57" s="102">
        <v>1980</v>
      </c>
      <c r="B57" s="540">
        <v>29315</v>
      </c>
      <c r="C57" s="811" t="s">
        <v>742</v>
      </c>
      <c r="D57" s="811"/>
      <c r="E57" s="543">
        <v>198</v>
      </c>
      <c r="F57" s="543">
        <v>5</v>
      </c>
      <c r="G57" s="480"/>
      <c r="H57" s="543">
        <v>19</v>
      </c>
      <c r="I57" s="543">
        <v>9</v>
      </c>
      <c r="J57" s="482">
        <v>28</v>
      </c>
      <c r="K57" s="477">
        <f t="shared" si="4"/>
        <v>0</v>
      </c>
      <c r="L57" s="477">
        <f t="shared" si="4"/>
        <v>67.857142857142861</v>
      </c>
      <c r="M57" s="477">
        <f t="shared" si="4"/>
        <v>32.142857142857146</v>
      </c>
      <c r="N57" s="481">
        <f t="shared" si="2"/>
        <v>100</v>
      </c>
      <c r="O57" s="476"/>
      <c r="P57" s="477">
        <v>43.8</v>
      </c>
      <c r="Q57" s="477">
        <v>9.8000000000000007</v>
      </c>
      <c r="R57" s="478">
        <f t="shared" si="3"/>
        <v>53.599999999999994</v>
      </c>
      <c r="S57" s="543">
        <v>3</v>
      </c>
      <c r="T57" s="471"/>
      <c r="U57" s="540">
        <v>29315</v>
      </c>
      <c r="V57" s="82" t="s">
        <v>516</v>
      </c>
      <c r="W57" s="73" t="s">
        <v>17</v>
      </c>
      <c r="X57" s="73" t="s">
        <v>18</v>
      </c>
      <c r="Y57" s="83">
        <v>41.4</v>
      </c>
      <c r="Z57" s="73" t="s">
        <v>519</v>
      </c>
      <c r="AA57" s="73" t="s">
        <v>20</v>
      </c>
      <c r="AB57" s="73" t="s">
        <v>12</v>
      </c>
      <c r="AC57" s="73">
        <v>9.8000000000000007</v>
      </c>
      <c r="AD57" s="82" t="s">
        <v>518</v>
      </c>
      <c r="AE57" s="73" t="s">
        <v>88</v>
      </c>
      <c r="AF57" s="73" t="s">
        <v>18</v>
      </c>
      <c r="AG57" s="83">
        <v>2.4</v>
      </c>
      <c r="AL57" s="82"/>
      <c r="AO57" s="83"/>
      <c r="AP57" s="82"/>
      <c r="AT57" s="161"/>
      <c r="AW57" s="83"/>
      <c r="BA57" s="84"/>
    </row>
    <row r="58" spans="1:53" s="334" customFormat="1" x14ac:dyDescent="0.15">
      <c r="A58" s="386">
        <v>1980</v>
      </c>
      <c r="B58" s="541">
        <v>29513</v>
      </c>
      <c r="C58" s="812" t="s">
        <v>743</v>
      </c>
      <c r="D58" s="812"/>
      <c r="E58" s="544">
        <f>366-E57-E56</f>
        <v>74</v>
      </c>
      <c r="F58" s="544">
        <v>5</v>
      </c>
      <c r="G58" s="497"/>
      <c r="H58" s="544">
        <v>17</v>
      </c>
      <c r="I58" s="544">
        <v>10</v>
      </c>
      <c r="J58" s="499">
        <v>27</v>
      </c>
      <c r="K58" s="495">
        <f>G58/$J58*100</f>
        <v>0</v>
      </c>
      <c r="L58" s="495">
        <f t="shared" si="4"/>
        <v>62.962962962962962</v>
      </c>
      <c r="M58" s="495">
        <f t="shared" si="4"/>
        <v>37.037037037037038</v>
      </c>
      <c r="N58" s="498">
        <f t="shared" si="2"/>
        <v>100</v>
      </c>
      <c r="O58" s="494"/>
      <c r="P58" s="495">
        <v>43.8</v>
      </c>
      <c r="Q58" s="495">
        <v>13.1</v>
      </c>
      <c r="R58" s="496">
        <f>O58+P58+Q58</f>
        <v>56.9</v>
      </c>
      <c r="S58" s="544">
        <v>3</v>
      </c>
      <c r="T58" s="492"/>
      <c r="U58" s="541">
        <v>29513</v>
      </c>
      <c r="V58" s="343" t="s">
        <v>516</v>
      </c>
      <c r="W58" s="334" t="s">
        <v>17</v>
      </c>
      <c r="X58" s="334" t="s">
        <v>18</v>
      </c>
      <c r="Y58" s="344">
        <v>41.4</v>
      </c>
      <c r="Z58" s="334" t="s">
        <v>519</v>
      </c>
      <c r="AA58" s="334" t="s">
        <v>20</v>
      </c>
      <c r="AB58" s="334" t="s">
        <v>12</v>
      </c>
      <c r="AC58" s="334">
        <v>9.8000000000000007</v>
      </c>
      <c r="AD58" s="343" t="s">
        <v>517</v>
      </c>
      <c r="AE58" s="334" t="s">
        <v>97</v>
      </c>
      <c r="AF58" s="334" t="s">
        <v>12</v>
      </c>
      <c r="AG58" s="344">
        <v>3.3</v>
      </c>
      <c r="AH58" s="343" t="s">
        <v>518</v>
      </c>
      <c r="AI58" s="334" t="s">
        <v>88</v>
      </c>
      <c r="AJ58" s="334" t="s">
        <v>18</v>
      </c>
      <c r="AK58" s="334">
        <v>2.4</v>
      </c>
      <c r="AL58" s="343"/>
      <c r="AO58" s="344"/>
      <c r="AP58" s="343"/>
      <c r="AT58" s="449"/>
      <c r="AW58" s="344"/>
      <c r="BA58" s="345"/>
    </row>
    <row r="59" spans="1:53" s="334" customFormat="1" x14ac:dyDescent="0.15">
      <c r="A59" s="386">
        <v>1981</v>
      </c>
      <c r="B59" s="541"/>
      <c r="C59" s="812" t="s">
        <v>743</v>
      </c>
      <c r="D59" s="812"/>
      <c r="E59" s="544">
        <v>178</v>
      </c>
      <c r="F59" s="544"/>
      <c r="G59" s="497"/>
      <c r="H59" s="544">
        <v>17</v>
      </c>
      <c r="I59" s="544">
        <v>10</v>
      </c>
      <c r="J59" s="499">
        <v>27</v>
      </c>
      <c r="K59" s="495">
        <f t="shared" ref="K59:M101" si="5">G59/$J59*100</f>
        <v>0</v>
      </c>
      <c r="L59" s="495">
        <f t="shared" si="4"/>
        <v>62.962962962962962</v>
      </c>
      <c r="M59" s="495">
        <f t="shared" si="4"/>
        <v>37.037037037037038</v>
      </c>
      <c r="N59" s="498">
        <f t="shared" si="2"/>
        <v>100</v>
      </c>
      <c r="O59" s="494"/>
      <c r="P59" s="495">
        <v>43.8</v>
      </c>
      <c r="Q59" s="495">
        <v>13.1</v>
      </c>
      <c r="R59" s="496">
        <f t="shared" si="3"/>
        <v>56.9</v>
      </c>
      <c r="S59" s="544">
        <v>3</v>
      </c>
      <c r="T59" s="492"/>
      <c r="U59" s="544"/>
      <c r="V59" s="343" t="s">
        <v>516</v>
      </c>
      <c r="W59" s="334" t="s">
        <v>17</v>
      </c>
      <c r="X59" s="334" t="s">
        <v>18</v>
      </c>
      <c r="Y59" s="344">
        <v>41.4</v>
      </c>
      <c r="Z59" s="334" t="s">
        <v>519</v>
      </c>
      <c r="AA59" s="334" t="s">
        <v>20</v>
      </c>
      <c r="AB59" s="334" t="s">
        <v>12</v>
      </c>
      <c r="AC59" s="334">
        <v>9.8000000000000007</v>
      </c>
      <c r="AD59" s="343" t="s">
        <v>517</v>
      </c>
      <c r="AE59" s="334" t="s">
        <v>97</v>
      </c>
      <c r="AF59" s="334" t="s">
        <v>12</v>
      </c>
      <c r="AG59" s="344">
        <v>3.3</v>
      </c>
      <c r="AH59" s="343" t="s">
        <v>518</v>
      </c>
      <c r="AI59" s="334" t="s">
        <v>88</v>
      </c>
      <c r="AJ59" s="334" t="s">
        <v>18</v>
      </c>
      <c r="AK59" s="334">
        <v>2.4</v>
      </c>
      <c r="AL59" s="343"/>
      <c r="AO59" s="344"/>
      <c r="AP59" s="343"/>
      <c r="AT59" s="449"/>
      <c r="AW59" s="344"/>
      <c r="BA59" s="345"/>
    </row>
    <row r="60" spans="1:53" s="73" customFormat="1" x14ac:dyDescent="0.15">
      <c r="A60" s="102">
        <v>1981</v>
      </c>
      <c r="B60" s="540">
        <v>29765</v>
      </c>
      <c r="C60" s="811" t="s">
        <v>744</v>
      </c>
      <c r="D60" s="811"/>
      <c r="E60" s="543">
        <f>365-E59</f>
        <v>187</v>
      </c>
      <c r="F60" s="543">
        <v>5</v>
      </c>
      <c r="G60" s="480">
        <v>1</v>
      </c>
      <c r="H60" s="543">
        <v>17</v>
      </c>
      <c r="I60" s="543">
        <v>10</v>
      </c>
      <c r="J60" s="482">
        <v>28</v>
      </c>
      <c r="K60" s="477">
        <f t="shared" si="5"/>
        <v>3.5714285714285712</v>
      </c>
      <c r="L60" s="477">
        <f t="shared" si="4"/>
        <v>60.714285714285708</v>
      </c>
      <c r="M60" s="477">
        <f t="shared" si="4"/>
        <v>35.714285714285715</v>
      </c>
      <c r="N60" s="481">
        <f t="shared" si="2"/>
        <v>100</v>
      </c>
      <c r="O60" s="476">
        <v>1.5</v>
      </c>
      <c r="P60" s="477">
        <v>43.8</v>
      </c>
      <c r="Q60" s="477">
        <v>13.1</v>
      </c>
      <c r="R60" s="478">
        <f t="shared" si="3"/>
        <v>58.4</v>
      </c>
      <c r="S60" s="543">
        <v>3</v>
      </c>
      <c r="T60" s="471"/>
      <c r="U60" s="540">
        <v>29765</v>
      </c>
      <c r="V60" s="82" t="s">
        <v>516</v>
      </c>
      <c r="W60" s="73" t="s">
        <v>17</v>
      </c>
      <c r="X60" s="73" t="s">
        <v>18</v>
      </c>
      <c r="Y60" s="83">
        <v>41.4</v>
      </c>
      <c r="Z60" s="73" t="s">
        <v>519</v>
      </c>
      <c r="AA60" s="73" t="s">
        <v>20</v>
      </c>
      <c r="AB60" s="73" t="s">
        <v>12</v>
      </c>
      <c r="AC60" s="73">
        <v>9.8000000000000007</v>
      </c>
      <c r="AD60" s="82" t="s">
        <v>517</v>
      </c>
      <c r="AE60" s="73" t="s">
        <v>97</v>
      </c>
      <c r="AF60" s="73" t="s">
        <v>12</v>
      </c>
      <c r="AG60" s="83">
        <v>3.3</v>
      </c>
      <c r="AH60" s="82" t="s">
        <v>518</v>
      </c>
      <c r="AI60" s="73" t="s">
        <v>88</v>
      </c>
      <c r="AJ60" s="73" t="s">
        <v>18</v>
      </c>
      <c r="AK60" s="73">
        <v>2.4</v>
      </c>
      <c r="AL60" s="82" t="s">
        <v>521</v>
      </c>
      <c r="AM60" s="73" t="s">
        <v>22</v>
      </c>
      <c r="AN60" s="73" t="s">
        <v>11</v>
      </c>
      <c r="AO60" s="83">
        <v>1.5</v>
      </c>
      <c r="AP60" s="82"/>
      <c r="AT60" s="161"/>
      <c r="AW60" s="83"/>
      <c r="BA60" s="84"/>
    </row>
    <row r="61" spans="1:53" s="73" customFormat="1" x14ac:dyDescent="0.15">
      <c r="A61" s="102">
        <v>1982</v>
      </c>
      <c r="B61" s="540"/>
      <c r="C61" s="811" t="s">
        <v>744</v>
      </c>
      <c r="D61" s="811"/>
      <c r="E61" s="543">
        <v>234</v>
      </c>
      <c r="F61" s="543"/>
      <c r="G61" s="480">
        <v>1</v>
      </c>
      <c r="H61" s="543">
        <v>17</v>
      </c>
      <c r="I61" s="543">
        <v>10</v>
      </c>
      <c r="J61" s="482">
        <v>28</v>
      </c>
      <c r="K61" s="477">
        <f t="shared" si="5"/>
        <v>3.5714285714285712</v>
      </c>
      <c r="L61" s="477">
        <f t="shared" si="4"/>
        <v>60.714285714285708</v>
      </c>
      <c r="M61" s="477">
        <f t="shared" si="4"/>
        <v>35.714285714285715</v>
      </c>
      <c r="N61" s="481">
        <f t="shared" si="2"/>
        <v>100</v>
      </c>
      <c r="O61" s="476">
        <v>1.5</v>
      </c>
      <c r="P61" s="477">
        <v>43.8</v>
      </c>
      <c r="Q61" s="477">
        <v>13.1</v>
      </c>
      <c r="R61" s="478">
        <f t="shared" si="3"/>
        <v>58.4</v>
      </c>
      <c r="S61" s="543">
        <v>3</v>
      </c>
      <c r="T61" s="471"/>
      <c r="U61" s="543"/>
      <c r="V61" s="82" t="s">
        <v>516</v>
      </c>
      <c r="W61" s="73" t="s">
        <v>17</v>
      </c>
      <c r="X61" s="73" t="s">
        <v>18</v>
      </c>
      <c r="Y61" s="83">
        <v>41.4</v>
      </c>
      <c r="Z61" s="73" t="s">
        <v>519</v>
      </c>
      <c r="AA61" s="73" t="s">
        <v>20</v>
      </c>
      <c r="AB61" s="73" t="s">
        <v>12</v>
      </c>
      <c r="AC61" s="73">
        <v>9.8000000000000007</v>
      </c>
      <c r="AD61" s="82" t="s">
        <v>517</v>
      </c>
      <c r="AE61" s="73" t="s">
        <v>97</v>
      </c>
      <c r="AF61" s="73" t="s">
        <v>12</v>
      </c>
      <c r="AG61" s="83">
        <v>3.3</v>
      </c>
      <c r="AH61" s="82" t="s">
        <v>518</v>
      </c>
      <c r="AI61" s="73" t="s">
        <v>88</v>
      </c>
      <c r="AJ61" s="73" t="s">
        <v>18</v>
      </c>
      <c r="AK61" s="73">
        <v>2.4</v>
      </c>
      <c r="AL61" s="82" t="s">
        <v>521</v>
      </c>
      <c r="AM61" s="73" t="s">
        <v>22</v>
      </c>
      <c r="AN61" s="73" t="s">
        <v>11</v>
      </c>
      <c r="AO61" s="83">
        <v>1.5</v>
      </c>
      <c r="AP61" s="82"/>
      <c r="AT61" s="161"/>
      <c r="AW61" s="83"/>
      <c r="BA61" s="84"/>
    </row>
    <row r="62" spans="1:53" s="334" customFormat="1" x14ac:dyDescent="0.15">
      <c r="A62" s="386">
        <v>1982</v>
      </c>
      <c r="B62" s="541">
        <v>30186</v>
      </c>
      <c r="C62" s="812" t="s">
        <v>745</v>
      </c>
      <c r="D62" s="812"/>
      <c r="E62" s="544">
        <v>110</v>
      </c>
      <c r="F62" s="544">
        <v>4</v>
      </c>
      <c r="G62" s="497">
        <v>1</v>
      </c>
      <c r="H62" s="544">
        <v>17</v>
      </c>
      <c r="I62" s="544">
        <v>10</v>
      </c>
      <c r="J62" s="499">
        <v>28</v>
      </c>
      <c r="K62" s="495">
        <f t="shared" si="5"/>
        <v>3.5714285714285712</v>
      </c>
      <c r="L62" s="495">
        <f t="shared" si="4"/>
        <v>60.714285714285708</v>
      </c>
      <c r="M62" s="495">
        <f t="shared" si="4"/>
        <v>35.714285714285715</v>
      </c>
      <c r="N62" s="498">
        <f t="shared" si="2"/>
        <v>100</v>
      </c>
      <c r="O62" s="494">
        <v>1.5</v>
      </c>
      <c r="P62" s="495">
        <v>43.8</v>
      </c>
      <c r="Q62" s="495">
        <v>13.1</v>
      </c>
      <c r="R62" s="496">
        <f t="shared" si="3"/>
        <v>58.4</v>
      </c>
      <c r="S62" s="544">
        <v>3</v>
      </c>
      <c r="T62" s="492"/>
      <c r="U62" s="541">
        <v>30186</v>
      </c>
      <c r="V62" s="343" t="s">
        <v>516</v>
      </c>
      <c r="W62" s="334" t="s">
        <v>17</v>
      </c>
      <c r="X62" s="334" t="s">
        <v>18</v>
      </c>
      <c r="Y62" s="344">
        <v>41.4</v>
      </c>
      <c r="Z62" s="334" t="s">
        <v>519</v>
      </c>
      <c r="AA62" s="334" t="s">
        <v>20</v>
      </c>
      <c r="AB62" s="334" t="s">
        <v>12</v>
      </c>
      <c r="AC62" s="334">
        <v>9.8000000000000007</v>
      </c>
      <c r="AD62" s="343" t="s">
        <v>517</v>
      </c>
      <c r="AE62" s="334" t="s">
        <v>97</v>
      </c>
      <c r="AF62" s="334" t="s">
        <v>12</v>
      </c>
      <c r="AG62" s="344">
        <v>3.3</v>
      </c>
      <c r="AH62" s="343" t="s">
        <v>518</v>
      </c>
      <c r="AI62" s="334" t="s">
        <v>88</v>
      </c>
      <c r="AJ62" s="334" t="s">
        <v>18</v>
      </c>
      <c r="AK62" s="334">
        <v>2.4</v>
      </c>
      <c r="AL62" s="343" t="s">
        <v>521</v>
      </c>
      <c r="AM62" s="334" t="s">
        <v>22</v>
      </c>
      <c r="AN62" s="334" t="s">
        <v>11</v>
      </c>
      <c r="AO62" s="344">
        <v>1.5</v>
      </c>
      <c r="AP62" s="343"/>
      <c r="AT62" s="449"/>
      <c r="AW62" s="344"/>
      <c r="BA62" s="345"/>
    </row>
    <row r="63" spans="1:53" s="73" customFormat="1" x14ac:dyDescent="0.15">
      <c r="A63" s="102">
        <v>1982</v>
      </c>
      <c r="B63" s="540">
        <v>30296</v>
      </c>
      <c r="C63" s="811" t="s">
        <v>746</v>
      </c>
      <c r="D63" s="811"/>
      <c r="E63" s="543">
        <f>365-E62-E61</f>
        <v>21</v>
      </c>
      <c r="F63" s="543">
        <v>4</v>
      </c>
      <c r="G63" s="480">
        <v>2</v>
      </c>
      <c r="H63" s="543">
        <v>14</v>
      </c>
      <c r="I63" s="543">
        <v>12</v>
      </c>
      <c r="J63" s="482">
        <v>28</v>
      </c>
      <c r="K63" s="477">
        <f t="shared" si="5"/>
        <v>7.1428571428571423</v>
      </c>
      <c r="L63" s="477">
        <f t="shared" si="4"/>
        <v>50</v>
      </c>
      <c r="M63" s="477">
        <f t="shared" si="4"/>
        <v>42.857142857142854</v>
      </c>
      <c r="N63" s="481">
        <f t="shared" si="2"/>
        <v>100</v>
      </c>
      <c r="O63" s="476">
        <v>1.5</v>
      </c>
      <c r="P63" s="477">
        <v>41.4</v>
      </c>
      <c r="Q63" s="477">
        <v>13.1</v>
      </c>
      <c r="R63" s="478">
        <f t="shared" si="3"/>
        <v>56</v>
      </c>
      <c r="S63" s="543">
        <v>3</v>
      </c>
      <c r="T63" s="471"/>
      <c r="U63" s="540">
        <v>30296</v>
      </c>
      <c r="V63" s="82" t="s">
        <v>516</v>
      </c>
      <c r="W63" s="73" t="s">
        <v>17</v>
      </c>
      <c r="X63" s="73" t="s">
        <v>18</v>
      </c>
      <c r="Y63" s="83">
        <v>41.4</v>
      </c>
      <c r="Z63" s="73" t="s">
        <v>519</v>
      </c>
      <c r="AA63" s="73" t="s">
        <v>20</v>
      </c>
      <c r="AB63" s="73" t="s">
        <v>12</v>
      </c>
      <c r="AC63" s="73">
        <v>9.8000000000000007</v>
      </c>
      <c r="AD63" s="82" t="s">
        <v>517</v>
      </c>
      <c r="AE63" s="73" t="s">
        <v>97</v>
      </c>
      <c r="AF63" s="73" t="s">
        <v>12</v>
      </c>
      <c r="AG63" s="83">
        <v>3.3</v>
      </c>
      <c r="AH63" s="82" t="s">
        <v>521</v>
      </c>
      <c r="AI63" s="73" t="s">
        <v>22</v>
      </c>
      <c r="AJ63" s="73" t="s">
        <v>11</v>
      </c>
      <c r="AK63" s="73">
        <v>1.5</v>
      </c>
      <c r="AL63" s="82"/>
      <c r="AO63" s="83"/>
      <c r="AP63" s="82"/>
      <c r="AT63" s="161"/>
      <c r="AW63" s="83"/>
      <c r="BA63" s="84"/>
    </row>
    <row r="64" spans="1:53" s="73" customFormat="1" x14ac:dyDescent="0.15">
      <c r="A64" s="102">
        <v>1983</v>
      </c>
      <c r="B64" s="540"/>
      <c r="C64" s="811" t="s">
        <v>746</v>
      </c>
      <c r="D64" s="811"/>
      <c r="E64" s="543">
        <v>215</v>
      </c>
      <c r="F64" s="543"/>
      <c r="G64" s="480">
        <v>2</v>
      </c>
      <c r="H64" s="543">
        <v>14</v>
      </c>
      <c r="I64" s="543">
        <v>12</v>
      </c>
      <c r="J64" s="482">
        <v>28</v>
      </c>
      <c r="K64" s="477">
        <f t="shared" si="5"/>
        <v>7.1428571428571423</v>
      </c>
      <c r="L64" s="477">
        <f t="shared" si="4"/>
        <v>50</v>
      </c>
      <c r="M64" s="477">
        <f t="shared" si="4"/>
        <v>42.857142857142854</v>
      </c>
      <c r="N64" s="481">
        <f t="shared" si="2"/>
        <v>100</v>
      </c>
      <c r="O64" s="476">
        <v>1.5</v>
      </c>
      <c r="P64" s="477">
        <v>41.4</v>
      </c>
      <c r="Q64" s="477">
        <v>13.1</v>
      </c>
      <c r="R64" s="478">
        <f t="shared" si="3"/>
        <v>56</v>
      </c>
      <c r="S64" s="543">
        <v>3</v>
      </c>
      <c r="T64" s="471"/>
      <c r="U64" s="543"/>
      <c r="V64" s="82" t="s">
        <v>516</v>
      </c>
      <c r="W64" s="73" t="s">
        <v>17</v>
      </c>
      <c r="X64" s="73" t="s">
        <v>18</v>
      </c>
      <c r="Y64" s="83">
        <v>41.4</v>
      </c>
      <c r="Z64" s="73" t="s">
        <v>519</v>
      </c>
      <c r="AA64" s="73" t="s">
        <v>20</v>
      </c>
      <c r="AB64" s="73" t="s">
        <v>12</v>
      </c>
      <c r="AC64" s="73">
        <v>9.8000000000000007</v>
      </c>
      <c r="AD64" s="82" t="s">
        <v>517</v>
      </c>
      <c r="AE64" s="73" t="s">
        <v>97</v>
      </c>
      <c r="AF64" s="73" t="s">
        <v>12</v>
      </c>
      <c r="AG64" s="83">
        <v>3.3</v>
      </c>
      <c r="AH64" s="82" t="s">
        <v>521</v>
      </c>
      <c r="AI64" s="73" t="s">
        <v>22</v>
      </c>
      <c r="AJ64" s="73" t="s">
        <v>11</v>
      </c>
      <c r="AK64" s="73">
        <v>1.5</v>
      </c>
      <c r="AL64" s="82"/>
      <c r="AO64" s="83"/>
      <c r="AP64" s="82"/>
      <c r="AT64" s="161"/>
      <c r="AW64" s="83"/>
      <c r="BA64" s="84"/>
    </row>
    <row r="65" spans="1:53" s="334" customFormat="1" x14ac:dyDescent="0.15">
      <c r="A65" s="386">
        <v>1983</v>
      </c>
      <c r="B65" s="541">
        <v>30532</v>
      </c>
      <c r="C65" s="812" t="s">
        <v>747</v>
      </c>
      <c r="D65" s="812"/>
      <c r="E65" s="544">
        <f>365-E64</f>
        <v>150</v>
      </c>
      <c r="F65" s="544">
        <v>1</v>
      </c>
      <c r="G65" s="497">
        <v>2</v>
      </c>
      <c r="H65" s="544">
        <v>19</v>
      </c>
      <c r="I65" s="544">
        <v>9</v>
      </c>
      <c r="J65" s="499">
        <v>30</v>
      </c>
      <c r="K65" s="495">
        <f t="shared" si="5"/>
        <v>6.666666666666667</v>
      </c>
      <c r="L65" s="495">
        <f t="shared" si="4"/>
        <v>63.333333333333329</v>
      </c>
      <c r="M65" s="495">
        <f t="shared" si="4"/>
        <v>30</v>
      </c>
      <c r="N65" s="498">
        <f t="shared" si="2"/>
        <v>100</v>
      </c>
      <c r="O65" s="494">
        <v>2.5</v>
      </c>
      <c r="P65" s="495">
        <v>40.299999999999997</v>
      </c>
      <c r="Q65" s="495">
        <v>15.3</v>
      </c>
      <c r="R65" s="496">
        <f t="shared" si="3"/>
        <v>58.099999999999994</v>
      </c>
      <c r="S65" s="544">
        <v>3</v>
      </c>
      <c r="T65" s="487">
        <v>30493</v>
      </c>
      <c r="U65" s="541">
        <v>30532</v>
      </c>
      <c r="V65" s="343" t="s">
        <v>516</v>
      </c>
      <c r="W65" s="334" t="s">
        <v>17</v>
      </c>
      <c r="X65" s="334" t="s">
        <v>18</v>
      </c>
      <c r="Y65" s="344">
        <v>35.700000000000003</v>
      </c>
      <c r="Z65" s="334" t="s">
        <v>519</v>
      </c>
      <c r="AA65" s="334" t="s">
        <v>20</v>
      </c>
      <c r="AB65" s="334" t="s">
        <v>12</v>
      </c>
      <c r="AC65" s="334">
        <v>11.6</v>
      </c>
      <c r="AD65" s="343" t="s">
        <v>517</v>
      </c>
      <c r="AE65" s="334" t="s">
        <v>97</v>
      </c>
      <c r="AF65" s="334" t="s">
        <v>12</v>
      </c>
      <c r="AG65" s="344">
        <v>3.7</v>
      </c>
      <c r="AH65" s="343" t="s">
        <v>521</v>
      </c>
      <c r="AI65" s="334" t="s">
        <v>22</v>
      </c>
      <c r="AJ65" s="334" t="s">
        <v>11</v>
      </c>
      <c r="AK65" s="334">
        <v>2.5</v>
      </c>
      <c r="AL65" s="343" t="s">
        <v>518</v>
      </c>
      <c r="AM65" s="334" t="s">
        <v>88</v>
      </c>
      <c r="AN65" s="334" t="s">
        <v>18</v>
      </c>
      <c r="AO65" s="344">
        <v>4.5999999999999996</v>
      </c>
      <c r="AP65" s="343"/>
      <c r="AT65" s="449"/>
      <c r="AW65" s="344"/>
      <c r="BA65" s="345"/>
    </row>
    <row r="66" spans="1:53" s="334" customFormat="1" x14ac:dyDescent="0.15">
      <c r="A66" s="386">
        <v>1984</v>
      </c>
      <c r="B66" s="541"/>
      <c r="C66" s="812" t="s">
        <v>747</v>
      </c>
      <c r="D66" s="812"/>
      <c r="E66" s="544">
        <v>0</v>
      </c>
      <c r="F66" s="544"/>
      <c r="G66" s="497">
        <v>2</v>
      </c>
      <c r="H66" s="544">
        <v>19</v>
      </c>
      <c r="I66" s="544">
        <v>9</v>
      </c>
      <c r="J66" s="499">
        <v>30</v>
      </c>
      <c r="K66" s="495">
        <f t="shared" si="5"/>
        <v>6.666666666666667</v>
      </c>
      <c r="L66" s="495">
        <f t="shared" si="4"/>
        <v>63.333333333333329</v>
      </c>
      <c r="M66" s="495">
        <f t="shared" si="4"/>
        <v>30</v>
      </c>
      <c r="N66" s="498">
        <f t="shared" si="2"/>
        <v>100</v>
      </c>
      <c r="O66" s="494">
        <v>2.5</v>
      </c>
      <c r="P66" s="495">
        <v>40.299999999999997</v>
      </c>
      <c r="Q66" s="495">
        <v>15.3</v>
      </c>
      <c r="R66" s="496">
        <f t="shared" si="3"/>
        <v>58.099999999999994</v>
      </c>
      <c r="S66" s="544">
        <v>3</v>
      </c>
      <c r="T66" s="492"/>
      <c r="U66" s="544"/>
      <c r="V66" s="343" t="s">
        <v>516</v>
      </c>
      <c r="W66" s="334" t="s">
        <v>17</v>
      </c>
      <c r="X66" s="334" t="s">
        <v>18</v>
      </c>
      <c r="Y66" s="344">
        <v>35.700000000000003</v>
      </c>
      <c r="Z66" s="334" t="s">
        <v>519</v>
      </c>
      <c r="AA66" s="334" t="s">
        <v>20</v>
      </c>
      <c r="AB66" s="334" t="s">
        <v>12</v>
      </c>
      <c r="AC66" s="334">
        <v>11.6</v>
      </c>
      <c r="AD66" s="343" t="s">
        <v>517</v>
      </c>
      <c r="AE66" s="334" t="s">
        <v>97</v>
      </c>
      <c r="AF66" s="334" t="s">
        <v>12</v>
      </c>
      <c r="AG66" s="344">
        <v>3.7</v>
      </c>
      <c r="AH66" s="343" t="s">
        <v>521</v>
      </c>
      <c r="AI66" s="334" t="s">
        <v>22</v>
      </c>
      <c r="AJ66" s="334" t="s">
        <v>11</v>
      </c>
      <c r="AK66" s="334">
        <v>2.5</v>
      </c>
      <c r="AL66" s="343" t="s">
        <v>518</v>
      </c>
      <c r="AM66" s="334" t="s">
        <v>88</v>
      </c>
      <c r="AN66" s="334" t="s">
        <v>18</v>
      </c>
      <c r="AO66" s="344">
        <v>4.5999999999999996</v>
      </c>
      <c r="AP66" s="343"/>
      <c r="AT66" s="449"/>
      <c r="AW66" s="344"/>
      <c r="BA66" s="345"/>
    </row>
    <row r="67" spans="1:53" s="334" customFormat="1" x14ac:dyDescent="0.15">
      <c r="A67" s="386">
        <v>1984</v>
      </c>
      <c r="B67" s="541"/>
      <c r="C67" s="812" t="s">
        <v>747</v>
      </c>
      <c r="D67" s="812"/>
      <c r="E67" s="544">
        <v>366</v>
      </c>
      <c r="F67" s="544"/>
      <c r="G67" s="497">
        <v>2</v>
      </c>
      <c r="H67" s="544">
        <v>19</v>
      </c>
      <c r="I67" s="544">
        <v>9</v>
      </c>
      <c r="J67" s="499">
        <v>30</v>
      </c>
      <c r="K67" s="495">
        <f t="shared" si="5"/>
        <v>6.666666666666667</v>
      </c>
      <c r="L67" s="495">
        <f t="shared" si="5"/>
        <v>63.333333333333329</v>
      </c>
      <c r="M67" s="495">
        <f t="shared" si="5"/>
        <v>30</v>
      </c>
      <c r="N67" s="498">
        <f t="shared" si="2"/>
        <v>100</v>
      </c>
      <c r="O67" s="494">
        <v>2.5</v>
      </c>
      <c r="P67" s="495">
        <v>40.299999999999997</v>
      </c>
      <c r="Q67" s="495">
        <v>15.3</v>
      </c>
      <c r="R67" s="496">
        <f t="shared" si="3"/>
        <v>58.099999999999994</v>
      </c>
      <c r="S67" s="544">
        <v>3</v>
      </c>
      <c r="T67" s="492"/>
      <c r="U67" s="544"/>
      <c r="V67" s="343" t="s">
        <v>516</v>
      </c>
      <c r="W67" s="334" t="s">
        <v>17</v>
      </c>
      <c r="X67" s="334" t="s">
        <v>18</v>
      </c>
      <c r="Y67" s="344">
        <v>35.700000000000003</v>
      </c>
      <c r="Z67" s="334" t="s">
        <v>519</v>
      </c>
      <c r="AA67" s="334" t="s">
        <v>20</v>
      </c>
      <c r="AB67" s="334" t="s">
        <v>12</v>
      </c>
      <c r="AC67" s="334">
        <v>11.6</v>
      </c>
      <c r="AD67" s="343" t="s">
        <v>517</v>
      </c>
      <c r="AE67" s="334" t="s">
        <v>97</v>
      </c>
      <c r="AF67" s="334" t="s">
        <v>12</v>
      </c>
      <c r="AG67" s="344">
        <v>3.7</v>
      </c>
      <c r="AH67" s="343" t="s">
        <v>521</v>
      </c>
      <c r="AI67" s="334" t="s">
        <v>22</v>
      </c>
      <c r="AJ67" s="334" t="s">
        <v>11</v>
      </c>
      <c r="AK67" s="334">
        <v>2.5</v>
      </c>
      <c r="AL67" s="343" t="s">
        <v>518</v>
      </c>
      <c r="AM67" s="334" t="s">
        <v>88</v>
      </c>
      <c r="AN67" s="334" t="s">
        <v>18</v>
      </c>
      <c r="AO67" s="344">
        <v>4.5999999999999996</v>
      </c>
      <c r="AP67" s="343"/>
      <c r="AT67" s="449"/>
      <c r="AW67" s="344"/>
      <c r="BA67" s="345"/>
    </row>
    <row r="68" spans="1:53" s="334" customFormat="1" x14ac:dyDescent="0.15">
      <c r="A68" s="386">
        <v>1985</v>
      </c>
      <c r="B68" s="541"/>
      <c r="C68" s="812" t="s">
        <v>747</v>
      </c>
      <c r="D68" s="812"/>
      <c r="E68" s="544">
        <v>0</v>
      </c>
      <c r="F68" s="544"/>
      <c r="G68" s="497">
        <v>2</v>
      </c>
      <c r="H68" s="544">
        <v>19</v>
      </c>
      <c r="I68" s="544">
        <v>9</v>
      </c>
      <c r="J68" s="499">
        <v>30</v>
      </c>
      <c r="K68" s="495">
        <f t="shared" si="5"/>
        <v>6.666666666666667</v>
      </c>
      <c r="L68" s="495">
        <f t="shared" si="5"/>
        <v>63.333333333333329</v>
      </c>
      <c r="M68" s="495">
        <f t="shared" si="5"/>
        <v>30</v>
      </c>
      <c r="N68" s="498">
        <f t="shared" si="2"/>
        <v>100</v>
      </c>
      <c r="O68" s="494">
        <v>2.5</v>
      </c>
      <c r="P68" s="495">
        <v>40.299999999999997</v>
      </c>
      <c r="Q68" s="495">
        <v>15.3</v>
      </c>
      <c r="R68" s="496">
        <f t="shared" si="3"/>
        <v>58.099999999999994</v>
      </c>
      <c r="S68" s="544">
        <v>3</v>
      </c>
      <c r="T68" s="492"/>
      <c r="U68" s="544"/>
      <c r="V68" s="343" t="s">
        <v>516</v>
      </c>
      <c r="W68" s="334" t="s">
        <v>17</v>
      </c>
      <c r="X68" s="334" t="s">
        <v>18</v>
      </c>
      <c r="Y68" s="344">
        <v>35.700000000000003</v>
      </c>
      <c r="Z68" s="334" t="s">
        <v>519</v>
      </c>
      <c r="AA68" s="334" t="s">
        <v>20</v>
      </c>
      <c r="AB68" s="334" t="s">
        <v>12</v>
      </c>
      <c r="AC68" s="334">
        <v>11.6</v>
      </c>
      <c r="AD68" s="343" t="s">
        <v>517</v>
      </c>
      <c r="AE68" s="334" t="s">
        <v>97</v>
      </c>
      <c r="AF68" s="334" t="s">
        <v>12</v>
      </c>
      <c r="AG68" s="344">
        <v>3.7</v>
      </c>
      <c r="AH68" s="343" t="s">
        <v>521</v>
      </c>
      <c r="AI68" s="334" t="s">
        <v>22</v>
      </c>
      <c r="AJ68" s="334" t="s">
        <v>11</v>
      </c>
      <c r="AK68" s="334">
        <v>2.5</v>
      </c>
      <c r="AL68" s="343" t="s">
        <v>518</v>
      </c>
      <c r="AM68" s="334" t="s">
        <v>88</v>
      </c>
      <c r="AN68" s="334" t="s">
        <v>18</v>
      </c>
      <c r="AO68" s="344">
        <v>4.5999999999999996</v>
      </c>
      <c r="AP68" s="343"/>
      <c r="AT68" s="449"/>
      <c r="AW68" s="344"/>
      <c r="BA68" s="345"/>
    </row>
    <row r="69" spans="1:53" s="334" customFormat="1" x14ac:dyDescent="0.15">
      <c r="A69" s="386">
        <v>1985</v>
      </c>
      <c r="B69" s="541"/>
      <c r="C69" s="812" t="s">
        <v>747</v>
      </c>
      <c r="D69" s="812"/>
      <c r="E69" s="544">
        <v>365</v>
      </c>
      <c r="F69" s="544"/>
      <c r="G69" s="497">
        <v>2</v>
      </c>
      <c r="H69" s="544">
        <v>19</v>
      </c>
      <c r="I69" s="544">
        <v>9</v>
      </c>
      <c r="J69" s="499">
        <v>30</v>
      </c>
      <c r="K69" s="495">
        <f t="shared" si="5"/>
        <v>6.666666666666667</v>
      </c>
      <c r="L69" s="495">
        <f t="shared" si="5"/>
        <v>63.333333333333329</v>
      </c>
      <c r="M69" s="495">
        <f t="shared" si="5"/>
        <v>30</v>
      </c>
      <c r="N69" s="498">
        <f t="shared" si="2"/>
        <v>100</v>
      </c>
      <c r="O69" s="494">
        <v>2.5</v>
      </c>
      <c r="P69" s="495">
        <v>40.299999999999997</v>
      </c>
      <c r="Q69" s="495">
        <v>15.3</v>
      </c>
      <c r="R69" s="496">
        <f t="shared" si="3"/>
        <v>58.099999999999994</v>
      </c>
      <c r="S69" s="544">
        <v>3</v>
      </c>
      <c r="T69" s="492"/>
      <c r="U69" s="544"/>
      <c r="V69" s="343" t="s">
        <v>516</v>
      </c>
      <c r="W69" s="334" t="s">
        <v>17</v>
      </c>
      <c r="X69" s="334" t="s">
        <v>18</v>
      </c>
      <c r="Y69" s="344">
        <v>35.700000000000003</v>
      </c>
      <c r="Z69" s="334" t="s">
        <v>519</v>
      </c>
      <c r="AA69" s="334" t="s">
        <v>20</v>
      </c>
      <c r="AB69" s="334" t="s">
        <v>12</v>
      </c>
      <c r="AC69" s="334">
        <v>11.6</v>
      </c>
      <c r="AD69" s="343" t="s">
        <v>517</v>
      </c>
      <c r="AE69" s="334" t="s">
        <v>97</v>
      </c>
      <c r="AF69" s="334" t="s">
        <v>12</v>
      </c>
      <c r="AG69" s="344">
        <v>3.7</v>
      </c>
      <c r="AH69" s="343" t="s">
        <v>521</v>
      </c>
      <c r="AI69" s="334" t="s">
        <v>22</v>
      </c>
      <c r="AJ69" s="334" t="s">
        <v>11</v>
      </c>
      <c r="AK69" s="334">
        <v>2.5</v>
      </c>
      <c r="AL69" s="343" t="s">
        <v>518</v>
      </c>
      <c r="AM69" s="334" t="s">
        <v>88</v>
      </c>
      <c r="AN69" s="334" t="s">
        <v>18</v>
      </c>
      <c r="AO69" s="344">
        <v>4.5999999999999996</v>
      </c>
      <c r="AP69" s="343"/>
      <c r="AT69" s="449"/>
      <c r="AW69" s="344"/>
      <c r="BA69" s="345"/>
    </row>
    <row r="70" spans="1:53" s="334" customFormat="1" x14ac:dyDescent="0.15">
      <c r="A70" s="386">
        <v>1986</v>
      </c>
      <c r="B70" s="541"/>
      <c r="C70" s="812" t="s">
        <v>747</v>
      </c>
      <c r="D70" s="812"/>
      <c r="E70" s="544">
        <v>213</v>
      </c>
      <c r="F70" s="544"/>
      <c r="G70" s="497">
        <v>2</v>
      </c>
      <c r="H70" s="544">
        <v>19</v>
      </c>
      <c r="I70" s="544">
        <v>9</v>
      </c>
      <c r="J70" s="499">
        <v>30</v>
      </c>
      <c r="K70" s="495">
        <f t="shared" si="5"/>
        <v>6.666666666666667</v>
      </c>
      <c r="L70" s="495">
        <f t="shared" si="5"/>
        <v>63.333333333333329</v>
      </c>
      <c r="M70" s="495">
        <f t="shared" si="5"/>
        <v>30</v>
      </c>
      <c r="N70" s="498">
        <f t="shared" si="2"/>
        <v>100</v>
      </c>
      <c r="O70" s="494">
        <v>2.5</v>
      </c>
      <c r="P70" s="495">
        <v>40.299999999999997</v>
      </c>
      <c r="Q70" s="495">
        <v>15.3</v>
      </c>
      <c r="R70" s="496">
        <f t="shared" si="3"/>
        <v>58.099999999999994</v>
      </c>
      <c r="S70" s="544">
        <v>3</v>
      </c>
      <c r="T70" s="492"/>
      <c r="U70" s="544"/>
      <c r="V70" s="343" t="s">
        <v>516</v>
      </c>
      <c r="W70" s="334" t="s">
        <v>17</v>
      </c>
      <c r="X70" s="334" t="s">
        <v>18</v>
      </c>
      <c r="Y70" s="344">
        <v>35.700000000000003</v>
      </c>
      <c r="Z70" s="334" t="s">
        <v>519</v>
      </c>
      <c r="AA70" s="334" t="s">
        <v>20</v>
      </c>
      <c r="AB70" s="334" t="s">
        <v>12</v>
      </c>
      <c r="AC70" s="334">
        <v>11.6</v>
      </c>
      <c r="AD70" s="343" t="s">
        <v>517</v>
      </c>
      <c r="AE70" s="334" t="s">
        <v>97</v>
      </c>
      <c r="AF70" s="334" t="s">
        <v>12</v>
      </c>
      <c r="AG70" s="344">
        <v>3.7</v>
      </c>
      <c r="AH70" s="343" t="s">
        <v>521</v>
      </c>
      <c r="AI70" s="334" t="s">
        <v>22</v>
      </c>
      <c r="AJ70" s="334" t="s">
        <v>11</v>
      </c>
      <c r="AK70" s="334">
        <v>2.5</v>
      </c>
      <c r="AL70" s="343" t="s">
        <v>518</v>
      </c>
      <c r="AM70" s="334" t="s">
        <v>88</v>
      </c>
      <c r="AN70" s="334" t="s">
        <v>18</v>
      </c>
      <c r="AO70" s="344">
        <v>4.5999999999999996</v>
      </c>
      <c r="AP70" s="343"/>
      <c r="AT70" s="449"/>
      <c r="AW70" s="344"/>
      <c r="BA70" s="345"/>
    </row>
    <row r="71" spans="1:53" s="73" customFormat="1" x14ac:dyDescent="0.15">
      <c r="A71" s="102">
        <v>1986</v>
      </c>
      <c r="B71" s="540">
        <v>31626</v>
      </c>
      <c r="C71" s="811" t="s">
        <v>748</v>
      </c>
      <c r="D71" s="811"/>
      <c r="E71" s="543">
        <f>365-E70</f>
        <v>152</v>
      </c>
      <c r="F71" s="543">
        <v>5</v>
      </c>
      <c r="G71" s="480">
        <v>2</v>
      </c>
      <c r="H71" s="543">
        <v>19</v>
      </c>
      <c r="I71" s="543">
        <v>9</v>
      </c>
      <c r="J71" s="482">
        <v>30</v>
      </c>
      <c r="K71" s="477">
        <f t="shared" si="5"/>
        <v>6.666666666666667</v>
      </c>
      <c r="L71" s="477">
        <f t="shared" si="5"/>
        <v>63.333333333333329</v>
      </c>
      <c r="M71" s="477">
        <f t="shared" si="5"/>
        <v>30</v>
      </c>
      <c r="N71" s="481">
        <f t="shared" si="2"/>
        <v>100</v>
      </c>
      <c r="O71" s="476">
        <v>2.5</v>
      </c>
      <c r="P71" s="477">
        <v>40.299999999999997</v>
      </c>
      <c r="Q71" s="477">
        <v>15.3</v>
      </c>
      <c r="R71" s="478">
        <f t="shared" si="3"/>
        <v>58.099999999999994</v>
      </c>
      <c r="S71" s="543">
        <v>3</v>
      </c>
      <c r="T71" s="471"/>
      <c r="U71" s="540">
        <v>31626</v>
      </c>
      <c r="V71" s="82" t="s">
        <v>516</v>
      </c>
      <c r="W71" s="73" t="s">
        <v>17</v>
      </c>
      <c r="X71" s="73" t="s">
        <v>18</v>
      </c>
      <c r="Y71" s="83">
        <v>35.700000000000003</v>
      </c>
      <c r="Z71" s="73" t="s">
        <v>519</v>
      </c>
      <c r="AA71" s="73" t="s">
        <v>20</v>
      </c>
      <c r="AB71" s="73" t="s">
        <v>12</v>
      </c>
      <c r="AC71" s="73">
        <v>11.6</v>
      </c>
      <c r="AD71" s="82" t="s">
        <v>517</v>
      </c>
      <c r="AE71" s="73" t="s">
        <v>97</v>
      </c>
      <c r="AF71" s="73" t="s">
        <v>12</v>
      </c>
      <c r="AG71" s="83">
        <v>3.7</v>
      </c>
      <c r="AH71" s="82" t="s">
        <v>521</v>
      </c>
      <c r="AI71" s="73" t="s">
        <v>22</v>
      </c>
      <c r="AJ71" s="73" t="s">
        <v>11</v>
      </c>
      <c r="AK71" s="73">
        <v>2.5</v>
      </c>
      <c r="AL71" s="82" t="s">
        <v>518</v>
      </c>
      <c r="AM71" s="73" t="s">
        <v>88</v>
      </c>
      <c r="AN71" s="73" t="s">
        <v>18</v>
      </c>
      <c r="AO71" s="83">
        <v>4.5999999999999996</v>
      </c>
      <c r="AP71" s="82"/>
      <c r="AT71" s="161"/>
      <c r="AW71" s="83"/>
      <c r="BA71" s="84"/>
    </row>
    <row r="72" spans="1:53" s="73" customFormat="1" x14ac:dyDescent="0.15">
      <c r="A72" s="102">
        <v>1987</v>
      </c>
      <c r="B72" s="540"/>
      <c r="C72" s="811" t="s">
        <v>748</v>
      </c>
      <c r="D72" s="811"/>
      <c r="E72" s="543">
        <v>107</v>
      </c>
      <c r="F72" s="543"/>
      <c r="G72" s="480">
        <v>2</v>
      </c>
      <c r="H72" s="543">
        <v>19</v>
      </c>
      <c r="I72" s="543">
        <v>9</v>
      </c>
      <c r="J72" s="482">
        <v>30</v>
      </c>
      <c r="K72" s="477">
        <f t="shared" si="5"/>
        <v>6.666666666666667</v>
      </c>
      <c r="L72" s="477">
        <f t="shared" si="5"/>
        <v>63.333333333333329</v>
      </c>
      <c r="M72" s="477">
        <f t="shared" si="5"/>
        <v>30</v>
      </c>
      <c r="N72" s="481">
        <f t="shared" si="2"/>
        <v>100</v>
      </c>
      <c r="O72" s="476">
        <v>2.5</v>
      </c>
      <c r="P72" s="477">
        <v>40.299999999999997</v>
      </c>
      <c r="Q72" s="477">
        <v>15.3</v>
      </c>
      <c r="R72" s="478">
        <f t="shared" si="3"/>
        <v>58.099999999999994</v>
      </c>
      <c r="S72" s="543">
        <v>3</v>
      </c>
      <c r="T72" s="471"/>
      <c r="U72" s="543"/>
      <c r="V72" s="82" t="s">
        <v>516</v>
      </c>
      <c r="W72" s="73" t="s">
        <v>17</v>
      </c>
      <c r="X72" s="73" t="s">
        <v>18</v>
      </c>
      <c r="Y72" s="83">
        <v>35.700000000000003</v>
      </c>
      <c r="Z72" s="73" t="s">
        <v>519</v>
      </c>
      <c r="AA72" s="73" t="s">
        <v>20</v>
      </c>
      <c r="AB72" s="73" t="s">
        <v>12</v>
      </c>
      <c r="AC72" s="73">
        <v>11.6</v>
      </c>
      <c r="AD72" s="82" t="s">
        <v>517</v>
      </c>
      <c r="AE72" s="73" t="s">
        <v>97</v>
      </c>
      <c r="AF72" s="73" t="s">
        <v>12</v>
      </c>
      <c r="AG72" s="83">
        <v>3.7</v>
      </c>
      <c r="AH72" s="82" t="s">
        <v>521</v>
      </c>
      <c r="AI72" s="73" t="s">
        <v>22</v>
      </c>
      <c r="AJ72" s="73" t="s">
        <v>11</v>
      </c>
      <c r="AK72" s="73">
        <v>2.5</v>
      </c>
      <c r="AL72" s="82" t="s">
        <v>518</v>
      </c>
      <c r="AM72" s="73" t="s">
        <v>88</v>
      </c>
      <c r="AN72" s="73" t="s">
        <v>18</v>
      </c>
      <c r="AO72" s="83">
        <v>4.5999999999999996</v>
      </c>
      <c r="AP72" s="82"/>
      <c r="AT72" s="161"/>
      <c r="AW72" s="83"/>
      <c r="BA72" s="84"/>
    </row>
    <row r="73" spans="1:53" s="334" customFormat="1" x14ac:dyDescent="0.15">
      <c r="A73" s="386">
        <v>1987</v>
      </c>
      <c r="B73" s="541">
        <v>31885</v>
      </c>
      <c r="C73" s="812" t="s">
        <v>749</v>
      </c>
      <c r="D73" s="812"/>
      <c r="E73" s="544">
        <v>102</v>
      </c>
      <c r="F73" s="544">
        <v>1</v>
      </c>
      <c r="G73" s="497"/>
      <c r="H73" s="544">
        <v>16</v>
      </c>
      <c r="I73" s="544"/>
      <c r="J73" s="499">
        <v>25</v>
      </c>
      <c r="K73" s="495">
        <f t="shared" si="5"/>
        <v>0</v>
      </c>
      <c r="L73" s="495">
        <f t="shared" si="5"/>
        <v>64</v>
      </c>
      <c r="M73" s="495">
        <f t="shared" si="5"/>
        <v>0</v>
      </c>
      <c r="N73" s="498">
        <f t="shared" ref="N73:N133" si="6">K73+L73+M73</f>
        <v>64</v>
      </c>
      <c r="O73" s="494"/>
      <c r="P73" s="495">
        <v>35.700000000000003</v>
      </c>
      <c r="Q73" s="495"/>
      <c r="R73" s="496">
        <f t="shared" ref="R73:R136" si="7">O73+P73+Q73</f>
        <v>35.700000000000003</v>
      </c>
      <c r="S73" s="544">
        <v>4</v>
      </c>
      <c r="T73" s="492"/>
      <c r="U73" s="541">
        <v>31885</v>
      </c>
      <c r="V73" s="343" t="s">
        <v>516</v>
      </c>
      <c r="W73" s="334" t="s">
        <v>17</v>
      </c>
      <c r="X73" s="334" t="s">
        <v>18</v>
      </c>
      <c r="Y73" s="344">
        <v>35.700000000000003</v>
      </c>
      <c r="AD73" s="343"/>
      <c r="AG73" s="344"/>
      <c r="AL73" s="343"/>
      <c r="AO73" s="344"/>
      <c r="AP73" s="343"/>
      <c r="AT73" s="449"/>
      <c r="AW73" s="344"/>
      <c r="BA73" s="345"/>
    </row>
    <row r="74" spans="1:53" s="73" customFormat="1" x14ac:dyDescent="0.15">
      <c r="A74" s="102">
        <v>1987</v>
      </c>
      <c r="B74" s="540">
        <v>31987</v>
      </c>
      <c r="C74" s="811" t="s">
        <v>750</v>
      </c>
      <c r="D74" s="811"/>
      <c r="E74" s="543">
        <f>365-E73-E72</f>
        <v>156</v>
      </c>
      <c r="F74" s="543">
        <v>1</v>
      </c>
      <c r="G74" s="480">
        <v>1</v>
      </c>
      <c r="H74" s="543">
        <v>18</v>
      </c>
      <c r="I74" s="543">
        <v>11</v>
      </c>
      <c r="J74" s="482">
        <v>30</v>
      </c>
      <c r="K74" s="477">
        <f t="shared" si="5"/>
        <v>3.3333333333333335</v>
      </c>
      <c r="L74" s="477">
        <f t="shared" si="5"/>
        <v>60</v>
      </c>
      <c r="M74" s="477">
        <f t="shared" si="5"/>
        <v>36.666666666666664</v>
      </c>
      <c r="N74" s="481">
        <f t="shared" si="6"/>
        <v>100</v>
      </c>
      <c r="O74" s="476">
        <v>1.7</v>
      </c>
      <c r="P74" s="477">
        <v>40.4</v>
      </c>
      <c r="Q74" s="477">
        <v>17.600000000000001</v>
      </c>
      <c r="R74" s="478">
        <f t="shared" si="7"/>
        <v>59.7</v>
      </c>
      <c r="S74" s="543">
        <v>3</v>
      </c>
      <c r="T74" s="479">
        <v>31942</v>
      </c>
      <c r="U74" s="540">
        <v>31987</v>
      </c>
      <c r="V74" s="82" t="s">
        <v>516</v>
      </c>
      <c r="W74" s="73" t="s">
        <v>17</v>
      </c>
      <c r="X74" s="73" t="s">
        <v>18</v>
      </c>
      <c r="Y74" s="83">
        <v>37.1</v>
      </c>
      <c r="Z74" s="73" t="s">
        <v>519</v>
      </c>
      <c r="AA74" s="73" t="s">
        <v>20</v>
      </c>
      <c r="AB74" s="73" t="s">
        <v>12</v>
      </c>
      <c r="AC74" s="73">
        <v>14.9</v>
      </c>
      <c r="AD74" s="82" t="s">
        <v>518</v>
      </c>
      <c r="AE74" s="73" t="s">
        <v>88</v>
      </c>
      <c r="AF74" s="73" t="s">
        <v>18</v>
      </c>
      <c r="AG74" s="83">
        <v>3.3</v>
      </c>
      <c r="AH74" s="73" t="s">
        <v>517</v>
      </c>
      <c r="AI74" s="73" t="s">
        <v>97</v>
      </c>
      <c r="AJ74" s="73" t="s">
        <v>12</v>
      </c>
      <c r="AK74" s="73">
        <v>2.7</v>
      </c>
      <c r="AL74" s="82" t="s">
        <v>521</v>
      </c>
      <c r="AM74" s="73" t="s">
        <v>22</v>
      </c>
      <c r="AN74" s="73" t="s">
        <v>11</v>
      </c>
      <c r="AO74" s="83">
        <v>1.7</v>
      </c>
      <c r="AP74" s="82"/>
      <c r="AT74" s="161"/>
      <c r="AW74" s="83"/>
      <c r="BA74" s="84"/>
    </row>
    <row r="75" spans="1:53" s="73" customFormat="1" x14ac:dyDescent="0.15">
      <c r="A75" s="102">
        <v>1988</v>
      </c>
      <c r="B75" s="540"/>
      <c r="C75" s="811" t="s">
        <v>750</v>
      </c>
      <c r="D75" s="811"/>
      <c r="E75" s="543">
        <v>103</v>
      </c>
      <c r="F75" s="543"/>
      <c r="G75" s="480">
        <v>1</v>
      </c>
      <c r="H75" s="543">
        <v>18</v>
      </c>
      <c r="I75" s="543">
        <v>11</v>
      </c>
      <c r="J75" s="482">
        <v>30</v>
      </c>
      <c r="K75" s="477">
        <f t="shared" si="5"/>
        <v>3.3333333333333335</v>
      </c>
      <c r="L75" s="477">
        <f t="shared" si="5"/>
        <v>60</v>
      </c>
      <c r="M75" s="477">
        <f t="shared" si="5"/>
        <v>36.666666666666664</v>
      </c>
      <c r="N75" s="481">
        <f t="shared" si="6"/>
        <v>100</v>
      </c>
      <c r="O75" s="476">
        <v>1.7</v>
      </c>
      <c r="P75" s="477">
        <v>40.4</v>
      </c>
      <c r="Q75" s="477">
        <v>17.600000000000001</v>
      </c>
      <c r="R75" s="478">
        <f t="shared" si="7"/>
        <v>59.7</v>
      </c>
      <c r="S75" s="543">
        <v>3</v>
      </c>
      <c r="T75" s="471"/>
      <c r="U75" s="543"/>
      <c r="V75" s="82" t="s">
        <v>516</v>
      </c>
      <c r="W75" s="73" t="s">
        <v>17</v>
      </c>
      <c r="X75" s="73" t="s">
        <v>18</v>
      </c>
      <c r="Y75" s="83">
        <v>37.1</v>
      </c>
      <c r="Z75" s="73" t="s">
        <v>519</v>
      </c>
      <c r="AA75" s="73" t="s">
        <v>20</v>
      </c>
      <c r="AB75" s="73" t="s">
        <v>12</v>
      </c>
      <c r="AC75" s="73">
        <v>14.9</v>
      </c>
      <c r="AD75" s="82" t="s">
        <v>518</v>
      </c>
      <c r="AE75" s="73" t="s">
        <v>88</v>
      </c>
      <c r="AF75" s="73" t="s">
        <v>18</v>
      </c>
      <c r="AG75" s="83">
        <v>3.3</v>
      </c>
      <c r="AH75" s="73" t="s">
        <v>517</v>
      </c>
      <c r="AI75" s="73" t="s">
        <v>97</v>
      </c>
      <c r="AJ75" s="73" t="s">
        <v>12</v>
      </c>
      <c r="AK75" s="73">
        <v>2.7</v>
      </c>
      <c r="AL75" s="82" t="s">
        <v>521</v>
      </c>
      <c r="AM75" s="73" t="s">
        <v>22</v>
      </c>
      <c r="AN75" s="73" t="s">
        <v>11</v>
      </c>
      <c r="AO75" s="83">
        <v>1.7</v>
      </c>
      <c r="AP75" s="82"/>
      <c r="AT75" s="161"/>
      <c r="AW75" s="83"/>
      <c r="BA75" s="84"/>
    </row>
    <row r="76" spans="1:53" s="334" customFormat="1" x14ac:dyDescent="0.15">
      <c r="A76" s="386">
        <v>1988</v>
      </c>
      <c r="B76" s="541">
        <v>32246</v>
      </c>
      <c r="C76" s="812" t="s">
        <v>751</v>
      </c>
      <c r="D76" s="812"/>
      <c r="E76" s="544">
        <f>366-E75</f>
        <v>263</v>
      </c>
      <c r="F76" s="544">
        <v>4</v>
      </c>
      <c r="G76" s="497">
        <v>1</v>
      </c>
      <c r="H76" s="544">
        <v>19</v>
      </c>
      <c r="I76" s="544">
        <v>10</v>
      </c>
      <c r="J76" s="499">
        <v>30</v>
      </c>
      <c r="K76" s="495">
        <f t="shared" si="5"/>
        <v>3.3333333333333335</v>
      </c>
      <c r="L76" s="495">
        <f t="shared" si="5"/>
        <v>63.333333333333329</v>
      </c>
      <c r="M76" s="495">
        <f t="shared" si="5"/>
        <v>33.333333333333329</v>
      </c>
      <c r="N76" s="498">
        <f t="shared" si="6"/>
        <v>99.999999999999986</v>
      </c>
      <c r="O76" s="494">
        <v>1.7</v>
      </c>
      <c r="P76" s="495">
        <v>40.4</v>
      </c>
      <c r="Q76" s="495">
        <v>17.600000000000001</v>
      </c>
      <c r="R76" s="496">
        <f t="shared" si="7"/>
        <v>59.7</v>
      </c>
      <c r="S76" s="544">
        <v>3</v>
      </c>
      <c r="T76" s="492"/>
      <c r="U76" s="541">
        <v>32246</v>
      </c>
      <c r="V76" s="343" t="s">
        <v>516</v>
      </c>
      <c r="W76" s="334" t="s">
        <v>17</v>
      </c>
      <c r="X76" s="334" t="s">
        <v>18</v>
      </c>
      <c r="Y76" s="344">
        <v>37.1</v>
      </c>
      <c r="Z76" s="334" t="s">
        <v>519</v>
      </c>
      <c r="AA76" s="334" t="s">
        <v>20</v>
      </c>
      <c r="AB76" s="334" t="s">
        <v>12</v>
      </c>
      <c r="AC76" s="334">
        <v>14.9</v>
      </c>
      <c r="AD76" s="343" t="s">
        <v>518</v>
      </c>
      <c r="AE76" s="334" t="s">
        <v>88</v>
      </c>
      <c r="AF76" s="334" t="s">
        <v>18</v>
      </c>
      <c r="AG76" s="344">
        <v>3.3</v>
      </c>
      <c r="AH76" s="334" t="s">
        <v>517</v>
      </c>
      <c r="AI76" s="334" t="s">
        <v>97</v>
      </c>
      <c r="AJ76" s="334" t="s">
        <v>12</v>
      </c>
      <c r="AK76" s="334">
        <v>2.7</v>
      </c>
      <c r="AL76" s="343" t="s">
        <v>521</v>
      </c>
      <c r="AM76" s="334" t="s">
        <v>22</v>
      </c>
      <c r="AN76" s="334" t="s">
        <v>11</v>
      </c>
      <c r="AO76" s="344">
        <v>1.7</v>
      </c>
      <c r="AP76" s="343"/>
      <c r="AT76" s="449"/>
      <c r="AW76" s="344"/>
      <c r="BA76" s="345"/>
    </row>
    <row r="77" spans="1:53" s="334" customFormat="1" x14ac:dyDescent="0.15">
      <c r="A77" s="386">
        <v>1989</v>
      </c>
      <c r="B77" s="541"/>
      <c r="C77" s="812" t="s">
        <v>751</v>
      </c>
      <c r="D77" s="812"/>
      <c r="E77" s="544">
        <v>203</v>
      </c>
      <c r="F77" s="544"/>
      <c r="G77" s="497">
        <v>1</v>
      </c>
      <c r="H77" s="544">
        <v>19</v>
      </c>
      <c r="I77" s="544">
        <v>10</v>
      </c>
      <c r="J77" s="499">
        <v>30</v>
      </c>
      <c r="K77" s="495">
        <f t="shared" si="5"/>
        <v>3.3333333333333335</v>
      </c>
      <c r="L77" s="495">
        <f t="shared" si="5"/>
        <v>63.333333333333329</v>
      </c>
      <c r="M77" s="495">
        <f t="shared" si="5"/>
        <v>33.333333333333329</v>
      </c>
      <c r="N77" s="498">
        <f t="shared" si="6"/>
        <v>99.999999999999986</v>
      </c>
      <c r="O77" s="494">
        <v>1.7</v>
      </c>
      <c r="P77" s="495">
        <v>40.4</v>
      </c>
      <c r="Q77" s="495">
        <v>17.600000000000001</v>
      </c>
      <c r="R77" s="496">
        <f t="shared" si="7"/>
        <v>59.7</v>
      </c>
      <c r="S77" s="544">
        <v>3</v>
      </c>
      <c r="T77" s="492"/>
      <c r="U77" s="544"/>
      <c r="V77" s="343" t="s">
        <v>516</v>
      </c>
      <c r="W77" s="334" t="s">
        <v>17</v>
      </c>
      <c r="X77" s="334" t="s">
        <v>18</v>
      </c>
      <c r="Y77" s="344">
        <v>37.1</v>
      </c>
      <c r="Z77" s="334" t="s">
        <v>519</v>
      </c>
      <c r="AA77" s="334" t="s">
        <v>20</v>
      </c>
      <c r="AB77" s="334" t="s">
        <v>12</v>
      </c>
      <c r="AC77" s="334">
        <v>14.9</v>
      </c>
      <c r="AD77" s="343" t="s">
        <v>518</v>
      </c>
      <c r="AE77" s="334" t="s">
        <v>88</v>
      </c>
      <c r="AF77" s="334" t="s">
        <v>18</v>
      </c>
      <c r="AG77" s="344">
        <v>3.3</v>
      </c>
      <c r="AH77" s="334" t="s">
        <v>517</v>
      </c>
      <c r="AI77" s="334" t="s">
        <v>97</v>
      </c>
      <c r="AJ77" s="334" t="s">
        <v>12</v>
      </c>
      <c r="AK77" s="334">
        <v>2.7</v>
      </c>
      <c r="AL77" s="343" t="s">
        <v>521</v>
      </c>
      <c r="AM77" s="334" t="s">
        <v>22</v>
      </c>
      <c r="AN77" s="334" t="s">
        <v>11</v>
      </c>
      <c r="AO77" s="344">
        <v>1.7</v>
      </c>
      <c r="AP77" s="343"/>
      <c r="AT77" s="449"/>
      <c r="AW77" s="344"/>
      <c r="BA77" s="345"/>
    </row>
    <row r="78" spans="1:53" s="73" customFormat="1" x14ac:dyDescent="0.15">
      <c r="A78" s="102">
        <v>1989</v>
      </c>
      <c r="B78" s="540">
        <v>32712</v>
      </c>
      <c r="C78" s="811" t="s">
        <v>752</v>
      </c>
      <c r="D78" s="811"/>
      <c r="E78" s="543">
        <f>365-E77</f>
        <v>162</v>
      </c>
      <c r="F78" s="543">
        <v>5</v>
      </c>
      <c r="G78" s="480">
        <v>2</v>
      </c>
      <c r="H78" s="543">
        <v>18</v>
      </c>
      <c r="I78" s="543">
        <v>12</v>
      </c>
      <c r="J78" s="482">
        <v>32</v>
      </c>
      <c r="K78" s="477">
        <f t="shared" si="5"/>
        <v>6.25</v>
      </c>
      <c r="L78" s="477">
        <f t="shared" si="5"/>
        <v>56.25</v>
      </c>
      <c r="M78" s="477">
        <f t="shared" si="5"/>
        <v>37.5</v>
      </c>
      <c r="N78" s="481">
        <f t="shared" si="6"/>
        <v>100</v>
      </c>
      <c r="O78" s="476">
        <v>1.7</v>
      </c>
      <c r="P78" s="477">
        <v>40.4</v>
      </c>
      <c r="Q78" s="477">
        <v>17.600000000000001</v>
      </c>
      <c r="R78" s="478">
        <f t="shared" si="7"/>
        <v>59.7</v>
      </c>
      <c r="S78" s="543">
        <v>3</v>
      </c>
      <c r="T78" s="471"/>
      <c r="U78" s="540">
        <v>32712</v>
      </c>
      <c r="V78" s="82" t="s">
        <v>516</v>
      </c>
      <c r="W78" s="73" t="s">
        <v>17</v>
      </c>
      <c r="X78" s="73" t="s">
        <v>18</v>
      </c>
      <c r="Y78" s="83">
        <v>37.1</v>
      </c>
      <c r="Z78" s="73" t="s">
        <v>519</v>
      </c>
      <c r="AA78" s="73" t="s">
        <v>20</v>
      </c>
      <c r="AB78" s="73" t="s">
        <v>12</v>
      </c>
      <c r="AC78" s="73">
        <v>14.9</v>
      </c>
      <c r="AD78" s="82" t="s">
        <v>518</v>
      </c>
      <c r="AE78" s="73" t="s">
        <v>88</v>
      </c>
      <c r="AF78" s="73" t="s">
        <v>18</v>
      </c>
      <c r="AG78" s="83">
        <v>3.3</v>
      </c>
      <c r="AH78" s="73" t="s">
        <v>517</v>
      </c>
      <c r="AI78" s="73" t="s">
        <v>97</v>
      </c>
      <c r="AJ78" s="73" t="s">
        <v>12</v>
      </c>
      <c r="AK78" s="73">
        <v>2.7</v>
      </c>
      <c r="AL78" s="82" t="s">
        <v>521</v>
      </c>
      <c r="AM78" s="73" t="s">
        <v>22</v>
      </c>
      <c r="AN78" s="73" t="s">
        <v>11</v>
      </c>
      <c r="AO78" s="83">
        <v>1.7</v>
      </c>
      <c r="AP78" s="82"/>
      <c r="AT78" s="161"/>
      <c r="AW78" s="83"/>
      <c r="BA78" s="84"/>
    </row>
    <row r="79" spans="1:53" s="151" customFormat="1" x14ac:dyDescent="0.15">
      <c r="A79" s="546">
        <v>1990</v>
      </c>
      <c r="B79" s="546"/>
      <c r="C79" s="852" t="s">
        <v>752</v>
      </c>
      <c r="D79" s="852"/>
      <c r="E79" s="546">
        <v>0</v>
      </c>
      <c r="F79" s="546"/>
      <c r="G79" s="165">
        <v>2</v>
      </c>
      <c r="H79" s="546">
        <v>17</v>
      </c>
      <c r="I79" s="546">
        <v>11</v>
      </c>
      <c r="J79" s="166">
        <v>30</v>
      </c>
      <c r="K79" s="167">
        <f t="shared" si="5"/>
        <v>6.666666666666667</v>
      </c>
      <c r="L79" s="167">
        <f t="shared" si="5"/>
        <v>56.666666666666664</v>
      </c>
      <c r="M79" s="167">
        <f t="shared" si="5"/>
        <v>36.666666666666664</v>
      </c>
      <c r="N79" s="168">
        <f t="shared" si="6"/>
        <v>100</v>
      </c>
      <c r="O79" s="169">
        <v>1.7</v>
      </c>
      <c r="P79" s="167">
        <v>40.4</v>
      </c>
      <c r="Q79" s="167">
        <v>17.600000000000001</v>
      </c>
      <c r="R79" s="170">
        <f t="shared" si="7"/>
        <v>59.7</v>
      </c>
      <c r="S79" s="546">
        <v>3</v>
      </c>
      <c r="T79" s="171"/>
      <c r="U79" s="546"/>
      <c r="V79" s="172" t="s">
        <v>516</v>
      </c>
      <c r="W79" s="151" t="s">
        <v>17</v>
      </c>
      <c r="X79" s="151" t="s">
        <v>18</v>
      </c>
      <c r="Y79" s="173">
        <v>37.1</v>
      </c>
      <c r="Z79" s="151" t="s">
        <v>519</v>
      </c>
      <c r="AA79" s="151" t="s">
        <v>20</v>
      </c>
      <c r="AB79" s="151" t="s">
        <v>12</v>
      </c>
      <c r="AC79" s="151">
        <v>14.9</v>
      </c>
      <c r="AD79" s="172" t="s">
        <v>518</v>
      </c>
      <c r="AE79" s="151" t="s">
        <v>88</v>
      </c>
      <c r="AF79" s="151" t="s">
        <v>18</v>
      </c>
      <c r="AG79" s="173">
        <v>3.3</v>
      </c>
      <c r="AH79" s="151" t="s">
        <v>517</v>
      </c>
      <c r="AI79" s="151" t="s">
        <v>97</v>
      </c>
      <c r="AJ79" s="151" t="s">
        <v>12</v>
      </c>
      <c r="AK79" s="151">
        <v>2.7</v>
      </c>
      <c r="AL79" s="172" t="s">
        <v>521</v>
      </c>
      <c r="AM79" s="151" t="s">
        <v>22</v>
      </c>
      <c r="AN79" s="151" t="s">
        <v>11</v>
      </c>
      <c r="AO79" s="173">
        <v>1.7</v>
      </c>
      <c r="AP79" s="172"/>
      <c r="AT79" s="185"/>
      <c r="AW79" s="173"/>
      <c r="BA79" s="174"/>
    </row>
    <row r="80" spans="1:53" s="73" customFormat="1" x14ac:dyDescent="0.15">
      <c r="A80" s="543">
        <v>1990</v>
      </c>
      <c r="B80" s="543"/>
      <c r="C80" s="811" t="s">
        <v>752</v>
      </c>
      <c r="D80" s="811"/>
      <c r="E80" s="543">
        <f>365-E79</f>
        <v>365</v>
      </c>
      <c r="F80" s="543"/>
      <c r="G80" s="480">
        <v>2</v>
      </c>
      <c r="H80" s="543">
        <v>17</v>
      </c>
      <c r="I80" s="543">
        <v>11</v>
      </c>
      <c r="J80" s="482">
        <v>30</v>
      </c>
      <c r="K80" s="477">
        <f t="shared" si="5"/>
        <v>6.666666666666667</v>
      </c>
      <c r="L80" s="477">
        <f t="shared" si="5"/>
        <v>56.666666666666664</v>
      </c>
      <c r="M80" s="477">
        <f t="shared" si="5"/>
        <v>36.666666666666664</v>
      </c>
      <c r="N80" s="481">
        <f t="shared" si="6"/>
        <v>100</v>
      </c>
      <c r="O80" s="476">
        <v>1.7</v>
      </c>
      <c r="P80" s="477">
        <v>40.4</v>
      </c>
      <c r="Q80" s="477">
        <v>17.600000000000001</v>
      </c>
      <c r="R80" s="478">
        <f t="shared" si="7"/>
        <v>59.7</v>
      </c>
      <c r="S80" s="543">
        <v>3</v>
      </c>
      <c r="T80" s="471"/>
      <c r="U80" s="543"/>
      <c r="V80" s="82" t="s">
        <v>516</v>
      </c>
      <c r="W80" s="73" t="s">
        <v>17</v>
      </c>
      <c r="X80" s="73" t="s">
        <v>18</v>
      </c>
      <c r="Y80" s="83">
        <v>37.1</v>
      </c>
      <c r="Z80" s="73" t="s">
        <v>519</v>
      </c>
      <c r="AA80" s="73" t="s">
        <v>20</v>
      </c>
      <c r="AB80" s="73" t="s">
        <v>12</v>
      </c>
      <c r="AC80" s="73">
        <v>14.9</v>
      </c>
      <c r="AD80" s="82" t="s">
        <v>518</v>
      </c>
      <c r="AE80" s="73" t="s">
        <v>88</v>
      </c>
      <c r="AF80" s="73" t="s">
        <v>18</v>
      </c>
      <c r="AG80" s="83">
        <v>3.3</v>
      </c>
      <c r="AH80" s="73" t="s">
        <v>517</v>
      </c>
      <c r="AI80" s="73" t="s">
        <v>97</v>
      </c>
      <c r="AJ80" s="73" t="s">
        <v>12</v>
      </c>
      <c r="AK80" s="73">
        <v>2.7</v>
      </c>
      <c r="AL80" s="82" t="s">
        <v>521</v>
      </c>
      <c r="AM80" s="73" t="s">
        <v>22</v>
      </c>
      <c r="AN80" s="73" t="s">
        <v>11</v>
      </c>
      <c r="AO80" s="83">
        <v>1.7</v>
      </c>
      <c r="AP80" s="82"/>
      <c r="AT80" s="161"/>
      <c r="AW80" s="83"/>
      <c r="BA80" s="84"/>
    </row>
    <row r="81" spans="1:53" s="73" customFormat="1" x14ac:dyDescent="0.15">
      <c r="A81" s="543">
        <v>1991</v>
      </c>
      <c r="B81" s="543"/>
      <c r="C81" s="811" t="s">
        <v>752</v>
      </c>
      <c r="D81" s="811"/>
      <c r="E81" s="543">
        <v>108</v>
      </c>
      <c r="F81" s="543"/>
      <c r="G81" s="480">
        <v>2</v>
      </c>
      <c r="H81" s="543">
        <v>17</v>
      </c>
      <c r="I81" s="543">
        <v>11</v>
      </c>
      <c r="J81" s="482">
        <v>30</v>
      </c>
      <c r="K81" s="477">
        <f t="shared" si="5"/>
        <v>6.666666666666667</v>
      </c>
      <c r="L81" s="477">
        <f t="shared" si="5"/>
        <v>56.666666666666664</v>
      </c>
      <c r="M81" s="477">
        <f t="shared" si="5"/>
        <v>36.666666666666664</v>
      </c>
      <c r="N81" s="481">
        <f t="shared" si="6"/>
        <v>100</v>
      </c>
      <c r="O81" s="476">
        <v>1.7</v>
      </c>
      <c r="P81" s="477">
        <v>40.4</v>
      </c>
      <c r="Q81" s="477">
        <v>17.600000000000001</v>
      </c>
      <c r="R81" s="478">
        <f t="shared" si="7"/>
        <v>59.7</v>
      </c>
      <c r="S81" s="543">
        <v>3</v>
      </c>
      <c r="T81" s="471"/>
      <c r="U81" s="543"/>
      <c r="V81" s="82" t="s">
        <v>516</v>
      </c>
      <c r="W81" s="73" t="s">
        <v>17</v>
      </c>
      <c r="X81" s="73" t="s">
        <v>18</v>
      </c>
      <c r="Y81" s="83">
        <v>37.1</v>
      </c>
      <c r="Z81" s="73" t="s">
        <v>519</v>
      </c>
      <c r="AA81" s="73" t="s">
        <v>20</v>
      </c>
      <c r="AB81" s="73" t="s">
        <v>12</v>
      </c>
      <c r="AC81" s="73">
        <v>14.9</v>
      </c>
      <c r="AD81" s="82" t="s">
        <v>518</v>
      </c>
      <c r="AE81" s="73" t="s">
        <v>88</v>
      </c>
      <c r="AF81" s="73" t="s">
        <v>18</v>
      </c>
      <c r="AG81" s="83">
        <v>3.3</v>
      </c>
      <c r="AH81" s="73" t="s">
        <v>517</v>
      </c>
      <c r="AI81" s="73" t="s">
        <v>97</v>
      </c>
      <c r="AJ81" s="73" t="s">
        <v>12</v>
      </c>
      <c r="AK81" s="73">
        <v>2.7</v>
      </c>
      <c r="AL81" s="82" t="s">
        <v>521</v>
      </c>
      <c r="AM81" s="73" t="s">
        <v>22</v>
      </c>
      <c r="AN81" s="73" t="s">
        <v>11</v>
      </c>
      <c r="AO81" s="83">
        <v>1.7</v>
      </c>
      <c r="AP81" s="82"/>
      <c r="AT81" s="161"/>
      <c r="AW81" s="83"/>
      <c r="BA81" s="84"/>
    </row>
    <row r="82" spans="1:53" s="334" customFormat="1" x14ac:dyDescent="0.15">
      <c r="A82" s="544">
        <v>1991</v>
      </c>
      <c r="B82" s="541">
        <v>33347</v>
      </c>
      <c r="C82" s="812" t="s">
        <v>303</v>
      </c>
      <c r="D82" s="812"/>
      <c r="E82" s="544">
        <f>365-E81</f>
        <v>257</v>
      </c>
      <c r="F82" s="544">
        <v>4</v>
      </c>
      <c r="G82" s="497">
        <v>2</v>
      </c>
      <c r="H82" s="544">
        <v>16</v>
      </c>
      <c r="I82" s="544">
        <v>12</v>
      </c>
      <c r="J82" s="499">
        <v>30</v>
      </c>
      <c r="K82" s="495">
        <f t="shared" si="5"/>
        <v>6.666666666666667</v>
      </c>
      <c r="L82" s="495">
        <f t="shared" si="5"/>
        <v>53.333333333333336</v>
      </c>
      <c r="M82" s="495">
        <f t="shared" si="5"/>
        <v>40</v>
      </c>
      <c r="N82" s="498">
        <f t="shared" si="6"/>
        <v>100</v>
      </c>
      <c r="O82" s="494">
        <v>1.7</v>
      </c>
      <c r="P82" s="495">
        <v>37.1</v>
      </c>
      <c r="Q82" s="495">
        <v>17.600000000000001</v>
      </c>
      <c r="R82" s="496">
        <f t="shared" si="7"/>
        <v>56.400000000000006</v>
      </c>
      <c r="S82" s="544">
        <v>3</v>
      </c>
      <c r="T82" s="492"/>
      <c r="U82" s="541">
        <v>33347</v>
      </c>
      <c r="V82" s="343" t="s">
        <v>516</v>
      </c>
      <c r="W82" s="334" t="s">
        <v>17</v>
      </c>
      <c r="X82" s="334" t="s">
        <v>18</v>
      </c>
      <c r="Y82" s="344">
        <v>37.1</v>
      </c>
      <c r="Z82" s="334" t="s">
        <v>519</v>
      </c>
      <c r="AA82" s="334" t="s">
        <v>20</v>
      </c>
      <c r="AB82" s="334" t="s">
        <v>12</v>
      </c>
      <c r="AC82" s="334">
        <v>14.9</v>
      </c>
      <c r="AD82" s="343" t="s">
        <v>517</v>
      </c>
      <c r="AE82" s="334" t="s">
        <v>97</v>
      </c>
      <c r="AF82" s="334" t="s">
        <v>12</v>
      </c>
      <c r="AG82" s="344">
        <v>2.7</v>
      </c>
      <c r="AH82" s="343" t="s">
        <v>521</v>
      </c>
      <c r="AI82" s="334" t="s">
        <v>22</v>
      </c>
      <c r="AJ82" s="334" t="s">
        <v>11</v>
      </c>
      <c r="AK82" s="334">
        <v>1.7</v>
      </c>
      <c r="AL82" s="343"/>
      <c r="AO82" s="344"/>
      <c r="AP82" s="343"/>
      <c r="AT82" s="449"/>
      <c r="AW82" s="344"/>
      <c r="BA82" s="345"/>
    </row>
    <row r="83" spans="1:53" s="334" customFormat="1" x14ac:dyDescent="0.15">
      <c r="A83" s="544">
        <v>1992</v>
      </c>
      <c r="B83" s="544"/>
      <c r="C83" s="812" t="s">
        <v>303</v>
      </c>
      <c r="D83" s="812"/>
      <c r="E83" s="544">
        <v>8</v>
      </c>
      <c r="F83" s="544"/>
      <c r="G83" s="497">
        <v>2</v>
      </c>
      <c r="H83" s="544">
        <v>16</v>
      </c>
      <c r="I83" s="544">
        <v>12</v>
      </c>
      <c r="J83" s="499">
        <v>30</v>
      </c>
      <c r="K83" s="495">
        <f t="shared" si="5"/>
        <v>6.666666666666667</v>
      </c>
      <c r="L83" s="495">
        <f t="shared" si="5"/>
        <v>53.333333333333336</v>
      </c>
      <c r="M83" s="495">
        <f t="shared" si="5"/>
        <v>40</v>
      </c>
      <c r="N83" s="498">
        <f t="shared" si="6"/>
        <v>100</v>
      </c>
      <c r="O83" s="494">
        <v>1.7</v>
      </c>
      <c r="P83" s="495">
        <v>37.1</v>
      </c>
      <c r="Q83" s="495">
        <v>17.600000000000001</v>
      </c>
      <c r="R83" s="496">
        <f t="shared" si="7"/>
        <v>56.400000000000006</v>
      </c>
      <c r="S83" s="544">
        <v>3</v>
      </c>
      <c r="T83" s="492"/>
      <c r="U83" s="544"/>
      <c r="V83" s="343" t="s">
        <v>516</v>
      </c>
      <c r="W83" s="334" t="s">
        <v>17</v>
      </c>
      <c r="X83" s="334" t="s">
        <v>18</v>
      </c>
      <c r="Y83" s="344">
        <v>37.1</v>
      </c>
      <c r="Z83" s="334" t="s">
        <v>519</v>
      </c>
      <c r="AA83" s="334" t="s">
        <v>20</v>
      </c>
      <c r="AB83" s="334" t="s">
        <v>12</v>
      </c>
      <c r="AC83" s="334">
        <v>14.9</v>
      </c>
      <c r="AD83" s="343" t="s">
        <v>517</v>
      </c>
      <c r="AE83" s="334" t="s">
        <v>97</v>
      </c>
      <c r="AF83" s="334" t="s">
        <v>12</v>
      </c>
      <c r="AG83" s="344">
        <v>2.7</v>
      </c>
      <c r="AH83" s="343" t="s">
        <v>521</v>
      </c>
      <c r="AI83" s="334" t="s">
        <v>22</v>
      </c>
      <c r="AJ83" s="334" t="s">
        <v>11</v>
      </c>
      <c r="AK83" s="334">
        <v>1.7</v>
      </c>
      <c r="AL83" s="343"/>
      <c r="AO83" s="344"/>
      <c r="AP83" s="343"/>
      <c r="AT83" s="449"/>
      <c r="AW83" s="344"/>
      <c r="BA83" s="345"/>
    </row>
    <row r="84" spans="1:53" s="73" customFormat="1" x14ac:dyDescent="0.15">
      <c r="A84" s="543">
        <v>1992</v>
      </c>
      <c r="B84" s="540">
        <v>33612</v>
      </c>
      <c r="C84" s="811" t="s">
        <v>753</v>
      </c>
      <c r="D84" s="811"/>
      <c r="E84" s="543">
        <v>171</v>
      </c>
      <c r="F84" s="543">
        <v>2</v>
      </c>
      <c r="G84" s="480">
        <v>2</v>
      </c>
      <c r="H84" s="543">
        <v>16</v>
      </c>
      <c r="I84" s="543">
        <v>12</v>
      </c>
      <c r="J84" s="482">
        <v>30</v>
      </c>
      <c r="K84" s="477">
        <f>G84/$J84*100</f>
        <v>6.666666666666667</v>
      </c>
      <c r="L84" s="477">
        <f>H84/$J84*100</f>
        <v>53.333333333333336</v>
      </c>
      <c r="M84" s="477">
        <f>I84/$J84*100</f>
        <v>40</v>
      </c>
      <c r="N84" s="481">
        <f>K84+L84+M84</f>
        <v>100</v>
      </c>
      <c r="O84" s="476">
        <v>1.7</v>
      </c>
      <c r="P84" s="477">
        <v>37.1</v>
      </c>
      <c r="Q84" s="477">
        <v>17.600000000000001</v>
      </c>
      <c r="R84" s="478">
        <f>O84+P84+Q84</f>
        <v>56.400000000000006</v>
      </c>
      <c r="S84" s="543">
        <v>6</v>
      </c>
      <c r="T84" s="471"/>
      <c r="U84" s="540">
        <v>33612</v>
      </c>
      <c r="V84" s="82" t="s">
        <v>516</v>
      </c>
      <c r="W84" s="73" t="s">
        <v>17</v>
      </c>
      <c r="X84" s="73" t="s">
        <v>18</v>
      </c>
      <c r="Y84" s="83">
        <v>37.1</v>
      </c>
      <c r="Z84" s="73" t="s">
        <v>519</v>
      </c>
      <c r="AA84" s="73" t="s">
        <v>20</v>
      </c>
      <c r="AB84" s="73" t="s">
        <v>12</v>
      </c>
      <c r="AC84" s="73">
        <v>14.9</v>
      </c>
      <c r="AD84" s="82" t="s">
        <v>517</v>
      </c>
      <c r="AE84" s="73" t="s">
        <v>97</v>
      </c>
      <c r="AF84" s="73" t="s">
        <v>12</v>
      </c>
      <c r="AG84" s="83">
        <v>2.7</v>
      </c>
      <c r="AH84" s="82" t="s">
        <v>521</v>
      </c>
      <c r="AI84" s="73" t="s">
        <v>22</v>
      </c>
      <c r="AJ84" s="73" t="s">
        <v>11</v>
      </c>
      <c r="AK84" s="73">
        <v>1.7</v>
      </c>
      <c r="AL84" s="82"/>
      <c r="AO84" s="83"/>
      <c r="AP84" s="82"/>
      <c r="AT84" s="161"/>
      <c r="AW84" s="83"/>
      <c r="BA84" s="84"/>
    </row>
    <row r="85" spans="1:53" s="334" customFormat="1" x14ac:dyDescent="0.15">
      <c r="A85" s="544">
        <v>1992</v>
      </c>
      <c r="B85" s="541">
        <v>33783</v>
      </c>
      <c r="C85" s="812" t="s">
        <v>304</v>
      </c>
      <c r="D85" s="812"/>
      <c r="E85" s="544">
        <f>366-E83-E84</f>
        <v>187</v>
      </c>
      <c r="F85" s="544">
        <v>1</v>
      </c>
      <c r="G85" s="497">
        <v>2</v>
      </c>
      <c r="H85" s="544">
        <v>9</v>
      </c>
      <c r="I85" s="544">
        <v>9</v>
      </c>
      <c r="J85" s="499">
        <v>26</v>
      </c>
      <c r="K85" s="495">
        <f t="shared" si="5"/>
        <v>7.6923076923076925</v>
      </c>
      <c r="L85" s="495">
        <f t="shared" si="5"/>
        <v>34.615384615384613</v>
      </c>
      <c r="M85" s="495">
        <f t="shared" si="5"/>
        <v>34.615384615384613</v>
      </c>
      <c r="N85" s="498">
        <f t="shared" si="6"/>
        <v>76.92307692307692</v>
      </c>
      <c r="O85" s="494">
        <v>2.7</v>
      </c>
      <c r="P85" s="495">
        <v>32.700000000000003</v>
      </c>
      <c r="Q85" s="495">
        <v>17.100000000000001</v>
      </c>
      <c r="R85" s="496">
        <f t="shared" si="7"/>
        <v>52.500000000000007</v>
      </c>
      <c r="S85" s="544">
        <v>2</v>
      </c>
      <c r="T85" s="487">
        <v>33699</v>
      </c>
      <c r="U85" s="541">
        <v>33783</v>
      </c>
      <c r="V85" s="343" t="s">
        <v>516</v>
      </c>
      <c r="W85" s="334" t="s">
        <v>17</v>
      </c>
      <c r="X85" s="334" t="s">
        <v>18</v>
      </c>
      <c r="Y85" s="344">
        <v>32.700000000000003</v>
      </c>
      <c r="Z85" s="334" t="s">
        <v>519</v>
      </c>
      <c r="AA85" s="334" t="s">
        <v>20</v>
      </c>
      <c r="AB85" s="334" t="s">
        <v>12</v>
      </c>
      <c r="AC85" s="334">
        <v>14.6</v>
      </c>
      <c r="AD85" s="343" t="s">
        <v>517</v>
      </c>
      <c r="AE85" s="334" t="s">
        <v>97</v>
      </c>
      <c r="AF85" s="334" t="s">
        <v>12</v>
      </c>
      <c r="AG85" s="344">
        <v>2.5</v>
      </c>
      <c r="AH85" s="343" t="s">
        <v>521</v>
      </c>
      <c r="AI85" s="334" t="s">
        <v>22</v>
      </c>
      <c r="AJ85" s="334" t="s">
        <v>11</v>
      </c>
      <c r="AK85" s="334">
        <v>2.7</v>
      </c>
      <c r="AL85" s="343"/>
      <c r="AO85" s="344"/>
      <c r="AP85" s="343"/>
      <c r="AT85" s="449"/>
      <c r="AW85" s="344"/>
      <c r="BA85" s="345"/>
    </row>
    <row r="86" spans="1:53" s="334" customFormat="1" x14ac:dyDescent="0.15">
      <c r="A86" s="544">
        <v>1993</v>
      </c>
      <c r="B86" s="544"/>
      <c r="C86" s="812" t="s">
        <v>304</v>
      </c>
      <c r="D86" s="812"/>
      <c r="E86" s="544">
        <v>126</v>
      </c>
      <c r="F86" s="544"/>
      <c r="G86" s="497">
        <v>2</v>
      </c>
      <c r="H86" s="544">
        <v>9</v>
      </c>
      <c r="I86" s="544">
        <v>9</v>
      </c>
      <c r="J86" s="499">
        <v>26</v>
      </c>
      <c r="K86" s="495">
        <f t="shared" si="5"/>
        <v>7.6923076923076925</v>
      </c>
      <c r="L86" s="495">
        <f t="shared" si="5"/>
        <v>34.615384615384613</v>
      </c>
      <c r="M86" s="495">
        <f t="shared" si="5"/>
        <v>34.615384615384613</v>
      </c>
      <c r="N86" s="498">
        <f t="shared" si="6"/>
        <v>76.92307692307692</v>
      </c>
      <c r="O86" s="494">
        <v>2.7</v>
      </c>
      <c r="P86" s="495">
        <v>32.700000000000003</v>
      </c>
      <c r="Q86" s="495">
        <v>17.100000000000001</v>
      </c>
      <c r="R86" s="496">
        <f t="shared" si="7"/>
        <v>52.500000000000007</v>
      </c>
      <c r="S86" s="544">
        <v>2</v>
      </c>
      <c r="T86" s="492"/>
      <c r="U86" s="544"/>
      <c r="V86" s="343" t="s">
        <v>516</v>
      </c>
      <c r="W86" s="334" t="s">
        <v>17</v>
      </c>
      <c r="X86" s="334" t="s">
        <v>18</v>
      </c>
      <c r="Y86" s="344">
        <v>32.700000000000003</v>
      </c>
      <c r="Z86" s="334" t="s">
        <v>519</v>
      </c>
      <c r="AA86" s="334" t="s">
        <v>20</v>
      </c>
      <c r="AB86" s="334" t="s">
        <v>12</v>
      </c>
      <c r="AC86" s="334">
        <v>14.6</v>
      </c>
      <c r="AD86" s="343" t="s">
        <v>517</v>
      </c>
      <c r="AE86" s="334" t="s">
        <v>97</v>
      </c>
      <c r="AF86" s="334" t="s">
        <v>12</v>
      </c>
      <c r="AG86" s="344">
        <v>2.5</v>
      </c>
      <c r="AH86" s="343" t="s">
        <v>521</v>
      </c>
      <c r="AI86" s="334" t="s">
        <v>22</v>
      </c>
      <c r="AJ86" s="334" t="s">
        <v>11</v>
      </c>
      <c r="AK86" s="334">
        <v>2.7</v>
      </c>
      <c r="AL86" s="343"/>
      <c r="AO86" s="344"/>
      <c r="AP86" s="343"/>
      <c r="AT86" s="449"/>
      <c r="AW86" s="344"/>
      <c r="BA86" s="345"/>
    </row>
    <row r="87" spans="1:53" s="73" customFormat="1" x14ac:dyDescent="0.15">
      <c r="A87" s="543">
        <v>1993</v>
      </c>
      <c r="B87" s="540">
        <v>34096</v>
      </c>
      <c r="C87" s="811" t="s">
        <v>305</v>
      </c>
      <c r="D87" s="811"/>
      <c r="E87" s="543">
        <f>365-E86</f>
        <v>239</v>
      </c>
      <c r="F87" s="543">
        <v>4</v>
      </c>
      <c r="G87" s="480">
        <v>1</v>
      </c>
      <c r="H87" s="543">
        <v>7</v>
      </c>
      <c r="I87" s="543">
        <v>6</v>
      </c>
      <c r="J87" s="482">
        <v>25</v>
      </c>
      <c r="K87" s="477">
        <f t="shared" si="5"/>
        <v>4</v>
      </c>
      <c r="L87" s="477">
        <f t="shared" si="5"/>
        <v>28.000000000000004</v>
      </c>
      <c r="M87" s="477">
        <f t="shared" si="5"/>
        <v>24</v>
      </c>
      <c r="N87" s="481">
        <f t="shared" si="6"/>
        <v>56</v>
      </c>
      <c r="O87" s="476">
        <v>2.7</v>
      </c>
      <c r="P87" s="477">
        <v>32.700000000000003</v>
      </c>
      <c r="Q87" s="477">
        <v>17.100000000000001</v>
      </c>
      <c r="R87" s="478">
        <f t="shared" si="7"/>
        <v>52.500000000000007</v>
      </c>
      <c r="S87" s="543">
        <v>7</v>
      </c>
      <c r="T87" s="471"/>
      <c r="U87" s="540">
        <v>34096</v>
      </c>
      <c r="V87" s="158" t="s">
        <v>795</v>
      </c>
      <c r="Z87" s="82" t="s">
        <v>516</v>
      </c>
      <c r="AA87" s="73" t="s">
        <v>17</v>
      </c>
      <c r="AB87" s="73" t="s">
        <v>18</v>
      </c>
      <c r="AC87" s="83">
        <v>32.700000000000003</v>
      </c>
      <c r="AD87" s="73" t="s">
        <v>519</v>
      </c>
      <c r="AE87" s="73" t="s">
        <v>20</v>
      </c>
      <c r="AF87" s="73" t="s">
        <v>12</v>
      </c>
      <c r="AG87" s="73">
        <v>14.6</v>
      </c>
      <c r="AH87" s="82" t="s">
        <v>517</v>
      </c>
      <c r="AI87" s="73" t="s">
        <v>97</v>
      </c>
      <c r="AJ87" s="73" t="s">
        <v>12</v>
      </c>
      <c r="AK87" s="83">
        <v>2.5</v>
      </c>
      <c r="AL87" s="82" t="s">
        <v>521</v>
      </c>
      <c r="AM87" s="73" t="s">
        <v>22</v>
      </c>
      <c r="AN87" s="73" t="s">
        <v>11</v>
      </c>
      <c r="AO87" s="83">
        <v>2.7</v>
      </c>
      <c r="AP87" s="82"/>
      <c r="AT87" s="161"/>
      <c r="AW87" s="83"/>
      <c r="BA87" s="84"/>
    </row>
    <row r="88" spans="1:53" s="73" customFormat="1" x14ac:dyDescent="0.15">
      <c r="A88" s="543">
        <v>1994</v>
      </c>
      <c r="B88" s="543"/>
      <c r="C88" s="811" t="s">
        <v>305</v>
      </c>
      <c r="D88" s="811"/>
      <c r="E88" s="543">
        <v>129</v>
      </c>
      <c r="F88" s="543"/>
      <c r="G88" s="480">
        <v>1</v>
      </c>
      <c r="H88" s="543">
        <v>7</v>
      </c>
      <c r="I88" s="543">
        <v>6</v>
      </c>
      <c r="J88" s="482">
        <v>25</v>
      </c>
      <c r="K88" s="477">
        <f t="shared" si="5"/>
        <v>4</v>
      </c>
      <c r="L88" s="477">
        <f t="shared" si="5"/>
        <v>28.000000000000004</v>
      </c>
      <c r="M88" s="477">
        <f t="shared" si="5"/>
        <v>24</v>
      </c>
      <c r="N88" s="481">
        <f t="shared" si="6"/>
        <v>56</v>
      </c>
      <c r="O88" s="476">
        <v>2.7</v>
      </c>
      <c r="P88" s="477">
        <v>32.700000000000003</v>
      </c>
      <c r="Q88" s="477">
        <v>17.100000000000001</v>
      </c>
      <c r="R88" s="478">
        <f t="shared" si="7"/>
        <v>52.500000000000007</v>
      </c>
      <c r="S88" s="543">
        <v>7</v>
      </c>
      <c r="T88" s="471"/>
      <c r="U88" s="543"/>
      <c r="V88" s="158" t="s">
        <v>795</v>
      </c>
      <c r="Z88" s="82" t="s">
        <v>516</v>
      </c>
      <c r="AA88" s="73" t="s">
        <v>17</v>
      </c>
      <c r="AB88" s="73" t="s">
        <v>18</v>
      </c>
      <c r="AC88" s="83">
        <v>32.700000000000003</v>
      </c>
      <c r="AD88" s="73" t="s">
        <v>519</v>
      </c>
      <c r="AE88" s="73" t="s">
        <v>20</v>
      </c>
      <c r="AF88" s="73" t="s">
        <v>12</v>
      </c>
      <c r="AG88" s="73">
        <v>14.6</v>
      </c>
      <c r="AH88" s="82" t="s">
        <v>517</v>
      </c>
      <c r="AI88" s="73" t="s">
        <v>97</v>
      </c>
      <c r="AJ88" s="73" t="s">
        <v>12</v>
      </c>
      <c r="AK88" s="83">
        <v>2.5</v>
      </c>
      <c r="AL88" s="82" t="s">
        <v>521</v>
      </c>
      <c r="AM88" s="73" t="s">
        <v>22</v>
      </c>
      <c r="AN88" s="73" t="s">
        <v>11</v>
      </c>
      <c r="AO88" s="83">
        <v>2.7</v>
      </c>
      <c r="AP88" s="82"/>
      <c r="AT88" s="161"/>
      <c r="AW88" s="83"/>
      <c r="BA88" s="84"/>
    </row>
    <row r="89" spans="1:53" s="334" customFormat="1" x14ac:dyDescent="0.15">
      <c r="A89" s="544">
        <v>1994</v>
      </c>
      <c r="B89" s="541">
        <v>34464</v>
      </c>
      <c r="C89" s="812" t="s">
        <v>306</v>
      </c>
      <c r="D89" s="812"/>
      <c r="E89" s="544">
        <f>365-E88</f>
        <v>236</v>
      </c>
      <c r="F89" s="544">
        <v>1</v>
      </c>
      <c r="G89" s="497">
        <v>19</v>
      </c>
      <c r="H89" s="544">
        <v>4</v>
      </c>
      <c r="I89" s="544"/>
      <c r="J89" s="499">
        <v>26</v>
      </c>
      <c r="K89" s="495">
        <f t="shared" si="5"/>
        <v>73.076923076923066</v>
      </c>
      <c r="L89" s="495">
        <f t="shared" si="5"/>
        <v>15.384615384615385</v>
      </c>
      <c r="M89" s="495">
        <f t="shared" si="5"/>
        <v>0</v>
      </c>
      <c r="N89" s="498">
        <f t="shared" si="6"/>
        <v>88.461538461538453</v>
      </c>
      <c r="O89" s="494">
        <v>51.6</v>
      </c>
      <c r="P89" s="495">
        <v>5.2</v>
      </c>
      <c r="Q89" s="495"/>
      <c r="R89" s="496">
        <f t="shared" si="7"/>
        <v>56.800000000000004</v>
      </c>
      <c r="S89" s="544">
        <v>3</v>
      </c>
      <c r="T89" s="487">
        <v>34420</v>
      </c>
      <c r="U89" s="541">
        <v>34464</v>
      </c>
      <c r="V89" s="343" t="s">
        <v>522</v>
      </c>
      <c r="W89" s="334" t="s">
        <v>74</v>
      </c>
      <c r="X89" s="334" t="s">
        <v>11</v>
      </c>
      <c r="Y89" s="344">
        <v>15.7</v>
      </c>
      <c r="Z89" s="334" t="s">
        <v>523</v>
      </c>
      <c r="AA89" s="334" t="s">
        <v>307</v>
      </c>
      <c r="AB89" s="334" t="s">
        <v>11</v>
      </c>
      <c r="AC89" s="334">
        <v>18.600000000000001</v>
      </c>
      <c r="AD89" s="343" t="s">
        <v>527</v>
      </c>
      <c r="AE89" s="334" t="s">
        <v>27</v>
      </c>
      <c r="AF89" s="334" t="s">
        <v>11</v>
      </c>
      <c r="AG89" s="344">
        <v>17.3</v>
      </c>
      <c r="AH89" s="334" t="s">
        <v>584</v>
      </c>
      <c r="AI89" s="334" t="s">
        <v>340</v>
      </c>
      <c r="AJ89" s="334" t="s">
        <v>18</v>
      </c>
      <c r="AK89" s="334">
        <v>0.6</v>
      </c>
      <c r="AL89" s="343" t="s">
        <v>563</v>
      </c>
      <c r="AM89" s="334" t="s">
        <v>86</v>
      </c>
      <c r="AN89" s="334" t="s">
        <v>18</v>
      </c>
      <c r="AO89" s="344">
        <v>4.5999999999999996</v>
      </c>
      <c r="AP89" s="343"/>
      <c r="AT89" s="449"/>
      <c r="AW89" s="344"/>
      <c r="BA89" s="345"/>
    </row>
    <row r="90" spans="1:53" s="334" customFormat="1" x14ac:dyDescent="0.15">
      <c r="A90" s="544">
        <v>1995</v>
      </c>
      <c r="B90" s="544"/>
      <c r="C90" s="812" t="s">
        <v>306</v>
      </c>
      <c r="D90" s="812"/>
      <c r="E90" s="544">
        <v>16</v>
      </c>
      <c r="F90" s="544"/>
      <c r="G90" s="497">
        <v>19</v>
      </c>
      <c r="H90" s="544">
        <v>4</v>
      </c>
      <c r="I90" s="544"/>
      <c r="J90" s="499">
        <v>26</v>
      </c>
      <c r="K90" s="495">
        <f t="shared" si="5"/>
        <v>73.076923076923066</v>
      </c>
      <c r="L90" s="495">
        <f t="shared" si="5"/>
        <v>15.384615384615385</v>
      </c>
      <c r="M90" s="495">
        <f t="shared" si="5"/>
        <v>0</v>
      </c>
      <c r="N90" s="498">
        <f t="shared" si="6"/>
        <v>88.461538461538453</v>
      </c>
      <c r="O90" s="494">
        <v>51.6</v>
      </c>
      <c r="P90" s="495">
        <v>5.2</v>
      </c>
      <c r="Q90" s="495"/>
      <c r="R90" s="496">
        <f t="shared" si="7"/>
        <v>56.800000000000004</v>
      </c>
      <c r="S90" s="544">
        <v>3</v>
      </c>
      <c r="T90" s="492"/>
      <c r="U90" s="544"/>
      <c r="V90" s="343" t="s">
        <v>522</v>
      </c>
      <c r="W90" s="334" t="s">
        <v>74</v>
      </c>
      <c r="X90" s="334" t="s">
        <v>11</v>
      </c>
      <c r="Y90" s="344">
        <v>15.7</v>
      </c>
      <c r="Z90" s="334" t="s">
        <v>523</v>
      </c>
      <c r="AA90" s="334" t="s">
        <v>307</v>
      </c>
      <c r="AB90" s="334" t="s">
        <v>11</v>
      </c>
      <c r="AC90" s="334">
        <v>18.600000000000001</v>
      </c>
      <c r="AD90" s="343" t="s">
        <v>527</v>
      </c>
      <c r="AE90" s="334" t="s">
        <v>27</v>
      </c>
      <c r="AF90" s="334" t="s">
        <v>11</v>
      </c>
      <c r="AG90" s="344">
        <v>17.3</v>
      </c>
      <c r="AH90" s="334" t="s">
        <v>584</v>
      </c>
      <c r="AI90" s="334" t="s">
        <v>340</v>
      </c>
      <c r="AJ90" s="334" t="s">
        <v>18</v>
      </c>
      <c r="AK90" s="334">
        <v>0.6</v>
      </c>
      <c r="AL90" s="343" t="s">
        <v>563</v>
      </c>
      <c r="AM90" s="334" t="s">
        <v>86</v>
      </c>
      <c r="AN90" s="334" t="s">
        <v>18</v>
      </c>
      <c r="AO90" s="344">
        <v>4.5999999999999996</v>
      </c>
      <c r="AP90" s="343"/>
      <c r="AT90" s="449"/>
      <c r="AW90" s="344"/>
      <c r="BA90" s="345"/>
    </row>
    <row r="91" spans="1:53" s="73" customFormat="1" x14ac:dyDescent="0.15">
      <c r="A91" s="543">
        <v>1995</v>
      </c>
      <c r="B91" s="540">
        <v>34716</v>
      </c>
      <c r="C91" s="811" t="s">
        <v>308</v>
      </c>
      <c r="D91" s="811"/>
      <c r="E91" s="543">
        <f>365-E90</f>
        <v>349</v>
      </c>
      <c r="F91" s="543">
        <v>4</v>
      </c>
      <c r="G91" s="480">
        <v>0</v>
      </c>
      <c r="H91" s="543">
        <v>0</v>
      </c>
      <c r="I91" s="543">
        <v>0</v>
      </c>
      <c r="J91" s="482">
        <v>21</v>
      </c>
      <c r="K91" s="477">
        <f t="shared" si="5"/>
        <v>0</v>
      </c>
      <c r="L91" s="477">
        <f t="shared" si="5"/>
        <v>0</v>
      </c>
      <c r="M91" s="477">
        <f t="shared" si="5"/>
        <v>0</v>
      </c>
      <c r="N91" s="481">
        <f t="shared" si="6"/>
        <v>0</v>
      </c>
      <c r="O91" s="476">
        <v>0</v>
      </c>
      <c r="P91" s="477">
        <v>0</v>
      </c>
      <c r="Q91" s="477">
        <v>0</v>
      </c>
      <c r="R91" s="478">
        <f t="shared" si="7"/>
        <v>0</v>
      </c>
      <c r="S91" s="543">
        <v>7</v>
      </c>
      <c r="T91" s="471"/>
      <c r="U91" s="540">
        <v>34716</v>
      </c>
      <c r="V91" s="158" t="s">
        <v>815</v>
      </c>
      <c r="Y91" s="83"/>
      <c r="AD91" s="82"/>
      <c r="AG91" s="83"/>
      <c r="AL91" s="82"/>
      <c r="AO91" s="83"/>
      <c r="AP91" s="82"/>
      <c r="AT91" s="161"/>
      <c r="AW91" s="83"/>
      <c r="BA91" s="84"/>
    </row>
    <row r="92" spans="1:53" s="73" customFormat="1" x14ac:dyDescent="0.15">
      <c r="A92" s="543">
        <v>1996</v>
      </c>
      <c r="B92" s="543"/>
      <c r="C92" s="811" t="s">
        <v>308</v>
      </c>
      <c r="D92" s="811"/>
      <c r="E92" s="543">
        <v>137</v>
      </c>
      <c r="F92" s="543"/>
      <c r="G92" s="480">
        <v>0</v>
      </c>
      <c r="H92" s="543">
        <v>0</v>
      </c>
      <c r="I92" s="543">
        <v>0</v>
      </c>
      <c r="J92" s="482">
        <v>21</v>
      </c>
      <c r="K92" s="477">
        <f t="shared" si="5"/>
        <v>0</v>
      </c>
      <c r="L92" s="477">
        <f t="shared" si="5"/>
        <v>0</v>
      </c>
      <c r="M92" s="477">
        <f t="shared" si="5"/>
        <v>0</v>
      </c>
      <c r="N92" s="481">
        <f t="shared" si="6"/>
        <v>0</v>
      </c>
      <c r="O92" s="476">
        <v>0</v>
      </c>
      <c r="P92" s="477">
        <v>0</v>
      </c>
      <c r="Q92" s="477">
        <v>0</v>
      </c>
      <c r="R92" s="478">
        <f t="shared" si="7"/>
        <v>0</v>
      </c>
      <c r="S92" s="543">
        <v>7</v>
      </c>
      <c r="T92" s="471"/>
      <c r="U92" s="543"/>
      <c r="V92" s="158" t="s">
        <v>815</v>
      </c>
      <c r="Y92" s="83"/>
      <c r="AD92" s="82"/>
      <c r="AG92" s="83"/>
      <c r="AL92" s="82"/>
      <c r="AO92" s="83"/>
      <c r="AP92" s="82"/>
      <c r="AT92" s="161"/>
      <c r="AW92" s="83"/>
      <c r="BA92" s="84"/>
    </row>
    <row r="93" spans="1:53" s="334" customFormat="1" x14ac:dyDescent="0.15">
      <c r="A93" s="544">
        <v>1996</v>
      </c>
      <c r="B93" s="541">
        <v>35202</v>
      </c>
      <c r="C93" s="812" t="s">
        <v>309</v>
      </c>
      <c r="D93" s="812"/>
      <c r="E93" s="544">
        <f>366-E92</f>
        <v>229</v>
      </c>
      <c r="F93" s="544">
        <v>6</v>
      </c>
      <c r="G93" s="497"/>
      <c r="H93" s="544">
        <v>8</v>
      </c>
      <c r="I93" s="544">
        <v>10</v>
      </c>
      <c r="J93" s="499">
        <v>21</v>
      </c>
      <c r="K93" s="495">
        <f t="shared" si="5"/>
        <v>0</v>
      </c>
      <c r="L93" s="495">
        <f t="shared" si="5"/>
        <v>38.095238095238095</v>
      </c>
      <c r="M93" s="495">
        <f t="shared" si="5"/>
        <v>47.619047619047613</v>
      </c>
      <c r="N93" s="498">
        <f t="shared" si="6"/>
        <v>85.714285714285708</v>
      </c>
      <c r="O93" s="494"/>
      <c r="P93" s="495">
        <v>16.2</v>
      </c>
      <c r="Q93" s="495">
        <v>29.7</v>
      </c>
      <c r="R93" s="496">
        <f t="shared" si="7"/>
        <v>45.9</v>
      </c>
      <c r="S93" s="544">
        <v>5</v>
      </c>
      <c r="T93" s="487">
        <v>35176</v>
      </c>
      <c r="U93" s="541">
        <v>35202</v>
      </c>
      <c r="V93" s="343" t="s">
        <v>525</v>
      </c>
      <c r="W93" s="334" t="s">
        <v>310</v>
      </c>
      <c r="X93" s="334" t="s">
        <v>12</v>
      </c>
      <c r="Y93" s="344">
        <v>27.2</v>
      </c>
      <c r="Z93" s="334" t="s">
        <v>524</v>
      </c>
      <c r="AA93" s="334" t="s">
        <v>17</v>
      </c>
      <c r="AB93" s="334" t="s">
        <v>18</v>
      </c>
      <c r="AC93" s="334">
        <v>11.9</v>
      </c>
      <c r="AD93" s="343" t="s">
        <v>564</v>
      </c>
      <c r="AE93" s="334" t="s">
        <v>340</v>
      </c>
      <c r="AF93" s="334" t="s">
        <v>18</v>
      </c>
      <c r="AG93" s="455">
        <v>11.9</v>
      </c>
      <c r="AH93" s="334" t="s">
        <v>526</v>
      </c>
      <c r="AI93" s="334" t="s">
        <v>107</v>
      </c>
      <c r="AJ93" s="334" t="s">
        <v>18</v>
      </c>
      <c r="AK93" s="334">
        <v>4.3</v>
      </c>
      <c r="AL93" s="343" t="s">
        <v>311</v>
      </c>
      <c r="AM93" s="334" t="s">
        <v>221</v>
      </c>
      <c r="AN93" s="334" t="s">
        <v>12</v>
      </c>
      <c r="AO93" s="344">
        <v>2.5</v>
      </c>
      <c r="AP93" s="343"/>
      <c r="AT93" s="449"/>
      <c r="AW93" s="344"/>
      <c r="BA93" s="345"/>
    </row>
    <row r="94" spans="1:53" s="334" customFormat="1" x14ac:dyDescent="0.15">
      <c r="A94" s="544">
        <v>1997</v>
      </c>
      <c r="B94" s="544"/>
      <c r="C94" s="812" t="s">
        <v>309</v>
      </c>
      <c r="D94" s="812"/>
      <c r="E94" s="544">
        <v>0</v>
      </c>
      <c r="F94" s="544"/>
      <c r="G94" s="497"/>
      <c r="H94" s="544">
        <v>8</v>
      </c>
      <c r="I94" s="544">
        <v>11</v>
      </c>
      <c r="J94" s="499">
        <v>22</v>
      </c>
      <c r="K94" s="495">
        <f t="shared" si="5"/>
        <v>0</v>
      </c>
      <c r="L94" s="495">
        <f t="shared" si="5"/>
        <v>36.363636363636367</v>
      </c>
      <c r="M94" s="495">
        <f t="shared" si="5"/>
        <v>50</v>
      </c>
      <c r="N94" s="498">
        <f t="shared" si="6"/>
        <v>86.363636363636374</v>
      </c>
      <c r="O94" s="494"/>
      <c r="P94" s="495">
        <v>16.2</v>
      </c>
      <c r="Q94" s="495">
        <v>29.7</v>
      </c>
      <c r="R94" s="496">
        <f t="shared" si="7"/>
        <v>45.9</v>
      </c>
      <c r="S94" s="544">
        <v>5</v>
      </c>
      <c r="T94" s="492"/>
      <c r="U94" s="544"/>
      <c r="V94" s="343" t="s">
        <v>525</v>
      </c>
      <c r="W94" s="334" t="s">
        <v>310</v>
      </c>
      <c r="X94" s="334" t="s">
        <v>12</v>
      </c>
      <c r="Y94" s="344">
        <v>27.2</v>
      </c>
      <c r="Z94" s="334" t="s">
        <v>524</v>
      </c>
      <c r="AA94" s="334" t="s">
        <v>17</v>
      </c>
      <c r="AB94" s="334" t="s">
        <v>18</v>
      </c>
      <c r="AC94" s="334">
        <v>11.9</v>
      </c>
      <c r="AD94" s="343" t="s">
        <v>564</v>
      </c>
      <c r="AE94" s="334" t="s">
        <v>340</v>
      </c>
      <c r="AF94" s="334" t="s">
        <v>18</v>
      </c>
      <c r="AG94" s="455">
        <v>11.9</v>
      </c>
      <c r="AH94" s="334" t="s">
        <v>526</v>
      </c>
      <c r="AI94" s="334" t="s">
        <v>107</v>
      </c>
      <c r="AJ94" s="334" t="s">
        <v>18</v>
      </c>
      <c r="AK94" s="334">
        <v>4.3</v>
      </c>
      <c r="AL94" s="343" t="s">
        <v>311</v>
      </c>
      <c r="AM94" s="334" t="s">
        <v>221</v>
      </c>
      <c r="AN94" s="334" t="s">
        <v>12</v>
      </c>
      <c r="AO94" s="344">
        <v>2.5</v>
      </c>
      <c r="AP94" s="343"/>
      <c r="AT94" s="449"/>
      <c r="AW94" s="344"/>
      <c r="BA94" s="345"/>
    </row>
    <row r="95" spans="1:53" s="334" customFormat="1" x14ac:dyDescent="0.15">
      <c r="A95" s="544">
        <v>1997</v>
      </c>
      <c r="B95" s="544"/>
      <c r="C95" s="812" t="s">
        <v>309</v>
      </c>
      <c r="D95" s="812"/>
      <c r="E95" s="544">
        <f>365-E94</f>
        <v>365</v>
      </c>
      <c r="F95" s="544"/>
      <c r="G95" s="497"/>
      <c r="H95" s="544">
        <v>8</v>
      </c>
      <c r="I95" s="544">
        <v>11</v>
      </c>
      <c r="J95" s="499">
        <v>22</v>
      </c>
      <c r="K95" s="495">
        <f t="shared" si="5"/>
        <v>0</v>
      </c>
      <c r="L95" s="495">
        <f t="shared" si="5"/>
        <v>36.363636363636367</v>
      </c>
      <c r="M95" s="495">
        <f t="shared" si="5"/>
        <v>50</v>
      </c>
      <c r="N95" s="498">
        <f t="shared" si="6"/>
        <v>86.363636363636374</v>
      </c>
      <c r="O95" s="494"/>
      <c r="P95" s="495">
        <v>16.2</v>
      </c>
      <c r="Q95" s="495">
        <v>29.7</v>
      </c>
      <c r="R95" s="496">
        <f t="shared" si="7"/>
        <v>45.9</v>
      </c>
      <c r="S95" s="544">
        <v>5</v>
      </c>
      <c r="T95" s="492"/>
      <c r="U95" s="544"/>
      <c r="V95" s="343" t="s">
        <v>525</v>
      </c>
      <c r="W95" s="334" t="s">
        <v>310</v>
      </c>
      <c r="X95" s="334" t="s">
        <v>12</v>
      </c>
      <c r="Y95" s="344">
        <v>27.2</v>
      </c>
      <c r="Z95" s="334" t="s">
        <v>524</v>
      </c>
      <c r="AA95" s="334" t="s">
        <v>17</v>
      </c>
      <c r="AB95" s="334" t="s">
        <v>18</v>
      </c>
      <c r="AC95" s="334">
        <v>11.9</v>
      </c>
      <c r="AD95" s="343" t="s">
        <v>564</v>
      </c>
      <c r="AE95" s="334" t="s">
        <v>340</v>
      </c>
      <c r="AF95" s="334" t="s">
        <v>18</v>
      </c>
      <c r="AG95" s="455">
        <v>11.9</v>
      </c>
      <c r="AH95" s="334" t="s">
        <v>526</v>
      </c>
      <c r="AI95" s="334" t="s">
        <v>107</v>
      </c>
      <c r="AJ95" s="334" t="s">
        <v>18</v>
      </c>
      <c r="AK95" s="334">
        <v>4.3</v>
      </c>
      <c r="AL95" s="343" t="s">
        <v>311</v>
      </c>
      <c r="AM95" s="334" t="s">
        <v>221</v>
      </c>
      <c r="AN95" s="334" t="s">
        <v>12</v>
      </c>
      <c r="AO95" s="344">
        <v>2.5</v>
      </c>
      <c r="AP95" s="343"/>
      <c r="AT95" s="449"/>
      <c r="AW95" s="344"/>
      <c r="BA95" s="345"/>
    </row>
    <row r="96" spans="1:53" s="334" customFormat="1" x14ac:dyDescent="0.15">
      <c r="A96" s="544">
        <v>1998</v>
      </c>
      <c r="B96" s="544"/>
      <c r="C96" s="812" t="s">
        <v>309</v>
      </c>
      <c r="D96" s="812"/>
      <c r="E96" s="544">
        <v>300</v>
      </c>
      <c r="F96" s="544"/>
      <c r="G96" s="497"/>
      <c r="H96" s="544">
        <v>8</v>
      </c>
      <c r="I96" s="544">
        <v>11</v>
      </c>
      <c r="J96" s="499">
        <v>22</v>
      </c>
      <c r="K96" s="495">
        <f t="shared" si="5"/>
        <v>0</v>
      </c>
      <c r="L96" s="495">
        <f t="shared" si="5"/>
        <v>36.363636363636367</v>
      </c>
      <c r="M96" s="495">
        <f t="shared" si="5"/>
        <v>50</v>
      </c>
      <c r="N96" s="498">
        <f t="shared" si="6"/>
        <v>86.363636363636374</v>
      </c>
      <c r="O96" s="494"/>
      <c r="P96" s="495">
        <v>16.2</v>
      </c>
      <c r="Q96" s="495">
        <v>29.7</v>
      </c>
      <c r="R96" s="496">
        <f t="shared" si="7"/>
        <v>45.9</v>
      </c>
      <c r="S96" s="544">
        <v>5</v>
      </c>
      <c r="T96" s="492"/>
      <c r="U96" s="544"/>
      <c r="V96" s="343" t="s">
        <v>525</v>
      </c>
      <c r="W96" s="334" t="s">
        <v>310</v>
      </c>
      <c r="X96" s="334" t="s">
        <v>12</v>
      </c>
      <c r="Y96" s="344">
        <v>27.2</v>
      </c>
      <c r="Z96" s="334" t="s">
        <v>524</v>
      </c>
      <c r="AA96" s="334" t="s">
        <v>17</v>
      </c>
      <c r="AB96" s="334" t="s">
        <v>18</v>
      </c>
      <c r="AC96" s="334">
        <v>11.9</v>
      </c>
      <c r="AD96" s="343" t="s">
        <v>564</v>
      </c>
      <c r="AE96" s="334" t="s">
        <v>340</v>
      </c>
      <c r="AF96" s="334" t="s">
        <v>18</v>
      </c>
      <c r="AG96" s="455">
        <v>11.9</v>
      </c>
      <c r="AH96" s="334" t="s">
        <v>526</v>
      </c>
      <c r="AI96" s="334" t="s">
        <v>107</v>
      </c>
      <c r="AJ96" s="334" t="s">
        <v>18</v>
      </c>
      <c r="AK96" s="334">
        <v>4.3</v>
      </c>
      <c r="AL96" s="343" t="s">
        <v>311</v>
      </c>
      <c r="AM96" s="334" t="s">
        <v>221</v>
      </c>
      <c r="AN96" s="334" t="s">
        <v>12</v>
      </c>
      <c r="AO96" s="344">
        <v>2.5</v>
      </c>
      <c r="AP96" s="343"/>
      <c r="AT96" s="449"/>
      <c r="AW96" s="344"/>
      <c r="BA96" s="345"/>
    </row>
    <row r="97" spans="1:53" s="73" customFormat="1" x14ac:dyDescent="0.15">
      <c r="A97" s="543">
        <v>1998</v>
      </c>
      <c r="B97" s="540">
        <v>36096</v>
      </c>
      <c r="C97" s="811" t="s">
        <v>312</v>
      </c>
      <c r="D97" s="811"/>
      <c r="E97" s="543">
        <f>365-E96</f>
        <v>65</v>
      </c>
      <c r="F97" s="543">
        <v>5</v>
      </c>
      <c r="G97" s="480"/>
      <c r="H97" s="543">
        <v>12</v>
      </c>
      <c r="I97" s="543">
        <v>13</v>
      </c>
      <c r="J97" s="482">
        <v>27</v>
      </c>
      <c r="K97" s="477">
        <f t="shared" si="5"/>
        <v>0</v>
      </c>
      <c r="L97" s="477">
        <f t="shared" si="5"/>
        <v>44.444444444444443</v>
      </c>
      <c r="M97" s="477">
        <f t="shared" si="5"/>
        <v>48.148148148148145</v>
      </c>
      <c r="N97" s="481">
        <f t="shared" si="6"/>
        <v>92.592592592592581</v>
      </c>
      <c r="O97" s="476"/>
      <c r="P97" s="477">
        <v>16.2</v>
      </c>
      <c r="Q97" s="477">
        <v>29.7</v>
      </c>
      <c r="R97" s="478">
        <f t="shared" si="7"/>
        <v>45.9</v>
      </c>
      <c r="S97" s="543">
        <v>5</v>
      </c>
      <c r="T97" s="471"/>
      <c r="U97" s="540">
        <v>36096</v>
      </c>
      <c r="V97" s="82" t="s">
        <v>525</v>
      </c>
      <c r="W97" s="73" t="s">
        <v>310</v>
      </c>
      <c r="X97" s="73" t="s">
        <v>12</v>
      </c>
      <c r="Y97" s="83">
        <v>27.2</v>
      </c>
      <c r="Z97" s="73" t="s">
        <v>524</v>
      </c>
      <c r="AA97" s="73" t="s">
        <v>17</v>
      </c>
      <c r="AB97" s="73" t="s">
        <v>18</v>
      </c>
      <c r="AC97" s="73">
        <v>11.9</v>
      </c>
      <c r="AD97" s="82" t="s">
        <v>530</v>
      </c>
      <c r="AE97" s="73" t="s">
        <v>340</v>
      </c>
      <c r="AF97" s="73" t="s">
        <v>18</v>
      </c>
      <c r="AG97" s="83">
        <v>0</v>
      </c>
      <c r="AH97" s="82" t="s">
        <v>311</v>
      </c>
      <c r="AI97" s="73" t="s">
        <v>221</v>
      </c>
      <c r="AJ97" s="73" t="s">
        <v>12</v>
      </c>
      <c r="AK97" s="83">
        <v>2.5</v>
      </c>
      <c r="AL97" s="82" t="s">
        <v>533</v>
      </c>
      <c r="AM97" s="73" t="s">
        <v>114</v>
      </c>
      <c r="AN97" s="73" t="s">
        <v>12</v>
      </c>
      <c r="AO97" s="83">
        <v>0</v>
      </c>
      <c r="AP97" s="73" t="s">
        <v>526</v>
      </c>
      <c r="AQ97" s="73" t="s">
        <v>107</v>
      </c>
      <c r="AR97" s="73" t="s">
        <v>18</v>
      </c>
      <c r="AS97" s="73">
        <v>4.3</v>
      </c>
      <c r="AT97" s="161" t="s">
        <v>532</v>
      </c>
      <c r="AU97" s="73" t="s">
        <v>340</v>
      </c>
      <c r="AV97" s="73" t="s">
        <v>12</v>
      </c>
      <c r="AW97" s="83">
        <v>0</v>
      </c>
      <c r="BA97" s="84"/>
    </row>
    <row r="98" spans="1:53" s="73" customFormat="1" x14ac:dyDescent="0.15">
      <c r="A98" s="543">
        <v>1999</v>
      </c>
      <c r="B98" s="543"/>
      <c r="C98" s="811" t="s">
        <v>312</v>
      </c>
      <c r="D98" s="811"/>
      <c r="E98" s="543">
        <v>354</v>
      </c>
      <c r="F98" s="543"/>
      <c r="G98" s="480"/>
      <c r="H98" s="543">
        <v>12</v>
      </c>
      <c r="I98" s="543">
        <v>13</v>
      </c>
      <c r="J98" s="482">
        <v>27</v>
      </c>
      <c r="K98" s="477">
        <f t="shared" si="5"/>
        <v>0</v>
      </c>
      <c r="L98" s="477">
        <f t="shared" si="5"/>
        <v>44.444444444444443</v>
      </c>
      <c r="M98" s="477">
        <f t="shared" si="5"/>
        <v>48.148148148148145</v>
      </c>
      <c r="N98" s="481">
        <f t="shared" si="6"/>
        <v>92.592592592592581</v>
      </c>
      <c r="O98" s="476"/>
      <c r="P98" s="477">
        <v>16.2</v>
      </c>
      <c r="Q98" s="477">
        <v>29.7</v>
      </c>
      <c r="R98" s="478">
        <f t="shared" si="7"/>
        <v>45.9</v>
      </c>
      <c r="S98" s="543">
        <v>5</v>
      </c>
      <c r="T98" s="471"/>
      <c r="U98" s="543"/>
      <c r="V98" s="82" t="s">
        <v>525</v>
      </c>
      <c r="W98" s="73" t="s">
        <v>310</v>
      </c>
      <c r="X98" s="73" t="s">
        <v>12</v>
      </c>
      <c r="Y98" s="83">
        <v>27.2</v>
      </c>
      <c r="Z98" s="73" t="s">
        <v>524</v>
      </c>
      <c r="AA98" s="73" t="s">
        <v>17</v>
      </c>
      <c r="AB98" s="73" t="s">
        <v>18</v>
      </c>
      <c r="AC98" s="73">
        <v>11.9</v>
      </c>
      <c r="AD98" s="82" t="s">
        <v>530</v>
      </c>
      <c r="AE98" s="73" t="s">
        <v>340</v>
      </c>
      <c r="AF98" s="73" t="s">
        <v>18</v>
      </c>
      <c r="AG98" s="83">
        <v>0</v>
      </c>
      <c r="AH98" s="73" t="s">
        <v>311</v>
      </c>
      <c r="AI98" s="73" t="s">
        <v>221</v>
      </c>
      <c r="AJ98" s="73" t="s">
        <v>12</v>
      </c>
      <c r="AK98" s="73">
        <v>2.5</v>
      </c>
      <c r="AL98" s="82" t="s">
        <v>533</v>
      </c>
      <c r="AM98" s="73" t="s">
        <v>114</v>
      </c>
      <c r="AN98" s="73" t="s">
        <v>12</v>
      </c>
      <c r="AO98" s="83">
        <v>0</v>
      </c>
      <c r="AP98" s="73" t="s">
        <v>526</v>
      </c>
      <c r="AQ98" s="73" t="s">
        <v>107</v>
      </c>
      <c r="AR98" s="73" t="s">
        <v>18</v>
      </c>
      <c r="AS98" s="73">
        <v>4.3</v>
      </c>
      <c r="AT98" s="161" t="s">
        <v>532</v>
      </c>
      <c r="AU98" s="73" t="s">
        <v>340</v>
      </c>
      <c r="AV98" s="73" t="s">
        <v>12</v>
      </c>
      <c r="AW98" s="83">
        <v>0</v>
      </c>
      <c r="BA98" s="84"/>
    </row>
    <row r="99" spans="1:53" s="334" customFormat="1" x14ac:dyDescent="0.15">
      <c r="A99" s="544">
        <v>1999</v>
      </c>
      <c r="B99" s="541">
        <v>36515</v>
      </c>
      <c r="C99" s="812" t="s">
        <v>313</v>
      </c>
      <c r="D99" s="812"/>
      <c r="E99" s="544">
        <f>365-E98</f>
        <v>11</v>
      </c>
      <c r="F99" s="544">
        <v>4</v>
      </c>
      <c r="G99" s="497"/>
      <c r="H99" s="544">
        <v>8</v>
      </c>
      <c r="I99" s="544">
        <v>14</v>
      </c>
      <c r="J99" s="499">
        <v>24</v>
      </c>
      <c r="K99" s="495">
        <f t="shared" si="5"/>
        <v>0</v>
      </c>
      <c r="L99" s="495">
        <f t="shared" si="5"/>
        <v>33.333333333333329</v>
      </c>
      <c r="M99" s="495">
        <f t="shared" si="5"/>
        <v>58.333333333333336</v>
      </c>
      <c r="N99" s="498">
        <f t="shared" si="6"/>
        <v>91.666666666666657</v>
      </c>
      <c r="O99" s="494"/>
      <c r="P99" s="495">
        <v>16.2</v>
      </c>
      <c r="Q99" s="495">
        <v>29.7</v>
      </c>
      <c r="R99" s="496">
        <f t="shared" si="7"/>
        <v>45.9</v>
      </c>
      <c r="S99" s="544">
        <v>5</v>
      </c>
      <c r="T99" s="492"/>
      <c r="U99" s="541">
        <v>36515</v>
      </c>
      <c r="V99" s="343" t="s">
        <v>525</v>
      </c>
      <c r="W99" s="334" t="s">
        <v>310</v>
      </c>
      <c r="X99" s="334" t="s">
        <v>12</v>
      </c>
      <c r="Y99" s="344">
        <v>27.2</v>
      </c>
      <c r="Z99" s="334" t="s">
        <v>524</v>
      </c>
      <c r="AA99" s="334" t="s">
        <v>17</v>
      </c>
      <c r="AB99" s="334" t="s">
        <v>18</v>
      </c>
      <c r="AC99" s="334">
        <v>11.9</v>
      </c>
      <c r="AD99" s="343" t="s">
        <v>530</v>
      </c>
      <c r="AE99" s="334" t="s">
        <v>340</v>
      </c>
      <c r="AF99" s="334" t="s">
        <v>18</v>
      </c>
      <c r="AG99" s="344">
        <v>0</v>
      </c>
      <c r="AH99" s="334" t="s">
        <v>311</v>
      </c>
      <c r="AI99" s="334" t="s">
        <v>221</v>
      </c>
      <c r="AJ99" s="334" t="s">
        <v>12</v>
      </c>
      <c r="AK99" s="334">
        <v>2.5</v>
      </c>
      <c r="AL99" s="343" t="s">
        <v>533</v>
      </c>
      <c r="AM99" s="334" t="s">
        <v>114</v>
      </c>
      <c r="AN99" s="334" t="s">
        <v>12</v>
      </c>
      <c r="AO99" s="344">
        <v>0</v>
      </c>
      <c r="AP99" s="334" t="s">
        <v>526</v>
      </c>
      <c r="AQ99" s="334" t="s">
        <v>107</v>
      </c>
      <c r="AR99" s="334" t="s">
        <v>18</v>
      </c>
      <c r="AS99" s="334">
        <v>4.3</v>
      </c>
      <c r="AT99" s="449" t="s">
        <v>565</v>
      </c>
      <c r="AU99" s="334" t="s">
        <v>340</v>
      </c>
      <c r="AV99" s="334" t="s">
        <v>12</v>
      </c>
      <c r="AW99" s="344">
        <v>0</v>
      </c>
      <c r="BA99" s="345"/>
    </row>
    <row r="100" spans="1:53" s="334" customFormat="1" x14ac:dyDescent="0.15">
      <c r="A100" s="544">
        <v>2000</v>
      </c>
      <c r="B100" s="544"/>
      <c r="C100" s="812" t="s">
        <v>313</v>
      </c>
      <c r="D100" s="812"/>
      <c r="E100" s="544">
        <v>118</v>
      </c>
      <c r="F100" s="544"/>
      <c r="G100" s="497"/>
      <c r="H100" s="544">
        <v>8</v>
      </c>
      <c r="I100" s="544">
        <v>17</v>
      </c>
      <c r="J100" s="499">
        <v>27</v>
      </c>
      <c r="K100" s="495">
        <f t="shared" si="5"/>
        <v>0</v>
      </c>
      <c r="L100" s="495">
        <f t="shared" si="5"/>
        <v>29.629629629629626</v>
      </c>
      <c r="M100" s="495">
        <f t="shared" si="5"/>
        <v>62.962962962962962</v>
      </c>
      <c r="N100" s="498">
        <f t="shared" si="6"/>
        <v>92.592592592592581</v>
      </c>
      <c r="O100" s="494"/>
      <c r="P100" s="495">
        <v>16.2</v>
      </c>
      <c r="Q100" s="495">
        <v>29.7</v>
      </c>
      <c r="R100" s="496">
        <f t="shared" si="7"/>
        <v>45.9</v>
      </c>
      <c r="S100" s="544">
        <v>5</v>
      </c>
      <c r="T100" s="492"/>
      <c r="U100" s="544"/>
      <c r="V100" s="343" t="s">
        <v>525</v>
      </c>
      <c r="W100" s="334" t="s">
        <v>310</v>
      </c>
      <c r="X100" s="334" t="s">
        <v>12</v>
      </c>
      <c r="Y100" s="344">
        <v>27.2</v>
      </c>
      <c r="Z100" s="334" t="s">
        <v>524</v>
      </c>
      <c r="AA100" s="334" t="s">
        <v>17</v>
      </c>
      <c r="AB100" s="334" t="s">
        <v>18</v>
      </c>
      <c r="AC100" s="334">
        <v>11.9</v>
      </c>
      <c r="AD100" s="343" t="s">
        <v>530</v>
      </c>
      <c r="AE100" s="334" t="s">
        <v>340</v>
      </c>
      <c r="AF100" s="334" t="s">
        <v>18</v>
      </c>
      <c r="AG100" s="344">
        <v>0</v>
      </c>
      <c r="AH100" s="334" t="s">
        <v>311</v>
      </c>
      <c r="AI100" s="334" t="s">
        <v>221</v>
      </c>
      <c r="AJ100" s="334" t="s">
        <v>12</v>
      </c>
      <c r="AK100" s="334">
        <v>2.5</v>
      </c>
      <c r="AL100" s="343" t="s">
        <v>533</v>
      </c>
      <c r="AM100" s="334" t="s">
        <v>114</v>
      </c>
      <c r="AN100" s="334" t="s">
        <v>12</v>
      </c>
      <c r="AO100" s="344">
        <v>0</v>
      </c>
      <c r="AP100" s="334" t="s">
        <v>526</v>
      </c>
      <c r="AQ100" s="334" t="s">
        <v>107</v>
      </c>
      <c r="AR100" s="334" t="s">
        <v>18</v>
      </c>
      <c r="AS100" s="334">
        <v>4.3</v>
      </c>
      <c r="AT100" s="449" t="s">
        <v>565</v>
      </c>
      <c r="AU100" s="334" t="s">
        <v>340</v>
      </c>
      <c r="AV100" s="334" t="s">
        <v>12</v>
      </c>
      <c r="AW100" s="344">
        <v>0</v>
      </c>
      <c r="BA100" s="345"/>
    </row>
    <row r="101" spans="1:53" s="73" customFormat="1" x14ac:dyDescent="0.15">
      <c r="A101" s="543">
        <v>2000</v>
      </c>
      <c r="B101" s="540">
        <v>36644</v>
      </c>
      <c r="C101" s="811" t="s">
        <v>314</v>
      </c>
      <c r="D101" s="811"/>
      <c r="E101" s="543">
        <f>366-E100</f>
        <v>248</v>
      </c>
      <c r="F101" s="543">
        <v>2</v>
      </c>
      <c r="G101" s="480"/>
      <c r="H101" s="543">
        <v>7</v>
      </c>
      <c r="I101" s="543">
        <v>15</v>
      </c>
      <c r="J101" s="482">
        <v>27</v>
      </c>
      <c r="K101" s="477">
        <f t="shared" si="5"/>
        <v>0</v>
      </c>
      <c r="L101" s="477">
        <f t="shared" si="5"/>
        <v>25.925925925925924</v>
      </c>
      <c r="M101" s="477">
        <f t="shared" si="5"/>
        <v>55.555555555555557</v>
      </c>
      <c r="N101" s="481">
        <f t="shared" si="6"/>
        <v>81.481481481481481</v>
      </c>
      <c r="O101" s="476"/>
      <c r="P101" s="477">
        <v>16.2</v>
      </c>
      <c r="Q101" s="477">
        <v>29.7</v>
      </c>
      <c r="R101" s="478">
        <f t="shared" si="7"/>
        <v>45.9</v>
      </c>
      <c r="S101" s="543">
        <v>5</v>
      </c>
      <c r="T101" s="471"/>
      <c r="U101" s="540">
        <v>36644</v>
      </c>
      <c r="V101" s="82" t="s">
        <v>525</v>
      </c>
      <c r="W101" s="73" t="s">
        <v>310</v>
      </c>
      <c r="X101" s="73" t="s">
        <v>12</v>
      </c>
      <c r="Y101" s="83">
        <v>27.2</v>
      </c>
      <c r="Z101" s="73" t="s">
        <v>524</v>
      </c>
      <c r="AA101" s="73" t="s">
        <v>17</v>
      </c>
      <c r="AB101" s="73" t="s">
        <v>18</v>
      </c>
      <c r="AC101" s="73">
        <v>11.9</v>
      </c>
      <c r="AD101" s="82" t="s">
        <v>530</v>
      </c>
      <c r="AE101" s="73" t="s">
        <v>340</v>
      </c>
      <c r="AF101" s="73" t="s">
        <v>18</v>
      </c>
      <c r="AG101" s="83">
        <v>0</v>
      </c>
      <c r="AH101" s="73" t="s">
        <v>311</v>
      </c>
      <c r="AI101" s="73" t="s">
        <v>221</v>
      </c>
      <c r="AJ101" s="73" t="s">
        <v>12</v>
      </c>
      <c r="AK101" s="73">
        <v>2.5</v>
      </c>
      <c r="AL101" s="82" t="s">
        <v>533</v>
      </c>
      <c r="AM101" s="73" t="s">
        <v>114</v>
      </c>
      <c r="AN101" s="73" t="s">
        <v>12</v>
      </c>
      <c r="AO101" s="83">
        <v>0</v>
      </c>
      <c r="AP101" s="73" t="s">
        <v>526</v>
      </c>
      <c r="AQ101" s="73" t="s">
        <v>107</v>
      </c>
      <c r="AR101" s="73" t="s">
        <v>18</v>
      </c>
      <c r="AS101" s="73">
        <v>4.3</v>
      </c>
      <c r="AT101" s="161" t="s">
        <v>565</v>
      </c>
      <c r="AU101" s="73" t="s">
        <v>340</v>
      </c>
      <c r="AV101" s="73" t="s">
        <v>12</v>
      </c>
      <c r="AW101" s="83">
        <v>0</v>
      </c>
      <c r="AX101" s="164" t="s">
        <v>532</v>
      </c>
      <c r="AY101" s="73" t="s">
        <v>340</v>
      </c>
      <c r="AZ101" s="73" t="s">
        <v>12</v>
      </c>
      <c r="BA101" s="84">
        <v>0</v>
      </c>
    </row>
    <row r="102" spans="1:53" s="73" customFormat="1" x14ac:dyDescent="0.15">
      <c r="A102" s="543">
        <v>2001</v>
      </c>
      <c r="B102" s="543"/>
      <c r="C102" s="811" t="s">
        <v>314</v>
      </c>
      <c r="D102" s="811"/>
      <c r="E102" s="543">
        <v>161</v>
      </c>
      <c r="F102" s="543"/>
      <c r="G102" s="480"/>
      <c r="H102" s="543">
        <v>7</v>
      </c>
      <c r="I102" s="543">
        <v>15</v>
      </c>
      <c r="J102" s="482">
        <v>27</v>
      </c>
      <c r="K102" s="477">
        <f>G102/$J102*100</f>
        <v>0</v>
      </c>
      <c r="L102" s="477">
        <f>H102/$J102*100</f>
        <v>25.925925925925924</v>
      </c>
      <c r="M102" s="477">
        <f>I102/$J102*100</f>
        <v>55.555555555555557</v>
      </c>
      <c r="N102" s="481">
        <f t="shared" si="6"/>
        <v>81.481481481481481</v>
      </c>
      <c r="O102" s="476"/>
      <c r="P102" s="477">
        <v>16.2</v>
      </c>
      <c r="Q102" s="477">
        <v>29.7</v>
      </c>
      <c r="R102" s="478">
        <f t="shared" si="7"/>
        <v>45.9</v>
      </c>
      <c r="S102" s="543">
        <v>5</v>
      </c>
      <c r="T102" s="471"/>
      <c r="U102" s="543"/>
      <c r="V102" s="82" t="s">
        <v>525</v>
      </c>
      <c r="W102" s="73" t="s">
        <v>310</v>
      </c>
      <c r="X102" s="73" t="s">
        <v>12</v>
      </c>
      <c r="Y102" s="83">
        <v>27.2</v>
      </c>
      <c r="Z102" s="73" t="s">
        <v>524</v>
      </c>
      <c r="AA102" s="73" t="s">
        <v>17</v>
      </c>
      <c r="AB102" s="73" t="s">
        <v>18</v>
      </c>
      <c r="AC102" s="73">
        <v>11.9</v>
      </c>
      <c r="AD102" s="82" t="s">
        <v>530</v>
      </c>
      <c r="AE102" s="73" t="s">
        <v>340</v>
      </c>
      <c r="AF102" s="73" t="s">
        <v>18</v>
      </c>
      <c r="AG102" s="83">
        <v>0</v>
      </c>
      <c r="AH102" s="73" t="s">
        <v>311</v>
      </c>
      <c r="AI102" s="73" t="s">
        <v>221</v>
      </c>
      <c r="AJ102" s="73" t="s">
        <v>12</v>
      </c>
      <c r="AK102" s="73">
        <v>2.5</v>
      </c>
      <c r="AL102" s="82" t="s">
        <v>533</v>
      </c>
      <c r="AM102" s="73" t="s">
        <v>114</v>
      </c>
      <c r="AN102" s="73" t="s">
        <v>12</v>
      </c>
      <c r="AO102" s="83">
        <v>0</v>
      </c>
      <c r="AP102" s="73" t="s">
        <v>526</v>
      </c>
      <c r="AQ102" s="73" t="s">
        <v>107</v>
      </c>
      <c r="AR102" s="73" t="s">
        <v>18</v>
      </c>
      <c r="AS102" s="73">
        <v>4.3</v>
      </c>
      <c r="AT102" s="161" t="s">
        <v>565</v>
      </c>
      <c r="AU102" s="73" t="s">
        <v>340</v>
      </c>
      <c r="AV102" s="73" t="s">
        <v>12</v>
      </c>
      <c r="AW102" s="83">
        <v>0</v>
      </c>
      <c r="AX102" s="164" t="s">
        <v>532</v>
      </c>
      <c r="AY102" s="73" t="s">
        <v>340</v>
      </c>
      <c r="AZ102" s="73" t="s">
        <v>12</v>
      </c>
      <c r="BA102" s="84">
        <v>0</v>
      </c>
    </row>
    <row r="103" spans="1:53" s="334" customFormat="1" x14ac:dyDescent="0.15">
      <c r="A103" s="544">
        <v>2001</v>
      </c>
      <c r="B103" s="541">
        <v>37053</v>
      </c>
      <c r="C103" s="812" t="s">
        <v>315</v>
      </c>
      <c r="D103" s="812"/>
      <c r="E103" s="544">
        <f>365-E102</f>
        <v>204</v>
      </c>
      <c r="F103" s="544">
        <v>1</v>
      </c>
      <c r="G103" s="497">
        <v>18</v>
      </c>
      <c r="H103" s="544">
        <v>2</v>
      </c>
      <c r="I103" s="544"/>
      <c r="J103" s="499">
        <v>25</v>
      </c>
      <c r="K103" s="495">
        <f t="shared" ref="K103:K129" si="8">G103/$J103*100</f>
        <v>72</v>
      </c>
      <c r="L103" s="495">
        <f t="shared" ref="L103:L133" si="9">H103/$J103*100</f>
        <v>8</v>
      </c>
      <c r="M103" s="495">
        <f t="shared" ref="M103:M133" si="10">I103/$J103*100</f>
        <v>0</v>
      </c>
      <c r="N103" s="498">
        <f t="shared" si="6"/>
        <v>80</v>
      </c>
      <c r="O103" s="494">
        <v>49.9</v>
      </c>
      <c r="P103" s="495">
        <v>6.5</v>
      </c>
      <c r="Q103" s="495"/>
      <c r="R103" s="496">
        <f t="shared" si="7"/>
        <v>56.4</v>
      </c>
      <c r="S103" s="544">
        <v>3</v>
      </c>
      <c r="T103" s="487">
        <v>37024</v>
      </c>
      <c r="U103" s="541">
        <v>37053</v>
      </c>
      <c r="V103" s="343" t="s">
        <v>522</v>
      </c>
      <c r="W103" s="334" t="s">
        <v>74</v>
      </c>
      <c r="X103" s="334" t="s">
        <v>11</v>
      </c>
      <c r="Y103" s="344">
        <v>28.9</v>
      </c>
      <c r="Z103" s="343" t="s">
        <v>527</v>
      </c>
      <c r="AA103" s="334" t="s">
        <v>27</v>
      </c>
      <c r="AB103" s="334" t="s">
        <v>11</v>
      </c>
      <c r="AC103" s="334">
        <v>16.100000000000001</v>
      </c>
      <c r="AD103" s="343" t="s">
        <v>523</v>
      </c>
      <c r="AE103" s="334" t="s">
        <v>307</v>
      </c>
      <c r="AF103" s="334" t="s">
        <v>11</v>
      </c>
      <c r="AG103" s="344">
        <v>4.9000000000000004</v>
      </c>
      <c r="AH103" s="343" t="s">
        <v>563</v>
      </c>
      <c r="AI103" s="334" t="s">
        <v>86</v>
      </c>
      <c r="AJ103" s="334" t="s">
        <v>18</v>
      </c>
      <c r="AK103" s="334">
        <v>6.5</v>
      </c>
      <c r="AL103" s="343"/>
      <c r="AO103" s="344"/>
      <c r="AP103" s="343"/>
      <c r="AT103" s="449"/>
      <c r="AW103" s="344"/>
      <c r="BA103" s="345"/>
    </row>
    <row r="104" spans="1:53" s="334" customFormat="1" x14ac:dyDescent="0.15">
      <c r="A104" s="544">
        <v>2002</v>
      </c>
      <c r="B104" s="544"/>
      <c r="C104" s="812" t="s">
        <v>315</v>
      </c>
      <c r="D104" s="812"/>
      <c r="E104" s="544">
        <v>0</v>
      </c>
      <c r="F104" s="544"/>
      <c r="G104" s="497">
        <v>18</v>
      </c>
      <c r="H104" s="544">
        <v>2</v>
      </c>
      <c r="I104" s="544"/>
      <c r="J104" s="499">
        <v>25</v>
      </c>
      <c r="K104" s="495">
        <f t="shared" si="8"/>
        <v>72</v>
      </c>
      <c r="L104" s="495">
        <f t="shared" si="9"/>
        <v>8</v>
      </c>
      <c r="M104" s="495">
        <f t="shared" si="10"/>
        <v>0</v>
      </c>
      <c r="N104" s="498">
        <f t="shared" si="6"/>
        <v>80</v>
      </c>
      <c r="O104" s="494">
        <v>49.9</v>
      </c>
      <c r="P104" s="495">
        <v>6.5</v>
      </c>
      <c r="Q104" s="495"/>
      <c r="R104" s="496">
        <f t="shared" si="7"/>
        <v>56.4</v>
      </c>
      <c r="S104" s="544">
        <v>3</v>
      </c>
      <c r="T104" s="492"/>
      <c r="U104" s="544"/>
      <c r="V104" s="343" t="s">
        <v>522</v>
      </c>
      <c r="W104" s="334" t="s">
        <v>74</v>
      </c>
      <c r="X104" s="334" t="s">
        <v>11</v>
      </c>
      <c r="Y104" s="344">
        <v>28.9</v>
      </c>
      <c r="Z104" s="343" t="s">
        <v>527</v>
      </c>
      <c r="AA104" s="334" t="s">
        <v>27</v>
      </c>
      <c r="AB104" s="334" t="s">
        <v>11</v>
      </c>
      <c r="AC104" s="334">
        <v>16.100000000000001</v>
      </c>
      <c r="AD104" s="343" t="s">
        <v>523</v>
      </c>
      <c r="AE104" s="334" t="s">
        <v>307</v>
      </c>
      <c r="AF104" s="334" t="s">
        <v>11</v>
      </c>
      <c r="AG104" s="344">
        <v>4.9000000000000004</v>
      </c>
      <c r="AH104" s="343" t="s">
        <v>563</v>
      </c>
      <c r="AI104" s="334" t="s">
        <v>86</v>
      </c>
      <c r="AJ104" s="334" t="s">
        <v>18</v>
      </c>
      <c r="AK104" s="334">
        <v>6.5</v>
      </c>
      <c r="AL104" s="343"/>
      <c r="AO104" s="344"/>
      <c r="AP104" s="343"/>
      <c r="AT104" s="449"/>
      <c r="AW104" s="344"/>
      <c r="BA104" s="345"/>
    </row>
    <row r="105" spans="1:53" s="334" customFormat="1" x14ac:dyDescent="0.15">
      <c r="A105" s="544">
        <v>2002</v>
      </c>
      <c r="B105" s="544"/>
      <c r="C105" s="812" t="s">
        <v>315</v>
      </c>
      <c r="D105" s="812"/>
      <c r="E105" s="544">
        <f>365-E104</f>
        <v>365</v>
      </c>
      <c r="F105" s="544"/>
      <c r="G105" s="497">
        <v>18</v>
      </c>
      <c r="H105" s="544">
        <v>2</v>
      </c>
      <c r="I105" s="544"/>
      <c r="J105" s="499">
        <v>25</v>
      </c>
      <c r="K105" s="495">
        <f t="shared" si="8"/>
        <v>72</v>
      </c>
      <c r="L105" s="495">
        <f t="shared" si="9"/>
        <v>8</v>
      </c>
      <c r="M105" s="495">
        <f t="shared" si="10"/>
        <v>0</v>
      </c>
      <c r="N105" s="498">
        <f t="shared" si="6"/>
        <v>80</v>
      </c>
      <c r="O105" s="494">
        <v>49.9</v>
      </c>
      <c r="P105" s="495">
        <v>6.5</v>
      </c>
      <c r="Q105" s="495"/>
      <c r="R105" s="496">
        <f t="shared" si="7"/>
        <v>56.4</v>
      </c>
      <c r="S105" s="544">
        <v>3</v>
      </c>
      <c r="T105" s="492"/>
      <c r="U105" s="544"/>
      <c r="V105" s="343" t="s">
        <v>522</v>
      </c>
      <c r="W105" s="334" t="s">
        <v>74</v>
      </c>
      <c r="X105" s="334" t="s">
        <v>11</v>
      </c>
      <c r="Y105" s="344">
        <v>28.9</v>
      </c>
      <c r="Z105" s="343" t="s">
        <v>527</v>
      </c>
      <c r="AA105" s="334" t="s">
        <v>27</v>
      </c>
      <c r="AB105" s="334" t="s">
        <v>11</v>
      </c>
      <c r="AC105" s="334">
        <v>16.100000000000001</v>
      </c>
      <c r="AD105" s="343" t="s">
        <v>523</v>
      </c>
      <c r="AE105" s="334" t="s">
        <v>307</v>
      </c>
      <c r="AF105" s="334" t="s">
        <v>11</v>
      </c>
      <c r="AG105" s="344">
        <v>4.9000000000000004</v>
      </c>
      <c r="AH105" s="343" t="s">
        <v>563</v>
      </c>
      <c r="AI105" s="334" t="s">
        <v>86</v>
      </c>
      <c r="AJ105" s="334" t="s">
        <v>18</v>
      </c>
      <c r="AK105" s="334">
        <v>6.5</v>
      </c>
      <c r="AL105" s="343"/>
      <c r="AO105" s="344"/>
      <c r="AP105" s="343"/>
      <c r="AT105" s="449"/>
      <c r="AW105" s="344"/>
      <c r="BA105" s="345"/>
    </row>
    <row r="106" spans="1:53" s="334" customFormat="1" x14ac:dyDescent="0.15">
      <c r="A106" s="544">
        <v>2003</v>
      </c>
      <c r="B106" s="544"/>
      <c r="C106" s="812" t="s">
        <v>315</v>
      </c>
      <c r="D106" s="812"/>
      <c r="E106" s="544">
        <v>0</v>
      </c>
      <c r="F106" s="544"/>
      <c r="G106" s="497">
        <v>18</v>
      </c>
      <c r="H106" s="544">
        <v>2</v>
      </c>
      <c r="I106" s="544"/>
      <c r="J106" s="499">
        <v>25</v>
      </c>
      <c r="K106" s="495">
        <f t="shared" si="8"/>
        <v>72</v>
      </c>
      <c r="L106" s="495">
        <f t="shared" si="9"/>
        <v>8</v>
      </c>
      <c r="M106" s="495">
        <f t="shared" si="10"/>
        <v>0</v>
      </c>
      <c r="N106" s="498">
        <f t="shared" si="6"/>
        <v>80</v>
      </c>
      <c r="O106" s="494">
        <v>49.9</v>
      </c>
      <c r="P106" s="495">
        <v>6.5</v>
      </c>
      <c r="Q106" s="495"/>
      <c r="R106" s="496">
        <f t="shared" si="7"/>
        <v>56.4</v>
      </c>
      <c r="S106" s="544">
        <v>3</v>
      </c>
      <c r="T106" s="492"/>
      <c r="U106" s="544"/>
      <c r="V106" s="343" t="s">
        <v>522</v>
      </c>
      <c r="W106" s="334" t="s">
        <v>74</v>
      </c>
      <c r="X106" s="334" t="s">
        <v>11</v>
      </c>
      <c r="Y106" s="344">
        <v>28.9</v>
      </c>
      <c r="Z106" s="343" t="s">
        <v>527</v>
      </c>
      <c r="AA106" s="334" t="s">
        <v>27</v>
      </c>
      <c r="AB106" s="334" t="s">
        <v>11</v>
      </c>
      <c r="AC106" s="334">
        <v>16.100000000000001</v>
      </c>
      <c r="AD106" s="343" t="s">
        <v>523</v>
      </c>
      <c r="AE106" s="334" t="s">
        <v>307</v>
      </c>
      <c r="AF106" s="334" t="s">
        <v>11</v>
      </c>
      <c r="AG106" s="344">
        <v>4.9000000000000004</v>
      </c>
      <c r="AH106" s="343" t="s">
        <v>563</v>
      </c>
      <c r="AI106" s="334" t="s">
        <v>86</v>
      </c>
      <c r="AJ106" s="334" t="s">
        <v>18</v>
      </c>
      <c r="AK106" s="334">
        <v>6.5</v>
      </c>
      <c r="AL106" s="343"/>
      <c r="AO106" s="344"/>
      <c r="AP106" s="343"/>
      <c r="AT106" s="449"/>
      <c r="AW106" s="344"/>
      <c r="BA106" s="345"/>
    </row>
    <row r="107" spans="1:53" s="334" customFormat="1" x14ac:dyDescent="0.15">
      <c r="A107" s="544">
        <v>2003</v>
      </c>
      <c r="B107" s="544"/>
      <c r="C107" s="812" t="s">
        <v>315</v>
      </c>
      <c r="D107" s="812"/>
      <c r="E107" s="544">
        <f>365-E106</f>
        <v>365</v>
      </c>
      <c r="F107" s="544"/>
      <c r="G107" s="497">
        <v>18</v>
      </c>
      <c r="H107" s="544">
        <v>2</v>
      </c>
      <c r="I107" s="544"/>
      <c r="J107" s="499">
        <v>25</v>
      </c>
      <c r="K107" s="495">
        <f t="shared" si="8"/>
        <v>72</v>
      </c>
      <c r="L107" s="495">
        <f t="shared" si="9"/>
        <v>8</v>
      </c>
      <c r="M107" s="495">
        <f t="shared" si="10"/>
        <v>0</v>
      </c>
      <c r="N107" s="498">
        <f t="shared" si="6"/>
        <v>80</v>
      </c>
      <c r="O107" s="494">
        <v>49.9</v>
      </c>
      <c r="P107" s="495">
        <v>6.5</v>
      </c>
      <c r="Q107" s="495"/>
      <c r="R107" s="496">
        <f t="shared" si="7"/>
        <v>56.4</v>
      </c>
      <c r="S107" s="544">
        <v>3</v>
      </c>
      <c r="T107" s="492"/>
      <c r="U107" s="544"/>
      <c r="V107" s="343" t="s">
        <v>522</v>
      </c>
      <c r="W107" s="334" t="s">
        <v>74</v>
      </c>
      <c r="X107" s="334" t="s">
        <v>11</v>
      </c>
      <c r="Y107" s="344">
        <v>28.9</v>
      </c>
      <c r="Z107" s="343" t="s">
        <v>527</v>
      </c>
      <c r="AA107" s="334" t="s">
        <v>27</v>
      </c>
      <c r="AB107" s="334" t="s">
        <v>11</v>
      </c>
      <c r="AC107" s="334">
        <v>16.100000000000001</v>
      </c>
      <c r="AD107" s="343" t="s">
        <v>523</v>
      </c>
      <c r="AE107" s="334" t="s">
        <v>307</v>
      </c>
      <c r="AF107" s="334" t="s">
        <v>11</v>
      </c>
      <c r="AG107" s="344">
        <v>4.9000000000000004</v>
      </c>
      <c r="AH107" s="343" t="s">
        <v>563</v>
      </c>
      <c r="AI107" s="334" t="s">
        <v>86</v>
      </c>
      <c r="AJ107" s="334" t="s">
        <v>18</v>
      </c>
      <c r="AK107" s="334">
        <v>6.5</v>
      </c>
      <c r="AL107" s="343"/>
      <c r="AO107" s="344"/>
      <c r="AP107" s="343"/>
      <c r="AT107" s="449"/>
      <c r="AW107" s="344"/>
      <c r="BA107" s="345"/>
    </row>
    <row r="108" spans="1:53" s="334" customFormat="1" x14ac:dyDescent="0.15">
      <c r="A108" s="544">
        <v>2004</v>
      </c>
      <c r="B108" s="544"/>
      <c r="C108" s="812" t="s">
        <v>315</v>
      </c>
      <c r="D108" s="812"/>
      <c r="E108" s="544">
        <v>0</v>
      </c>
      <c r="F108" s="544"/>
      <c r="G108" s="497">
        <v>19</v>
      </c>
      <c r="H108" s="544">
        <v>2</v>
      </c>
      <c r="I108" s="544"/>
      <c r="J108" s="499">
        <v>25</v>
      </c>
      <c r="K108" s="495">
        <f t="shared" si="8"/>
        <v>76</v>
      </c>
      <c r="L108" s="495">
        <f t="shared" si="9"/>
        <v>8</v>
      </c>
      <c r="M108" s="495">
        <f t="shared" si="10"/>
        <v>0</v>
      </c>
      <c r="N108" s="498">
        <f t="shared" si="6"/>
        <v>84</v>
      </c>
      <c r="O108" s="494">
        <v>49.9</v>
      </c>
      <c r="P108" s="495">
        <v>6.5</v>
      </c>
      <c r="Q108" s="495"/>
      <c r="R108" s="496">
        <f t="shared" si="7"/>
        <v>56.4</v>
      </c>
      <c r="S108" s="544">
        <v>3</v>
      </c>
      <c r="T108" s="492"/>
      <c r="U108" s="544"/>
      <c r="V108" s="343" t="s">
        <v>522</v>
      </c>
      <c r="W108" s="334" t="s">
        <v>74</v>
      </c>
      <c r="X108" s="334" t="s">
        <v>11</v>
      </c>
      <c r="Y108" s="344">
        <v>28.9</v>
      </c>
      <c r="Z108" s="343" t="s">
        <v>527</v>
      </c>
      <c r="AA108" s="334" t="s">
        <v>27</v>
      </c>
      <c r="AB108" s="334" t="s">
        <v>11</v>
      </c>
      <c r="AC108" s="334">
        <v>16.100000000000001</v>
      </c>
      <c r="AD108" s="343" t="s">
        <v>523</v>
      </c>
      <c r="AE108" s="334" t="s">
        <v>307</v>
      </c>
      <c r="AF108" s="334" t="s">
        <v>11</v>
      </c>
      <c r="AG108" s="344">
        <v>4.9000000000000004</v>
      </c>
      <c r="AH108" s="343" t="s">
        <v>563</v>
      </c>
      <c r="AI108" s="334" t="s">
        <v>86</v>
      </c>
      <c r="AJ108" s="334" t="s">
        <v>18</v>
      </c>
      <c r="AK108" s="334">
        <v>6.5</v>
      </c>
      <c r="AL108" s="343"/>
      <c r="AO108" s="344"/>
      <c r="AP108" s="343"/>
      <c r="AT108" s="449"/>
      <c r="AW108" s="344"/>
      <c r="BA108" s="345"/>
    </row>
    <row r="109" spans="1:53" s="334" customFormat="1" x14ac:dyDescent="0.15">
      <c r="A109" s="544">
        <v>2004</v>
      </c>
      <c r="B109" s="544"/>
      <c r="C109" s="812" t="s">
        <v>315</v>
      </c>
      <c r="D109" s="812"/>
      <c r="E109" s="544">
        <f>366-E108</f>
        <v>366</v>
      </c>
      <c r="F109" s="544"/>
      <c r="G109" s="497">
        <v>19</v>
      </c>
      <c r="H109" s="544">
        <v>2</v>
      </c>
      <c r="I109" s="544"/>
      <c r="J109" s="499">
        <v>25</v>
      </c>
      <c r="K109" s="495">
        <f t="shared" si="8"/>
        <v>76</v>
      </c>
      <c r="L109" s="495">
        <f t="shared" si="9"/>
        <v>8</v>
      </c>
      <c r="M109" s="495">
        <f t="shared" si="10"/>
        <v>0</v>
      </c>
      <c r="N109" s="498">
        <f t="shared" si="6"/>
        <v>84</v>
      </c>
      <c r="O109" s="494">
        <v>49.9</v>
      </c>
      <c r="P109" s="495">
        <v>6.5</v>
      </c>
      <c r="Q109" s="495"/>
      <c r="R109" s="496">
        <f t="shared" si="7"/>
        <v>56.4</v>
      </c>
      <c r="S109" s="544">
        <v>3</v>
      </c>
      <c r="T109" s="492"/>
      <c r="U109" s="544"/>
      <c r="V109" s="343" t="s">
        <v>522</v>
      </c>
      <c r="W109" s="334" t="s">
        <v>74</v>
      </c>
      <c r="X109" s="334" t="s">
        <v>11</v>
      </c>
      <c r="Y109" s="344">
        <v>28.9</v>
      </c>
      <c r="Z109" s="343" t="s">
        <v>527</v>
      </c>
      <c r="AA109" s="334" t="s">
        <v>27</v>
      </c>
      <c r="AB109" s="334" t="s">
        <v>11</v>
      </c>
      <c r="AC109" s="334">
        <v>16.100000000000001</v>
      </c>
      <c r="AD109" s="343" t="s">
        <v>523</v>
      </c>
      <c r="AE109" s="334" t="s">
        <v>307</v>
      </c>
      <c r="AF109" s="334" t="s">
        <v>11</v>
      </c>
      <c r="AG109" s="344">
        <v>4.9000000000000004</v>
      </c>
      <c r="AH109" s="343" t="s">
        <v>563</v>
      </c>
      <c r="AI109" s="334" t="s">
        <v>86</v>
      </c>
      <c r="AJ109" s="334" t="s">
        <v>18</v>
      </c>
      <c r="AK109" s="334">
        <v>6.5</v>
      </c>
      <c r="AL109" s="343"/>
      <c r="AO109" s="344"/>
      <c r="AP109" s="343"/>
      <c r="AT109" s="449"/>
      <c r="AW109" s="344"/>
      <c r="BA109" s="345"/>
    </row>
    <row r="110" spans="1:53" s="334" customFormat="1" x14ac:dyDescent="0.15">
      <c r="A110" s="544">
        <v>2005</v>
      </c>
      <c r="B110" s="544"/>
      <c r="C110" s="812" t="s">
        <v>315</v>
      </c>
      <c r="D110" s="812"/>
      <c r="E110" s="544">
        <v>147</v>
      </c>
      <c r="F110" s="544"/>
      <c r="G110" s="497">
        <v>19</v>
      </c>
      <c r="H110" s="544">
        <v>2</v>
      </c>
      <c r="I110" s="544"/>
      <c r="J110" s="499">
        <v>25</v>
      </c>
      <c r="K110" s="495">
        <f t="shared" si="8"/>
        <v>76</v>
      </c>
      <c r="L110" s="495">
        <f t="shared" si="9"/>
        <v>8</v>
      </c>
      <c r="M110" s="495">
        <f t="shared" si="10"/>
        <v>0</v>
      </c>
      <c r="N110" s="498">
        <f t="shared" si="6"/>
        <v>84</v>
      </c>
      <c r="O110" s="494">
        <v>49.9</v>
      </c>
      <c r="P110" s="495">
        <v>6.5</v>
      </c>
      <c r="Q110" s="495"/>
      <c r="R110" s="496">
        <f t="shared" si="7"/>
        <v>56.4</v>
      </c>
      <c r="S110" s="544">
        <v>3</v>
      </c>
      <c r="T110" s="492"/>
      <c r="U110" s="544"/>
      <c r="V110" s="343" t="s">
        <v>522</v>
      </c>
      <c r="W110" s="334" t="s">
        <v>74</v>
      </c>
      <c r="X110" s="334" t="s">
        <v>11</v>
      </c>
      <c r="Y110" s="344">
        <v>28.9</v>
      </c>
      <c r="Z110" s="343" t="s">
        <v>527</v>
      </c>
      <c r="AA110" s="334" t="s">
        <v>27</v>
      </c>
      <c r="AB110" s="334" t="s">
        <v>11</v>
      </c>
      <c r="AC110" s="334">
        <v>16.100000000000001</v>
      </c>
      <c r="AD110" s="343" t="s">
        <v>523</v>
      </c>
      <c r="AE110" s="334" t="s">
        <v>307</v>
      </c>
      <c r="AF110" s="334" t="s">
        <v>11</v>
      </c>
      <c r="AG110" s="344">
        <v>4.9000000000000004</v>
      </c>
      <c r="AH110" s="343" t="s">
        <v>563</v>
      </c>
      <c r="AI110" s="334" t="s">
        <v>86</v>
      </c>
      <c r="AJ110" s="334" t="s">
        <v>18</v>
      </c>
      <c r="AK110" s="334">
        <v>6.5</v>
      </c>
      <c r="AL110" s="343"/>
      <c r="AO110" s="344"/>
      <c r="AP110" s="343"/>
      <c r="AT110" s="449"/>
      <c r="AW110" s="344"/>
      <c r="BA110" s="345"/>
    </row>
    <row r="111" spans="1:53" s="73" customFormat="1" x14ac:dyDescent="0.15">
      <c r="A111" s="543">
        <v>2005</v>
      </c>
      <c r="B111" s="540">
        <v>38500</v>
      </c>
      <c r="C111" s="811" t="s">
        <v>316</v>
      </c>
      <c r="D111" s="811"/>
      <c r="E111" s="543">
        <f>365-E110</f>
        <v>218</v>
      </c>
      <c r="F111" s="543">
        <v>4</v>
      </c>
      <c r="G111" s="480">
        <v>12</v>
      </c>
      <c r="H111" s="543">
        <v>1</v>
      </c>
      <c r="I111" s="543"/>
      <c r="J111" s="482">
        <v>15</v>
      </c>
      <c r="K111" s="477">
        <f t="shared" si="8"/>
        <v>80</v>
      </c>
      <c r="L111" s="477">
        <f t="shared" si="9"/>
        <v>6.666666666666667</v>
      </c>
      <c r="M111" s="477">
        <f t="shared" si="10"/>
        <v>0</v>
      </c>
      <c r="N111" s="481">
        <f t="shared" si="6"/>
        <v>86.666666666666671</v>
      </c>
      <c r="O111" s="476">
        <v>49.9</v>
      </c>
      <c r="P111" s="477">
        <v>6.5</v>
      </c>
      <c r="Q111" s="477"/>
      <c r="R111" s="478">
        <f t="shared" si="7"/>
        <v>56.4</v>
      </c>
      <c r="S111" s="543">
        <v>3</v>
      </c>
      <c r="T111" s="471"/>
      <c r="U111" s="540">
        <v>38500</v>
      </c>
      <c r="V111" s="82" t="s">
        <v>522</v>
      </c>
      <c r="W111" s="73" t="s">
        <v>74</v>
      </c>
      <c r="X111" s="73" t="s">
        <v>11</v>
      </c>
      <c r="Y111" s="83">
        <v>28.9</v>
      </c>
      <c r="Z111" s="82" t="s">
        <v>527</v>
      </c>
      <c r="AA111" s="73" t="s">
        <v>27</v>
      </c>
      <c r="AB111" s="73" t="s">
        <v>11</v>
      </c>
      <c r="AC111" s="73">
        <v>16.100000000000001</v>
      </c>
      <c r="AD111" s="82" t="s">
        <v>523</v>
      </c>
      <c r="AE111" s="73" t="s">
        <v>307</v>
      </c>
      <c r="AF111" s="73" t="s">
        <v>11</v>
      </c>
      <c r="AG111" s="83">
        <v>4.9000000000000004</v>
      </c>
      <c r="AH111" s="82" t="s">
        <v>563</v>
      </c>
      <c r="AI111" s="73" t="s">
        <v>86</v>
      </c>
      <c r="AJ111" s="73" t="s">
        <v>18</v>
      </c>
      <c r="AK111" s="73">
        <v>6.5</v>
      </c>
      <c r="AL111" s="82" t="s">
        <v>819</v>
      </c>
      <c r="AM111" s="73" t="s">
        <v>340</v>
      </c>
      <c r="AN111" s="73" t="s">
        <v>12</v>
      </c>
      <c r="AO111" s="83">
        <v>0</v>
      </c>
      <c r="AP111" s="82" t="s">
        <v>518</v>
      </c>
      <c r="AQ111" s="73" t="s">
        <v>88</v>
      </c>
      <c r="AR111" s="73" t="s">
        <v>18</v>
      </c>
      <c r="AS111" s="73">
        <v>0</v>
      </c>
      <c r="AT111" s="161"/>
      <c r="AW111" s="83"/>
      <c r="BA111" s="84"/>
    </row>
    <row r="112" spans="1:53" s="73" customFormat="1" x14ac:dyDescent="0.15">
      <c r="A112" s="543">
        <v>2006</v>
      </c>
      <c r="B112" s="540"/>
      <c r="C112" s="811" t="s">
        <v>316</v>
      </c>
      <c r="D112" s="811"/>
      <c r="E112" s="543">
        <v>47</v>
      </c>
      <c r="F112" s="543"/>
      <c r="G112" s="480">
        <v>12</v>
      </c>
      <c r="H112" s="543">
        <v>1</v>
      </c>
      <c r="I112" s="543"/>
      <c r="J112" s="482">
        <v>15</v>
      </c>
      <c r="K112" s="477">
        <f>G112/$J112*100</f>
        <v>80</v>
      </c>
      <c r="L112" s="477">
        <f>H112/$J112*100</f>
        <v>6.666666666666667</v>
      </c>
      <c r="M112" s="477">
        <f>I112/$J112*100</f>
        <v>0</v>
      </c>
      <c r="N112" s="481">
        <f>K112+L112+M112</f>
        <v>86.666666666666671</v>
      </c>
      <c r="O112" s="476">
        <v>49.9</v>
      </c>
      <c r="P112" s="477">
        <v>6.5</v>
      </c>
      <c r="Q112" s="477"/>
      <c r="R112" s="478">
        <f>O112+P112+Q112</f>
        <v>56.4</v>
      </c>
      <c r="S112" s="543">
        <v>3</v>
      </c>
      <c r="T112" s="471"/>
      <c r="U112" s="540"/>
      <c r="V112" s="82" t="s">
        <v>522</v>
      </c>
      <c r="W112" s="73" t="s">
        <v>74</v>
      </c>
      <c r="X112" s="73" t="s">
        <v>11</v>
      </c>
      <c r="Y112" s="83">
        <v>28.9</v>
      </c>
      <c r="Z112" s="82" t="s">
        <v>527</v>
      </c>
      <c r="AA112" s="73" t="s">
        <v>27</v>
      </c>
      <c r="AB112" s="73" t="s">
        <v>11</v>
      </c>
      <c r="AC112" s="73">
        <v>16.100000000000001</v>
      </c>
      <c r="AD112" s="82" t="s">
        <v>523</v>
      </c>
      <c r="AE112" s="73" t="s">
        <v>307</v>
      </c>
      <c r="AF112" s="73" t="s">
        <v>11</v>
      </c>
      <c r="AG112" s="83">
        <v>4.9000000000000004</v>
      </c>
      <c r="AH112" s="82" t="s">
        <v>563</v>
      </c>
      <c r="AI112" s="73" t="s">
        <v>86</v>
      </c>
      <c r="AJ112" s="73" t="s">
        <v>18</v>
      </c>
      <c r="AK112" s="73">
        <v>6.5</v>
      </c>
      <c r="AL112" s="82" t="s">
        <v>819</v>
      </c>
      <c r="AM112" s="73" t="s">
        <v>340</v>
      </c>
      <c r="AN112" s="73" t="s">
        <v>12</v>
      </c>
      <c r="AO112" s="83">
        <v>0</v>
      </c>
      <c r="AP112" s="82" t="s">
        <v>518</v>
      </c>
      <c r="AQ112" s="73" t="s">
        <v>88</v>
      </c>
      <c r="AR112" s="73" t="s">
        <v>18</v>
      </c>
      <c r="AS112" s="73">
        <v>0</v>
      </c>
      <c r="AT112" s="161"/>
      <c r="AW112" s="83"/>
      <c r="BA112" s="84"/>
    </row>
    <row r="113" spans="1:53" s="73" customFormat="1" x14ac:dyDescent="0.15">
      <c r="A113" s="543">
        <v>2006</v>
      </c>
      <c r="B113" s="483">
        <v>38765</v>
      </c>
      <c r="C113" s="811" t="s">
        <v>316</v>
      </c>
      <c r="D113" s="811"/>
      <c r="E113" s="543">
        <v>21</v>
      </c>
      <c r="F113" s="484">
        <v>0</v>
      </c>
      <c r="G113" s="480">
        <v>11</v>
      </c>
      <c r="H113" s="543">
        <v>1</v>
      </c>
      <c r="I113" s="543"/>
      <c r="J113" s="482">
        <v>14</v>
      </c>
      <c r="K113" s="477">
        <f t="shared" si="8"/>
        <v>78.571428571428569</v>
      </c>
      <c r="L113" s="477">
        <f t="shared" si="9"/>
        <v>7.1428571428571423</v>
      </c>
      <c r="M113" s="477">
        <f t="shared" si="10"/>
        <v>0</v>
      </c>
      <c r="N113" s="481">
        <f t="shared" si="6"/>
        <v>85.714285714285708</v>
      </c>
      <c r="O113" s="476">
        <v>49.9</v>
      </c>
      <c r="P113" s="477">
        <v>6.5</v>
      </c>
      <c r="Q113" s="477"/>
      <c r="R113" s="478">
        <f t="shared" si="7"/>
        <v>56.4</v>
      </c>
      <c r="S113" s="543">
        <v>3</v>
      </c>
      <c r="T113" s="471"/>
      <c r="U113" s="543"/>
      <c r="V113" s="82" t="s">
        <v>522</v>
      </c>
      <c r="W113" s="73" t="s">
        <v>74</v>
      </c>
      <c r="X113" s="73" t="s">
        <v>11</v>
      </c>
      <c r="Y113" s="83">
        <v>28.9</v>
      </c>
      <c r="Z113" s="82" t="s">
        <v>527</v>
      </c>
      <c r="AA113" s="73" t="s">
        <v>27</v>
      </c>
      <c r="AB113" s="73" t="s">
        <v>11</v>
      </c>
      <c r="AC113" s="73">
        <v>16.100000000000001</v>
      </c>
      <c r="AD113" s="82" t="s">
        <v>523</v>
      </c>
      <c r="AE113" s="73" t="s">
        <v>307</v>
      </c>
      <c r="AF113" s="73" t="s">
        <v>11</v>
      </c>
      <c r="AG113" s="83">
        <v>4.9000000000000004</v>
      </c>
      <c r="AH113" s="82" t="s">
        <v>563</v>
      </c>
      <c r="AI113" s="73" t="s">
        <v>86</v>
      </c>
      <c r="AJ113" s="73" t="s">
        <v>18</v>
      </c>
      <c r="AK113" s="73">
        <v>6.5</v>
      </c>
      <c r="AL113" s="82" t="s">
        <v>819</v>
      </c>
      <c r="AM113" s="73" t="s">
        <v>340</v>
      </c>
      <c r="AN113" s="73" t="s">
        <v>12</v>
      </c>
      <c r="AO113" s="83">
        <v>0</v>
      </c>
      <c r="AP113" s="82" t="s">
        <v>518</v>
      </c>
      <c r="AQ113" s="73" t="s">
        <v>88</v>
      </c>
      <c r="AR113" s="73" t="s">
        <v>18</v>
      </c>
      <c r="AS113" s="73">
        <v>0</v>
      </c>
      <c r="AT113" s="161"/>
      <c r="AW113" s="83"/>
      <c r="BA113" s="84"/>
    </row>
    <row r="114" spans="1:53" s="73" customFormat="1" x14ac:dyDescent="0.15">
      <c r="A114" s="543">
        <v>2006</v>
      </c>
      <c r="B114" s="483">
        <v>38786</v>
      </c>
      <c r="C114" s="811" t="s">
        <v>316</v>
      </c>
      <c r="D114" s="811"/>
      <c r="E114" s="543">
        <v>68</v>
      </c>
      <c r="F114" s="484">
        <v>0</v>
      </c>
      <c r="G114" s="480">
        <v>10</v>
      </c>
      <c r="H114" s="543">
        <v>1</v>
      </c>
      <c r="I114" s="543"/>
      <c r="J114" s="482">
        <v>13</v>
      </c>
      <c r="K114" s="477">
        <f>G114/$J114*100</f>
        <v>76.923076923076934</v>
      </c>
      <c r="L114" s="477">
        <f>H114/$J114*100</f>
        <v>7.6923076923076925</v>
      </c>
      <c r="M114" s="477">
        <f>I114/$J114*100</f>
        <v>0</v>
      </c>
      <c r="N114" s="481">
        <f>K114+L114+M114</f>
        <v>84.615384615384627</v>
      </c>
      <c r="O114" s="476">
        <v>49.9</v>
      </c>
      <c r="P114" s="477">
        <v>6.5</v>
      </c>
      <c r="Q114" s="477"/>
      <c r="R114" s="478">
        <f>O114+P114+Q114</f>
        <v>56.4</v>
      </c>
      <c r="S114" s="543">
        <v>3</v>
      </c>
      <c r="T114" s="471"/>
      <c r="U114" s="543"/>
      <c r="V114" s="82" t="s">
        <v>522</v>
      </c>
      <c r="W114" s="73" t="s">
        <v>74</v>
      </c>
      <c r="X114" s="73" t="s">
        <v>11</v>
      </c>
      <c r="Y114" s="83">
        <v>28.9</v>
      </c>
      <c r="Z114" s="82" t="s">
        <v>527</v>
      </c>
      <c r="AA114" s="73" t="s">
        <v>27</v>
      </c>
      <c r="AB114" s="73" t="s">
        <v>11</v>
      </c>
      <c r="AC114" s="73">
        <v>16.100000000000001</v>
      </c>
      <c r="AD114" s="82" t="s">
        <v>523</v>
      </c>
      <c r="AE114" s="73" t="s">
        <v>307</v>
      </c>
      <c r="AF114" s="73" t="s">
        <v>11</v>
      </c>
      <c r="AG114" s="83">
        <v>4.9000000000000004</v>
      </c>
      <c r="AH114" s="82" t="s">
        <v>563</v>
      </c>
      <c r="AI114" s="73" t="s">
        <v>86</v>
      </c>
      <c r="AJ114" s="73" t="s">
        <v>18</v>
      </c>
      <c r="AK114" s="73">
        <v>6.5</v>
      </c>
      <c r="AL114" s="82" t="s">
        <v>819</v>
      </c>
      <c r="AM114" s="73" t="s">
        <v>340</v>
      </c>
      <c r="AN114" s="73" t="s">
        <v>12</v>
      </c>
      <c r="AO114" s="83">
        <v>0</v>
      </c>
      <c r="AP114" s="82" t="s">
        <v>518</v>
      </c>
      <c r="AQ114" s="73" t="s">
        <v>88</v>
      </c>
      <c r="AR114" s="73" t="s">
        <v>18</v>
      </c>
      <c r="AS114" s="73">
        <v>0</v>
      </c>
      <c r="AT114" s="161"/>
      <c r="AW114" s="83"/>
      <c r="BA114" s="84"/>
    </row>
    <row r="115" spans="1:53" s="334" customFormat="1" x14ac:dyDescent="0.15">
      <c r="A115" s="544">
        <v>2006</v>
      </c>
      <c r="B115" s="541">
        <v>38854</v>
      </c>
      <c r="C115" s="812" t="s">
        <v>820</v>
      </c>
      <c r="D115" s="812"/>
      <c r="E115" s="544">
        <f>365-E113-E112-E114</f>
        <v>229</v>
      </c>
      <c r="F115" s="544">
        <v>1</v>
      </c>
      <c r="G115" s="497"/>
      <c r="H115" s="544">
        <v>1</v>
      </c>
      <c r="I115" s="544">
        <v>23</v>
      </c>
      <c r="J115" s="499">
        <v>27</v>
      </c>
      <c r="K115" s="495">
        <f t="shared" si="8"/>
        <v>0</v>
      </c>
      <c r="L115" s="495">
        <f t="shared" si="9"/>
        <v>3.7037037037037033</v>
      </c>
      <c r="M115" s="495">
        <f t="shared" si="10"/>
        <v>85.18518518518519</v>
      </c>
      <c r="N115" s="498">
        <f t="shared" si="6"/>
        <v>88.8888888888889</v>
      </c>
      <c r="O115" s="494"/>
      <c r="P115" s="495">
        <v>1.6</v>
      </c>
      <c r="Q115" s="495">
        <v>49.4</v>
      </c>
      <c r="R115" s="496">
        <f t="shared" si="7"/>
        <v>51</v>
      </c>
      <c r="S115" s="544">
        <v>2</v>
      </c>
      <c r="T115" s="487">
        <v>38816</v>
      </c>
      <c r="U115" s="541">
        <v>38854</v>
      </c>
      <c r="V115" s="343" t="s">
        <v>817</v>
      </c>
      <c r="W115" s="334" t="s">
        <v>317</v>
      </c>
      <c r="X115" s="334" t="s">
        <v>12</v>
      </c>
      <c r="Y115" s="344">
        <v>34.9</v>
      </c>
      <c r="Z115" s="343" t="s">
        <v>531</v>
      </c>
      <c r="AA115" s="334" t="s">
        <v>318</v>
      </c>
      <c r="AB115" s="334" t="s">
        <v>12</v>
      </c>
      <c r="AC115" s="344">
        <v>6.5</v>
      </c>
      <c r="AD115" s="334" t="s">
        <v>818</v>
      </c>
      <c r="AE115" s="334" t="s">
        <v>97</v>
      </c>
      <c r="AF115" s="334" t="s">
        <v>12</v>
      </c>
      <c r="AG115" s="334">
        <v>2.9</v>
      </c>
      <c r="AH115" s="343" t="s">
        <v>583</v>
      </c>
      <c r="AI115" s="334" t="s">
        <v>319</v>
      </c>
      <c r="AJ115" s="334" t="s">
        <v>12</v>
      </c>
      <c r="AK115" s="334">
        <v>2.7</v>
      </c>
      <c r="AL115" s="343" t="s">
        <v>311</v>
      </c>
      <c r="AM115" s="334" t="s">
        <v>221</v>
      </c>
      <c r="AN115" s="334" t="s">
        <v>12</v>
      </c>
      <c r="AO115" s="344">
        <v>2.4</v>
      </c>
      <c r="AP115" s="343" t="s">
        <v>530</v>
      </c>
      <c r="AQ115" s="334" t="s">
        <v>340</v>
      </c>
      <c r="AR115" s="334" t="s">
        <v>18</v>
      </c>
      <c r="AS115" s="334">
        <v>1.6</v>
      </c>
      <c r="AT115" s="449"/>
      <c r="AW115" s="344"/>
      <c r="BA115" s="345"/>
    </row>
    <row r="116" spans="1:53" s="334" customFormat="1" x14ac:dyDescent="0.15">
      <c r="A116" s="544">
        <v>2007</v>
      </c>
      <c r="B116" s="544"/>
      <c r="C116" s="812" t="s">
        <v>820</v>
      </c>
      <c r="D116" s="812"/>
      <c r="E116" s="544">
        <v>0</v>
      </c>
      <c r="F116" s="544"/>
      <c r="G116" s="497"/>
      <c r="H116" s="544">
        <v>1</v>
      </c>
      <c r="I116" s="544">
        <v>23</v>
      </c>
      <c r="J116" s="499">
        <v>27</v>
      </c>
      <c r="K116" s="495">
        <f t="shared" si="8"/>
        <v>0</v>
      </c>
      <c r="L116" s="495">
        <f t="shared" si="9"/>
        <v>3.7037037037037033</v>
      </c>
      <c r="M116" s="495">
        <f t="shared" si="10"/>
        <v>85.18518518518519</v>
      </c>
      <c r="N116" s="498">
        <f t="shared" si="6"/>
        <v>88.8888888888889</v>
      </c>
      <c r="O116" s="494"/>
      <c r="P116" s="495">
        <v>1.6</v>
      </c>
      <c r="Q116" s="495">
        <v>49.4</v>
      </c>
      <c r="R116" s="496">
        <f t="shared" si="7"/>
        <v>51</v>
      </c>
      <c r="S116" s="544">
        <v>2</v>
      </c>
      <c r="T116" s="492"/>
      <c r="U116" s="544"/>
      <c r="V116" s="343" t="s">
        <v>817</v>
      </c>
      <c r="W116" s="334" t="s">
        <v>317</v>
      </c>
      <c r="X116" s="334" t="s">
        <v>12</v>
      </c>
      <c r="Y116" s="344">
        <v>34.9</v>
      </c>
      <c r="Z116" s="343" t="s">
        <v>531</v>
      </c>
      <c r="AA116" s="334" t="s">
        <v>318</v>
      </c>
      <c r="AB116" s="334" t="s">
        <v>12</v>
      </c>
      <c r="AC116" s="344">
        <v>6.5</v>
      </c>
      <c r="AD116" s="334" t="s">
        <v>818</v>
      </c>
      <c r="AE116" s="334" t="s">
        <v>97</v>
      </c>
      <c r="AF116" s="334" t="s">
        <v>12</v>
      </c>
      <c r="AG116" s="334">
        <v>2.9</v>
      </c>
      <c r="AH116" s="343" t="s">
        <v>583</v>
      </c>
      <c r="AI116" s="334" t="s">
        <v>319</v>
      </c>
      <c r="AJ116" s="334" t="s">
        <v>12</v>
      </c>
      <c r="AK116" s="334">
        <v>2.7</v>
      </c>
      <c r="AL116" s="343" t="s">
        <v>311</v>
      </c>
      <c r="AM116" s="334" t="s">
        <v>221</v>
      </c>
      <c r="AN116" s="334" t="s">
        <v>12</v>
      </c>
      <c r="AO116" s="344">
        <v>2.4</v>
      </c>
      <c r="AP116" s="343" t="s">
        <v>530</v>
      </c>
      <c r="AQ116" s="334" t="s">
        <v>340</v>
      </c>
      <c r="AR116" s="334" t="s">
        <v>18</v>
      </c>
      <c r="AS116" s="334">
        <v>1.6</v>
      </c>
      <c r="AT116" s="449"/>
      <c r="AW116" s="344"/>
      <c r="BA116" s="345"/>
    </row>
    <row r="117" spans="1:53" s="334" customFormat="1" x14ac:dyDescent="0.15">
      <c r="A117" s="544">
        <v>2007</v>
      </c>
      <c r="B117" s="544"/>
      <c r="C117" s="812" t="s">
        <v>820</v>
      </c>
      <c r="D117" s="812"/>
      <c r="E117" s="544">
        <v>365</v>
      </c>
      <c r="F117" s="544"/>
      <c r="G117" s="497"/>
      <c r="H117" s="544">
        <v>1</v>
      </c>
      <c r="I117" s="544">
        <v>23</v>
      </c>
      <c r="J117" s="499">
        <v>27</v>
      </c>
      <c r="K117" s="495">
        <f t="shared" si="8"/>
        <v>0</v>
      </c>
      <c r="L117" s="495">
        <f t="shared" si="9"/>
        <v>3.7037037037037033</v>
      </c>
      <c r="M117" s="495">
        <f t="shared" si="10"/>
        <v>85.18518518518519</v>
      </c>
      <c r="N117" s="498">
        <f t="shared" si="6"/>
        <v>88.8888888888889</v>
      </c>
      <c r="O117" s="494"/>
      <c r="P117" s="495">
        <v>1.6</v>
      </c>
      <c r="Q117" s="495">
        <v>49.4</v>
      </c>
      <c r="R117" s="496">
        <f t="shared" si="7"/>
        <v>51</v>
      </c>
      <c r="S117" s="544">
        <v>2</v>
      </c>
      <c r="T117" s="492"/>
      <c r="U117" s="544"/>
      <c r="V117" s="343" t="s">
        <v>817</v>
      </c>
      <c r="W117" s="334" t="s">
        <v>317</v>
      </c>
      <c r="X117" s="334" t="s">
        <v>12</v>
      </c>
      <c r="Y117" s="344">
        <v>34.9</v>
      </c>
      <c r="Z117" s="343" t="s">
        <v>531</v>
      </c>
      <c r="AA117" s="334" t="s">
        <v>318</v>
      </c>
      <c r="AB117" s="334" t="s">
        <v>12</v>
      </c>
      <c r="AC117" s="344">
        <v>6.5</v>
      </c>
      <c r="AD117" s="334" t="s">
        <v>818</v>
      </c>
      <c r="AE117" s="334" t="s">
        <v>97</v>
      </c>
      <c r="AF117" s="334" t="s">
        <v>12</v>
      </c>
      <c r="AG117" s="334">
        <v>2.9</v>
      </c>
      <c r="AH117" s="343" t="s">
        <v>583</v>
      </c>
      <c r="AI117" s="334" t="s">
        <v>319</v>
      </c>
      <c r="AJ117" s="334" t="s">
        <v>12</v>
      </c>
      <c r="AK117" s="334">
        <v>2.7</v>
      </c>
      <c r="AL117" s="343" t="s">
        <v>311</v>
      </c>
      <c r="AM117" s="334" t="s">
        <v>221</v>
      </c>
      <c r="AN117" s="334" t="s">
        <v>12</v>
      </c>
      <c r="AO117" s="344">
        <v>2.4</v>
      </c>
      <c r="AP117" s="343" t="s">
        <v>530</v>
      </c>
      <c r="AQ117" s="334" t="s">
        <v>340</v>
      </c>
      <c r="AR117" s="334" t="s">
        <v>18</v>
      </c>
      <c r="AS117" s="334">
        <v>1.6</v>
      </c>
      <c r="AT117" s="449"/>
      <c r="AW117" s="344"/>
      <c r="BA117" s="345"/>
    </row>
    <row r="118" spans="1:53" s="334" customFormat="1" x14ac:dyDescent="0.15">
      <c r="A118" s="544">
        <v>2008</v>
      </c>
      <c r="B118" s="544"/>
      <c r="C118" s="812" t="s">
        <v>820</v>
      </c>
      <c r="D118" s="812"/>
      <c r="E118" s="544">
        <v>128</v>
      </c>
      <c r="F118" s="544"/>
      <c r="G118" s="497"/>
      <c r="H118" s="544">
        <v>1</v>
      </c>
      <c r="I118" s="544">
        <v>23</v>
      </c>
      <c r="J118" s="499">
        <v>27</v>
      </c>
      <c r="K118" s="495">
        <f t="shared" si="8"/>
        <v>0</v>
      </c>
      <c r="L118" s="495">
        <f t="shared" si="9"/>
        <v>3.7037037037037033</v>
      </c>
      <c r="M118" s="495">
        <f t="shared" si="10"/>
        <v>85.18518518518519</v>
      </c>
      <c r="N118" s="498">
        <f t="shared" si="6"/>
        <v>88.8888888888889</v>
      </c>
      <c r="O118" s="494"/>
      <c r="P118" s="495">
        <v>1.6</v>
      </c>
      <c r="Q118" s="495">
        <v>49.4</v>
      </c>
      <c r="R118" s="496">
        <f t="shared" si="7"/>
        <v>51</v>
      </c>
      <c r="S118" s="544">
        <v>2</v>
      </c>
      <c r="T118" s="492"/>
      <c r="U118" s="544"/>
      <c r="V118" s="343" t="s">
        <v>817</v>
      </c>
      <c r="W118" s="334" t="s">
        <v>317</v>
      </c>
      <c r="X118" s="334" t="s">
        <v>12</v>
      </c>
      <c r="Y118" s="344">
        <v>34.9</v>
      </c>
      <c r="Z118" s="343" t="s">
        <v>531</v>
      </c>
      <c r="AA118" s="334" t="s">
        <v>318</v>
      </c>
      <c r="AB118" s="334" t="s">
        <v>12</v>
      </c>
      <c r="AC118" s="344">
        <v>6.5</v>
      </c>
      <c r="AD118" s="334" t="s">
        <v>818</v>
      </c>
      <c r="AE118" s="334" t="s">
        <v>97</v>
      </c>
      <c r="AF118" s="334" t="s">
        <v>12</v>
      </c>
      <c r="AG118" s="334">
        <v>2.9</v>
      </c>
      <c r="AH118" s="343" t="s">
        <v>583</v>
      </c>
      <c r="AI118" s="334" t="s">
        <v>319</v>
      </c>
      <c r="AJ118" s="334" t="s">
        <v>12</v>
      </c>
      <c r="AK118" s="334">
        <v>2.7</v>
      </c>
      <c r="AL118" s="343" t="s">
        <v>311</v>
      </c>
      <c r="AM118" s="334" t="s">
        <v>221</v>
      </c>
      <c r="AN118" s="334" t="s">
        <v>12</v>
      </c>
      <c r="AO118" s="344">
        <v>2.4</v>
      </c>
      <c r="AP118" s="343" t="s">
        <v>530</v>
      </c>
      <c r="AQ118" s="334" t="s">
        <v>340</v>
      </c>
      <c r="AR118" s="334" t="s">
        <v>18</v>
      </c>
      <c r="AS118" s="334">
        <v>1.6</v>
      </c>
      <c r="AT118" s="449"/>
      <c r="AW118" s="344"/>
      <c r="BA118" s="345"/>
    </row>
    <row r="119" spans="1:53" s="73" customFormat="1" x14ac:dyDescent="0.15">
      <c r="A119" s="543">
        <v>2008</v>
      </c>
      <c r="B119" s="540">
        <v>39576</v>
      </c>
      <c r="C119" s="811" t="s">
        <v>320</v>
      </c>
      <c r="D119" s="811"/>
      <c r="E119" s="543">
        <f>366-E118</f>
        <v>238</v>
      </c>
      <c r="F119" s="543">
        <v>1</v>
      </c>
      <c r="G119" s="480">
        <f>13+4+4</f>
        <v>21</v>
      </c>
      <c r="H119" s="543">
        <v>1</v>
      </c>
      <c r="I119" s="543"/>
      <c r="J119" s="482">
        <v>22</v>
      </c>
      <c r="K119" s="477">
        <f t="shared" si="8"/>
        <v>95.454545454545453</v>
      </c>
      <c r="L119" s="477">
        <f t="shared" si="9"/>
        <v>4.5454545454545459</v>
      </c>
      <c r="M119" s="477">
        <f t="shared" si="10"/>
        <v>0</v>
      </c>
      <c r="N119" s="481">
        <f t="shared" si="6"/>
        <v>100</v>
      </c>
      <c r="O119" s="476">
        <f>43.8+9.5</f>
        <v>53.3</v>
      </c>
      <c r="P119" s="477"/>
      <c r="Q119" s="477"/>
      <c r="R119" s="478">
        <f t="shared" si="7"/>
        <v>53.3</v>
      </c>
      <c r="S119" s="543">
        <v>2</v>
      </c>
      <c r="T119" s="479">
        <v>39551</v>
      </c>
      <c r="U119" s="540">
        <v>39576</v>
      </c>
      <c r="V119" s="82" t="s">
        <v>528</v>
      </c>
      <c r="W119" s="73" t="s">
        <v>79</v>
      </c>
      <c r="X119" s="73" t="s">
        <v>11</v>
      </c>
      <c r="Y119" s="83">
        <v>43.8</v>
      </c>
      <c r="Z119" s="73" t="s">
        <v>523</v>
      </c>
      <c r="AA119" s="73" t="s">
        <v>307</v>
      </c>
      <c r="AB119" s="73" t="s">
        <v>11</v>
      </c>
      <c r="AC119" s="83">
        <v>9.5</v>
      </c>
      <c r="AD119" s="73" t="s">
        <v>529</v>
      </c>
      <c r="AE119" s="73" t="s">
        <v>340</v>
      </c>
      <c r="AF119" s="73" t="s">
        <v>18</v>
      </c>
      <c r="AG119" s="73">
        <v>0</v>
      </c>
      <c r="AH119" s="82"/>
      <c r="AL119" s="82"/>
      <c r="AO119" s="83"/>
      <c r="AP119" s="82"/>
      <c r="AT119" s="161"/>
      <c r="AW119" s="83"/>
      <c r="BA119" s="84"/>
    </row>
    <row r="120" spans="1:53" s="73" customFormat="1" x14ac:dyDescent="0.15">
      <c r="A120" s="543">
        <v>2009</v>
      </c>
      <c r="B120" s="543"/>
      <c r="C120" s="811" t="s">
        <v>320</v>
      </c>
      <c r="D120" s="811"/>
      <c r="E120" s="543">
        <v>127</v>
      </c>
      <c r="F120" s="543"/>
      <c r="G120" s="480">
        <v>21</v>
      </c>
      <c r="H120" s="543">
        <v>1</v>
      </c>
      <c r="I120" s="543"/>
      <c r="J120" s="482">
        <v>22</v>
      </c>
      <c r="K120" s="477">
        <f t="shared" si="8"/>
        <v>95.454545454545453</v>
      </c>
      <c r="L120" s="477">
        <f t="shared" si="9"/>
        <v>4.5454545454545459</v>
      </c>
      <c r="M120" s="477">
        <f t="shared" si="10"/>
        <v>0</v>
      </c>
      <c r="N120" s="481">
        <f t="shared" si="6"/>
        <v>100</v>
      </c>
      <c r="O120" s="476">
        <v>53.3</v>
      </c>
      <c r="P120" s="477"/>
      <c r="Q120" s="477"/>
      <c r="R120" s="478">
        <f t="shared" si="7"/>
        <v>53.3</v>
      </c>
      <c r="S120" s="543">
        <v>2</v>
      </c>
      <c r="T120" s="471"/>
      <c r="U120" s="543"/>
      <c r="V120" s="82" t="s">
        <v>528</v>
      </c>
      <c r="W120" s="73" t="s">
        <v>79</v>
      </c>
      <c r="X120" s="73" t="s">
        <v>11</v>
      </c>
      <c r="Y120" s="83">
        <v>43.8</v>
      </c>
      <c r="Z120" s="73" t="s">
        <v>523</v>
      </c>
      <c r="AA120" s="73" t="s">
        <v>307</v>
      </c>
      <c r="AB120" s="73" t="s">
        <v>11</v>
      </c>
      <c r="AC120" s="83">
        <v>9.5</v>
      </c>
      <c r="AD120" s="73" t="s">
        <v>529</v>
      </c>
      <c r="AE120" s="73" t="s">
        <v>340</v>
      </c>
      <c r="AF120" s="73" t="s">
        <v>18</v>
      </c>
      <c r="AG120" s="73">
        <v>0</v>
      </c>
      <c r="AH120" s="82"/>
      <c r="AL120" s="82"/>
      <c r="AO120" s="83"/>
      <c r="AP120" s="82"/>
      <c r="AT120" s="161"/>
      <c r="AW120" s="83"/>
      <c r="BA120" s="84"/>
    </row>
    <row r="121" spans="1:53" s="73" customFormat="1" x14ac:dyDescent="0.15">
      <c r="A121" s="543">
        <v>2009</v>
      </c>
      <c r="B121" s="483">
        <v>39941</v>
      </c>
      <c r="C121" s="811" t="s">
        <v>320</v>
      </c>
      <c r="D121" s="811"/>
      <c r="E121" s="543">
        <v>220</v>
      </c>
      <c r="F121" s="484">
        <v>0</v>
      </c>
      <c r="G121" s="480">
        <v>23</v>
      </c>
      <c r="H121" s="543"/>
      <c r="I121" s="543"/>
      <c r="J121" s="482">
        <v>23</v>
      </c>
      <c r="K121" s="477">
        <f t="shared" si="8"/>
        <v>100</v>
      </c>
      <c r="L121" s="477">
        <f t="shared" si="9"/>
        <v>0</v>
      </c>
      <c r="M121" s="477">
        <f t="shared" si="10"/>
        <v>0</v>
      </c>
      <c r="N121" s="481">
        <f t="shared" si="6"/>
        <v>100</v>
      </c>
      <c r="O121" s="476">
        <v>53.3</v>
      </c>
      <c r="P121" s="477"/>
      <c r="Q121" s="477"/>
      <c r="R121" s="478">
        <f t="shared" si="7"/>
        <v>53.3</v>
      </c>
      <c r="S121" s="543">
        <v>2</v>
      </c>
      <c r="T121" s="471"/>
      <c r="U121" s="543"/>
      <c r="V121" s="82" t="s">
        <v>528</v>
      </c>
      <c r="W121" s="73" t="s">
        <v>79</v>
      </c>
      <c r="X121" s="73" t="s">
        <v>11</v>
      </c>
      <c r="Y121" s="83">
        <v>43.8</v>
      </c>
      <c r="Z121" s="73" t="s">
        <v>523</v>
      </c>
      <c r="AA121" s="73" t="s">
        <v>307</v>
      </c>
      <c r="AB121" s="73" t="s">
        <v>11</v>
      </c>
      <c r="AC121" s="83">
        <v>9.5</v>
      </c>
      <c r="AD121" s="73" t="s">
        <v>529</v>
      </c>
      <c r="AE121" s="73" t="s">
        <v>340</v>
      </c>
      <c r="AF121" s="73" t="s">
        <v>18</v>
      </c>
      <c r="AG121" s="73">
        <v>0</v>
      </c>
      <c r="AH121" s="82"/>
      <c r="AL121" s="82"/>
      <c r="AO121" s="83"/>
      <c r="AP121" s="82"/>
      <c r="AT121" s="161"/>
      <c r="AW121" s="83"/>
      <c r="BA121" s="84"/>
    </row>
    <row r="122" spans="1:53" s="73" customFormat="1" x14ac:dyDescent="0.15">
      <c r="A122" s="543">
        <v>2009</v>
      </c>
      <c r="B122" s="483">
        <v>40161</v>
      </c>
      <c r="C122" s="811" t="s">
        <v>320</v>
      </c>
      <c r="D122" s="811"/>
      <c r="E122" s="543">
        <f>365-E121-E120</f>
        <v>18</v>
      </c>
      <c r="F122" s="484">
        <v>0</v>
      </c>
      <c r="G122" s="480">
        <v>24</v>
      </c>
      <c r="H122" s="543"/>
      <c r="I122" s="543"/>
      <c r="J122" s="482">
        <v>24</v>
      </c>
      <c r="K122" s="477">
        <f t="shared" si="8"/>
        <v>100</v>
      </c>
      <c r="L122" s="477">
        <f t="shared" si="9"/>
        <v>0</v>
      </c>
      <c r="M122" s="477">
        <f t="shared" si="10"/>
        <v>0</v>
      </c>
      <c r="N122" s="481">
        <f t="shared" si="6"/>
        <v>100</v>
      </c>
      <c r="O122" s="476">
        <v>53.3</v>
      </c>
      <c r="P122" s="477"/>
      <c r="Q122" s="477"/>
      <c r="R122" s="478">
        <f t="shared" si="7"/>
        <v>53.3</v>
      </c>
      <c r="S122" s="543">
        <v>2</v>
      </c>
      <c r="T122" s="471"/>
      <c r="U122" s="543"/>
      <c r="V122" s="82" t="s">
        <v>528</v>
      </c>
      <c r="W122" s="73" t="s">
        <v>79</v>
      </c>
      <c r="X122" s="73" t="s">
        <v>11</v>
      </c>
      <c r="Y122" s="83">
        <v>43.8</v>
      </c>
      <c r="Z122" s="73" t="s">
        <v>523</v>
      </c>
      <c r="AA122" s="73" t="s">
        <v>307</v>
      </c>
      <c r="AB122" s="73" t="s">
        <v>11</v>
      </c>
      <c r="AC122" s="83">
        <v>9.5</v>
      </c>
      <c r="AD122" s="73" t="s">
        <v>529</v>
      </c>
      <c r="AE122" s="73" t="s">
        <v>340</v>
      </c>
      <c r="AF122" s="73" t="s">
        <v>18</v>
      </c>
      <c r="AG122" s="73">
        <v>0</v>
      </c>
      <c r="AH122" s="82"/>
      <c r="AL122" s="82"/>
      <c r="AO122" s="83"/>
      <c r="AP122" s="82"/>
      <c r="AT122" s="161"/>
      <c r="AW122" s="83"/>
      <c r="BA122" s="84"/>
    </row>
    <row r="123" spans="1:53" s="73" customFormat="1" x14ac:dyDescent="0.15">
      <c r="A123" s="543">
        <v>2010</v>
      </c>
      <c r="B123" s="484"/>
      <c r="C123" s="811" t="s">
        <v>320</v>
      </c>
      <c r="D123" s="811"/>
      <c r="E123" s="543">
        <v>168</v>
      </c>
      <c r="F123" s="484"/>
      <c r="G123" s="480">
        <v>24</v>
      </c>
      <c r="H123" s="543"/>
      <c r="I123" s="543"/>
      <c r="J123" s="482">
        <v>24</v>
      </c>
      <c r="K123" s="477">
        <f t="shared" si="8"/>
        <v>100</v>
      </c>
      <c r="L123" s="477">
        <f t="shared" si="9"/>
        <v>0</v>
      </c>
      <c r="M123" s="477">
        <f t="shared" si="10"/>
        <v>0</v>
      </c>
      <c r="N123" s="481">
        <f t="shared" si="6"/>
        <v>100</v>
      </c>
      <c r="O123" s="476">
        <v>53.3</v>
      </c>
      <c r="P123" s="477"/>
      <c r="Q123" s="477"/>
      <c r="R123" s="478">
        <f t="shared" si="7"/>
        <v>53.3</v>
      </c>
      <c r="S123" s="543">
        <v>2</v>
      </c>
      <c r="T123" s="471"/>
      <c r="U123" s="543"/>
      <c r="V123" s="82" t="s">
        <v>528</v>
      </c>
      <c r="W123" s="73" t="s">
        <v>79</v>
      </c>
      <c r="X123" s="73" t="s">
        <v>11</v>
      </c>
      <c r="Y123" s="83">
        <v>43.8</v>
      </c>
      <c r="Z123" s="73" t="s">
        <v>523</v>
      </c>
      <c r="AA123" s="73" t="s">
        <v>307</v>
      </c>
      <c r="AB123" s="73" t="s">
        <v>11</v>
      </c>
      <c r="AC123" s="83">
        <v>9.5</v>
      </c>
      <c r="AD123" s="73" t="s">
        <v>529</v>
      </c>
      <c r="AE123" s="73" t="s">
        <v>340</v>
      </c>
      <c r="AF123" s="73" t="s">
        <v>18</v>
      </c>
      <c r="AG123" s="73">
        <v>0</v>
      </c>
      <c r="AH123" s="82"/>
      <c r="AL123" s="82"/>
      <c r="AO123" s="83"/>
      <c r="AP123" s="82"/>
      <c r="AT123" s="161"/>
      <c r="AW123" s="83"/>
      <c r="BA123" s="84"/>
    </row>
    <row r="124" spans="1:53" s="73" customFormat="1" x14ac:dyDescent="0.15">
      <c r="A124" s="543">
        <v>2010</v>
      </c>
      <c r="B124" s="483">
        <v>40347</v>
      </c>
      <c r="C124" s="811" t="s">
        <v>320</v>
      </c>
      <c r="D124" s="811"/>
      <c r="E124" s="543">
        <v>18</v>
      </c>
      <c r="F124" s="484">
        <v>0</v>
      </c>
      <c r="G124" s="480">
        <v>25</v>
      </c>
      <c r="H124" s="543"/>
      <c r="I124" s="543"/>
      <c r="J124" s="482">
        <v>25</v>
      </c>
      <c r="K124" s="477">
        <f t="shared" si="8"/>
        <v>100</v>
      </c>
      <c r="L124" s="477">
        <f t="shared" si="9"/>
        <v>0</v>
      </c>
      <c r="M124" s="477">
        <f t="shared" si="10"/>
        <v>0</v>
      </c>
      <c r="N124" s="481">
        <f t="shared" si="6"/>
        <v>100</v>
      </c>
      <c r="O124" s="476">
        <v>53.3</v>
      </c>
      <c r="P124" s="477"/>
      <c r="Q124" s="477"/>
      <c r="R124" s="478">
        <f t="shared" si="7"/>
        <v>53.3</v>
      </c>
      <c r="S124" s="543">
        <v>2</v>
      </c>
      <c r="T124" s="471"/>
      <c r="U124" s="543"/>
      <c r="V124" s="82" t="s">
        <v>528</v>
      </c>
      <c r="W124" s="73" t="s">
        <v>79</v>
      </c>
      <c r="X124" s="73" t="s">
        <v>11</v>
      </c>
      <c r="Y124" s="83">
        <v>43.8</v>
      </c>
      <c r="Z124" s="73" t="s">
        <v>523</v>
      </c>
      <c r="AA124" s="73" t="s">
        <v>307</v>
      </c>
      <c r="AB124" s="73" t="s">
        <v>11</v>
      </c>
      <c r="AC124" s="83">
        <v>9.5</v>
      </c>
      <c r="AD124" s="73" t="s">
        <v>529</v>
      </c>
      <c r="AE124" s="73" t="s">
        <v>340</v>
      </c>
      <c r="AF124" s="73" t="s">
        <v>18</v>
      </c>
      <c r="AG124" s="73">
        <v>0</v>
      </c>
      <c r="AH124" s="82"/>
      <c r="AL124" s="82"/>
      <c r="AO124" s="83"/>
      <c r="AP124" s="82"/>
      <c r="AT124" s="161"/>
      <c r="AW124" s="83"/>
      <c r="BA124" s="84"/>
    </row>
    <row r="125" spans="1:53" s="73" customFormat="1" x14ac:dyDescent="0.15">
      <c r="A125" s="543">
        <v>2010</v>
      </c>
      <c r="B125" s="483">
        <v>40365</v>
      </c>
      <c r="C125" s="811" t="s">
        <v>320</v>
      </c>
      <c r="D125" s="811"/>
      <c r="E125" s="543">
        <f>365-E124-E123</f>
        <v>179</v>
      </c>
      <c r="F125" s="484">
        <v>0</v>
      </c>
      <c r="G125" s="480">
        <v>24</v>
      </c>
      <c r="H125" s="543"/>
      <c r="I125" s="543"/>
      <c r="J125" s="482">
        <v>24</v>
      </c>
      <c r="K125" s="477">
        <f t="shared" si="8"/>
        <v>100</v>
      </c>
      <c r="L125" s="477">
        <f t="shared" si="9"/>
        <v>0</v>
      </c>
      <c r="M125" s="477">
        <f t="shared" si="10"/>
        <v>0</v>
      </c>
      <c r="N125" s="481">
        <f t="shared" si="6"/>
        <v>100</v>
      </c>
      <c r="O125" s="476">
        <v>53.3</v>
      </c>
      <c r="P125" s="477"/>
      <c r="Q125" s="477"/>
      <c r="R125" s="478">
        <f t="shared" si="7"/>
        <v>53.3</v>
      </c>
      <c r="S125" s="543">
        <v>2</v>
      </c>
      <c r="T125" s="471"/>
      <c r="U125" s="543"/>
      <c r="V125" s="82" t="s">
        <v>528</v>
      </c>
      <c r="W125" s="73" t="s">
        <v>79</v>
      </c>
      <c r="X125" s="73" t="s">
        <v>11</v>
      </c>
      <c r="Y125" s="83">
        <v>43.8</v>
      </c>
      <c r="Z125" s="73" t="s">
        <v>523</v>
      </c>
      <c r="AA125" s="73" t="s">
        <v>307</v>
      </c>
      <c r="AB125" s="73" t="s">
        <v>11</v>
      </c>
      <c r="AC125" s="83">
        <v>9.5</v>
      </c>
      <c r="AD125" s="73" t="s">
        <v>529</v>
      </c>
      <c r="AE125" s="73" t="s">
        <v>340</v>
      </c>
      <c r="AF125" s="73" t="s">
        <v>18</v>
      </c>
      <c r="AG125" s="73">
        <v>0</v>
      </c>
      <c r="AH125" s="82"/>
      <c r="AL125" s="82"/>
      <c r="AO125" s="83"/>
      <c r="AP125" s="82"/>
      <c r="AT125" s="161"/>
      <c r="AW125" s="83"/>
      <c r="BA125" s="84"/>
    </row>
    <row r="126" spans="1:53" s="73" customFormat="1" x14ac:dyDescent="0.15">
      <c r="A126" s="543">
        <v>2011</v>
      </c>
      <c r="B126" s="186"/>
      <c r="C126" s="811" t="s">
        <v>320</v>
      </c>
      <c r="D126" s="811"/>
      <c r="E126" s="543">
        <v>207</v>
      </c>
      <c r="F126" s="484"/>
      <c r="G126" s="480">
        <v>24</v>
      </c>
      <c r="H126" s="543"/>
      <c r="I126" s="543"/>
      <c r="J126" s="482">
        <v>24</v>
      </c>
      <c r="K126" s="477">
        <f t="shared" si="8"/>
        <v>100</v>
      </c>
      <c r="L126" s="477">
        <f t="shared" si="9"/>
        <v>0</v>
      </c>
      <c r="M126" s="477">
        <f t="shared" si="10"/>
        <v>0</v>
      </c>
      <c r="N126" s="481">
        <f t="shared" si="6"/>
        <v>100</v>
      </c>
      <c r="O126" s="476">
        <v>53.3</v>
      </c>
      <c r="P126" s="477"/>
      <c r="Q126" s="477"/>
      <c r="R126" s="478">
        <f t="shared" si="7"/>
        <v>53.3</v>
      </c>
      <c r="S126" s="543">
        <v>2</v>
      </c>
      <c r="T126" s="471"/>
      <c r="U126" s="543"/>
      <c r="V126" s="82" t="s">
        <v>528</v>
      </c>
      <c r="W126" s="73" t="s">
        <v>79</v>
      </c>
      <c r="X126" s="73" t="s">
        <v>11</v>
      </c>
      <c r="Y126" s="83">
        <v>43.8</v>
      </c>
      <c r="Z126" s="73" t="s">
        <v>523</v>
      </c>
      <c r="AA126" s="73" t="s">
        <v>307</v>
      </c>
      <c r="AB126" s="73" t="s">
        <v>11</v>
      </c>
      <c r="AC126" s="83">
        <v>9.5</v>
      </c>
      <c r="AD126" s="73" t="s">
        <v>529</v>
      </c>
      <c r="AE126" s="73" t="s">
        <v>340</v>
      </c>
      <c r="AF126" s="73" t="s">
        <v>18</v>
      </c>
      <c r="AG126" s="73">
        <v>0</v>
      </c>
      <c r="AH126" s="82"/>
      <c r="AL126" s="82"/>
      <c r="AO126" s="83"/>
      <c r="AP126" s="82"/>
      <c r="AT126" s="161"/>
      <c r="AW126" s="83"/>
      <c r="BA126" s="84"/>
    </row>
    <row r="127" spans="1:53" s="73" customFormat="1" x14ac:dyDescent="0.15">
      <c r="A127" s="543">
        <v>2011</v>
      </c>
      <c r="B127" s="483">
        <v>40751</v>
      </c>
      <c r="C127" s="811" t="s">
        <v>320</v>
      </c>
      <c r="D127" s="811"/>
      <c r="E127" s="543">
        <v>114</v>
      </c>
      <c r="F127" s="484">
        <v>0</v>
      </c>
      <c r="G127" s="480">
        <v>25</v>
      </c>
      <c r="H127" s="543"/>
      <c r="I127" s="543"/>
      <c r="J127" s="482">
        <v>25</v>
      </c>
      <c r="K127" s="477">
        <f t="shared" si="8"/>
        <v>100</v>
      </c>
      <c r="L127" s="477">
        <f t="shared" si="9"/>
        <v>0</v>
      </c>
      <c r="M127" s="477">
        <f t="shared" si="10"/>
        <v>0</v>
      </c>
      <c r="N127" s="481">
        <f t="shared" si="6"/>
        <v>100</v>
      </c>
      <c r="O127" s="476">
        <v>53.3</v>
      </c>
      <c r="P127" s="477"/>
      <c r="Q127" s="477"/>
      <c r="R127" s="478">
        <f t="shared" si="7"/>
        <v>53.3</v>
      </c>
      <c r="S127" s="543">
        <v>2</v>
      </c>
      <c r="T127" s="471"/>
      <c r="U127" s="543"/>
      <c r="V127" s="82" t="s">
        <v>528</v>
      </c>
      <c r="W127" s="73" t="s">
        <v>79</v>
      </c>
      <c r="X127" s="73" t="s">
        <v>11</v>
      </c>
      <c r="Y127" s="83">
        <v>43.8</v>
      </c>
      <c r="Z127" s="73" t="s">
        <v>523</v>
      </c>
      <c r="AA127" s="73" t="s">
        <v>307</v>
      </c>
      <c r="AB127" s="73" t="s">
        <v>11</v>
      </c>
      <c r="AC127" s="83">
        <v>9.5</v>
      </c>
      <c r="AD127" s="73" t="s">
        <v>529</v>
      </c>
      <c r="AE127" s="73" t="s">
        <v>340</v>
      </c>
      <c r="AF127" s="73" t="s">
        <v>18</v>
      </c>
      <c r="AG127" s="73">
        <v>0</v>
      </c>
      <c r="AH127" s="82"/>
      <c r="AL127" s="82"/>
      <c r="AO127" s="83"/>
      <c r="AP127" s="82"/>
      <c r="AT127" s="161"/>
      <c r="AW127" s="83"/>
      <c r="BA127" s="84"/>
    </row>
    <row r="128" spans="1:53" s="334" customFormat="1" x14ac:dyDescent="0.15">
      <c r="A128" s="544">
        <v>2011</v>
      </c>
      <c r="B128" s="541">
        <v>40865</v>
      </c>
      <c r="C128" s="844" t="s">
        <v>321</v>
      </c>
      <c r="D128" s="844"/>
      <c r="E128" s="544">
        <v>44</v>
      </c>
      <c r="F128" s="544">
        <v>2</v>
      </c>
      <c r="G128" s="497">
        <v>0</v>
      </c>
      <c r="H128" s="544">
        <v>0</v>
      </c>
      <c r="I128" s="544">
        <v>0</v>
      </c>
      <c r="J128" s="499">
        <v>19</v>
      </c>
      <c r="K128" s="495">
        <f t="shared" si="8"/>
        <v>0</v>
      </c>
      <c r="L128" s="495">
        <f t="shared" si="9"/>
        <v>0</v>
      </c>
      <c r="M128" s="495">
        <f t="shared" si="10"/>
        <v>0</v>
      </c>
      <c r="N128" s="498">
        <f t="shared" si="6"/>
        <v>0</v>
      </c>
      <c r="O128" s="494">
        <v>0</v>
      </c>
      <c r="P128" s="495">
        <v>0</v>
      </c>
      <c r="Q128" s="495">
        <v>0</v>
      </c>
      <c r="R128" s="496">
        <f t="shared" si="7"/>
        <v>0</v>
      </c>
      <c r="S128" s="544">
        <v>7</v>
      </c>
      <c r="T128" s="492"/>
      <c r="U128" s="541">
        <v>40865</v>
      </c>
      <c r="V128" s="438" t="s">
        <v>815</v>
      </c>
      <c r="Y128" s="344"/>
      <c r="AD128" s="343"/>
      <c r="AG128" s="344"/>
      <c r="AL128" s="343"/>
      <c r="AO128" s="344"/>
      <c r="AP128" s="343"/>
      <c r="AT128" s="449"/>
      <c r="AW128" s="344"/>
      <c r="BA128" s="345"/>
    </row>
    <row r="129" spans="1:53" s="334" customFormat="1" x14ac:dyDescent="0.15">
      <c r="A129" s="544">
        <v>2012</v>
      </c>
      <c r="B129" s="541"/>
      <c r="C129" s="844" t="s">
        <v>321</v>
      </c>
      <c r="D129" s="844"/>
      <c r="E129" s="544">
        <v>0</v>
      </c>
      <c r="F129" s="544"/>
      <c r="G129" s="497">
        <v>0</v>
      </c>
      <c r="H129" s="544">
        <v>0</v>
      </c>
      <c r="I129" s="544">
        <v>0</v>
      </c>
      <c r="J129" s="499">
        <v>19</v>
      </c>
      <c r="K129" s="495">
        <f t="shared" si="8"/>
        <v>0</v>
      </c>
      <c r="L129" s="495">
        <f t="shared" si="9"/>
        <v>0</v>
      </c>
      <c r="M129" s="495">
        <f t="shared" si="10"/>
        <v>0</v>
      </c>
      <c r="N129" s="498">
        <f t="shared" si="6"/>
        <v>0</v>
      </c>
      <c r="O129" s="494">
        <v>0</v>
      </c>
      <c r="P129" s="495">
        <v>0</v>
      </c>
      <c r="Q129" s="495">
        <v>0</v>
      </c>
      <c r="R129" s="496">
        <f t="shared" si="7"/>
        <v>0</v>
      </c>
      <c r="S129" s="544">
        <v>7</v>
      </c>
      <c r="T129" s="492"/>
      <c r="U129" s="544"/>
      <c r="V129" s="438" t="s">
        <v>815</v>
      </c>
      <c r="Y129" s="344"/>
      <c r="AD129" s="343"/>
      <c r="AG129" s="344"/>
      <c r="AL129" s="343"/>
      <c r="AO129" s="344"/>
      <c r="AP129" s="343"/>
      <c r="AT129" s="449"/>
      <c r="AW129" s="344"/>
      <c r="BA129" s="345"/>
    </row>
    <row r="130" spans="1:53" s="334" customFormat="1" x14ac:dyDescent="0.15">
      <c r="A130" s="544">
        <v>2012</v>
      </c>
      <c r="B130" s="541"/>
      <c r="C130" s="844" t="s">
        <v>321</v>
      </c>
      <c r="D130" s="844"/>
      <c r="E130" s="544">
        <v>366</v>
      </c>
      <c r="F130" s="544"/>
      <c r="G130" s="497">
        <v>0</v>
      </c>
      <c r="H130" s="544">
        <v>0</v>
      </c>
      <c r="I130" s="544">
        <v>0</v>
      </c>
      <c r="J130" s="499">
        <v>19</v>
      </c>
      <c r="K130" s="495">
        <f t="shared" ref="K130:K136" si="11">G130/$J130*100</f>
        <v>0</v>
      </c>
      <c r="L130" s="495">
        <f t="shared" si="9"/>
        <v>0</v>
      </c>
      <c r="M130" s="495">
        <f t="shared" si="10"/>
        <v>0</v>
      </c>
      <c r="N130" s="498">
        <f t="shared" si="6"/>
        <v>0</v>
      </c>
      <c r="O130" s="494">
        <v>0</v>
      </c>
      <c r="P130" s="495">
        <v>0</v>
      </c>
      <c r="Q130" s="495">
        <v>0</v>
      </c>
      <c r="R130" s="496">
        <f t="shared" si="7"/>
        <v>0</v>
      </c>
      <c r="S130" s="544">
        <v>7</v>
      </c>
      <c r="T130" s="492"/>
      <c r="U130" s="544"/>
      <c r="V130" s="438" t="s">
        <v>815</v>
      </c>
      <c r="Y130" s="344"/>
      <c r="AD130" s="343"/>
      <c r="AG130" s="344"/>
      <c r="AL130" s="343"/>
      <c r="AO130" s="344"/>
      <c r="AP130" s="343"/>
      <c r="AT130" s="449"/>
      <c r="AW130" s="344"/>
      <c r="BA130" s="345"/>
    </row>
    <row r="131" spans="1:53" s="334" customFormat="1" x14ac:dyDescent="0.15">
      <c r="A131" s="544">
        <v>2013</v>
      </c>
      <c r="B131" s="541"/>
      <c r="C131" s="844" t="s">
        <v>321</v>
      </c>
      <c r="D131" s="844"/>
      <c r="E131" s="544">
        <v>117</v>
      </c>
      <c r="F131" s="544"/>
      <c r="G131" s="497">
        <v>0</v>
      </c>
      <c r="H131" s="544">
        <v>0</v>
      </c>
      <c r="I131" s="544">
        <v>0</v>
      </c>
      <c r="J131" s="499">
        <v>19</v>
      </c>
      <c r="K131" s="495">
        <f t="shared" si="11"/>
        <v>0</v>
      </c>
      <c r="L131" s="495">
        <f t="shared" si="9"/>
        <v>0</v>
      </c>
      <c r="M131" s="495">
        <f t="shared" si="10"/>
        <v>0</v>
      </c>
      <c r="N131" s="498">
        <f t="shared" si="6"/>
        <v>0</v>
      </c>
      <c r="O131" s="494">
        <v>0</v>
      </c>
      <c r="P131" s="495">
        <v>0</v>
      </c>
      <c r="Q131" s="495">
        <v>0</v>
      </c>
      <c r="R131" s="496">
        <f t="shared" si="7"/>
        <v>0</v>
      </c>
      <c r="S131" s="544">
        <v>7</v>
      </c>
      <c r="T131" s="492"/>
      <c r="U131" s="544"/>
      <c r="V131" s="438" t="s">
        <v>815</v>
      </c>
      <c r="Y131" s="344"/>
      <c r="AD131" s="343"/>
      <c r="AG131" s="344"/>
      <c r="AL131" s="343"/>
      <c r="AO131" s="344"/>
      <c r="AP131" s="343"/>
      <c r="AT131" s="449"/>
      <c r="AW131" s="344"/>
      <c r="BA131" s="345"/>
    </row>
    <row r="132" spans="1:53" s="319" customFormat="1" x14ac:dyDescent="0.15">
      <c r="A132" s="543">
        <v>2013</v>
      </c>
      <c r="B132" s="540">
        <v>41392</v>
      </c>
      <c r="C132" s="811" t="s">
        <v>1270</v>
      </c>
      <c r="D132" s="811"/>
      <c r="E132" s="543">
        <v>202</v>
      </c>
      <c r="F132" s="327">
        <v>1</v>
      </c>
      <c r="G132" s="480">
        <v>8</v>
      </c>
      <c r="H132" s="543">
        <v>1</v>
      </c>
      <c r="I132" s="543">
        <v>10</v>
      </c>
      <c r="J132" s="482">
        <v>22</v>
      </c>
      <c r="K132" s="477">
        <f t="shared" si="11"/>
        <v>36.363636363636367</v>
      </c>
      <c r="L132" s="477">
        <f t="shared" si="9"/>
        <v>4.5454545454545459</v>
      </c>
      <c r="M132" s="477">
        <f t="shared" si="10"/>
        <v>45.454545454545453</v>
      </c>
      <c r="N132" s="481">
        <f t="shared" si="6"/>
        <v>86.363636363636374</v>
      </c>
      <c r="O132" s="476">
        <v>21.8</v>
      </c>
      <c r="P132" s="477">
        <v>1.3</v>
      </c>
      <c r="Q132" s="477">
        <v>47.1</v>
      </c>
      <c r="R132" s="478">
        <f t="shared" si="7"/>
        <v>70.2</v>
      </c>
      <c r="S132" s="543">
        <v>3</v>
      </c>
      <c r="T132" s="479">
        <v>41329</v>
      </c>
      <c r="U132" s="540">
        <v>41392</v>
      </c>
      <c r="V132" s="82" t="s">
        <v>568</v>
      </c>
      <c r="W132" s="319" t="s">
        <v>317</v>
      </c>
      <c r="X132" s="319" t="s">
        <v>12</v>
      </c>
      <c r="Y132" s="83">
        <v>47.1</v>
      </c>
      <c r="Z132" s="319" t="s">
        <v>528</v>
      </c>
      <c r="AA132" s="319" t="s">
        <v>79</v>
      </c>
      <c r="AB132" s="319" t="s">
        <v>11</v>
      </c>
      <c r="AC132" s="83">
        <v>15.6</v>
      </c>
      <c r="AD132" s="319" t="s">
        <v>1277</v>
      </c>
      <c r="AE132" s="319" t="s">
        <v>911</v>
      </c>
      <c r="AF132" s="319" t="s">
        <v>11</v>
      </c>
      <c r="AG132" s="319">
        <v>6.2</v>
      </c>
      <c r="AH132" s="82" t="s">
        <v>584</v>
      </c>
      <c r="AI132" s="319" t="s">
        <v>340</v>
      </c>
      <c r="AJ132" s="319" t="s">
        <v>18</v>
      </c>
      <c r="AK132" s="319">
        <v>1.3</v>
      </c>
      <c r="AL132" s="82" t="s">
        <v>1276</v>
      </c>
      <c r="AM132" s="319" t="s">
        <v>340</v>
      </c>
      <c r="AN132" s="319" t="s">
        <v>11</v>
      </c>
      <c r="AO132" s="83">
        <v>0</v>
      </c>
      <c r="AP132" s="82"/>
      <c r="AT132" s="161"/>
      <c r="AW132" s="83"/>
      <c r="BA132" s="84"/>
    </row>
    <row r="133" spans="1:53" s="591" customFormat="1" x14ac:dyDescent="0.15">
      <c r="A133" s="591">
        <v>2013</v>
      </c>
      <c r="B133" s="603">
        <v>41594</v>
      </c>
      <c r="C133" s="811" t="s">
        <v>1270</v>
      </c>
      <c r="D133" s="811"/>
      <c r="E133" s="591">
        <v>46</v>
      </c>
      <c r="F133" s="604">
        <v>0</v>
      </c>
      <c r="G133" s="600">
        <v>3</v>
      </c>
      <c r="H133" s="591">
        <v>6</v>
      </c>
      <c r="I133" s="591">
        <v>10</v>
      </c>
      <c r="J133" s="602">
        <v>22</v>
      </c>
      <c r="K133" s="597">
        <f t="shared" si="11"/>
        <v>13.636363636363635</v>
      </c>
      <c r="L133" s="597">
        <f t="shared" si="9"/>
        <v>27.27272727272727</v>
      </c>
      <c r="M133" s="597">
        <f t="shared" si="10"/>
        <v>45.454545454545453</v>
      </c>
      <c r="N133" s="601">
        <f t="shared" si="6"/>
        <v>86.36363636363636</v>
      </c>
      <c r="O133" s="596">
        <v>6.2</v>
      </c>
      <c r="P133" s="597">
        <v>5.9</v>
      </c>
      <c r="Q133" s="597">
        <v>47.1</v>
      </c>
      <c r="R133" s="598">
        <f t="shared" si="7"/>
        <v>59.2</v>
      </c>
      <c r="S133" s="591">
        <v>3</v>
      </c>
      <c r="T133" s="577"/>
      <c r="V133" s="592" t="s">
        <v>568</v>
      </c>
      <c r="W133" s="591" t="s">
        <v>317</v>
      </c>
      <c r="X133" s="591" t="s">
        <v>12</v>
      </c>
      <c r="Y133" s="593">
        <v>47.1</v>
      </c>
      <c r="Z133" s="591" t="s">
        <v>1277</v>
      </c>
      <c r="AA133" s="591" t="s">
        <v>911</v>
      </c>
      <c r="AB133" s="591" t="s">
        <v>11</v>
      </c>
      <c r="AC133" s="591">
        <v>6.2</v>
      </c>
      <c r="AD133" s="592" t="s">
        <v>584</v>
      </c>
      <c r="AE133" s="591" t="s">
        <v>340</v>
      </c>
      <c r="AF133" s="591" t="s">
        <v>18</v>
      </c>
      <c r="AG133" s="591">
        <v>1.3</v>
      </c>
      <c r="AH133" s="592" t="s">
        <v>1276</v>
      </c>
      <c r="AI133" s="591" t="s">
        <v>340</v>
      </c>
      <c r="AJ133" s="591" t="s">
        <v>11</v>
      </c>
      <c r="AK133" s="593">
        <v>0</v>
      </c>
      <c r="AL133" s="592" t="s">
        <v>1315</v>
      </c>
      <c r="AM133" s="591" t="s">
        <v>340</v>
      </c>
      <c r="AN133" s="591" t="s">
        <v>18</v>
      </c>
      <c r="AO133" s="593">
        <v>4.5999999999999996</v>
      </c>
      <c r="AP133" s="592"/>
      <c r="AS133" s="593"/>
      <c r="AT133" s="161"/>
      <c r="AW133" s="593"/>
      <c r="BA133" s="594"/>
    </row>
    <row r="134" spans="1:53" s="591" customFormat="1" x14ac:dyDescent="0.15">
      <c r="A134" s="591">
        <v>2014</v>
      </c>
      <c r="C134" s="811" t="s">
        <v>1270</v>
      </c>
      <c r="D134" s="811"/>
      <c r="E134" s="591">
        <v>26</v>
      </c>
      <c r="G134" s="600">
        <v>3</v>
      </c>
      <c r="H134" s="591">
        <v>6</v>
      </c>
      <c r="I134" s="591">
        <v>10</v>
      </c>
      <c r="J134" s="602">
        <v>22</v>
      </c>
      <c r="K134" s="597">
        <f t="shared" si="11"/>
        <v>13.636363636363635</v>
      </c>
      <c r="L134" s="597">
        <f t="shared" ref="L134:M136" si="12">H134/$J134*100</f>
        <v>27.27272727272727</v>
      </c>
      <c r="M134" s="597">
        <f t="shared" si="12"/>
        <v>45.454545454545453</v>
      </c>
      <c r="N134" s="601">
        <f>K134+L134+M134</f>
        <v>86.36363636363636</v>
      </c>
      <c r="O134" s="596">
        <v>6.2</v>
      </c>
      <c r="P134" s="597">
        <v>5.9</v>
      </c>
      <c r="Q134" s="597">
        <v>47.1</v>
      </c>
      <c r="R134" s="598">
        <f t="shared" si="7"/>
        <v>59.2</v>
      </c>
      <c r="S134" s="591">
        <v>3</v>
      </c>
      <c r="T134" s="577"/>
      <c r="V134" s="592" t="s">
        <v>568</v>
      </c>
      <c r="W134" s="591" t="s">
        <v>317</v>
      </c>
      <c r="X134" s="591" t="s">
        <v>12</v>
      </c>
      <c r="Y134" s="593">
        <v>47.1</v>
      </c>
      <c r="Z134" s="591" t="s">
        <v>1277</v>
      </c>
      <c r="AA134" s="591" t="s">
        <v>911</v>
      </c>
      <c r="AB134" s="591" t="s">
        <v>11</v>
      </c>
      <c r="AC134" s="591">
        <v>6.2</v>
      </c>
      <c r="AD134" s="592" t="s">
        <v>584</v>
      </c>
      <c r="AE134" s="591" t="s">
        <v>340</v>
      </c>
      <c r="AF134" s="591" t="s">
        <v>18</v>
      </c>
      <c r="AG134" s="591">
        <v>1.3</v>
      </c>
      <c r="AH134" s="592" t="s">
        <v>1276</v>
      </c>
      <c r="AI134" s="591" t="s">
        <v>340</v>
      </c>
      <c r="AJ134" s="591" t="s">
        <v>11</v>
      </c>
      <c r="AK134" s="593">
        <v>0</v>
      </c>
      <c r="AL134" s="592" t="s">
        <v>1315</v>
      </c>
      <c r="AM134" s="591" t="s">
        <v>340</v>
      </c>
      <c r="AN134" s="591" t="s">
        <v>18</v>
      </c>
      <c r="AO134" s="593">
        <v>4.5999999999999996</v>
      </c>
      <c r="AP134" s="592"/>
      <c r="AT134" s="161"/>
      <c r="AW134" s="593"/>
      <c r="BA134" s="594"/>
    </row>
    <row r="135" spans="1:53" s="543" customFormat="1" x14ac:dyDescent="0.15">
      <c r="A135" s="543">
        <v>2014</v>
      </c>
      <c r="B135" s="603">
        <v>41666</v>
      </c>
      <c r="C135" s="811" t="s">
        <v>1270</v>
      </c>
      <c r="D135" s="811"/>
      <c r="E135" s="543">
        <v>26</v>
      </c>
      <c r="F135" s="604">
        <v>0</v>
      </c>
      <c r="G135" s="480">
        <v>3</v>
      </c>
      <c r="H135" s="543">
        <v>5</v>
      </c>
      <c r="I135" s="543">
        <v>10</v>
      </c>
      <c r="J135" s="482">
        <v>21</v>
      </c>
      <c r="K135" s="597">
        <f t="shared" si="11"/>
        <v>14.285714285714285</v>
      </c>
      <c r="L135" s="597">
        <f t="shared" si="12"/>
        <v>23.809523809523807</v>
      </c>
      <c r="M135" s="597">
        <f t="shared" si="12"/>
        <v>47.619047619047613</v>
      </c>
      <c r="N135" s="601">
        <f>K135+L135+M135</f>
        <v>85.714285714285694</v>
      </c>
      <c r="O135" s="596">
        <v>6.2</v>
      </c>
      <c r="P135" s="597">
        <v>5.9</v>
      </c>
      <c r="Q135" s="597">
        <v>47.1</v>
      </c>
      <c r="R135" s="598">
        <f t="shared" si="7"/>
        <v>59.2</v>
      </c>
      <c r="S135" s="543">
        <v>3</v>
      </c>
      <c r="T135" s="479"/>
      <c r="U135" s="540"/>
      <c r="V135" s="592" t="s">
        <v>568</v>
      </c>
      <c r="W135" s="591" t="s">
        <v>317</v>
      </c>
      <c r="X135" s="591" t="s">
        <v>12</v>
      </c>
      <c r="Y135" s="593">
        <v>47.1</v>
      </c>
      <c r="Z135" s="591" t="s">
        <v>1277</v>
      </c>
      <c r="AA135" s="591" t="s">
        <v>911</v>
      </c>
      <c r="AB135" s="591" t="s">
        <v>11</v>
      </c>
      <c r="AC135" s="591">
        <v>6.2</v>
      </c>
      <c r="AD135" s="592" t="s">
        <v>584</v>
      </c>
      <c r="AE135" s="591" t="s">
        <v>340</v>
      </c>
      <c r="AF135" s="591" t="s">
        <v>18</v>
      </c>
      <c r="AG135" s="591">
        <v>1.3</v>
      </c>
      <c r="AH135" s="592" t="s">
        <v>1276</v>
      </c>
      <c r="AI135" s="591" t="s">
        <v>340</v>
      </c>
      <c r="AJ135" s="591" t="s">
        <v>11</v>
      </c>
      <c r="AK135" s="593">
        <v>0</v>
      </c>
      <c r="AL135" s="592" t="s">
        <v>1315</v>
      </c>
      <c r="AM135" s="591" t="s">
        <v>340</v>
      </c>
      <c r="AN135" s="591" t="s">
        <v>18</v>
      </c>
      <c r="AO135" s="593">
        <v>4.5999999999999996</v>
      </c>
      <c r="AP135" s="472"/>
      <c r="AT135" s="161"/>
      <c r="AW135" s="473"/>
      <c r="BA135" s="474"/>
    </row>
    <row r="136" spans="1:53" s="640" customFormat="1" x14ac:dyDescent="0.15">
      <c r="A136" s="640">
        <v>2014</v>
      </c>
      <c r="B136" s="644">
        <v>41692</v>
      </c>
      <c r="C136" s="812" t="s">
        <v>1309</v>
      </c>
      <c r="D136" s="812"/>
      <c r="E136" s="640">
        <v>313</v>
      </c>
      <c r="F136" s="640">
        <v>2</v>
      </c>
      <c r="G136" s="649">
        <v>1</v>
      </c>
      <c r="H136" s="640">
        <v>4</v>
      </c>
      <c r="I136" s="640">
        <v>11</v>
      </c>
      <c r="J136" s="651">
        <v>17</v>
      </c>
      <c r="K136" s="647">
        <f t="shared" si="11"/>
        <v>5.8823529411764701</v>
      </c>
      <c r="L136" s="647">
        <f t="shared" si="12"/>
        <v>23.52941176470588</v>
      </c>
      <c r="M136" s="647">
        <f t="shared" si="12"/>
        <v>64.705882352941174</v>
      </c>
      <c r="N136" s="650">
        <f>K136+L136+M136</f>
        <v>94.117647058823522</v>
      </c>
      <c r="O136" s="646">
        <v>4.3</v>
      </c>
      <c r="P136" s="647">
        <v>4.5999999999999996</v>
      </c>
      <c r="Q136" s="647">
        <v>47.3</v>
      </c>
      <c r="R136" s="648">
        <f t="shared" si="7"/>
        <v>56.199999999999996</v>
      </c>
      <c r="S136" s="640">
        <v>3</v>
      </c>
      <c r="T136" s="487"/>
      <c r="U136" s="644">
        <v>41692</v>
      </c>
      <c r="V136" s="641" t="s">
        <v>568</v>
      </c>
      <c r="W136" s="640" t="s">
        <v>317</v>
      </c>
      <c r="X136" s="640" t="s">
        <v>12</v>
      </c>
      <c r="Y136" s="642">
        <v>47.3</v>
      </c>
      <c r="Z136" s="641" t="s">
        <v>1316</v>
      </c>
      <c r="AA136" s="640" t="s">
        <v>340</v>
      </c>
      <c r="AB136" s="640" t="s">
        <v>18</v>
      </c>
      <c r="AC136" s="642">
        <v>4.5999999999999996</v>
      </c>
      <c r="AD136" s="641" t="s">
        <v>1277</v>
      </c>
      <c r="AE136" s="640" t="s">
        <v>911</v>
      </c>
      <c r="AF136" s="640" t="s">
        <v>11</v>
      </c>
      <c r="AG136" s="640">
        <v>4.3</v>
      </c>
      <c r="AH136" s="641"/>
      <c r="AL136" s="641"/>
      <c r="AO136" s="642"/>
      <c r="AP136" s="641"/>
      <c r="AT136" s="449"/>
      <c r="AW136" s="642"/>
      <c r="BA136" s="643"/>
    </row>
    <row r="137" spans="1:53" s="742" customFormat="1" x14ac:dyDescent="0.15">
      <c r="A137" s="742">
        <v>2015</v>
      </c>
      <c r="B137" s="502"/>
      <c r="C137" s="812" t="s">
        <v>1309</v>
      </c>
      <c r="D137" s="812"/>
      <c r="E137" s="742">
        <v>28</v>
      </c>
      <c r="G137" s="649">
        <v>1</v>
      </c>
      <c r="H137" s="742">
        <v>4</v>
      </c>
      <c r="I137" s="742">
        <v>11</v>
      </c>
      <c r="J137" s="651">
        <v>17</v>
      </c>
      <c r="K137" s="647">
        <f t="shared" ref="K137:K140" si="13">G137/$J137*100</f>
        <v>5.8823529411764701</v>
      </c>
      <c r="L137" s="647">
        <f t="shared" ref="L137:L140" si="14">H137/$J137*100</f>
        <v>23.52941176470588</v>
      </c>
      <c r="M137" s="647">
        <f t="shared" ref="M137:M140" si="15">I137/$J137*100</f>
        <v>64.705882352941174</v>
      </c>
      <c r="N137" s="650">
        <f t="shared" ref="N137:N140" si="16">K137+L137+M137</f>
        <v>94.117647058823522</v>
      </c>
      <c r="O137" s="646">
        <v>4.3</v>
      </c>
      <c r="P137" s="647">
        <v>4.5999999999999996</v>
      </c>
      <c r="Q137" s="647">
        <v>47.3</v>
      </c>
      <c r="R137" s="648">
        <f t="shared" ref="R137:R138" si="17">O137+P137+Q137</f>
        <v>56.199999999999996</v>
      </c>
      <c r="S137" s="742">
        <v>3</v>
      </c>
      <c r="T137" s="487"/>
      <c r="U137" s="737"/>
      <c r="V137" s="641" t="s">
        <v>568</v>
      </c>
      <c r="W137" s="742" t="s">
        <v>317</v>
      </c>
      <c r="X137" s="742" t="s">
        <v>12</v>
      </c>
      <c r="Y137" s="642">
        <v>47.3</v>
      </c>
      <c r="Z137" s="641" t="s">
        <v>1316</v>
      </c>
      <c r="AA137" s="742" t="s">
        <v>340</v>
      </c>
      <c r="AB137" s="742" t="s">
        <v>18</v>
      </c>
      <c r="AC137" s="642">
        <v>4.5999999999999996</v>
      </c>
      <c r="AD137" s="641" t="s">
        <v>1277</v>
      </c>
      <c r="AE137" s="742" t="s">
        <v>911</v>
      </c>
      <c r="AF137" s="742" t="s">
        <v>11</v>
      </c>
      <c r="AG137" s="742">
        <v>4.3</v>
      </c>
      <c r="AH137" s="641"/>
      <c r="AL137" s="641"/>
      <c r="AO137" s="642"/>
      <c r="AP137" s="641"/>
      <c r="AT137" s="449"/>
      <c r="AW137" s="642"/>
      <c r="BA137" s="643"/>
    </row>
    <row r="138" spans="1:53" s="742" customFormat="1" x14ac:dyDescent="0.15">
      <c r="A138" s="742">
        <v>2015</v>
      </c>
      <c r="B138" s="502">
        <v>42033</v>
      </c>
      <c r="C138" s="812" t="s">
        <v>1309</v>
      </c>
      <c r="D138" s="812"/>
      <c r="E138" s="742">
        <v>8</v>
      </c>
      <c r="F138" s="501">
        <v>0</v>
      </c>
      <c r="G138" s="649">
        <v>1</v>
      </c>
      <c r="H138" s="742">
        <v>5</v>
      </c>
      <c r="I138" s="742">
        <v>10</v>
      </c>
      <c r="J138" s="651">
        <v>17</v>
      </c>
      <c r="K138" s="647">
        <f t="shared" si="13"/>
        <v>5.8823529411764701</v>
      </c>
      <c r="L138" s="647">
        <f t="shared" si="14"/>
        <v>29.411764705882355</v>
      </c>
      <c r="M138" s="647">
        <f t="shared" si="15"/>
        <v>58.82352941176471</v>
      </c>
      <c r="N138" s="650">
        <f t="shared" si="16"/>
        <v>94.117647058823536</v>
      </c>
      <c r="O138" s="646">
        <v>4.3</v>
      </c>
      <c r="P138" s="647">
        <v>4.5999999999999996</v>
      </c>
      <c r="Q138" s="647">
        <v>47.3</v>
      </c>
      <c r="R138" s="648">
        <f t="shared" si="17"/>
        <v>56.199999999999996</v>
      </c>
      <c r="S138" s="742">
        <v>3</v>
      </c>
      <c r="T138" s="487"/>
      <c r="U138" s="737"/>
      <c r="V138" s="641" t="s">
        <v>568</v>
      </c>
      <c r="W138" s="742" t="s">
        <v>317</v>
      </c>
      <c r="X138" s="742" t="s">
        <v>12</v>
      </c>
      <c r="Y138" s="642">
        <v>47.3</v>
      </c>
      <c r="Z138" s="641" t="s">
        <v>1316</v>
      </c>
      <c r="AA138" s="742" t="s">
        <v>340</v>
      </c>
      <c r="AB138" s="742" t="s">
        <v>18</v>
      </c>
      <c r="AC138" s="642">
        <v>4.5999999999999996</v>
      </c>
      <c r="AD138" s="641" t="s">
        <v>1277</v>
      </c>
      <c r="AE138" s="742" t="s">
        <v>911</v>
      </c>
      <c r="AF138" s="742" t="s">
        <v>11</v>
      </c>
      <c r="AG138" s="742">
        <v>4.3</v>
      </c>
      <c r="AH138" s="641"/>
      <c r="AL138" s="641"/>
      <c r="AO138" s="642"/>
      <c r="AP138" s="641"/>
      <c r="AT138" s="449"/>
      <c r="AW138" s="642"/>
      <c r="BA138" s="643"/>
    </row>
    <row r="139" spans="1:53" s="742" customFormat="1" x14ac:dyDescent="0.15">
      <c r="A139" s="742">
        <v>2015</v>
      </c>
      <c r="B139" s="502">
        <v>42041</v>
      </c>
      <c r="C139" s="812" t="s">
        <v>1309</v>
      </c>
      <c r="D139" s="812"/>
      <c r="E139" s="742">
        <v>55</v>
      </c>
      <c r="F139" s="501">
        <v>0</v>
      </c>
      <c r="G139" s="649"/>
      <c r="H139" s="742">
        <v>5</v>
      </c>
      <c r="I139" s="742">
        <v>11</v>
      </c>
      <c r="J139" s="651">
        <v>17</v>
      </c>
      <c r="K139" s="647">
        <f t="shared" si="13"/>
        <v>0</v>
      </c>
      <c r="L139" s="647">
        <f t="shared" si="14"/>
        <v>29.411764705882355</v>
      </c>
      <c r="M139" s="647">
        <f t="shared" si="15"/>
        <v>64.705882352941174</v>
      </c>
      <c r="N139" s="650">
        <f t="shared" si="16"/>
        <v>94.117647058823536</v>
      </c>
      <c r="O139" s="646"/>
      <c r="P139" s="647">
        <v>4.5999999999999996</v>
      </c>
      <c r="Q139" s="647">
        <v>47.3</v>
      </c>
      <c r="R139" s="648">
        <f t="shared" ref="R139:R140" si="18">O139+P139+Q139</f>
        <v>51.9</v>
      </c>
      <c r="S139" s="742">
        <v>2</v>
      </c>
      <c r="T139" s="487"/>
      <c r="U139" s="737"/>
      <c r="V139" s="641" t="s">
        <v>568</v>
      </c>
      <c r="W139" s="742" t="s">
        <v>317</v>
      </c>
      <c r="X139" s="742" t="s">
        <v>12</v>
      </c>
      <c r="Y139" s="642">
        <v>47.3</v>
      </c>
      <c r="Z139" s="641" t="s">
        <v>1316</v>
      </c>
      <c r="AA139" s="742" t="s">
        <v>340</v>
      </c>
      <c r="AB139" s="742" t="s">
        <v>18</v>
      </c>
      <c r="AC139" s="642">
        <v>4.5999999999999996</v>
      </c>
      <c r="AD139" s="641"/>
      <c r="AG139" s="642"/>
      <c r="AH139" s="641"/>
      <c r="AL139" s="641"/>
      <c r="AO139" s="642"/>
      <c r="AP139" s="641"/>
      <c r="AT139" s="449"/>
      <c r="AW139" s="642"/>
      <c r="BA139" s="643"/>
    </row>
    <row r="140" spans="1:53" s="742" customFormat="1" x14ac:dyDescent="0.15">
      <c r="A140" s="742">
        <v>2015</v>
      </c>
      <c r="B140" s="502">
        <v>42096</v>
      </c>
      <c r="C140" s="812" t="s">
        <v>1309</v>
      </c>
      <c r="D140" s="812"/>
      <c r="E140" s="742">
        <v>274</v>
      </c>
      <c r="F140" s="501">
        <v>0</v>
      </c>
      <c r="G140" s="649"/>
      <c r="H140" s="742">
        <v>4</v>
      </c>
      <c r="I140" s="742">
        <v>12</v>
      </c>
      <c r="J140" s="651">
        <v>17</v>
      </c>
      <c r="K140" s="647">
        <f t="shared" si="13"/>
        <v>0</v>
      </c>
      <c r="L140" s="647">
        <f t="shared" si="14"/>
        <v>23.52941176470588</v>
      </c>
      <c r="M140" s="647">
        <f t="shared" si="15"/>
        <v>70.588235294117652</v>
      </c>
      <c r="N140" s="650">
        <f t="shared" si="16"/>
        <v>94.117647058823536</v>
      </c>
      <c r="O140" s="646"/>
      <c r="P140" s="647">
        <v>4.5999999999999996</v>
      </c>
      <c r="Q140" s="647">
        <v>47.3</v>
      </c>
      <c r="R140" s="648">
        <f t="shared" si="18"/>
        <v>51.9</v>
      </c>
      <c r="S140" s="742">
        <v>2</v>
      </c>
      <c r="T140" s="487"/>
      <c r="U140" s="737"/>
      <c r="V140" s="641" t="s">
        <v>568</v>
      </c>
      <c r="W140" s="742" t="s">
        <v>317</v>
      </c>
      <c r="X140" s="742" t="s">
        <v>12</v>
      </c>
      <c r="Y140" s="642">
        <v>47.3</v>
      </c>
      <c r="Z140" s="641" t="s">
        <v>1316</v>
      </c>
      <c r="AA140" s="742" t="s">
        <v>340</v>
      </c>
      <c r="AB140" s="742" t="s">
        <v>18</v>
      </c>
      <c r="AC140" s="642">
        <v>4.5999999999999996</v>
      </c>
      <c r="AD140" s="641"/>
      <c r="AG140" s="642"/>
      <c r="AH140" s="641"/>
      <c r="AL140" s="641"/>
      <c r="AO140" s="642"/>
      <c r="AP140" s="641"/>
      <c r="AT140" s="449"/>
      <c r="AW140" s="642"/>
      <c r="BA140" s="643"/>
    </row>
    <row r="141" spans="1:53" x14ac:dyDescent="0.15">
      <c r="A141" s="745"/>
      <c r="Y141" s="26"/>
      <c r="BA141" s="3"/>
    </row>
    <row r="142" spans="1:53" x14ac:dyDescent="0.15">
      <c r="Y142" s="26"/>
      <c r="BA142" s="3"/>
    </row>
    <row r="143" spans="1:53" s="2" customFormat="1" ht="18" customHeight="1" x14ac:dyDescent="0.2">
      <c r="B143" s="22" t="s">
        <v>1284</v>
      </c>
      <c r="H143" s="6"/>
    </row>
    <row r="144" spans="1:53" s="2" customFormat="1" ht="9" customHeight="1" x14ac:dyDescent="0.15">
      <c r="H144" s="6"/>
    </row>
    <row r="145" spans="1:54" s="364" customFormat="1" ht="9" customHeight="1" x14ac:dyDescent="0.15">
      <c r="A145" s="362"/>
      <c r="B145" s="363" t="s">
        <v>1235</v>
      </c>
      <c r="C145" s="363"/>
      <c r="D145" s="363"/>
      <c r="E145" s="363"/>
      <c r="F145" s="363"/>
      <c r="G145" s="363" t="s">
        <v>1236</v>
      </c>
      <c r="H145" s="363"/>
      <c r="I145" s="363"/>
      <c r="J145" s="363"/>
      <c r="K145" s="363"/>
      <c r="L145" s="363"/>
      <c r="M145" s="363"/>
      <c r="N145" s="363"/>
      <c r="R145" s="802" t="s">
        <v>1237</v>
      </c>
      <c r="S145" s="802"/>
      <c r="T145" s="802"/>
      <c r="U145" s="802"/>
      <c r="V145" s="802"/>
      <c r="W145" s="802"/>
      <c r="X145" s="365"/>
      <c r="Y145" s="365"/>
      <c r="AA145" s="365"/>
      <c r="AB145" s="365"/>
      <c r="AC145" s="365"/>
      <c r="AD145" s="365"/>
    </row>
    <row r="146" spans="1:54" s="369" customFormat="1" ht="9" customHeight="1" x14ac:dyDescent="0.15">
      <c r="A146" s="366"/>
      <c r="B146" s="367" t="s">
        <v>1239</v>
      </c>
      <c r="C146" s="368"/>
      <c r="D146" s="368"/>
      <c r="E146" s="368"/>
      <c r="F146" s="368"/>
      <c r="G146" s="367" t="s">
        <v>1238</v>
      </c>
      <c r="H146" s="368"/>
      <c r="I146" s="368"/>
      <c r="J146" s="368"/>
      <c r="K146" s="368"/>
      <c r="L146" s="368"/>
      <c r="M146" s="368"/>
      <c r="N146" s="368"/>
      <c r="R146" s="370" t="s">
        <v>1240</v>
      </c>
      <c r="S146" s="371"/>
      <c r="T146" s="372"/>
      <c r="U146" s="372"/>
      <c r="V146" s="372"/>
      <c r="W146" s="370" t="s">
        <v>1241</v>
      </c>
      <c r="X146" s="372"/>
      <c r="Y146" s="372"/>
      <c r="AA146" s="372"/>
      <c r="AB146" s="372"/>
      <c r="AC146" s="372"/>
      <c r="AD146" s="372"/>
    </row>
    <row r="147" spans="1:54" s="351" customFormat="1" ht="12" customHeight="1" x14ac:dyDescent="0.15">
      <c r="A147" s="373" t="s">
        <v>3</v>
      </c>
      <c r="B147" s="374" t="s">
        <v>8</v>
      </c>
      <c r="C147" s="374" t="s">
        <v>9</v>
      </c>
      <c r="D147" s="374" t="s">
        <v>10</v>
      </c>
      <c r="E147" s="375" t="s">
        <v>1215</v>
      </c>
      <c r="F147" s="374"/>
      <c r="G147" s="351" t="s">
        <v>3</v>
      </c>
      <c r="H147" s="803" t="s">
        <v>0</v>
      </c>
      <c r="I147" s="803"/>
      <c r="J147" s="803" t="s">
        <v>1</v>
      </c>
      <c r="K147" s="803"/>
      <c r="L147" s="803" t="s">
        <v>2</v>
      </c>
      <c r="M147" s="803"/>
      <c r="N147" s="804" t="s">
        <v>1215</v>
      </c>
      <c r="O147" s="804"/>
      <c r="P147" s="376"/>
      <c r="Q147" s="376"/>
      <c r="R147" s="377" t="s">
        <v>3</v>
      </c>
      <c r="S147" s="378" t="s">
        <v>136</v>
      </c>
      <c r="T147" s="376" t="s">
        <v>134</v>
      </c>
      <c r="U147" s="374" t="s">
        <v>135</v>
      </c>
      <c r="V147" s="376"/>
      <c r="W147" s="379" t="s">
        <v>26</v>
      </c>
    </row>
    <row r="148" spans="1:54" s="273" customFormat="1" x14ac:dyDescent="0.15">
      <c r="A148" s="273">
        <v>1959</v>
      </c>
      <c r="B148" s="260">
        <f>(K6*($E6/365)) + (K7*($E7/365))</f>
        <v>0</v>
      </c>
      <c r="C148" s="260">
        <f>(L6*($E6/365)) + (L7*($E7/365))</f>
        <v>98.109589041095887</v>
      </c>
      <c r="D148" s="260">
        <f>(M6*($E6/365)) + (M7*($E7/365))</f>
        <v>1.8904109589041098</v>
      </c>
      <c r="E148" s="261">
        <f>B148+C148+D148</f>
        <v>100</v>
      </c>
      <c r="G148" s="273">
        <v>1959</v>
      </c>
      <c r="H148" s="819">
        <f>(O6/$R6*100*($E6/365))+(O7/$R7*100*($E7/365))</f>
        <v>0</v>
      </c>
      <c r="I148" s="819"/>
      <c r="J148" s="819">
        <f>(P6/$R6*100*($E6/365))+(P7/$R7*100*($E7/365))</f>
        <v>99.057977030579778</v>
      </c>
      <c r="K148" s="819"/>
      <c r="L148" s="819">
        <f>(Q6/$R6*100*($E6/365))+(Q7/$R7*100*($E7/365))</f>
        <v>0.94202296942022989</v>
      </c>
      <c r="M148" s="819"/>
      <c r="N148" s="813">
        <f>H148+J148+L148</f>
        <v>100.00000000000001</v>
      </c>
      <c r="O148" s="813"/>
      <c r="R148" s="273">
        <v>1959</v>
      </c>
      <c r="S148" s="260">
        <f>(O6*($E6/365)) + (O7*($E7/365))</f>
        <v>0</v>
      </c>
      <c r="T148" s="260">
        <f>(P6*($E6/365)) + (P7*($E7/365))</f>
        <v>45.8</v>
      </c>
      <c r="U148" s="260">
        <f>(Q6*($E6/365)) + (Q7*($E7/365))</f>
        <v>0.46630136986301374</v>
      </c>
      <c r="V148" s="275"/>
      <c r="W148" s="274">
        <f>S148+T148+U148</f>
        <v>46.266301369863008</v>
      </c>
      <c r="AT148" s="280"/>
      <c r="BA148" s="326"/>
      <c r="BB148" s="288"/>
    </row>
    <row r="149" spans="1:54" x14ac:dyDescent="0.15">
      <c r="A149" s="1">
        <v>1960</v>
      </c>
      <c r="B149" s="8">
        <f>(K8*($E8/366))+(K9*($E9/366))+(K10*($E10/366))</f>
        <v>0</v>
      </c>
      <c r="C149" s="8">
        <f>(L8*($E8/366))+(L9*($E9/366))+(L10*($E10/366))</f>
        <v>100</v>
      </c>
      <c r="D149" s="8">
        <f>(M8*($E8/366))+(M9*($E9/366))+(M10*($E10/366))</f>
        <v>0</v>
      </c>
      <c r="E149" s="48">
        <f>B149+C149+D149</f>
        <v>100</v>
      </c>
      <c r="G149" s="1">
        <v>1960</v>
      </c>
      <c r="H149" s="809">
        <f>(O8/$R8*100*($E8/366))+(O9/$R9*100*($E9/366))+(O10/$R10*100*($E10/366))</f>
        <v>0</v>
      </c>
      <c r="I149" s="809"/>
      <c r="J149" s="809">
        <f>(P8/$R8*100*($E8/366))+(P9/$R9*100*($E9/366))+(P10/$R10*100*($E10/366))</f>
        <v>100</v>
      </c>
      <c r="K149" s="809"/>
      <c r="L149" s="809">
        <f>(Q8/$R8*100*($E8/366))+(Q9/$R9*100*($E9/366))+(Q10/$R10*100*($E10/366))</f>
        <v>0</v>
      </c>
      <c r="M149" s="809"/>
      <c r="N149" s="810">
        <f>H149+J149+L149</f>
        <v>100</v>
      </c>
      <c r="O149" s="810"/>
      <c r="R149" s="1">
        <v>1960</v>
      </c>
      <c r="S149" s="8">
        <f>(O8*($E8/366))+(O9*($E9/366))+(O10*($E10/366))</f>
        <v>0</v>
      </c>
      <c r="T149" s="8">
        <f>(P8*($E8/366))+(P9*($E9/366))+(P10*($E10/366))</f>
        <v>45.8</v>
      </c>
      <c r="U149" s="8">
        <f>(Q8*($E8/366))+(Q9*($E9/366))+(Q10*($E10/366))</f>
        <v>0</v>
      </c>
      <c r="V149" s="12"/>
      <c r="W149" s="7">
        <f>S149+T149+U149</f>
        <v>45.8</v>
      </c>
    </row>
    <row r="150" spans="1:54" x14ac:dyDescent="0.15">
      <c r="A150" s="1">
        <v>1961</v>
      </c>
      <c r="B150" s="8">
        <f>(K11*($E11/365))+(K12*($E12/365))</f>
        <v>0</v>
      </c>
      <c r="C150" s="8">
        <f>(L11*($E11/365))+(L12*($E12/365))</f>
        <v>100</v>
      </c>
      <c r="D150" s="8">
        <f>(M11*($E11/365))+(M12*($E12/365))</f>
        <v>0</v>
      </c>
      <c r="E150" s="48">
        <f t="shared" ref="E150:E201" si="19">B150+C150+D150</f>
        <v>100</v>
      </c>
      <c r="G150" s="1">
        <v>1961</v>
      </c>
      <c r="H150" s="809">
        <f>(O11/$R11*100*($E11/365))+(O12/$R12*100*($E12/365))</f>
        <v>0</v>
      </c>
      <c r="I150" s="809"/>
      <c r="J150" s="809">
        <f>(P11/$R11*100*($E11/365))+(P12/$R12*100*($E12/365))</f>
        <v>100</v>
      </c>
      <c r="K150" s="809"/>
      <c r="L150" s="809">
        <f>(Q11/$R11*100*($E11/365))+(Q12/$R12*100*($E12/365))</f>
        <v>0</v>
      </c>
      <c r="M150" s="809"/>
      <c r="N150" s="810">
        <f t="shared" ref="N150:N200" si="20">H150+J150+L150</f>
        <v>100</v>
      </c>
      <c r="O150" s="810"/>
      <c r="R150" s="1">
        <v>1961</v>
      </c>
      <c r="S150" s="8">
        <f>(O11*($E11/365))+(O12*($E12/365))</f>
        <v>0</v>
      </c>
      <c r="T150" s="8">
        <f>(P11*($E11/365))+(P12*($E12/365))</f>
        <v>45.8</v>
      </c>
      <c r="U150" s="8">
        <f>(Q11*($E11/365))+(Q12*($E12/365))</f>
        <v>0</v>
      </c>
      <c r="V150" s="12"/>
      <c r="W150" s="7">
        <f t="shared" ref="W150:W201" si="21">S150+T150+U150</f>
        <v>45.8</v>
      </c>
    </row>
    <row r="151" spans="1:54" x14ac:dyDescent="0.15">
      <c r="A151" s="1">
        <v>1962</v>
      </c>
      <c r="B151" s="8">
        <f>(K13*($E13/365))+(K14*($E14/365))</f>
        <v>0</v>
      </c>
      <c r="C151" s="8">
        <f>(L13*($E13/365))+(L14*($E14/365))</f>
        <v>89.246575342465761</v>
      </c>
      <c r="D151" s="8">
        <f>(M13*($E13/365))+(M14*($E14/365))</f>
        <v>10.753424657534246</v>
      </c>
      <c r="E151" s="48">
        <f t="shared" si="19"/>
        <v>100</v>
      </c>
      <c r="G151" s="1">
        <v>1962</v>
      </c>
      <c r="H151" s="809">
        <f>(O13/$R13*100*($E13/365))+(O14/$R14*100*($E14/365))</f>
        <v>0</v>
      </c>
      <c r="I151" s="809"/>
      <c r="J151" s="809">
        <f>(P13/$R13*100*($E13/365))+(P14/$R14*100*($E14/365))</f>
        <v>93.697002576970021</v>
      </c>
      <c r="K151" s="809"/>
      <c r="L151" s="809">
        <f>(Q13/$R13*100*($E13/365))+(Q14/$R14*100*($E14/365))</f>
        <v>6.302997423029975</v>
      </c>
      <c r="M151" s="809"/>
      <c r="N151" s="781">
        <f t="shared" si="20"/>
        <v>100</v>
      </c>
      <c r="O151" s="781"/>
      <c r="R151" s="1">
        <v>1962</v>
      </c>
      <c r="S151" s="8">
        <f>(O13*($E13/365))+(O14*($E14/365))</f>
        <v>0</v>
      </c>
      <c r="T151" s="8">
        <f>(P13*($E13/365))+(P14*($E14/365))</f>
        <v>46.660273972602738</v>
      </c>
      <c r="U151" s="8">
        <f>(Q13*($E13/365))+(Q14*($E14/365))</f>
        <v>3.1830136986301372</v>
      </c>
      <c r="V151" s="12"/>
      <c r="W151" s="7">
        <f t="shared" si="21"/>
        <v>49.843287671232872</v>
      </c>
    </row>
    <row r="152" spans="1:54" x14ac:dyDescent="0.15">
      <c r="A152" s="1">
        <v>1963</v>
      </c>
      <c r="B152" s="8">
        <f>(K15*($E15/365))+(K16*($E16/365))+(K17*($E17/365))</f>
        <v>0</v>
      </c>
      <c r="C152" s="8">
        <f>(L15*($E15/365))+(L16*($E16/365))+(L17*($E17/365))</f>
        <v>91.583245521601683</v>
      </c>
      <c r="D152" s="8">
        <f>(M15*($E15/365))+(M16*($E16/365))+(M17*($E17/365))</f>
        <v>8.4167544783983139</v>
      </c>
      <c r="E152" s="48">
        <f t="shared" si="19"/>
        <v>100</v>
      </c>
      <c r="G152" s="1">
        <v>1963</v>
      </c>
      <c r="H152" s="809">
        <f>(O15/$R15*100*($E15/365))+(O16/$R16*100*($E16/365))+(O17/$R17*100*($E17/365))</f>
        <v>0</v>
      </c>
      <c r="I152" s="809"/>
      <c r="J152" s="809">
        <f>(P15/$R15*100*($E15/365))+(P16/$R16*100*($E16/365))+(P17/$R17*100*($E17/365))</f>
        <v>94.283027899889106</v>
      </c>
      <c r="K152" s="809"/>
      <c r="L152" s="809">
        <f>(Q15/$R15*100*($E15/365))+(Q16/$R16*100*($E16/365))+(Q17/$R17*100*($E17/365))</f>
        <v>5.7169721001108984</v>
      </c>
      <c r="M152" s="809"/>
      <c r="N152" s="781">
        <f t="shared" si="20"/>
        <v>100</v>
      </c>
      <c r="O152" s="781"/>
      <c r="R152" s="1">
        <v>1963</v>
      </c>
      <c r="S152" s="8">
        <f>(O15*($E15/365))+(O16*($E16/365))+(O17*($E17/365))</f>
        <v>0</v>
      </c>
      <c r="T152" s="8">
        <f>(P15*($E15/365))+(P16*($E16/365))+(P17*($E17/365))</f>
        <v>43.950684931506849</v>
      </c>
      <c r="U152" s="8">
        <f>(Q15*($E15/365))+(Q16*($E16/365))+(Q17*($E17/365))</f>
        <v>3.1315068493150688</v>
      </c>
      <c r="V152" s="12"/>
      <c r="W152" s="7">
        <f t="shared" si="21"/>
        <v>47.082191780821915</v>
      </c>
    </row>
    <row r="153" spans="1:54" x14ac:dyDescent="0.15">
      <c r="A153" s="1">
        <v>1964</v>
      </c>
      <c r="B153" s="8">
        <f>(K18*($E18/366))+(K19*($E19/366))</f>
        <v>0</v>
      </c>
      <c r="C153" s="8">
        <f>(L18*($E18/366))+(L19*($E19/366))</f>
        <v>65.384615384615387</v>
      </c>
      <c r="D153" s="8">
        <f>(M18*($E18/366))+(M19*($E19/366))</f>
        <v>34.615384615384613</v>
      </c>
      <c r="E153" s="48">
        <f t="shared" si="19"/>
        <v>100</v>
      </c>
      <c r="G153" s="1">
        <v>1964</v>
      </c>
      <c r="H153" s="809">
        <f>(O18/$R18*100*($E18/366))+(O19/$R19*100*($E19/366))</f>
        <v>0</v>
      </c>
      <c r="I153" s="809"/>
      <c r="J153" s="809">
        <f>(P18/$R18*100*($E18/366))+(P19/$R19*100*($E19/366))</f>
        <v>69.117647058823522</v>
      </c>
      <c r="K153" s="809"/>
      <c r="L153" s="809">
        <f>(Q18/$R18*100*($E18/366))+(Q19/$R19*100*($E19/366))</f>
        <v>30.882352941176471</v>
      </c>
      <c r="M153" s="809"/>
      <c r="N153" s="781">
        <f t="shared" si="20"/>
        <v>100</v>
      </c>
      <c r="O153" s="781"/>
      <c r="R153" s="1">
        <v>1964</v>
      </c>
      <c r="S153" s="8">
        <f>(O18*($E18/366))+(O19*($E19/366))</f>
        <v>0</v>
      </c>
      <c r="T153" s="8">
        <f>(P18*($E18/366))+(P19*($E19/366))</f>
        <v>42.3</v>
      </c>
      <c r="U153" s="8">
        <f>(Q18*($E18/366))+(Q19*($E19/366))</f>
        <v>18.899999999999999</v>
      </c>
      <c r="V153" s="12"/>
      <c r="W153" s="7">
        <f t="shared" si="21"/>
        <v>61.199999999999996</v>
      </c>
    </row>
    <row r="154" spans="1:54" x14ac:dyDescent="0.15">
      <c r="A154" s="1">
        <v>1965</v>
      </c>
      <c r="B154" s="8">
        <f>(K20*($E20/365))+(K21*($E21/365))</f>
        <v>0</v>
      </c>
      <c r="C154" s="8">
        <f>(L20*($E20/365))+(L21*($E21/365))</f>
        <v>65.384615384615387</v>
      </c>
      <c r="D154" s="8">
        <f>(M20*($E20/365))+(M21*($E21/365))</f>
        <v>34.615384615384613</v>
      </c>
      <c r="E154" s="48">
        <f t="shared" si="19"/>
        <v>100</v>
      </c>
      <c r="G154" s="1">
        <v>1965</v>
      </c>
      <c r="H154" s="809">
        <f>(O20/$R20*100*($E20/365))+(O21/$R21*100*($E21/365))</f>
        <v>0</v>
      </c>
      <c r="I154" s="809"/>
      <c r="J154" s="809">
        <f>(P20/$R20*100*($E20/365))+(P21/$R21*100*($E21/365))</f>
        <v>69.117647058823522</v>
      </c>
      <c r="K154" s="809"/>
      <c r="L154" s="809">
        <f>(Q20/$R20*100*($E20/365))+(Q21/$R21*100*($E21/365))</f>
        <v>30.882352941176471</v>
      </c>
      <c r="M154" s="809"/>
      <c r="N154" s="781">
        <f t="shared" si="20"/>
        <v>100</v>
      </c>
      <c r="O154" s="781"/>
      <c r="R154" s="1">
        <v>1965</v>
      </c>
      <c r="S154" s="8">
        <f>(O20*($E20/365))+(O21*($E21/365))</f>
        <v>0</v>
      </c>
      <c r="T154" s="8">
        <f>(P20*($E20/365))+(P21*($E21/365))</f>
        <v>42.3</v>
      </c>
      <c r="U154" s="8">
        <f>(Q20*($E20/365))+(Q21*($E21/365))</f>
        <v>18.899999999999999</v>
      </c>
      <c r="V154" s="12"/>
      <c r="W154" s="7">
        <f t="shared" si="21"/>
        <v>61.199999999999996</v>
      </c>
    </row>
    <row r="155" spans="1:54" x14ac:dyDescent="0.15">
      <c r="A155" s="1">
        <v>1966</v>
      </c>
      <c r="B155" s="8">
        <f>(K22*($E22/365))+(K23*($E23/365))</f>
        <v>0</v>
      </c>
      <c r="C155" s="8">
        <f>(L22*($E22/365))+(L23*($E23/365))</f>
        <v>65.384615384615387</v>
      </c>
      <c r="D155" s="8">
        <f>(M22*($E22/365))+(M23*($E23/365))</f>
        <v>34.615384615384613</v>
      </c>
      <c r="E155" s="48">
        <f t="shared" si="19"/>
        <v>100</v>
      </c>
      <c r="G155" s="1">
        <v>1966</v>
      </c>
      <c r="H155" s="809">
        <f>(O22/$R22*100*($E22/365))+(O23/$R23*100*($E23/365))</f>
        <v>0</v>
      </c>
      <c r="I155" s="809"/>
      <c r="J155" s="809">
        <f>(P22/$R22*100*($E22/365))+(P23/$R23*100*($E23/365))</f>
        <v>69.117647058823522</v>
      </c>
      <c r="K155" s="809"/>
      <c r="L155" s="809">
        <f>(Q22/$R22*100*($E22/365))+(Q23/$R23*100*($E23/365))</f>
        <v>30.882352941176471</v>
      </c>
      <c r="M155" s="809"/>
      <c r="N155" s="781">
        <f t="shared" si="20"/>
        <v>100</v>
      </c>
      <c r="O155" s="781"/>
      <c r="R155" s="1">
        <v>1966</v>
      </c>
      <c r="S155" s="8">
        <f>(O22*($E22/365))+(O23*($E23/365))</f>
        <v>0</v>
      </c>
      <c r="T155" s="8">
        <f>(P22*($E22/365))+(P23*($E23/365))</f>
        <v>42.3</v>
      </c>
      <c r="U155" s="8">
        <f>(Q22*($E22/365))+(Q23*($E23/365))</f>
        <v>18.899999999999999</v>
      </c>
      <c r="V155" s="12"/>
      <c r="W155" s="7">
        <f t="shared" si="21"/>
        <v>61.199999999999996</v>
      </c>
    </row>
    <row r="156" spans="1:54" x14ac:dyDescent="0.15">
      <c r="A156" s="1">
        <v>1967</v>
      </c>
      <c r="B156" s="8">
        <f>(K24*($E24/365))+(K25*($E25/365))</f>
        <v>0</v>
      </c>
      <c r="C156" s="8">
        <f>(L24*($E24/365))+(L25*($E25/365))</f>
        <v>65.384615384615387</v>
      </c>
      <c r="D156" s="8">
        <f>(M24*($E24/365))+(M25*($E25/365))</f>
        <v>34.615384615384613</v>
      </c>
      <c r="E156" s="48">
        <f t="shared" si="19"/>
        <v>100</v>
      </c>
      <c r="G156" s="1">
        <v>1967</v>
      </c>
      <c r="H156" s="809">
        <f>(O24/$R24*100*($E24/365))+(O25/$R25*100*($E25/365))</f>
        <v>0</v>
      </c>
      <c r="I156" s="809"/>
      <c r="J156" s="809">
        <f>(P24/$R24*100*($E24/365))+(P25/$R25*100*($E25/365))</f>
        <v>69.117647058823522</v>
      </c>
      <c r="K156" s="809"/>
      <c r="L156" s="809">
        <f>(Q24/$R24*100*($E24/365))+(Q25/$R25*100*($E25/365))</f>
        <v>30.882352941176471</v>
      </c>
      <c r="M156" s="809"/>
      <c r="N156" s="781">
        <f t="shared" si="20"/>
        <v>100</v>
      </c>
      <c r="O156" s="781"/>
      <c r="R156" s="1">
        <v>1967</v>
      </c>
      <c r="S156" s="8">
        <f>(O24*($E24/365))+(O25*($E25/365))</f>
        <v>0</v>
      </c>
      <c r="T156" s="8">
        <f>(P24*($E24/365))+(P25*($E25/365))</f>
        <v>42.3</v>
      </c>
      <c r="U156" s="8">
        <f>(Q24*($E24/365))+(Q25*($E25/365))</f>
        <v>18.899999999999999</v>
      </c>
      <c r="V156" s="12"/>
      <c r="W156" s="7">
        <f t="shared" si="21"/>
        <v>61.199999999999996</v>
      </c>
    </row>
    <row r="157" spans="1:54" x14ac:dyDescent="0.15">
      <c r="A157" s="1">
        <v>1968</v>
      </c>
      <c r="B157" s="8">
        <f>(K26*($E26/366))+(K27*($E27/366))+(K28*($E28/366))</f>
        <v>0</v>
      </c>
      <c r="C157" s="8">
        <f>(L26*($E26/366))+(L27*($E27/366))+(L28*($E28/366))</f>
        <v>81.532856942693016</v>
      </c>
      <c r="D157" s="8">
        <f>(M26*($E26/366))+(M27*($E27/366))+(M28*($E28/366))</f>
        <v>18.467143057306988</v>
      </c>
      <c r="E157" s="48">
        <f t="shared" si="19"/>
        <v>100</v>
      </c>
      <c r="G157" s="1">
        <v>1968</v>
      </c>
      <c r="H157" s="809">
        <f>(O26/$R26*100*($E26/366))+(O27/$R27*100*($E27/366))+(O28/$R28*100*($E28/366))</f>
        <v>0</v>
      </c>
      <c r="I157" s="809"/>
      <c r="J157" s="809">
        <f>(P26/$R26*100*($E26/366))+(P27/$R27*100*($E27/366))+(P28/$R28*100*($E28/366))</f>
        <v>83.792770924084735</v>
      </c>
      <c r="K157" s="809"/>
      <c r="L157" s="809">
        <f>(Q26/$R26*100*($E26/366))+(Q27/$R27*100*($E27/366))+(Q28/$R28*100*($E28/366))</f>
        <v>16.207229075915272</v>
      </c>
      <c r="M157" s="809"/>
      <c r="N157" s="781">
        <f t="shared" si="20"/>
        <v>100</v>
      </c>
      <c r="O157" s="781"/>
      <c r="R157" s="1">
        <v>1968</v>
      </c>
      <c r="S157" s="8">
        <f>(O26*($E26/366))+(O27*($E27/366))+(O28*($E28/366))</f>
        <v>0</v>
      </c>
      <c r="T157" s="8">
        <f>(P26*($E26/366))+(P27*($E27/366))+(P28*($E28/366))</f>
        <v>42.324590163934431</v>
      </c>
      <c r="U157" s="8">
        <f>(Q26*($E26/366))+(Q27*($E27/366))+(Q28*($E28/366))</f>
        <v>9.8754098360655718</v>
      </c>
      <c r="V157" s="12"/>
      <c r="W157" s="7">
        <f t="shared" si="21"/>
        <v>52.2</v>
      </c>
    </row>
    <row r="158" spans="1:54" x14ac:dyDescent="0.15">
      <c r="A158" s="1">
        <v>1969</v>
      </c>
      <c r="B158" s="8">
        <f>(K29*($E29/365))+(K30*($E30/365))</f>
        <v>0</v>
      </c>
      <c r="C158" s="8">
        <f>(L29*($E29/365))+(L30*($E30/365))</f>
        <v>80.273972602739718</v>
      </c>
      <c r="D158" s="8">
        <f>(M29*($E29/365))+(M30*($E30/365))</f>
        <v>19.726027397260271</v>
      </c>
      <c r="E158" s="48">
        <f t="shared" si="19"/>
        <v>99.999999999999986</v>
      </c>
      <c r="G158" s="1">
        <v>1969</v>
      </c>
      <c r="H158" s="809">
        <f>(O29/$R29*100*($E29/365))+(O30/$R30*100*($E30/365))</f>
        <v>0</v>
      </c>
      <c r="I158" s="809"/>
      <c r="J158" s="809">
        <f>(P29/$R29*100*($E29/365))+(P30/$R30*100*($E30/365))</f>
        <v>85.307510628247528</v>
      </c>
      <c r="K158" s="809"/>
      <c r="L158" s="809">
        <f>(Q29/$R29*100*($E29/365))+(Q30/$R30*100*($E30/365))</f>
        <v>14.69248937175248</v>
      </c>
      <c r="M158" s="809"/>
      <c r="N158" s="781">
        <f t="shared" si="20"/>
        <v>100</v>
      </c>
      <c r="O158" s="781"/>
      <c r="R158" s="1">
        <v>1969</v>
      </c>
      <c r="S158" s="8">
        <f>(O29*($E29/365))+(O30*($E30/365))</f>
        <v>0</v>
      </c>
      <c r="T158" s="8">
        <f>(P29*($E29/365))+(P30*($E30/365))</f>
        <v>43.028493150684938</v>
      </c>
      <c r="U158" s="8">
        <f>(Q29*($E29/365))+(Q30*($E30/365))</f>
        <v>8.5216438356164392</v>
      </c>
      <c r="V158" s="12"/>
      <c r="W158" s="7">
        <f t="shared" si="21"/>
        <v>51.550136986301375</v>
      </c>
    </row>
    <row r="159" spans="1:54" x14ac:dyDescent="0.15">
      <c r="A159" s="1">
        <v>1970</v>
      </c>
      <c r="B159" s="8">
        <f>(K31*($E31/365))+(K32*($E32/365))+(K33*($E33/365))</f>
        <v>0</v>
      </c>
      <c r="C159" s="8">
        <f>(L31*($E31/365))+(L32*($E32/365))+(L33*($E33/365))</f>
        <v>73.463796477495109</v>
      </c>
      <c r="D159" s="8">
        <f>(M31*($E31/365))+(M32*($E32/365))+(M33*($E33/365))</f>
        <v>26.536203522504891</v>
      </c>
      <c r="E159" s="48">
        <f t="shared" si="19"/>
        <v>100</v>
      </c>
      <c r="G159" s="1">
        <v>1970</v>
      </c>
      <c r="H159" s="809">
        <f>(O31/$R31*100*($E31/365))+(O32/$R32*100*($E32/365))+(O33/$R33*100*($E33/365))</f>
        <v>0</v>
      </c>
      <c r="I159" s="809"/>
      <c r="J159" s="809">
        <f>(P31/$R31*100*($E31/365))+(P32/$R32*100*($E32/365))+(P33/$R33*100*($E33/365))</f>
        <v>80.954180444024558</v>
      </c>
      <c r="K159" s="809"/>
      <c r="L159" s="809">
        <f>(Q31/$R31*100*($E31/365))+(Q32/$R32*100*($E32/365))+(Q33/$R33*100*($E33/365))</f>
        <v>19.045819555975438</v>
      </c>
      <c r="M159" s="809"/>
      <c r="N159" s="781">
        <f t="shared" si="20"/>
        <v>100</v>
      </c>
      <c r="O159" s="781"/>
      <c r="R159" s="1">
        <v>1970</v>
      </c>
      <c r="S159" s="8">
        <f>(O31*($E31/365))+(O32*($E32/365))+(O33*($E33/365))</f>
        <v>0</v>
      </c>
      <c r="T159" s="8">
        <f>(P31*($E31/365))+(P32*($E32/365))+(P33*($E33/365))</f>
        <v>43.273972602739725</v>
      </c>
      <c r="U159" s="8">
        <f>(Q31*($E31/365))+(Q32*($E32/365))+(Q33*($E33/365))</f>
        <v>11.046575342465754</v>
      </c>
      <c r="V159" s="12"/>
      <c r="W159" s="7">
        <f t="shared" si="21"/>
        <v>54.320547945205476</v>
      </c>
    </row>
    <row r="160" spans="1:54" x14ac:dyDescent="0.15">
      <c r="A160" s="1">
        <v>1971</v>
      </c>
      <c r="B160" s="8">
        <f>(K34*($E34/365))+(K35*($E35/365))</f>
        <v>0</v>
      </c>
      <c r="C160" s="8">
        <f>(L34*($E34/365))+(L35*($E35/365))</f>
        <v>63.169529607885771</v>
      </c>
      <c r="D160" s="8">
        <f>(M34*($E34/365))+(M35*($E35/365))</f>
        <v>36.830470392114229</v>
      </c>
      <c r="E160" s="48">
        <f t="shared" si="19"/>
        <v>100</v>
      </c>
      <c r="G160" s="1">
        <v>1971</v>
      </c>
      <c r="H160" s="809">
        <f>(O34/$R34*100*($E34/365))+(O35/$R35*100*($E35/365))</f>
        <v>0</v>
      </c>
      <c r="I160" s="809"/>
      <c r="J160" s="809">
        <f>(P34/$R34*100*($E34/365))+(P35/$R35*100*($E35/365))</f>
        <v>74.654205981863129</v>
      </c>
      <c r="K160" s="809"/>
      <c r="L160" s="809">
        <f>(Q34/$R34*100*($E34/365))+(Q35/$R35*100*($E35/365))</f>
        <v>25.345794018136868</v>
      </c>
      <c r="M160" s="809"/>
      <c r="N160" s="781">
        <f t="shared" si="20"/>
        <v>100</v>
      </c>
      <c r="O160" s="781"/>
      <c r="R160" s="1">
        <v>1971</v>
      </c>
      <c r="S160" s="8">
        <f>(O34*($E34/365))+(O35*($E35/365))</f>
        <v>0</v>
      </c>
      <c r="T160" s="8">
        <f>(P34*($E34/365))+(P35*($E35/365))</f>
        <v>42.418630136986302</v>
      </c>
      <c r="U160" s="8">
        <f>(Q34*($E34/365))+(Q35*($E35/365))</f>
        <v>14.399999999999999</v>
      </c>
      <c r="V160" s="12"/>
      <c r="W160" s="7">
        <f t="shared" si="21"/>
        <v>56.8186301369863</v>
      </c>
    </row>
    <row r="161" spans="1:23" x14ac:dyDescent="0.15">
      <c r="A161" s="1">
        <v>1972</v>
      </c>
      <c r="B161" s="8">
        <f>(K36*($E36/366))+(K37*($E37/366))+(K38*($E38/366))</f>
        <v>7.9445145018915513</v>
      </c>
      <c r="C161" s="8">
        <f>(L36*($E36/366))+(L37*($E37/366))+(L38*($E38/366))</f>
        <v>77.267526038017849</v>
      </c>
      <c r="D161" s="8">
        <f>(M36*($E36/366))+(M37*($E37/366))+(M38*($E38/366))</f>
        <v>14.78795946009061</v>
      </c>
      <c r="E161" s="48">
        <f t="shared" si="19"/>
        <v>100</v>
      </c>
      <c r="G161" s="1">
        <v>1972</v>
      </c>
      <c r="H161" s="809">
        <f>(O36/$R36*100*($E36/366))+(O37/$R37*100*($E37/366))+(O38/$R38*100*($E38/366))</f>
        <v>3.3878695042857614</v>
      </c>
      <c r="I161" s="809"/>
      <c r="J161" s="809">
        <f>(P36/$R36*100*($E36/366))+(P37/$R37*100*($E37/366))+(P38/$R38*100*($E38/366))</f>
        <v>88.553029848482538</v>
      </c>
      <c r="K161" s="809"/>
      <c r="L161" s="809">
        <f>(Q36/$R36*100*($E36/366))+(Q37/$R37*100*($E37/366))+(Q38/$R38*100*($E38/366))</f>
        <v>8.0591006472317108</v>
      </c>
      <c r="M161" s="809"/>
      <c r="N161" s="781">
        <f t="shared" si="20"/>
        <v>100.00000000000001</v>
      </c>
      <c r="O161" s="781"/>
      <c r="R161" s="1">
        <v>1972</v>
      </c>
      <c r="S161" s="8">
        <f>(O36*($E36/366))+(O37*($E37/366))+(O38*($E38/366))</f>
        <v>1.7040983606557376</v>
      </c>
      <c r="T161" s="8">
        <f>(P36*($E36/366))+(P37*($E37/366))+(P38*($E38/366))</f>
        <v>42.303278688524593</v>
      </c>
      <c r="U161" s="8">
        <f>(Q36*($E36/366))+(Q37*($E37/366))+(Q38*($E38/366))</f>
        <v>4.2639344262295076</v>
      </c>
      <c r="V161" s="12"/>
      <c r="W161" s="7">
        <f t="shared" si="21"/>
        <v>48.271311475409831</v>
      </c>
    </row>
    <row r="162" spans="1:23" x14ac:dyDescent="0.15">
      <c r="A162" s="1">
        <v>1973</v>
      </c>
      <c r="B162" s="8">
        <f>(K39*($E39/365))+(K40*($E40/365))</f>
        <v>10.537407797681769</v>
      </c>
      <c r="C162" s="8">
        <f>(L39*($E39/365))+(L40*($E40/365))</f>
        <v>65.426401656916539</v>
      </c>
      <c r="D162" s="8">
        <f>(M39*($E39/365))+(M40*($E40/365))</f>
        <v>24.036190545401695</v>
      </c>
      <c r="E162" s="48">
        <f t="shared" si="19"/>
        <v>100</v>
      </c>
      <c r="G162" s="1">
        <v>1973</v>
      </c>
      <c r="H162" s="809">
        <f>(O39/$R39*100*($E39/365))+(O40/$R40*100*($E40/365))</f>
        <v>4.4935864266456065</v>
      </c>
      <c r="I162" s="809"/>
      <c r="J162" s="809">
        <f>(P39/$R39*100*($E39/365))+(P40/$R40*100*($E40/365))</f>
        <v>81.593255546840822</v>
      </c>
      <c r="K162" s="809"/>
      <c r="L162" s="809">
        <f>(Q39/$R39*100*($E39/365))+(Q40/$R40*100*($E40/365))</f>
        <v>13.913158026513569</v>
      </c>
      <c r="M162" s="809"/>
      <c r="N162" s="781">
        <f t="shared" si="20"/>
        <v>100</v>
      </c>
      <c r="O162" s="781"/>
      <c r="R162" s="1">
        <v>1973</v>
      </c>
      <c r="S162" s="8">
        <f>(O39*($E39/365))+(O40*($E40/365))</f>
        <v>2.2602739726027394</v>
      </c>
      <c r="T162" s="8">
        <f>(P39*($E39/365))+(P40*($E40/365))</f>
        <v>43.093150684931501</v>
      </c>
      <c r="U162" s="8">
        <f>(Q39*($E39/365))+(Q40*($E40/365))</f>
        <v>7.6561643835616433</v>
      </c>
      <c r="V162" s="12"/>
      <c r="W162" s="7">
        <f t="shared" si="21"/>
        <v>53.009589041095886</v>
      </c>
    </row>
    <row r="163" spans="1:23" x14ac:dyDescent="0.15">
      <c r="A163" s="1">
        <v>1974</v>
      </c>
      <c r="B163" s="8">
        <f>(K41*($E41/365))+(K42*($E42/365))+(K43*($E43/365))</f>
        <v>0</v>
      </c>
      <c r="C163" s="8">
        <f>(L41*($E41/365))+(L42*($E42/365))+(L43*($E43/365))</f>
        <v>66.432905781039935</v>
      </c>
      <c r="D163" s="8">
        <f>(M41*($E41/365))+(M42*($E42/365))+(M43*($E43/365))</f>
        <v>33.567094218960072</v>
      </c>
      <c r="E163" s="48">
        <f t="shared" si="19"/>
        <v>100</v>
      </c>
      <c r="G163" s="1">
        <v>1974</v>
      </c>
      <c r="H163" s="809">
        <f>(O41/$R41*100*($E41/365))+(O42/$R42*100*($E42/365))+(O43/$R43*100*($E43/365))</f>
        <v>0</v>
      </c>
      <c r="I163" s="809"/>
      <c r="J163" s="809">
        <f>(P41/$R41*100*($E41/365))+(P42/$R42*100*($E42/365))+(P43/$R43*100*($E43/365))</f>
        <v>77.660153394894579</v>
      </c>
      <c r="K163" s="809"/>
      <c r="L163" s="809">
        <f>(Q41/$R41*100*($E41/365))+(Q42/$R42*100*($E42/365))+(Q43/$R43*100*($E43/365))</f>
        <v>22.339846605105421</v>
      </c>
      <c r="M163" s="809"/>
      <c r="N163" s="781">
        <f t="shared" si="20"/>
        <v>100</v>
      </c>
      <c r="O163" s="781"/>
      <c r="R163" s="1">
        <v>1974</v>
      </c>
      <c r="S163" s="8">
        <f>(O41*($E41/365))+(O42*($E42/365))+(O43*($E43/365))</f>
        <v>0</v>
      </c>
      <c r="T163" s="8">
        <f>(P41*($E41/365))+(P42*($E42/365))+(P43*($E43/365))</f>
        <v>43.069041095890412</v>
      </c>
      <c r="U163" s="8">
        <f>(Q41*($E41/365))+(Q42*($E42/365))+(Q43*($E43/365))</f>
        <v>12.77205479452055</v>
      </c>
      <c r="V163" s="12"/>
      <c r="W163" s="7">
        <f t="shared" si="21"/>
        <v>55.841095890410962</v>
      </c>
    </row>
    <row r="164" spans="1:23" x14ac:dyDescent="0.15">
      <c r="A164" s="1">
        <v>1975</v>
      </c>
      <c r="B164" s="8">
        <f>(K44*($E44/365))+(K45*($E45/365))</f>
        <v>0</v>
      </c>
      <c r="C164" s="8">
        <f>(L44*($E44/365))+(L45*($E45/365))</f>
        <v>100</v>
      </c>
      <c r="D164" s="8">
        <f>(M44*($E44/365))+(M45*($E45/365))</f>
        <v>0</v>
      </c>
      <c r="E164" s="48">
        <f t="shared" si="19"/>
        <v>100</v>
      </c>
      <c r="G164" s="1">
        <v>1975</v>
      </c>
      <c r="H164" s="809">
        <f>(O44/$R44*100*($E44/365))+(O45/$R45*100*($E45/365))</f>
        <v>0</v>
      </c>
      <c r="I164" s="809"/>
      <c r="J164" s="809">
        <f>(P44/$R44*100*($E44/365))+(P45/$R45*100*($E45/365))</f>
        <v>100</v>
      </c>
      <c r="K164" s="809"/>
      <c r="L164" s="809">
        <f>(Q44/$R44*100*($E44/365))+(Q45/$R45*100*($E45/365))</f>
        <v>0</v>
      </c>
      <c r="M164" s="809"/>
      <c r="N164" s="781">
        <f t="shared" si="20"/>
        <v>100</v>
      </c>
      <c r="O164" s="781"/>
      <c r="R164" s="1">
        <v>1975</v>
      </c>
      <c r="S164" s="8">
        <f>(O44*($E44/365))+(O45*($E45/365))</f>
        <v>0</v>
      </c>
      <c r="T164" s="8">
        <f>(P44*($E44/365))+(P45*($E45/365))</f>
        <v>44.6</v>
      </c>
      <c r="U164" s="8">
        <f>(Q44*($E44/365))+(Q45*($E45/365))</f>
        <v>0</v>
      </c>
      <c r="V164" s="12"/>
      <c r="W164" s="7">
        <f t="shared" si="21"/>
        <v>44.6</v>
      </c>
    </row>
    <row r="165" spans="1:23" x14ac:dyDescent="0.15">
      <c r="A165" s="1">
        <v>1976</v>
      </c>
      <c r="B165" s="8">
        <f>(K46*($E46/366))+(K47*($E47/366))+(K48*($E48/366))</f>
        <v>0</v>
      </c>
      <c r="C165" s="8">
        <f>(L46*($E46/366))+(L47*($E47/366))+(L48*($E48/366))</f>
        <v>98.062593144560367</v>
      </c>
      <c r="D165" s="8">
        <f>(M46*($E46/366))+(M47*($E47/366))+(M48*($E48/366))</f>
        <v>0</v>
      </c>
      <c r="E165" s="48">
        <f t="shared" si="19"/>
        <v>98.062593144560367</v>
      </c>
      <c r="G165" s="1">
        <v>1976</v>
      </c>
      <c r="H165" s="809">
        <f>(O46/$R46*100*($E46/366))+(O47/$R47*100*($E47/366))+(O48/$R48*100*($E48/366))</f>
        <v>0</v>
      </c>
      <c r="I165" s="809"/>
      <c r="J165" s="809">
        <f>(P46/$R46*100*($E46/366))+(P47/$R47*100*($E47/366))+(P48/$R48*100*($E48/366))</f>
        <v>100</v>
      </c>
      <c r="K165" s="809"/>
      <c r="L165" s="809">
        <f>(Q46/$R46*100*($E46/366))+(Q47/$R47*100*($E47/366))+(Q48/$R48*100*($E48/366))</f>
        <v>0</v>
      </c>
      <c r="M165" s="809"/>
      <c r="N165" s="781">
        <f t="shared" si="20"/>
        <v>100</v>
      </c>
      <c r="O165" s="781"/>
      <c r="R165" s="1">
        <v>1976</v>
      </c>
      <c r="S165" s="8">
        <f>(O46*($E46/366))+(O47*($E47/366))+(O48*($E48/366))</f>
        <v>0</v>
      </c>
      <c r="T165" s="8">
        <f>(P46*($E46/366))+(P47*($E47/366))+(P48*($E48/366))</f>
        <v>42.360109289617483</v>
      </c>
      <c r="U165" s="8">
        <f>(Q46*($E46/366))+(Q47*($E47/366))+(Q48*($E48/366))</f>
        <v>0</v>
      </c>
      <c r="V165" s="12"/>
      <c r="W165" s="7">
        <f t="shared" si="21"/>
        <v>42.360109289617483</v>
      </c>
    </row>
    <row r="166" spans="1:23" x14ac:dyDescent="0.15">
      <c r="A166" s="1">
        <v>1977</v>
      </c>
      <c r="B166" s="8">
        <f>(K49*($E49/365))+(K50*($E50/365))</f>
        <v>0</v>
      </c>
      <c r="C166" s="8">
        <f>(L49*($E49/365))+(L50*($E50/365))</f>
        <v>95.454545454545453</v>
      </c>
      <c r="D166" s="8">
        <f>(M49*($E49/365))+(M50*($E50/365))</f>
        <v>0</v>
      </c>
      <c r="E166" s="48">
        <f t="shared" si="19"/>
        <v>95.454545454545453</v>
      </c>
      <c r="G166" s="1">
        <v>1977</v>
      </c>
      <c r="H166" s="809">
        <f>(O49/$R49*100*($E49/365))+(O50/$R50*100*($E50/365))</f>
        <v>0</v>
      </c>
      <c r="I166" s="809"/>
      <c r="J166" s="809">
        <f>(P49/$R49*100*($E49/365))+(P50/$R50*100*($E50/365))</f>
        <v>100</v>
      </c>
      <c r="K166" s="809"/>
      <c r="L166" s="809">
        <f>(Q49/$R49*100*($E49/365))+(Q50/$R50*100*($E50/365))</f>
        <v>0</v>
      </c>
      <c r="M166" s="809"/>
      <c r="N166" s="781">
        <f t="shared" si="20"/>
        <v>100</v>
      </c>
      <c r="O166" s="781"/>
      <c r="R166" s="1">
        <v>1977</v>
      </c>
      <c r="S166" s="8">
        <f>(O49*($E49/365))+(O50*($E50/365))</f>
        <v>0</v>
      </c>
      <c r="T166" s="8">
        <f>(P49*($E49/365))+(P50*($E50/365))</f>
        <v>41.7</v>
      </c>
      <c r="U166" s="8">
        <f>(Q49*($E49/365))+(Q50*($E50/365))</f>
        <v>0</v>
      </c>
      <c r="V166" s="12"/>
      <c r="W166" s="7">
        <f t="shared" si="21"/>
        <v>41.7</v>
      </c>
    </row>
    <row r="167" spans="1:23" x14ac:dyDescent="0.15">
      <c r="A167" s="1">
        <v>1978</v>
      </c>
      <c r="B167" s="8">
        <f>(K51*($E51/365))+(K52*($E52/365))</f>
        <v>0</v>
      </c>
      <c r="C167" s="8">
        <f>(L51*($E51/365))+(L52*($E52/365))</f>
        <v>95.280199252801992</v>
      </c>
      <c r="D167" s="8">
        <f>(M51*($E51/365))+(M52*($E52/365))</f>
        <v>0</v>
      </c>
      <c r="E167" s="48">
        <f t="shared" si="19"/>
        <v>95.280199252801992</v>
      </c>
      <c r="G167" s="1">
        <v>1978</v>
      </c>
      <c r="H167" s="809">
        <f>(O51/$R51*100*($E51/365))+(O52/$R52*100*($E52/365))</f>
        <v>0</v>
      </c>
      <c r="I167" s="809"/>
      <c r="J167" s="809">
        <f>(P51/$R51*100*($E51/365))+(P52/$R52*100*($E52/365))</f>
        <v>100</v>
      </c>
      <c r="K167" s="809"/>
      <c r="L167" s="809">
        <f>(Q51/$R51*100*($E51/365))+(Q52/$R52*100*($E52/365))</f>
        <v>0</v>
      </c>
      <c r="M167" s="809"/>
      <c r="N167" s="781">
        <f t="shared" si="20"/>
        <v>100</v>
      </c>
      <c r="O167" s="781"/>
      <c r="R167" s="1">
        <v>1978</v>
      </c>
      <c r="S167" s="8">
        <f>(O51*($E51/365))+(O52*($E52/365))</f>
        <v>0</v>
      </c>
      <c r="T167" s="8">
        <f>(P51*($E51/365))+(P52*($E52/365))</f>
        <v>41.7</v>
      </c>
      <c r="U167" s="8">
        <f>(Q51*($E51/365))+(Q52*($E52/365))</f>
        <v>0</v>
      </c>
      <c r="V167" s="12"/>
      <c r="W167" s="7">
        <f t="shared" si="21"/>
        <v>41.7</v>
      </c>
    </row>
    <row r="168" spans="1:23" x14ac:dyDescent="0.15">
      <c r="A168" s="1">
        <v>1979</v>
      </c>
      <c r="B168" s="8">
        <f>(K53*($E53/365))+(K54*($E54/365))+(K55*($E55/365))</f>
        <v>3.2657534246575342</v>
      </c>
      <c r="C168" s="8">
        <f>(L53*($E53/365))+(L54*($E54/365))+(L55*($E55/365))</f>
        <v>78.756947162426613</v>
      </c>
      <c r="D168" s="8">
        <f>(M53*($E53/365))+(M54*($E54/365))+(M55*($E55/365))</f>
        <v>13.6808871493803</v>
      </c>
      <c r="E168" s="48">
        <f t="shared" si="19"/>
        <v>95.703587736464442</v>
      </c>
      <c r="G168" s="1">
        <v>1979</v>
      </c>
      <c r="H168" s="809">
        <f>(O53/$R53*100*($E53/365))+(O54/$R54*100*($E54/365))+(O55/$R55*100*($E55/365))</f>
        <v>1.3253869418252981</v>
      </c>
      <c r="I168" s="809"/>
      <c r="J168" s="809">
        <f>(P53/$R53*100*($E53/365))+(P54/$R54*100*($E54/365))+(P55/$R55*100*($E55/365))</f>
        <v>93.813142093268723</v>
      </c>
      <c r="K168" s="809"/>
      <c r="L168" s="809">
        <f>(Q53/$R53*100*($E53/365))+(Q54/$R54*100*($E54/365))+(Q55/$R55*100*($E55/365))</f>
        <v>4.861470964905978</v>
      </c>
      <c r="M168" s="809"/>
      <c r="N168" s="781">
        <f t="shared" si="20"/>
        <v>100</v>
      </c>
      <c r="O168" s="781"/>
      <c r="R168" s="1">
        <v>1979</v>
      </c>
      <c r="S168" s="8">
        <f>(O53*($E53/365))+(O54*($E54/365))+(O55*($E55/365))</f>
        <v>0.61232876712328765</v>
      </c>
      <c r="T168" s="8">
        <f>(P53*($E53/365))+(P54*($E54/365))+(P55*($E55/365))</f>
        <v>42.403287671232874</v>
      </c>
      <c r="U168" s="8">
        <f>(Q53*($E53/365))+(Q54*($E54/365))+(Q55*($E55/365))</f>
        <v>2.2479452054794518</v>
      </c>
      <c r="V168" s="12"/>
      <c r="W168" s="7">
        <f t="shared" si="21"/>
        <v>45.263561643835615</v>
      </c>
    </row>
    <row r="169" spans="1:23" x14ac:dyDescent="0.15">
      <c r="A169" s="1">
        <v>1980</v>
      </c>
      <c r="B169" s="8">
        <f>(K56*($E56/366))+(K57*($E57/366))+(K58*($E58/366))</f>
        <v>2.0546448087431695</v>
      </c>
      <c r="C169" s="8">
        <f>(L56*($E56/366))+(L57*($E57/366))+(L58*($E58/366))</f>
        <v>66.904299303206415</v>
      </c>
      <c r="D169" s="8">
        <f>(M56*($E56/366))+(M57*($E57/366))+(M58*($E58/366))</f>
        <v>28.986411079307256</v>
      </c>
      <c r="E169" s="48">
        <f t="shared" si="19"/>
        <v>97.945355191256837</v>
      </c>
      <c r="G169" s="1">
        <v>1980</v>
      </c>
      <c r="H169" s="809">
        <f>(O56/$R56*100*($E56/366))+(O57/$R57*100*($E57/366))+(O58/$R58*100*($E58/366))</f>
        <v>0.83386558796394872</v>
      </c>
      <c r="I169" s="809"/>
      <c r="J169" s="809">
        <f>(P56/$R56*100*($E56/366))+(P57/$R57*100*($E57/366))+(P58/$R58*100*($E58/366))</f>
        <v>82.785619355825901</v>
      </c>
      <c r="K169" s="809"/>
      <c r="L169" s="809">
        <f>(Q56/$R56*100*($E56/366))+(Q57/$R57*100*($E57/366))+(Q58/$R58*100*($E58/366))</f>
        <v>16.380515056210164</v>
      </c>
      <c r="M169" s="809"/>
      <c r="N169" s="781">
        <f t="shared" si="20"/>
        <v>100</v>
      </c>
      <c r="O169" s="781"/>
      <c r="R169" s="1">
        <v>1980</v>
      </c>
      <c r="S169" s="8">
        <f>(O56*($E56/366))+(O57*($E57/366))+(O58*($E58/366))</f>
        <v>0.38524590163934425</v>
      </c>
      <c r="T169" s="8">
        <f>(P56*($E56/366))+(P57*($E57/366))+(P58*($E58/366))</f>
        <v>43.183606557377054</v>
      </c>
      <c r="U169" s="8">
        <f>(Q56*($E56/366))+(Q57*($E57/366))+(Q58*($E58/366))</f>
        <v>8.7978142076502746</v>
      </c>
      <c r="V169" s="12"/>
      <c r="W169" s="7">
        <f t="shared" si="21"/>
        <v>52.366666666666674</v>
      </c>
    </row>
    <row r="170" spans="1:23" x14ac:dyDescent="0.15">
      <c r="A170" s="1">
        <v>1981</v>
      </c>
      <c r="B170" s="8">
        <f>(K59*($E59/365))+(K60*($E60/365))</f>
        <v>1.8297455968688845</v>
      </c>
      <c r="C170" s="8">
        <f>(L59*($E59/365))+(L60*($E60/365))</f>
        <v>61.810900920489956</v>
      </c>
      <c r="D170" s="8">
        <f>(M59*($E59/365))+(M60*($E60/365))</f>
        <v>36.359353482641154</v>
      </c>
      <c r="E170" s="48">
        <f t="shared" si="19"/>
        <v>100</v>
      </c>
      <c r="G170" s="1">
        <v>1981</v>
      </c>
      <c r="H170" s="809">
        <f>(O59/$R59*100*($E59/365))+(O60/$R60*100*($E60/365))</f>
        <v>1.3159129292550198</v>
      </c>
      <c r="I170" s="809"/>
      <c r="J170" s="809">
        <f>(P59/$R59*100*($E59/365))+(P60/$R60*100*($E60/365))</f>
        <v>75.96420059224306</v>
      </c>
      <c r="K170" s="809"/>
      <c r="L170" s="809">
        <f>(Q59/$R59*100*($E59/365))+(Q60/$R60*100*($E60/365))</f>
        <v>22.71988647850192</v>
      </c>
      <c r="M170" s="809"/>
      <c r="N170" s="781">
        <f t="shared" si="20"/>
        <v>100</v>
      </c>
      <c r="O170" s="781"/>
      <c r="R170" s="1">
        <v>1981</v>
      </c>
      <c r="S170" s="8">
        <f>(O59*($E59/365))+(O60*($E60/365))</f>
        <v>0.76849315068493151</v>
      </c>
      <c r="T170" s="8">
        <f>(P59*($E59/365))+(P60*($E60/365))</f>
        <v>43.8</v>
      </c>
      <c r="U170" s="8">
        <f>(Q59*($E59/365))+(Q60*($E60/365))</f>
        <v>13.1</v>
      </c>
      <c r="V170" s="12"/>
      <c r="W170" s="7">
        <f t="shared" si="21"/>
        <v>57.668493150684931</v>
      </c>
    </row>
    <row r="171" spans="1:23" x14ac:dyDescent="0.15">
      <c r="A171" s="1">
        <v>1982</v>
      </c>
      <c r="B171" s="8">
        <f>(K61*($E61/365))+(K62*($E62/365))+(K63*($E63/365))</f>
        <v>3.7769080234833652</v>
      </c>
      <c r="C171" s="8">
        <f>(L61*($E61/365))+(L62*($E62/365))+(L63*($E63/365))</f>
        <v>60.097847358121328</v>
      </c>
      <c r="D171" s="8">
        <f>(M61*($E61/365))+(M62*($E62/365))+(M63*($E63/365))</f>
        <v>36.125244618395307</v>
      </c>
      <c r="E171" s="48">
        <f t="shared" si="19"/>
        <v>100</v>
      </c>
      <c r="G171" s="1">
        <v>1982</v>
      </c>
      <c r="H171" s="809">
        <f>(O61/$R61*100*($E61/365))+(O62/$R62*100*($E62/365))+(O63/$R63*100*($E63/365))</f>
        <v>2.5748264214674426</v>
      </c>
      <c r="I171" s="809"/>
      <c r="J171" s="809">
        <f>(P61/$R61*100*($E61/365))+(P62/$R62*100*($E62/365))+(P63/$R63*100*($E63/365))</f>
        <v>74.938356164383563</v>
      </c>
      <c r="K171" s="809"/>
      <c r="L171" s="809">
        <f>(Q61/$R61*100*($E61/365))+(Q62/$R62*100*($E62/365))+(Q63/$R63*100*($E63/365))</f>
        <v>22.486817414148998</v>
      </c>
      <c r="M171" s="809"/>
      <c r="N171" s="781">
        <f t="shared" si="20"/>
        <v>100.00000000000001</v>
      </c>
      <c r="O171" s="781"/>
      <c r="R171" s="1">
        <v>1982</v>
      </c>
      <c r="S171" s="8">
        <f>(O61*($E61/365))+(O62*($E62/365))+(O63*($E63/365))</f>
        <v>1.5</v>
      </c>
      <c r="T171" s="8">
        <f>(P61*($E61/365))+(P62*($E62/365))+(P63*($E63/365))</f>
        <v>43.661917808219179</v>
      </c>
      <c r="U171" s="8">
        <f>(Q61*($E61/365))+(Q62*($E62/365))+(Q63*($E63/365))</f>
        <v>13.1</v>
      </c>
      <c r="V171" s="12"/>
      <c r="W171" s="7">
        <f t="shared" si="21"/>
        <v>58.261917808219181</v>
      </c>
    </row>
    <row r="172" spans="1:23" x14ac:dyDescent="0.15">
      <c r="A172" s="1">
        <v>1983</v>
      </c>
      <c r="B172" s="8">
        <f>(K64*($E64/365))+(K65*($E65/365))</f>
        <v>6.9471624266144811</v>
      </c>
      <c r="C172" s="8">
        <f>(L64*($E64/365))+(L65*($E65/365))</f>
        <v>55.479452054794521</v>
      </c>
      <c r="D172" s="8">
        <f>(M64*($E64/365))+(M65*($E65/365))</f>
        <v>37.573385518590996</v>
      </c>
      <c r="E172" s="48">
        <f t="shared" si="19"/>
        <v>100</v>
      </c>
      <c r="G172" s="1">
        <v>1983</v>
      </c>
      <c r="H172" s="809">
        <f>(O64/$R64*100*($E64/365))+(O65/$R65*100*($E65/365))</f>
        <v>3.346114398887134</v>
      </c>
      <c r="I172" s="809"/>
      <c r="J172" s="809">
        <f>(P64/$R64*100*($E64/365))+(P65/$R65*100*($E65/365))</f>
        <v>72.052377808690721</v>
      </c>
      <c r="K172" s="809"/>
      <c r="L172" s="809">
        <f>(Q64/$R64*100*($E64/365))+(Q65/$R65*100*($E65/365))</f>
        <v>24.601507792422137</v>
      </c>
      <c r="M172" s="809"/>
      <c r="N172" s="781">
        <f t="shared" si="20"/>
        <v>100</v>
      </c>
      <c r="O172" s="781"/>
      <c r="R172" s="1">
        <v>1983</v>
      </c>
      <c r="S172" s="8">
        <f>(O64*($E64/365))+(O65*($E65/365))</f>
        <v>1.9109589041095889</v>
      </c>
      <c r="T172" s="8">
        <f>(P64*($E64/365))+(P65*($E65/365))</f>
        <v>40.947945205479449</v>
      </c>
      <c r="U172" s="8">
        <f>(Q64*($E64/365))+(Q65*($E65/365))</f>
        <v>14.004109589041096</v>
      </c>
      <c r="V172" s="12"/>
      <c r="W172" s="7">
        <f t="shared" si="21"/>
        <v>56.863013698630141</v>
      </c>
    </row>
    <row r="173" spans="1:23" x14ac:dyDescent="0.15">
      <c r="A173" s="1">
        <v>1984</v>
      </c>
      <c r="B173" s="8">
        <f>(K66*($E66/366))+(K67*($E67/366))</f>
        <v>6.666666666666667</v>
      </c>
      <c r="C173" s="8">
        <f>(L66*($E66/366))+(L67*($E67/366))</f>
        <v>63.333333333333329</v>
      </c>
      <c r="D173" s="8">
        <f>(M66*($E66/366))+(M67*($E67/366))</f>
        <v>30</v>
      </c>
      <c r="E173" s="48">
        <f t="shared" si="19"/>
        <v>100</v>
      </c>
      <c r="G173" s="1">
        <v>1984</v>
      </c>
      <c r="H173" s="809">
        <f>(O66/$R66*100*($E66/366))+(O67/$R67*100*($E67/366))</f>
        <v>4.3029259896729783</v>
      </c>
      <c r="I173" s="809"/>
      <c r="J173" s="809">
        <f>(P66/$R66*100*($E66/366))+(P67/$R67*100*($E67/366))</f>
        <v>69.363166953528406</v>
      </c>
      <c r="K173" s="809"/>
      <c r="L173" s="809">
        <f>(Q66/$R66*100*($E66/366))+(Q67/$R67*100*($E67/366))</f>
        <v>26.333907056798626</v>
      </c>
      <c r="M173" s="809"/>
      <c r="N173" s="781">
        <f t="shared" si="20"/>
        <v>100.00000000000001</v>
      </c>
      <c r="O173" s="781"/>
      <c r="R173" s="1">
        <v>1984</v>
      </c>
      <c r="S173" s="8">
        <f>(O66*($E66/366))+(O67*($E67/366))</f>
        <v>2.5</v>
      </c>
      <c r="T173" s="8">
        <f>(P66*($E66/366))+(P67*($E67/366))</f>
        <v>40.299999999999997</v>
      </c>
      <c r="U173" s="8">
        <f>(Q66*($E66/366))+(Q67*($E67/366))</f>
        <v>15.3</v>
      </c>
      <c r="V173" s="12"/>
      <c r="W173" s="7">
        <f t="shared" si="21"/>
        <v>58.099999999999994</v>
      </c>
    </row>
    <row r="174" spans="1:23" x14ac:dyDescent="0.15">
      <c r="A174" s="1">
        <v>1985</v>
      </c>
      <c r="B174" s="8">
        <f>(K68*($E68/365))+(K69*($E69/365))</f>
        <v>6.666666666666667</v>
      </c>
      <c r="C174" s="8">
        <f>(L68*($E68/365))+(L69*($E69/365))</f>
        <v>63.333333333333329</v>
      </c>
      <c r="D174" s="8">
        <f>(M68*($E68/365))+(M69*($E69/365))</f>
        <v>30</v>
      </c>
      <c r="E174" s="48">
        <f t="shared" si="19"/>
        <v>100</v>
      </c>
      <c r="G174" s="1">
        <v>1985</v>
      </c>
      <c r="H174" s="809">
        <f>(O68/$R68*100*($E68/365))+(O69/$R69*100*($E69/365))</f>
        <v>4.3029259896729783</v>
      </c>
      <c r="I174" s="809"/>
      <c r="J174" s="809">
        <f>(P68/$R68*100*($E68/365))+(P69/$R69*100*($E69/365))</f>
        <v>69.363166953528406</v>
      </c>
      <c r="K174" s="809"/>
      <c r="L174" s="809">
        <f>(Q68/$R68*100*($E68/365))+(Q69/$R69*100*($E69/365))</f>
        <v>26.333907056798626</v>
      </c>
      <c r="M174" s="809"/>
      <c r="N174" s="781">
        <f t="shared" si="20"/>
        <v>100.00000000000001</v>
      </c>
      <c r="O174" s="781"/>
      <c r="R174" s="1">
        <v>1985</v>
      </c>
      <c r="S174" s="8">
        <f>(O68*($E68/365))+(O69*($E69/365))</f>
        <v>2.5</v>
      </c>
      <c r="T174" s="8">
        <f>(P68*($E68/365))+(P69*($E69/365))</f>
        <v>40.299999999999997</v>
      </c>
      <c r="U174" s="8">
        <f>(Q68*($E68/365))+(Q69*($E69/365))</f>
        <v>15.3</v>
      </c>
      <c r="V174" s="12"/>
      <c r="W174" s="7">
        <f t="shared" si="21"/>
        <v>58.099999999999994</v>
      </c>
    </row>
    <row r="175" spans="1:23" x14ac:dyDescent="0.15">
      <c r="A175" s="1">
        <v>1986</v>
      </c>
      <c r="B175" s="8">
        <f>(K70*($E70/365))+(K71*($E71/365))</f>
        <v>6.6666666666666679</v>
      </c>
      <c r="C175" s="8">
        <f>(L70*($E70/365))+(L71*($E71/365))</f>
        <v>63.333333333333329</v>
      </c>
      <c r="D175" s="8">
        <f>(M70*($E70/365))+(M71*($E71/365))</f>
        <v>30</v>
      </c>
      <c r="E175" s="48">
        <f t="shared" si="19"/>
        <v>100</v>
      </c>
      <c r="G175" s="1">
        <v>1986</v>
      </c>
      <c r="H175" s="809">
        <f>(O71/$R71*100*($E71/365))+(O70/$R70*100*($E70/365))</f>
        <v>4.3029259896729783</v>
      </c>
      <c r="I175" s="809"/>
      <c r="J175" s="809">
        <f>(P71/$R71*100*($E71/365))+(P70/$R70*100*($E70/365))</f>
        <v>69.363166953528406</v>
      </c>
      <c r="K175" s="809"/>
      <c r="L175" s="809">
        <f>(Q71/$R71*100*($E71/365))+(Q70/$R70*100*($E70/365))</f>
        <v>26.33390705679863</v>
      </c>
      <c r="M175" s="809"/>
      <c r="N175" s="781">
        <f>H175+J175+L175</f>
        <v>100.00000000000003</v>
      </c>
      <c r="O175" s="781"/>
      <c r="R175" s="1">
        <v>1986</v>
      </c>
      <c r="S175" s="8">
        <f>(O70*($E70/365))+(O71*($E71/365))</f>
        <v>2.5</v>
      </c>
      <c r="T175" s="8">
        <f>(P70*($E70/365))+(P71*($E71/365))</f>
        <v>40.299999999999997</v>
      </c>
      <c r="U175" s="8">
        <f>(Q70*($E70/365))+(Q71*($E71/365))</f>
        <v>15.3</v>
      </c>
      <c r="V175" s="12"/>
      <c r="W175" s="7">
        <f t="shared" si="21"/>
        <v>58.099999999999994</v>
      </c>
    </row>
    <row r="176" spans="1:23" x14ac:dyDescent="0.15">
      <c r="A176" s="1">
        <v>1987</v>
      </c>
      <c r="B176" s="8">
        <f>(K72*($E72/365))+(K73*($E73/365))+(K74*($E74/365))</f>
        <v>3.3789954337899548</v>
      </c>
      <c r="C176" s="8">
        <f>(L72*($E72/365))+(L73*($E73/365))+(L74*($E74/365))</f>
        <v>62.094977168949775</v>
      </c>
      <c r="D176" s="8">
        <f>(M72*($E72/365))+(M73*($E73/365))+(M74*($E74/365))</f>
        <v>24.465753424657535</v>
      </c>
      <c r="E176" s="48">
        <f t="shared" si="19"/>
        <v>89.939726027397271</v>
      </c>
      <c r="G176" s="1">
        <v>1987</v>
      </c>
      <c r="H176" s="809">
        <f>(O72/$R72*100*($E72/365))+(O73/$R73*100*($E73/365))+(O74/$R74*100*($E74/365))</f>
        <v>2.478449825815471</v>
      </c>
      <c r="I176" s="809"/>
      <c r="J176" s="809">
        <f>(P72/$R72*100*($E72/365))+(P73/$R73*100*($E73/365))+(P74/$R74*100*($E74/365))</f>
        <v>77.201761051028853</v>
      </c>
      <c r="K176" s="809"/>
      <c r="L176" s="809">
        <f>(Q72/$R72*100*($E72/365))+(Q73/$R73*100*($E73/365))+(Q74/$R74*100*($E74/365))</f>
        <v>20.319789123155687</v>
      </c>
      <c r="M176" s="809"/>
      <c r="N176" s="781">
        <f t="shared" si="20"/>
        <v>100.00000000000001</v>
      </c>
      <c r="O176" s="781"/>
      <c r="R176" s="1">
        <v>1987</v>
      </c>
      <c r="S176" s="8">
        <f>(O72*($E72/365))+(O73*($E73/365))+(O74*($E74/365))</f>
        <v>1.4594520547945207</v>
      </c>
      <c r="T176" s="8">
        <f>(P72*($E72/365))+(P73*($E73/365))+(P74*($E74/365))</f>
        <v>39.057260273972602</v>
      </c>
      <c r="U176" s="8">
        <f>(Q72*($E72/365))+(Q73*($E73/365))+(Q74*($E74/365))</f>
        <v>12.007397260273974</v>
      </c>
      <c r="V176" s="12"/>
      <c r="W176" s="7">
        <f t="shared" si="21"/>
        <v>52.524109589041096</v>
      </c>
    </row>
    <row r="177" spans="1:25" x14ac:dyDescent="0.15">
      <c r="A177" s="1">
        <v>1988</v>
      </c>
      <c r="B177" s="8">
        <f>(K75*($E75/366))+(K76*($E76/366))</f>
        <v>3.3333333333333339</v>
      </c>
      <c r="C177" s="8">
        <f>(L75*($E75/366))+(L76*($E76/366))</f>
        <v>62.395264116575589</v>
      </c>
      <c r="D177" s="8">
        <f>(M75*($E75/366))+(M76*($E76/366))</f>
        <v>34.271402550091068</v>
      </c>
      <c r="E177" s="48">
        <f t="shared" si="19"/>
        <v>99.999999999999986</v>
      </c>
      <c r="G177" s="1">
        <v>1988</v>
      </c>
      <c r="H177" s="809">
        <f>(O75/$R75*100*($E75/366))+(O76/$R76*100*($E76/366))</f>
        <v>2.8475711892797317</v>
      </c>
      <c r="I177" s="809"/>
      <c r="J177" s="809">
        <f>(P75/$R75*100*($E75/366))+(P76/$R76*100*($E76/366))</f>
        <v>67.671691792294794</v>
      </c>
      <c r="K177" s="809"/>
      <c r="L177" s="809">
        <f>(Q75/$R75*100*($E75/366))+(Q76/$R76*100*($E76/366))</f>
        <v>29.480737018425465</v>
      </c>
      <c r="M177" s="809"/>
      <c r="N177" s="781">
        <f t="shared" si="20"/>
        <v>100</v>
      </c>
      <c r="O177" s="781"/>
      <c r="R177" s="1">
        <v>1988</v>
      </c>
      <c r="S177" s="8">
        <f>(O75*($E75/366))+(O76*($E76/366))</f>
        <v>1.7</v>
      </c>
      <c r="T177" s="8">
        <f>(P75*($E75/366))+(P76*($E76/366))</f>
        <v>40.4</v>
      </c>
      <c r="U177" s="8">
        <f>(Q75*($E75/366))+(Q76*($E76/366))</f>
        <v>17.600000000000001</v>
      </c>
      <c r="V177" s="12"/>
      <c r="W177" s="7">
        <f t="shared" si="21"/>
        <v>59.7</v>
      </c>
    </row>
    <row r="178" spans="1:25" x14ac:dyDescent="0.15">
      <c r="A178" s="1">
        <v>1989</v>
      </c>
      <c r="B178" s="8">
        <f>(K77*($E77/365))+(K78*($E78/365))</f>
        <v>4.627853881278539</v>
      </c>
      <c r="C178" s="8">
        <f>(L77*($E77/365))+(L78*($E78/365))</f>
        <v>60.189497716894977</v>
      </c>
      <c r="D178" s="8">
        <f>(M77*($E77/365))+(M78*($E78/365))</f>
        <v>35.182648401826484</v>
      </c>
      <c r="E178" s="48">
        <f t="shared" si="19"/>
        <v>100</v>
      </c>
      <c r="G178" s="1">
        <v>1989</v>
      </c>
      <c r="H178" s="809">
        <f>(O77/$R77*100*($E77/365))+(O78/$R78*100*($E78/365))</f>
        <v>2.8475711892797317</v>
      </c>
      <c r="I178" s="809"/>
      <c r="J178" s="809">
        <f>(P77/$R77*100*($E77/365))+(P78/$R78*100*($E78/365))</f>
        <v>67.671691792294794</v>
      </c>
      <c r="K178" s="809"/>
      <c r="L178" s="809">
        <f>(Q77/$R77*100*($E77/365))+(Q78/$R78*100*($E78/365))</f>
        <v>29.480737018425462</v>
      </c>
      <c r="M178" s="809"/>
      <c r="N178" s="781">
        <f t="shared" si="20"/>
        <v>99.999999999999986</v>
      </c>
      <c r="O178" s="781"/>
      <c r="R178" s="1">
        <v>1989</v>
      </c>
      <c r="S178" s="8">
        <f>(O77*($E77/365))+(O78*($E78/365))</f>
        <v>1.7000000000000002</v>
      </c>
      <c r="T178" s="8">
        <f>(P77*($E77/365))+(P78*($E78/365))</f>
        <v>40.4</v>
      </c>
      <c r="U178" s="8">
        <f>(Q77*($E77/365))+(Q78*($E78/365))</f>
        <v>17.600000000000001</v>
      </c>
      <c r="V178" s="12"/>
      <c r="W178" s="7">
        <f t="shared" si="21"/>
        <v>59.7</v>
      </c>
    </row>
    <row r="179" spans="1:25" x14ac:dyDescent="0.15">
      <c r="A179" s="1">
        <v>1990</v>
      </c>
      <c r="B179" s="8">
        <f>(K79*($E79/365))+(K80*($E80/365))</f>
        <v>6.666666666666667</v>
      </c>
      <c r="C179" s="8">
        <f>(L79*($E79/365))+(L80*($E80/365))</f>
        <v>56.666666666666664</v>
      </c>
      <c r="D179" s="8">
        <f>(M79*($E79/365))+(M80*($E80/365))</f>
        <v>36.666666666666664</v>
      </c>
      <c r="E179" s="48">
        <f t="shared" si="19"/>
        <v>100</v>
      </c>
      <c r="G179" s="1">
        <v>1990</v>
      </c>
      <c r="H179" s="809">
        <f>(O79/$R79*100*($E79/365))+(O80/$R80*100*($E80/365))</f>
        <v>2.8475711892797317</v>
      </c>
      <c r="I179" s="809"/>
      <c r="J179" s="809">
        <f>(P79/$R79*100*($E79/365))+(P80/$R80*100*($E80/365))</f>
        <v>67.671691792294794</v>
      </c>
      <c r="K179" s="809"/>
      <c r="L179" s="809">
        <f>(Q79/$R79*100*($E79/365))+(Q80/$R80*100*($E80/365))</f>
        <v>29.480737018425462</v>
      </c>
      <c r="M179" s="809"/>
      <c r="N179" s="781">
        <f t="shared" si="20"/>
        <v>99.999999999999986</v>
      </c>
      <c r="O179" s="781"/>
      <c r="R179" s="1">
        <v>1990</v>
      </c>
      <c r="S179" s="8">
        <f>(O79*($E79/365))+(O80*($E80/365))</f>
        <v>1.7</v>
      </c>
      <c r="T179" s="8">
        <f>(P79*($E79/365))+(P80*($E80/365))</f>
        <v>40.4</v>
      </c>
      <c r="U179" s="8">
        <f>(Q79*($E79/365))+(Q80*($E80/365))</f>
        <v>17.600000000000001</v>
      </c>
      <c r="V179" s="12"/>
      <c r="W179" s="7">
        <f t="shared" si="21"/>
        <v>59.7</v>
      </c>
      <c r="Y179" s="26"/>
    </row>
    <row r="180" spans="1:25" x14ac:dyDescent="0.15">
      <c r="A180" s="1">
        <v>1991</v>
      </c>
      <c r="B180" s="8">
        <f>(K81*($E81/365))+(K82*($E82/365))</f>
        <v>6.666666666666667</v>
      </c>
      <c r="C180" s="8">
        <f>(L81*($E81/365))+(L82*($E82/365))</f>
        <v>54.31963470319635</v>
      </c>
      <c r="D180" s="8">
        <f>(M81*($E81/365))+(M82*($E82/365))</f>
        <v>39.013698630136986</v>
      </c>
      <c r="E180" s="48">
        <f t="shared" si="19"/>
        <v>100</v>
      </c>
      <c r="G180" s="1">
        <v>1991</v>
      </c>
      <c r="H180" s="809">
        <f>(O82/$R82*100*($E82/365))+(O81/$R81*100*($E81/365))</f>
        <v>2.9648851466113229</v>
      </c>
      <c r="I180" s="809"/>
      <c r="J180" s="809">
        <f>(P82/$R82*100*($E82/365))+(P81/$R81*100*($E81/365))</f>
        <v>66.339833335530273</v>
      </c>
      <c r="K180" s="809"/>
      <c r="L180" s="809">
        <f>(Q82/$R82*100*($E82/365))+(Q81/$R81*100*($E81/365))</f>
        <v>30.695281517858405</v>
      </c>
      <c r="M180" s="809"/>
      <c r="N180" s="781">
        <f t="shared" si="20"/>
        <v>100</v>
      </c>
      <c r="O180" s="781"/>
      <c r="R180" s="1">
        <v>1991</v>
      </c>
      <c r="S180" s="8">
        <f>(O81*($E81/365))+(O82*($E82/365))</f>
        <v>1.7</v>
      </c>
      <c r="T180" s="8">
        <f>(P81*($E81/365))+(P82*($E82/365))</f>
        <v>38.076438356164388</v>
      </c>
      <c r="U180" s="8">
        <f>(Q81*($E81/365))+(Q82*($E82/365))</f>
        <v>17.600000000000001</v>
      </c>
      <c r="V180" s="12"/>
      <c r="W180" s="7">
        <f t="shared" si="21"/>
        <v>57.376438356164392</v>
      </c>
      <c r="Y180" s="26"/>
    </row>
    <row r="181" spans="1:25" x14ac:dyDescent="0.15">
      <c r="A181" s="1">
        <v>1992</v>
      </c>
      <c r="B181" s="8">
        <f>(K83*($E83/366))+(K84*($E84/366))+(K85*($E85/366))</f>
        <v>7.1906963710242406</v>
      </c>
      <c r="C181" s="8">
        <f>(L83*($E83/366))+(L84*($E84/366))+(L85*($E85/366))</f>
        <v>43.76979122880762</v>
      </c>
      <c r="D181" s="8">
        <f>(M83*($E83/366))+(M84*($E84/366))+(M85*($E85/366))</f>
        <v>37.248844052122742</v>
      </c>
      <c r="E181" s="48">
        <f t="shared" si="19"/>
        <v>88.209331651954599</v>
      </c>
      <c r="G181" s="1">
        <v>1992</v>
      </c>
      <c r="H181" s="809">
        <f>(O83/$R83*100*($E83/366))+(O84/$R84*100*($E84/366))+(O85/$R85*100*($E85/366))</f>
        <v>4.1017849530231807</v>
      </c>
      <c r="I181" s="809"/>
      <c r="J181" s="809">
        <f>(P83/$R83*100*($E83/366))+(P84/$R84*100*($E84/366))+(P85/$R85*100*($E85/366))</f>
        <v>63.99473759972539</v>
      </c>
      <c r="K181" s="809"/>
      <c r="L181" s="809">
        <f>(Q83/$R83*100*($E83/366))+(Q84/$R84*100*($E84/366))+(Q85/$R85*100*($E85/366))</f>
        <v>31.903477447251426</v>
      </c>
      <c r="M181" s="809"/>
      <c r="N181" s="781">
        <f t="shared" si="20"/>
        <v>100</v>
      </c>
      <c r="O181" s="781"/>
      <c r="R181" s="1">
        <v>1992</v>
      </c>
      <c r="S181" s="8">
        <f>(O83*($E83/366))+(O84*($E84/366))+(O85*($E85/366))</f>
        <v>2.2109289617486341</v>
      </c>
      <c r="T181" s="8">
        <f>(P83*($E83/366))+(P84*($E84/366))+(P85*($E85/366))</f>
        <v>34.851912568306012</v>
      </c>
      <c r="U181" s="8">
        <f>(Q83*($E83/366))+(Q84*($E84/366))+(Q85*($E85/366))</f>
        <v>17.344535519125685</v>
      </c>
      <c r="V181" s="12"/>
      <c r="W181" s="7">
        <f t="shared" si="21"/>
        <v>54.407377049180333</v>
      </c>
      <c r="Y181" s="26"/>
    </row>
    <row r="182" spans="1:25" x14ac:dyDescent="0.15">
      <c r="A182" s="1">
        <v>1993</v>
      </c>
      <c r="B182" s="8">
        <f>(K86*($E86/365))+(K87*($E87/365))</f>
        <v>5.2746048472075877</v>
      </c>
      <c r="C182" s="8">
        <f>(L86*($E86/365))+(L87*($E87/365))</f>
        <v>30.283667017913597</v>
      </c>
      <c r="D182" s="8">
        <f>(M86*($E86/365))+(M87*($E87/365))</f>
        <v>27.664488935721813</v>
      </c>
      <c r="E182" s="48">
        <f t="shared" si="19"/>
        <v>63.222760800842998</v>
      </c>
      <c r="G182" s="1">
        <v>1993</v>
      </c>
      <c r="H182" s="809">
        <f>(O86/$R86*100*($E86/365))+(O87/$R87*100*($E87/365))</f>
        <v>5.1428571428571423</v>
      </c>
      <c r="I182" s="809"/>
      <c r="J182" s="809">
        <f>(P86/$R86*100*($E86/365))+(P87/$R87*100*($E87/365))</f>
        <v>62.285714285714278</v>
      </c>
      <c r="K182" s="809"/>
      <c r="L182" s="809">
        <f>(Q86/$R86*100*($E86/365))+(Q87/$R87*100*($E87/365))</f>
        <v>32.571428571428569</v>
      </c>
      <c r="M182" s="809"/>
      <c r="N182" s="781">
        <f t="shared" si="20"/>
        <v>99.999999999999986</v>
      </c>
      <c r="O182" s="781"/>
      <c r="R182" s="1">
        <v>1993</v>
      </c>
      <c r="S182" s="8">
        <f>(O86*($E86/365))+(O87*($E87/365))</f>
        <v>2.7</v>
      </c>
      <c r="T182" s="8">
        <f>(P86*($E86/365))+(P87*($E87/365))</f>
        <v>32.700000000000003</v>
      </c>
      <c r="U182" s="8">
        <f>(Q86*($E86/365))+(Q87*($E87/365))</f>
        <v>17.100000000000001</v>
      </c>
      <c r="V182" s="12"/>
      <c r="W182" s="7">
        <f t="shared" si="21"/>
        <v>52.500000000000007</v>
      </c>
      <c r="Y182" s="26"/>
    </row>
    <row r="183" spans="1:25" x14ac:dyDescent="0.15">
      <c r="A183" s="1">
        <v>1994</v>
      </c>
      <c r="B183" s="8">
        <f>(K88*($E88/365))+(K89*($E89/365))</f>
        <v>48.663435194942039</v>
      </c>
      <c r="C183" s="8">
        <f>(L88*($E88/365))+(L89*($E89/365))</f>
        <v>19.843203371970496</v>
      </c>
      <c r="D183" s="8">
        <f>(M88*($E88/365))+(M89*($E89/365))</f>
        <v>8.4821917808219176</v>
      </c>
      <c r="E183" s="48">
        <f t="shared" si="19"/>
        <v>76.988830347734449</v>
      </c>
      <c r="G183" s="1">
        <v>1994</v>
      </c>
      <c r="H183" s="809">
        <f>(O88/$R88*100*($E88/365))+(O89/$R89*100*($E89/365))</f>
        <v>60.555795044238032</v>
      </c>
      <c r="I183" s="809"/>
      <c r="J183" s="809">
        <f>(P88/$R88*100*($E88/365))+(P89/$R89*100*($E89/365))</f>
        <v>27.932658967503652</v>
      </c>
      <c r="K183" s="809"/>
      <c r="L183" s="809">
        <f>(Q88/$R88*100*($E88/365))+(Q89/$R89*100*($E89/365))</f>
        <v>11.511545988258316</v>
      </c>
      <c r="M183" s="809"/>
      <c r="N183" s="781">
        <f t="shared" si="20"/>
        <v>100</v>
      </c>
      <c r="O183" s="781"/>
      <c r="R183" s="1">
        <v>1994</v>
      </c>
      <c r="S183" s="8">
        <f>(O88*($E88/365))+(O89*($E89/365))</f>
        <v>34.317534246575342</v>
      </c>
      <c r="T183" s="8">
        <f>(P88*($E88/365))+(P89*($E89/365))</f>
        <v>14.919178082191783</v>
      </c>
      <c r="U183" s="8">
        <f>(Q88*($E88/365))+(Q89*($E89/365))</f>
        <v>6.0435616438356172</v>
      </c>
      <c r="V183" s="12"/>
      <c r="W183" s="7">
        <f t="shared" si="21"/>
        <v>55.280273972602743</v>
      </c>
      <c r="Y183" s="26"/>
    </row>
    <row r="184" spans="1:25" x14ac:dyDescent="0.15">
      <c r="A184" s="1">
        <v>1995</v>
      </c>
      <c r="B184" s="8">
        <f>(K90*($E90/365))+(K91*($E91/365))</f>
        <v>3.2033719704952577</v>
      </c>
      <c r="C184" s="8">
        <f>(L90*($E90/365))+(L91*($E91/365))</f>
        <v>0.67439409905163328</v>
      </c>
      <c r="D184" s="8">
        <f>(M90*($E90/365))+(M91*($E91/365))</f>
        <v>0</v>
      </c>
      <c r="E184" s="48">
        <f t="shared" si="19"/>
        <v>3.8777660695468912</v>
      </c>
      <c r="G184" s="1">
        <v>1995</v>
      </c>
      <c r="H184" s="809">
        <f>(O90/$R90*100*($E90/365))</f>
        <v>3.9822496623577082</v>
      </c>
      <c r="I184" s="809"/>
      <c r="J184" s="809">
        <f>(P90/$R90*100*($E90/365))</f>
        <v>0.40131198147790859</v>
      </c>
      <c r="K184" s="809"/>
      <c r="L184" s="809">
        <f>(Q90/$R90*100*($E90/365))</f>
        <v>0</v>
      </c>
      <c r="M184" s="809"/>
      <c r="N184" s="781">
        <f t="shared" si="20"/>
        <v>4.3835616438356171</v>
      </c>
      <c r="O184" s="781"/>
      <c r="R184" s="1">
        <v>1995</v>
      </c>
      <c r="S184" s="8">
        <f>(O90*($E90/365))+(O91*($E91/365))</f>
        <v>2.2619178082191782</v>
      </c>
      <c r="T184" s="8">
        <f>(P90*($E90/365))+(P91*($E91/365))</f>
        <v>0.22794520547945207</v>
      </c>
      <c r="U184" s="8">
        <f>(Q90*($E90/365))+(Q91*($E91/365))</f>
        <v>0</v>
      </c>
      <c r="V184" s="12"/>
      <c r="W184" s="7">
        <f t="shared" si="21"/>
        <v>2.4898630136986304</v>
      </c>
      <c r="Y184" s="45"/>
    </row>
    <row r="185" spans="1:25" x14ac:dyDescent="0.15">
      <c r="A185" s="1">
        <v>1996</v>
      </c>
      <c r="B185" s="8">
        <f>(K92*($E92/366))+(K93*($E93/366))</f>
        <v>0</v>
      </c>
      <c r="C185" s="8">
        <f>(L92*($E92/366))+(L93*($E93/366))</f>
        <v>23.835545147020557</v>
      </c>
      <c r="D185" s="8">
        <f>(M92*($E92/366))+(M93*($E93/366))</f>
        <v>29.794431433775692</v>
      </c>
      <c r="E185" s="48">
        <f t="shared" si="19"/>
        <v>53.629976580796253</v>
      </c>
      <c r="G185" s="1">
        <v>1996</v>
      </c>
      <c r="H185" s="809">
        <f>(O93/$R93*100*($E93/366))</f>
        <v>0</v>
      </c>
      <c r="I185" s="809"/>
      <c r="J185" s="809">
        <f>(P93/$R93*100*($E93/366))</f>
        <v>22.082931533269047</v>
      </c>
      <c r="K185" s="809"/>
      <c r="L185" s="809">
        <f>(Q93/$R93*100*($E93/366))</f>
        <v>40.485374477659917</v>
      </c>
      <c r="M185" s="809"/>
      <c r="N185" s="781">
        <f t="shared" si="20"/>
        <v>62.568306010928964</v>
      </c>
      <c r="O185" s="781"/>
      <c r="R185" s="1">
        <v>1996</v>
      </c>
      <c r="S185" s="8">
        <f>(O92*($E92/366))+(O93*($E93/366))</f>
        <v>0</v>
      </c>
      <c r="T185" s="8">
        <f>(P92*($E92/366))+(P93*($E93/366))</f>
        <v>10.136065573770491</v>
      </c>
      <c r="U185" s="8">
        <f>(Q92*($E92/366))+(Q93*($E93/366))</f>
        <v>18.582786885245902</v>
      </c>
      <c r="V185" s="12"/>
      <c r="W185" s="7">
        <f t="shared" si="21"/>
        <v>28.718852459016393</v>
      </c>
      <c r="Y185" s="26"/>
    </row>
    <row r="186" spans="1:25" x14ac:dyDescent="0.15">
      <c r="A186" s="1">
        <v>1997</v>
      </c>
      <c r="B186" s="8">
        <f>(K94*($E94/365))+(K95*($E95/365))</f>
        <v>0</v>
      </c>
      <c r="C186" s="8">
        <f>(L94*($E94/365))+(L95*($E95/365))</f>
        <v>36.363636363636367</v>
      </c>
      <c r="D186" s="8">
        <f>(M94*($E94/365))+(M95*($E95/365))</f>
        <v>50</v>
      </c>
      <c r="E186" s="48">
        <f t="shared" si="19"/>
        <v>86.363636363636374</v>
      </c>
      <c r="G186" s="1">
        <v>1997</v>
      </c>
      <c r="H186" s="809">
        <f>(O94/$R94*100*($E94/365))+(O95/$R95*100*($E95/365))</f>
        <v>0</v>
      </c>
      <c r="I186" s="809"/>
      <c r="J186" s="809">
        <f>(P94/$R94*100*($E94/365))+(P95/$R95*100*($E95/365))</f>
        <v>35.294117647058826</v>
      </c>
      <c r="K186" s="809"/>
      <c r="L186" s="809">
        <f>(Q94/$R94*100*($E94/365))+(Q95/$R95*100*($E95/365))</f>
        <v>64.705882352941174</v>
      </c>
      <c r="M186" s="809"/>
      <c r="N186" s="781">
        <f t="shared" si="20"/>
        <v>100</v>
      </c>
      <c r="O186" s="781"/>
      <c r="R186" s="1">
        <v>1997</v>
      </c>
      <c r="S186" s="8">
        <f>(O94*($E94/365))+(O95*($E95/365))</f>
        <v>0</v>
      </c>
      <c r="T186" s="8">
        <f>(P94*($E94/365))+(P95*($E95/365))</f>
        <v>16.2</v>
      </c>
      <c r="U186" s="8">
        <f>(Q94*($E94/365))+(Q95*($E95/365))</f>
        <v>29.7</v>
      </c>
      <c r="V186" s="12"/>
      <c r="W186" s="7">
        <f t="shared" si="21"/>
        <v>45.9</v>
      </c>
      <c r="Y186" s="26"/>
    </row>
    <row r="187" spans="1:25" x14ac:dyDescent="0.15">
      <c r="A187" s="1">
        <v>1998</v>
      </c>
      <c r="B187" s="8">
        <f>(K96*($E96/365))+(K97*($E97/365))</f>
        <v>0</v>
      </c>
      <c r="C187" s="8">
        <f>(L96*($E96/365))+(L97*($E97/365))</f>
        <v>37.802684378026846</v>
      </c>
      <c r="D187" s="8">
        <f>(M96*($E96/365))+(M97*($E97/365))</f>
        <v>49.670218163368844</v>
      </c>
      <c r="E187" s="48">
        <f t="shared" si="19"/>
        <v>87.472902541395683</v>
      </c>
      <c r="G187" s="1">
        <v>1998</v>
      </c>
      <c r="H187" s="809">
        <f>(O96/$R96*100*($E96/365))+(O97/$R97*100*($E97/365))</f>
        <v>0</v>
      </c>
      <c r="I187" s="809"/>
      <c r="J187" s="809">
        <f>(P96/$R96*100*($E96/365))+(P97/$R97*100*($E97/365))</f>
        <v>35.294117647058826</v>
      </c>
      <c r="K187" s="809"/>
      <c r="L187" s="809">
        <f>(Q96/$R96*100*($E96/365))+(Q97/$R97*100*($E97/365))</f>
        <v>64.70588235294116</v>
      </c>
      <c r="M187" s="809"/>
      <c r="N187" s="781">
        <f t="shared" si="20"/>
        <v>99.999999999999986</v>
      </c>
      <c r="O187" s="781"/>
      <c r="R187" s="1">
        <v>1998</v>
      </c>
      <c r="S187" s="8">
        <f>(O96*($E96/365))+(O97*($E97/365))</f>
        <v>0</v>
      </c>
      <c r="T187" s="8">
        <f>(P96*($E96/365))+(P97*($E97/365))</f>
        <v>16.2</v>
      </c>
      <c r="U187" s="8">
        <f>(Q96*($E96/365))+(Q97*($E97/365))</f>
        <v>29.7</v>
      </c>
      <c r="V187" s="12"/>
      <c r="W187" s="7">
        <f t="shared" si="21"/>
        <v>45.9</v>
      </c>
      <c r="Y187" s="45"/>
    </row>
    <row r="188" spans="1:25" x14ac:dyDescent="0.15">
      <c r="A188" s="1">
        <v>1999</v>
      </c>
      <c r="B188" s="8">
        <f>(K98*($E98/365))+(K99*($E99/365))</f>
        <v>0</v>
      </c>
      <c r="C188" s="8">
        <f>(L98*($E98/365))+(L99*($E99/365))</f>
        <v>44.109589041095887</v>
      </c>
      <c r="D188" s="8">
        <f>(M98*($E98/365))+(M99*($E99/365))</f>
        <v>48.455098934550982</v>
      </c>
      <c r="E188" s="48">
        <f t="shared" si="19"/>
        <v>92.564687975646876</v>
      </c>
      <c r="G188" s="1">
        <v>1999</v>
      </c>
      <c r="H188" s="809">
        <f>(O98/$R98*100*($E98/365))+(O99/$R99*100*($E99/365))</f>
        <v>0</v>
      </c>
      <c r="I188" s="809"/>
      <c r="J188" s="809">
        <f>(P98/$R98*100*($E98/365))+(P99/$R99*100*($E99/365))</f>
        <v>35.294117647058826</v>
      </c>
      <c r="K188" s="809"/>
      <c r="L188" s="809">
        <f>(Q98/$R98*100*($E98/365))+(Q99/$R99*100*($E99/365))</f>
        <v>64.705882352941174</v>
      </c>
      <c r="M188" s="809"/>
      <c r="N188" s="781">
        <f t="shared" si="20"/>
        <v>100</v>
      </c>
      <c r="O188" s="781"/>
      <c r="R188" s="1">
        <v>1999</v>
      </c>
      <c r="S188" s="8">
        <f>(O98*($E98/365))+(O99*($E99/365))</f>
        <v>0</v>
      </c>
      <c r="T188" s="8">
        <f>(P98*($E98/365))+(P99*($E99/365))</f>
        <v>16.2</v>
      </c>
      <c r="U188" s="8">
        <f>(Q98*($E98/365))+(Q99*($E99/365))</f>
        <v>29.7</v>
      </c>
      <c r="V188" s="12"/>
      <c r="W188" s="7">
        <f t="shared" si="21"/>
        <v>45.9</v>
      </c>
      <c r="Y188" s="45"/>
    </row>
    <row r="189" spans="1:25" x14ac:dyDescent="0.15">
      <c r="A189" s="1">
        <v>2000</v>
      </c>
      <c r="B189" s="8">
        <f>(K100*($E100/366))+(K101*($E101/366))</f>
        <v>0</v>
      </c>
      <c r="C189" s="8">
        <f>(L100*($E100/366))+(L101*($E101/366))</f>
        <v>27.12001619105444</v>
      </c>
      <c r="D189" s="8">
        <f>(M100*($E100/366))+(M101*($E101/366))</f>
        <v>57.943736085812588</v>
      </c>
      <c r="E189" s="48">
        <f t="shared" si="19"/>
        <v>85.063752276867035</v>
      </c>
      <c r="G189" s="1">
        <v>2000</v>
      </c>
      <c r="H189" s="809">
        <f>(O100/$R100*100*($E100/366))+(O101/$R101*100*($E101/366))</f>
        <v>0</v>
      </c>
      <c r="I189" s="809"/>
      <c r="J189" s="809">
        <f>(P100/$R100*100*($E100/366))+(P101/$R101*100*($E101/366))</f>
        <v>35.294117647058826</v>
      </c>
      <c r="K189" s="809"/>
      <c r="L189" s="809">
        <f>(Q100/$R100*100*($E100/366))+(Q101/$R101*100*($E101/366))</f>
        <v>64.705882352941174</v>
      </c>
      <c r="M189" s="809"/>
      <c r="N189" s="781">
        <f t="shared" si="20"/>
        <v>100</v>
      </c>
      <c r="O189" s="781"/>
      <c r="R189" s="1">
        <v>2000</v>
      </c>
      <c r="S189" s="8">
        <f>(O100*($E100/366))+(O101*($E101/366))</f>
        <v>0</v>
      </c>
      <c r="T189" s="8">
        <f>(P100*($E100/366))+(P101*($E101/366))</f>
        <v>16.2</v>
      </c>
      <c r="U189" s="8">
        <f>(Q100*($E100/366))+(Q101*($E101/366))</f>
        <v>29.7</v>
      </c>
      <c r="V189" s="12"/>
      <c r="W189" s="7">
        <f t="shared" si="21"/>
        <v>45.9</v>
      </c>
      <c r="Y189" s="26"/>
    </row>
    <row r="190" spans="1:25" x14ac:dyDescent="0.15">
      <c r="A190" s="1">
        <v>2001</v>
      </c>
      <c r="B190" s="8">
        <f>(K102*($E102/365))+(K103*($E103/365))</f>
        <v>40.241095890410961</v>
      </c>
      <c r="C190" s="8">
        <f>(L102*($E102/365))+(L103*($E103/365))</f>
        <v>15.907052257737188</v>
      </c>
      <c r="D190" s="8">
        <f>(M102*($E102/365))+(M103*($E103/365))</f>
        <v>24.505327245053273</v>
      </c>
      <c r="E190" s="48">
        <f t="shared" si="19"/>
        <v>80.653475393201433</v>
      </c>
      <c r="G190" s="1">
        <v>2001</v>
      </c>
      <c r="H190" s="809">
        <f>(O102/$R102*100*($E102/365))+(O103/$R103*100*($E103/365))</f>
        <v>49.449140192363743</v>
      </c>
      <c r="I190" s="809"/>
      <c r="J190" s="809">
        <f>(P102/$R102*100*($E102/365))+(P103/$R103*100*($E103/365))</f>
        <v>22.009361016338918</v>
      </c>
      <c r="K190" s="809"/>
      <c r="L190" s="809">
        <f>(Q102/$R102*100*($E102/365))+(Q103/$R103*100*($E103/365))</f>
        <v>28.541498791297339</v>
      </c>
      <c r="M190" s="809"/>
      <c r="N190" s="781">
        <f t="shared" si="20"/>
        <v>100</v>
      </c>
      <c r="O190" s="781"/>
      <c r="R190" s="1">
        <v>2001</v>
      </c>
      <c r="S190" s="8">
        <f>(O102*($E102/365))+(O103*($E103/365))</f>
        <v>27.889315068493151</v>
      </c>
      <c r="T190" s="8">
        <f>(P102*($E102/365))+(P103*($E103/365))</f>
        <v>10.778630136986301</v>
      </c>
      <c r="U190" s="8">
        <f>(Q102*($E102/365))+(Q103*($E103/365))</f>
        <v>13.100547945205479</v>
      </c>
      <c r="V190" s="12"/>
      <c r="W190" s="7">
        <f t="shared" si="21"/>
        <v>51.768493150684932</v>
      </c>
      <c r="Y190" s="26"/>
    </row>
    <row r="191" spans="1:25" x14ac:dyDescent="0.15">
      <c r="A191" s="1">
        <v>2002</v>
      </c>
      <c r="B191" s="8">
        <f>(K104*($E104/365))+(K105*($E105/365))</f>
        <v>72</v>
      </c>
      <c r="C191" s="8">
        <f>(L104*($E104/365))+(L105*($E105/365))</f>
        <v>8</v>
      </c>
      <c r="D191" s="8">
        <f>(M104*($E104/365))+(M105*($E105/365))</f>
        <v>0</v>
      </c>
      <c r="E191" s="48">
        <f t="shared" si="19"/>
        <v>80</v>
      </c>
      <c r="G191" s="1">
        <v>2002</v>
      </c>
      <c r="H191" s="809">
        <f>(O104/$R104*100*($E104/365))+(O105/$R105*100*($E105/365))</f>
        <v>88.475177304964532</v>
      </c>
      <c r="I191" s="809"/>
      <c r="J191" s="809">
        <f>(P104/$R104*100*($E104/365))+(P105/$R105*100*($E105/365))</f>
        <v>11.524822695035461</v>
      </c>
      <c r="K191" s="809"/>
      <c r="L191" s="809">
        <f>(Q104/$R104*100*($E104/365))+(Q105/$R105*100*($E105/365))</f>
        <v>0</v>
      </c>
      <c r="M191" s="809"/>
      <c r="N191" s="781">
        <f t="shared" si="20"/>
        <v>100</v>
      </c>
      <c r="O191" s="781"/>
      <c r="R191" s="1">
        <v>2002</v>
      </c>
      <c r="S191" s="8">
        <f>(O104*($E104/365))+(O105*($E105/365))</f>
        <v>49.9</v>
      </c>
      <c r="T191" s="8">
        <f>(P104*($E104/365))+(P105*($E105/365))</f>
        <v>6.5</v>
      </c>
      <c r="U191" s="8">
        <f>(Q104*($E104/365))+(Q105*($E105/365))</f>
        <v>0</v>
      </c>
      <c r="V191" s="12"/>
      <c r="W191" s="7">
        <f t="shared" si="21"/>
        <v>56.4</v>
      </c>
      <c r="Y191" s="45"/>
    </row>
    <row r="192" spans="1:25" x14ac:dyDescent="0.15">
      <c r="A192" s="1">
        <v>2003</v>
      </c>
      <c r="B192" s="8">
        <f>(K106*($E106/365))+(K107*($E107/365))</f>
        <v>72</v>
      </c>
      <c r="C192" s="8">
        <f>(L106*($E106/365))+(L107*($E107/365))</f>
        <v>8</v>
      </c>
      <c r="D192" s="8">
        <f>(M106*($E106/365))+(M107*($E107/365))</f>
        <v>0</v>
      </c>
      <c r="E192" s="48">
        <f t="shared" si="19"/>
        <v>80</v>
      </c>
      <c r="G192" s="1">
        <v>2003</v>
      </c>
      <c r="H192" s="809">
        <f>(O106/$R106*100*($E106/365))+(O107/$R107*100*($E107/365))</f>
        <v>88.475177304964532</v>
      </c>
      <c r="I192" s="809"/>
      <c r="J192" s="809">
        <f>(P106/$R106*100*($E106/365))+(P107/$R107*100*($E107/365))</f>
        <v>11.524822695035461</v>
      </c>
      <c r="K192" s="809"/>
      <c r="L192" s="809">
        <f>(Q106/$R106*100*($E106/365))+(Q107/$R107*100*($E107/365))</f>
        <v>0</v>
      </c>
      <c r="M192" s="809"/>
      <c r="N192" s="781">
        <f t="shared" si="20"/>
        <v>100</v>
      </c>
      <c r="O192" s="781"/>
      <c r="R192" s="1">
        <v>2003</v>
      </c>
      <c r="S192" s="8">
        <f>(O106*($E106/365))+(O107*($E107/365))</f>
        <v>49.9</v>
      </c>
      <c r="T192" s="8">
        <f>(P106*($E106/365))+(P107*($E107/365))</f>
        <v>6.5</v>
      </c>
      <c r="U192" s="8">
        <f>(Q106*($E106/365))+(Q107*($E107/365))</f>
        <v>0</v>
      </c>
      <c r="V192" s="12"/>
      <c r="W192" s="7">
        <f t="shared" si="21"/>
        <v>56.4</v>
      </c>
      <c r="Y192" s="45"/>
    </row>
    <row r="193" spans="1:53" x14ac:dyDescent="0.15">
      <c r="A193" s="1">
        <v>2004</v>
      </c>
      <c r="B193" s="8">
        <f>(K108*($E108/366))+(K109*($E109/366))</f>
        <v>76</v>
      </c>
      <c r="C193" s="8">
        <f>(L108*($E108/366))+(L109*($E109/366))</f>
        <v>8</v>
      </c>
      <c r="D193" s="8">
        <f>(M108*($E108/366))+(M109*($E109/366))</f>
        <v>0</v>
      </c>
      <c r="E193" s="48">
        <f t="shared" si="19"/>
        <v>84</v>
      </c>
      <c r="G193" s="1">
        <v>2004</v>
      </c>
      <c r="H193" s="809">
        <f>(O108/$R108*100*($E108/366))+(O109/$R109*100*($E109/366))</f>
        <v>88.475177304964532</v>
      </c>
      <c r="I193" s="809"/>
      <c r="J193" s="809">
        <f>(P108/$R108*100*($E108/366))+(P109/$R109*100*($E109/366))</f>
        <v>11.524822695035461</v>
      </c>
      <c r="K193" s="809"/>
      <c r="L193" s="809">
        <f>(Q108/$R108*100*($E108/366))+(Q109/$R109*100*($E109/366))</f>
        <v>0</v>
      </c>
      <c r="M193" s="809"/>
      <c r="N193" s="781">
        <f t="shared" si="20"/>
        <v>100</v>
      </c>
      <c r="O193" s="781"/>
      <c r="R193" s="1">
        <v>2004</v>
      </c>
      <c r="S193" s="8">
        <f>(O108*($E108/366))+(O109*($E109/366))</f>
        <v>49.9</v>
      </c>
      <c r="T193" s="8">
        <f>(P108*($E108/366))+(P109*($E109/366))</f>
        <v>6.5</v>
      </c>
      <c r="U193" s="8">
        <f>(Q108*($E108/366))+(Q109*($E109/366))</f>
        <v>0</v>
      </c>
      <c r="V193" s="12"/>
      <c r="W193" s="7">
        <f t="shared" si="21"/>
        <v>56.4</v>
      </c>
      <c r="Y193" s="26"/>
    </row>
    <row r="194" spans="1:53" x14ac:dyDescent="0.15">
      <c r="A194" s="1">
        <v>2005</v>
      </c>
      <c r="B194" s="8">
        <f>(K110*($E110/365))+(K111*($E111/365))</f>
        <v>78.389041095890406</v>
      </c>
      <c r="C194" s="8">
        <f>(L110*($E110/365))+(L111*($E111/365))</f>
        <v>7.20365296803653</v>
      </c>
      <c r="D194" s="8">
        <f>(M110*($E110/365))+(M111*($E111/365))</f>
        <v>0</v>
      </c>
      <c r="E194" s="48">
        <f t="shared" si="19"/>
        <v>85.592694063926942</v>
      </c>
      <c r="G194" s="1">
        <v>2005</v>
      </c>
      <c r="H194" s="809">
        <f>(O110/$R110*100*($E110/365))+(O111/$R111*100*($E111/365))</f>
        <v>88.475177304964532</v>
      </c>
      <c r="I194" s="809"/>
      <c r="J194" s="809">
        <f>(P110/$R110*100*($E110/365))+(P111/$R111*100*($E111/365))</f>
        <v>11.524822695035461</v>
      </c>
      <c r="K194" s="809"/>
      <c r="L194" s="809">
        <f>(Q110/$R110*100*($E110/365))+(Q111/$R111*100*($E111/365))</f>
        <v>0</v>
      </c>
      <c r="M194" s="809"/>
      <c r="N194" s="781">
        <f t="shared" si="20"/>
        <v>100</v>
      </c>
      <c r="O194" s="781"/>
      <c r="R194" s="1">
        <v>2005</v>
      </c>
      <c r="S194" s="8">
        <f>(O110*($E110/365))+(O111*($E111/365))</f>
        <v>49.9</v>
      </c>
      <c r="T194" s="8">
        <f>(P110*($E110/365))+(P111*($E111/365))</f>
        <v>6.5</v>
      </c>
      <c r="U194" s="8">
        <f>(Q110*($E110/365))+(Q111*($E111/365))</f>
        <v>0</v>
      </c>
      <c r="V194" s="12"/>
      <c r="W194" s="7">
        <f t="shared" si="21"/>
        <v>56.4</v>
      </c>
      <c r="Y194" s="26"/>
    </row>
    <row r="195" spans="1:53" x14ac:dyDescent="0.15">
      <c r="A195" s="1">
        <v>2006</v>
      </c>
      <c r="B195" s="8">
        <f>(K112*($E112/365))+(K114*($E114/365))+(K113*($E113/365))+(K115*($E115/365))</f>
        <v>29.152792413066386</v>
      </c>
      <c r="C195" s="8">
        <f>(L112*($E112/365))+(L114*($E114/365))+(L113*($E113/365))+(L115*($E115/365))</f>
        <v>5.0261874097490526</v>
      </c>
      <c r="D195" s="8">
        <f>(M112*($E112/365))+(M114*($E114/365))+(M113*($E113/365))+(M115*($E115/365))</f>
        <v>53.444951801116183</v>
      </c>
      <c r="E195" s="48">
        <f t="shared" si="19"/>
        <v>87.623931623931611</v>
      </c>
      <c r="G195" s="1">
        <v>2006</v>
      </c>
      <c r="H195" s="809">
        <f>(O113/$R113*100*($E113/365))+(O115/$R115*100*($E115/365))+(O112/$R112*100*($E112/365))+(O114/$R114*100*($E114/365))</f>
        <v>32.966093461575824</v>
      </c>
      <c r="I195" s="809"/>
      <c r="J195" s="809">
        <f>(P113/$R113*100*($E113/365))+(P115/$R115*100*($E115/365))+(P112/$R112*100*($E112/365))+(P114/$R114*100*($E114/365))</f>
        <v>6.2624856412981984</v>
      </c>
      <c r="K195" s="809"/>
      <c r="L195" s="809">
        <f>(Q113/$R113*100*($E113/365))+(Q115/$R115*100*($E115/365))+(Q112/$R112*100*($E112/365))+(Q114/$R114*100*($E114/365))</f>
        <v>60.771420897125971</v>
      </c>
      <c r="M195" s="809"/>
      <c r="N195" s="781">
        <f t="shared" si="20"/>
        <v>100</v>
      </c>
      <c r="O195" s="781"/>
      <c r="R195" s="1">
        <v>2006</v>
      </c>
      <c r="S195" s="8">
        <f>(O112*($E112/365))+(O114*($E114/365))+(O113*($E113/365))+(O115*($E115/365))</f>
        <v>18.592876712328767</v>
      </c>
      <c r="T195" s="8">
        <f>(P112*($E112/365))+(P114*($E114/365))+(P113*($E113/365))+(P115*($E115/365))</f>
        <v>3.4257534246575343</v>
      </c>
      <c r="U195" s="8">
        <f>(Q112*($E112/365))+(Q114*($E114/365))+(Q113*($E113/365))+(Q115*($E115/365))</f>
        <v>30.993424657534245</v>
      </c>
      <c r="V195" s="12"/>
      <c r="W195" s="7">
        <f t="shared" si="21"/>
        <v>53.012054794520552</v>
      </c>
      <c r="Y195" s="26"/>
    </row>
    <row r="196" spans="1:53" x14ac:dyDescent="0.15">
      <c r="A196" s="1">
        <v>2007</v>
      </c>
      <c r="B196" s="8">
        <f>(K116*($E116/365))+(K117*($E117/365))</f>
        <v>0</v>
      </c>
      <c r="C196" s="8">
        <f>(L116*($E116/365))+(L117*($E117/365))</f>
        <v>3.7037037037037033</v>
      </c>
      <c r="D196" s="8">
        <f>(M116*($E116/365))+(M117*($E117/365))</f>
        <v>85.18518518518519</v>
      </c>
      <c r="E196" s="48">
        <f t="shared" si="19"/>
        <v>88.8888888888889</v>
      </c>
      <c r="G196" s="1">
        <v>2007</v>
      </c>
      <c r="H196" s="809">
        <f>(O116/$R116*100*($E116/365))+(O117/$R117*100*($E117/365))</f>
        <v>0</v>
      </c>
      <c r="I196" s="809"/>
      <c r="J196" s="809">
        <f>(P116/$R116*100*($E116/365))+(P117/$R117*100*($E117/365))</f>
        <v>3.1372549019607843</v>
      </c>
      <c r="K196" s="809"/>
      <c r="L196" s="809">
        <f>(Q116/$R116*100*($E116/365))+(Q117/$R117*100*($E117/365))</f>
        <v>96.862745098039213</v>
      </c>
      <c r="M196" s="809"/>
      <c r="N196" s="781">
        <f t="shared" si="20"/>
        <v>100</v>
      </c>
      <c r="O196" s="781"/>
      <c r="R196" s="1">
        <v>2007</v>
      </c>
      <c r="S196" s="8">
        <f>(O116*($E116/365))+(O117*($E117/365))</f>
        <v>0</v>
      </c>
      <c r="T196" s="8">
        <f>(P116*($E116/365))+(P117*($E117/365))</f>
        <v>1.6</v>
      </c>
      <c r="U196" s="8">
        <f>(Q116*($E116/365))+(Q117*($E117/365))</f>
        <v>49.4</v>
      </c>
      <c r="V196" s="12"/>
      <c r="W196" s="7">
        <f t="shared" si="21"/>
        <v>51</v>
      </c>
      <c r="Y196" s="26"/>
    </row>
    <row r="197" spans="1:53" x14ac:dyDescent="0.15">
      <c r="A197" s="1">
        <v>2008</v>
      </c>
      <c r="B197" s="8">
        <f>(K118*($E118/366))+(K119*($E119/366))</f>
        <v>62.071535022354688</v>
      </c>
      <c r="C197" s="8">
        <f>(L118*($E118/366))+(L119*($E119/366))</f>
        <v>4.2510717374105349</v>
      </c>
      <c r="D197" s="8">
        <f>(M118*($E118/366))+(M119*($E119/366))</f>
        <v>29.791540174053836</v>
      </c>
      <c r="E197" s="48">
        <f t="shared" si="19"/>
        <v>96.114146933819057</v>
      </c>
      <c r="G197" s="1">
        <v>2008</v>
      </c>
      <c r="H197" s="809">
        <f>(O118/$R118*100*($E118/366))+(O119/$R119*100*($E119/366))</f>
        <v>65.027322404371574</v>
      </c>
      <c r="I197" s="809"/>
      <c r="J197" s="809">
        <f>(P118/$R118*100*($E118/366))+(P119/$R119*100*($E119/366))</f>
        <v>1.0971820422157934</v>
      </c>
      <c r="K197" s="809"/>
      <c r="L197" s="809">
        <f>(Q118/$R118*100*($E118/366))+(Q119/$R119*100*($E119/366))</f>
        <v>33.87549555341262</v>
      </c>
      <c r="M197" s="809"/>
      <c r="N197" s="781">
        <f t="shared" si="20"/>
        <v>99.999999999999986</v>
      </c>
      <c r="O197" s="781"/>
      <c r="R197" s="1">
        <v>2008</v>
      </c>
      <c r="S197" s="8">
        <f>(O118*($E118/366))+(O119*($E119/366))</f>
        <v>34.659562841530047</v>
      </c>
      <c r="T197" s="8">
        <f>(P118*($E118/366))+(P119*($E119/366))</f>
        <v>0.55956284153005464</v>
      </c>
      <c r="U197" s="8">
        <f>(Q118*($E118/366))+(Q119*($E119/366))</f>
        <v>17.276502732240438</v>
      </c>
      <c r="V197" s="12"/>
      <c r="W197" s="7">
        <f t="shared" si="21"/>
        <v>52.495628415300537</v>
      </c>
      <c r="Y197" s="26"/>
    </row>
    <row r="198" spans="1:53" x14ac:dyDescent="0.15">
      <c r="A198" s="1">
        <v>2009</v>
      </c>
      <c r="B198" s="8">
        <f>(K120*($E120/365))+(K121*($E121/365))+(K122*($E122/365))</f>
        <v>98.418430884184318</v>
      </c>
      <c r="C198" s="8">
        <f>(L120*($E120/365))+(L121*($E121/365))+(L122*($E122/365))</f>
        <v>1.5815691158156913</v>
      </c>
      <c r="D198" s="8">
        <f>(M120*($E120/365))+(M121*($E121/365))+(M122*($E122/365))</f>
        <v>0</v>
      </c>
      <c r="E198" s="48">
        <f>B198+C198+D198</f>
        <v>100.00000000000001</v>
      </c>
      <c r="G198" s="1">
        <v>2009</v>
      </c>
      <c r="H198" s="809">
        <f>(O120/$R120*100*($E120/365))+(O121/$R121*100*(E121/365))+(O122/$R122*100*($E122/365))</f>
        <v>100</v>
      </c>
      <c r="I198" s="809"/>
      <c r="J198" s="809">
        <f>(P120/$R120*100*($E120/365))+(P121/$R121*100*(F121/365))+(P122/$R122*100*($E122/365))</f>
        <v>0</v>
      </c>
      <c r="K198" s="809"/>
      <c r="L198" s="809">
        <f>(Q120/$R120*100*($E120/365))+(Q121/$R121*100*(G121/365))+(Q122/$R122*100*($E122/365))</f>
        <v>0</v>
      </c>
      <c r="M198" s="809"/>
      <c r="N198" s="781">
        <f t="shared" si="20"/>
        <v>100</v>
      </c>
      <c r="O198" s="781"/>
      <c r="R198" s="1">
        <v>2009</v>
      </c>
      <c r="S198" s="8">
        <f>(O120*($E120/365))+(O121*($E121/365))+(O122*($E122/365))</f>
        <v>53.3</v>
      </c>
      <c r="T198" s="8">
        <f>(P120*($E120/365))+(P121*($E121/365))+(P122*($E122/365))</f>
        <v>0</v>
      </c>
      <c r="U198" s="8">
        <f>(Q120*($E120/365))+(Q121*($E121/365))+(Q122*($E122/365))</f>
        <v>0</v>
      </c>
      <c r="V198" s="12"/>
      <c r="W198" s="7">
        <f t="shared" si="21"/>
        <v>53.3</v>
      </c>
      <c r="Y198" s="26"/>
    </row>
    <row r="199" spans="1:53" x14ac:dyDescent="0.15">
      <c r="A199" s="1">
        <v>2010</v>
      </c>
      <c r="B199" s="8">
        <f>(K123*($E123/365))+(K124*($E124/365))+(K125*($E125/365))</f>
        <v>100</v>
      </c>
      <c r="C199" s="8">
        <f>(L123*($E123/365))+(L124*($E124/365))+(L125*($E125/365))</f>
        <v>0</v>
      </c>
      <c r="D199" s="8">
        <f>(M123*($E123/365))+(M124*($E124/365))+(M125*($E125/365))</f>
        <v>0</v>
      </c>
      <c r="E199" s="48">
        <f t="shared" si="19"/>
        <v>100</v>
      </c>
      <c r="G199" s="1">
        <v>2010</v>
      </c>
      <c r="H199" s="809">
        <f>(O123/$R123*100*($E123/365))+(O124/$R124*100*(E124/365))+(O125/$R125*100*($E125/365))</f>
        <v>100</v>
      </c>
      <c r="I199" s="809"/>
      <c r="J199" s="809">
        <f>(P123/$R123*100*($E123/365))+(P124/$R124*100*(F124/365))+(P125/$R125*100*($E125/365))</f>
        <v>0</v>
      </c>
      <c r="K199" s="809"/>
      <c r="L199" s="809">
        <f>(Q123/$R123*100*($E123/365))+(Q124/$R124*100*(G124/365))+(Q125/$R125*100*($E125/365))</f>
        <v>0</v>
      </c>
      <c r="M199" s="809"/>
      <c r="N199" s="781">
        <f t="shared" si="20"/>
        <v>100</v>
      </c>
      <c r="O199" s="781"/>
      <c r="R199" s="1">
        <v>2010</v>
      </c>
      <c r="S199" s="8">
        <f>(O123*($E123/365))+(O124*($E124/365))+(O125*($E125/365))</f>
        <v>53.3</v>
      </c>
      <c r="T199" s="8">
        <f>(P123*($E123/365))+(P124*($E124/365))+(P125*($E125/365))</f>
        <v>0</v>
      </c>
      <c r="U199" s="8">
        <f>(Q123*($E123/365))+(Q124*($E124/365))+(Q125*($E125/365))</f>
        <v>0</v>
      </c>
      <c r="V199" s="12"/>
      <c r="W199" s="7">
        <f t="shared" si="21"/>
        <v>53.3</v>
      </c>
      <c r="Y199" s="26"/>
    </row>
    <row r="200" spans="1:53" x14ac:dyDescent="0.15">
      <c r="A200" s="1">
        <v>2011</v>
      </c>
      <c r="B200" s="8">
        <f>(K126*($E126/365))+(K127*($E127/365))+($K128*(E128/365))</f>
        <v>87.945205479452056</v>
      </c>
      <c r="C200" s="8">
        <f>(L126*($E126/365))+(L127*($E127/365))+($K128*(F128/365))</f>
        <v>0</v>
      </c>
      <c r="D200" s="8">
        <f>(M126*($E126/365))+(M127*($E127/365))+($K128*(G128/365))</f>
        <v>0</v>
      </c>
      <c r="E200" s="48">
        <f t="shared" si="19"/>
        <v>87.945205479452056</v>
      </c>
      <c r="G200" s="1">
        <v>2011</v>
      </c>
      <c r="H200" s="809">
        <f>(O126/$R126*100*($E126/365))+(O127/$R127*100*(E127/365))</f>
        <v>87.945205479452056</v>
      </c>
      <c r="I200" s="809"/>
      <c r="J200" s="809">
        <f>(P126/$R126*100*($E126/365))+(P127/$R127*100*(F127/365))</f>
        <v>0</v>
      </c>
      <c r="K200" s="809"/>
      <c r="L200" s="809">
        <f>(Q126/$R126*100*($E126/365))+(Q127/$R127*100*(G127/365))</f>
        <v>0</v>
      </c>
      <c r="M200" s="809"/>
      <c r="N200" s="781">
        <f t="shared" si="20"/>
        <v>87.945205479452056</v>
      </c>
      <c r="O200" s="781"/>
      <c r="R200" s="1">
        <v>2011</v>
      </c>
      <c r="S200" s="8">
        <f>(O126*($E126/365))+(O127*($E127/365))+($K128*(I128/365))</f>
        <v>46.874794520547944</v>
      </c>
      <c r="T200" s="8">
        <f>(P126*($E126/365))+(P127*($E127/365))+($K128*(J128/365))</f>
        <v>0</v>
      </c>
      <c r="U200" s="8">
        <f>(Q126*($E126/365))+(Q127*($E127/365))+($K128*(K128/365))</f>
        <v>0</v>
      </c>
      <c r="V200" s="12"/>
      <c r="W200" s="7">
        <f t="shared" si="21"/>
        <v>46.874794520547944</v>
      </c>
      <c r="Y200" s="26"/>
    </row>
    <row r="201" spans="1:53" x14ac:dyDescent="0.15">
      <c r="A201" s="1">
        <v>2012</v>
      </c>
      <c r="B201" s="8">
        <f>(K129*($E129/366))+($K130*(E130/366))</f>
        <v>0</v>
      </c>
      <c r="C201" s="8">
        <f>(L129*($E129/366))+($K130*(F130/366))</f>
        <v>0</v>
      </c>
      <c r="D201" s="8">
        <f>(M129*($E129/366))+($K130*(G130/366))</f>
        <v>0</v>
      </c>
      <c r="E201" s="48">
        <f t="shared" si="19"/>
        <v>0</v>
      </c>
      <c r="G201" s="1">
        <v>2012</v>
      </c>
      <c r="H201" s="809">
        <v>0</v>
      </c>
      <c r="I201" s="809"/>
      <c r="J201" s="809">
        <v>0</v>
      </c>
      <c r="K201" s="809"/>
      <c r="L201" s="809">
        <v>0</v>
      </c>
      <c r="M201" s="809"/>
      <c r="N201" s="781">
        <f>H201+J201+L201</f>
        <v>0</v>
      </c>
      <c r="O201" s="781"/>
      <c r="R201" s="1">
        <v>2012</v>
      </c>
      <c r="S201" s="8">
        <f>(O129*($E129/366))+($K130*(I130/366))</f>
        <v>0</v>
      </c>
      <c r="T201" s="8">
        <f>(P129*($E129/366))+($K130*(J130/366))</f>
        <v>0</v>
      </c>
      <c r="U201" s="8">
        <f>(Q129*($E129/366))+($K130*(K130/366))</f>
        <v>0</v>
      </c>
      <c r="V201" s="12"/>
      <c r="W201" s="7">
        <f t="shared" si="21"/>
        <v>0</v>
      </c>
      <c r="Y201" s="26"/>
    </row>
    <row r="202" spans="1:53" x14ac:dyDescent="0.15">
      <c r="A202" s="1">
        <v>2013</v>
      </c>
      <c r="B202" s="8">
        <f>(K131*(E131/365))+(K132*($E132/365))+(K133*($E133/365))</f>
        <v>21.843088418430884</v>
      </c>
      <c r="C202" s="8">
        <f>(L131*($E131/365))+(L132*($E132/365))+(L133*($E133/365))</f>
        <v>5.9526774595267744</v>
      </c>
      <c r="D202" s="8">
        <f>(M131*($E131/365))+(M132*($E132/365))+(M133*($E133/365))</f>
        <v>30.884184308841842</v>
      </c>
      <c r="E202" s="318">
        <f>B202+C202+D202</f>
        <v>58.679950186799502</v>
      </c>
      <c r="G202" s="1">
        <v>2013</v>
      </c>
      <c r="H202" s="809">
        <f>0+(O132/$R132*100*($E132/365))+(O133/$R133*100*($E133/365))</f>
        <v>18.506003369017062</v>
      </c>
      <c r="I202" s="809"/>
      <c r="J202" s="809">
        <f>0+(P132/$R132*100*($E132/365))+(P133/$R133*100*($E133/365))</f>
        <v>2.2808767671781367</v>
      </c>
      <c r="K202" s="809"/>
      <c r="L202" s="809">
        <f>0+(Q132/$R132*100*($E132/365))+(Q133/$R133*100*($E133/365))</f>
        <v>47.158325343256841</v>
      </c>
      <c r="M202" s="809"/>
      <c r="N202" s="781">
        <f>H202+J202+L202</f>
        <v>67.945205479452042</v>
      </c>
      <c r="O202" s="781"/>
      <c r="R202" s="1">
        <v>2013</v>
      </c>
      <c r="S202" s="8">
        <f>(O131*($E131/365))+(O132*($E132/365))+(O133*($E133/365))</f>
        <v>12.846027397260274</v>
      </c>
      <c r="T202" s="8">
        <f>(P131*($E131/365))+(P132*($E132/365))+(P133*($E133/365))</f>
        <v>1.463013698630137</v>
      </c>
      <c r="U202" s="8">
        <f>(Q131*($E131/365))+(Q132*($E132/365))+(Q133*($E133/365))</f>
        <v>32.002191780821917</v>
      </c>
      <c r="V202" s="12"/>
      <c r="W202" s="7">
        <f>S202+T202+U202</f>
        <v>46.311232876712324</v>
      </c>
      <c r="Y202" s="26"/>
    </row>
    <row r="203" spans="1:53" x14ac:dyDescent="0.15">
      <c r="A203" s="1">
        <v>2014</v>
      </c>
      <c r="B203" s="8">
        <f>(K134*(E134/365))+(K135*($E135/365))+(K136*($E136/365))</f>
        <v>7.0332890316774277</v>
      </c>
      <c r="C203" s="8">
        <f>(L134*($E134/365))+(L135*($E135/365))+(L136*($E136/365))</f>
        <v>23.816012083538268</v>
      </c>
      <c r="D203" s="8">
        <f>(M134*($E134/365))+(M135*($E135/365))+(M136*($E136/365))</f>
        <v>62.117409853106878</v>
      </c>
      <c r="E203" s="639">
        <f>B203+C203+D203</f>
        <v>92.966710968322573</v>
      </c>
      <c r="G203" s="1">
        <v>2014</v>
      </c>
      <c r="H203" s="809">
        <f>(O134/$R134*100*($E134/365))+(O135/$R135*100*($E135/365))+(O136/$R136*100*($E136/365))</f>
        <v>8.0532450746461368</v>
      </c>
      <c r="I203" s="809"/>
      <c r="J203" s="809">
        <f>(P134/$R134*100*($E134/365))+(P135/$R135*100*($E135/365))+(P136/$R136*100*($E136/365))</f>
        <v>8.4388080861049222</v>
      </c>
      <c r="K203" s="809"/>
      <c r="L203" s="809">
        <f>(Q134/$R134*100*($E134/365))+(Q135/$R135*100*($E135/365))+(Q136/$R136*100*($E136/365))</f>
        <v>83.507946839248945</v>
      </c>
      <c r="M203" s="809"/>
      <c r="N203" s="781">
        <f>H203+J203+L203</f>
        <v>100</v>
      </c>
      <c r="O203" s="781"/>
      <c r="R203" s="1">
        <v>2014</v>
      </c>
      <c r="S203" s="8">
        <f>(O134*($E134/365))+(O135*($E135/365))+(O136*($E136/365))</f>
        <v>4.5706849315068494</v>
      </c>
      <c r="T203" s="8">
        <f>(P134*($E134/365))+(P135*($E135/365))+(P136*($E136/365))</f>
        <v>4.7852054794520544</v>
      </c>
      <c r="U203" s="8">
        <f>(Q134*($E134/365))+(Q135*($E135/365))+(Q136*($E136/365))</f>
        <v>47.271506849315067</v>
      </c>
      <c r="V203" s="12"/>
      <c r="W203" s="7">
        <f>S203+T203+U203</f>
        <v>56.627397260273966</v>
      </c>
      <c r="Y203" s="26"/>
    </row>
    <row r="204" spans="1:53" s="745" customFormat="1" x14ac:dyDescent="0.15">
      <c r="A204" s="745">
        <v>2015</v>
      </c>
      <c r="B204" s="739">
        <f>(K137*(E137/365))+(K138*($E138/365))+(K139*($E139/365))+(K140*($E140/365))</f>
        <v>0.58017727639000805</v>
      </c>
      <c r="C204" s="739">
        <f>(L137*($E137/365))+(L138*($E138/365))+(L139*($E139/365))+(L140*($E140/365))</f>
        <v>24.544721998388397</v>
      </c>
      <c r="D204" s="739">
        <f>(M137*($E137/365))+(M138*($E138/365))+(M139*($E139/365))+(M140*($E140/365))</f>
        <v>68.992747784045122</v>
      </c>
      <c r="E204" s="740">
        <f>B204+C204+D204</f>
        <v>94.117647058823522</v>
      </c>
      <c r="G204" s="745">
        <v>2015</v>
      </c>
      <c r="H204" s="809">
        <f>(O137/$R137*100*($E137/365))+(O138/$R138*100*($E138/365))+(O139/$R139*100*($E139/365))+(O140/$R140*100*($E140/365))</f>
        <v>0.75464339687027737</v>
      </c>
      <c r="I204" s="809"/>
      <c r="J204" s="809">
        <f>(P137/$R137*100*($E137/365))+(P138/$R138*100*($E138/365))+(P139/$R139*100*($E139/365))+(P140/$R140*100*($E140/365))</f>
        <v>8.7963129166550438</v>
      </c>
      <c r="K204" s="809"/>
      <c r="L204" s="809">
        <f>(Q137/$R137*100*($E137/365))+(Q138/$R138*100*($E138/365))+(Q139/$R139*100*($E139/365))+(Q140/$R140*100*($E140/365))</f>
        <v>90.449043686474667</v>
      </c>
      <c r="M204" s="809"/>
      <c r="N204" s="781">
        <f>H204+J204+L204</f>
        <v>99.999999999999986</v>
      </c>
      <c r="O204" s="781"/>
      <c r="R204" s="745">
        <v>2015</v>
      </c>
      <c r="S204" s="739">
        <f>(O137*($E137/365))+(O138*($E138/365))+(O139*($E139/365))+(O140*($E140/365))</f>
        <v>0.42410958904109586</v>
      </c>
      <c r="T204" s="739">
        <f>(P137*($E137/365))+(P138*($E138/365))+(P139*($E139/365))+(P140*($E140/365))</f>
        <v>4.5999999999999996</v>
      </c>
      <c r="U204" s="739">
        <f>(Q137*($E137/365))+(Q138*($E138/365))+(Q139*($E139/365))+(Q140*($E140/365))</f>
        <v>47.3</v>
      </c>
      <c r="V204" s="12"/>
      <c r="W204" s="744">
        <f>S204+T204+U204</f>
        <v>52.324109589041093</v>
      </c>
      <c r="Y204" s="26"/>
      <c r="AT204" s="37"/>
      <c r="BA204" s="743"/>
    </row>
    <row r="205" spans="1:53" s="745" customFormat="1" x14ac:dyDescent="0.15">
      <c r="B205" s="739"/>
      <c r="C205" s="739"/>
      <c r="D205" s="739"/>
      <c r="E205" s="740"/>
      <c r="H205" s="809"/>
      <c r="I205" s="809"/>
      <c r="J205" s="809"/>
      <c r="K205" s="809"/>
      <c r="L205" s="809"/>
      <c r="M205" s="809"/>
      <c r="N205" s="781"/>
      <c r="O205" s="781"/>
      <c r="S205" s="739"/>
      <c r="T205" s="739"/>
      <c r="U205" s="739"/>
      <c r="V205" s="12"/>
      <c r="W205" s="744"/>
      <c r="Y205" s="26"/>
      <c r="AT205" s="37"/>
      <c r="BA205" s="743"/>
    </row>
    <row r="206" spans="1:53" s="745" customFormat="1" x14ac:dyDescent="0.15">
      <c r="Y206" s="26"/>
      <c r="AT206" s="37"/>
      <c r="BA206" s="743"/>
    </row>
    <row r="207" spans="1:53" s="745" customFormat="1" x14ac:dyDescent="0.15">
      <c r="H207" s="809"/>
      <c r="I207" s="809"/>
      <c r="J207" s="809"/>
      <c r="K207" s="809"/>
      <c r="L207" s="809"/>
      <c r="M207" s="809"/>
      <c r="N207" s="781"/>
      <c r="O207" s="781"/>
      <c r="S207" s="739"/>
      <c r="T207" s="739"/>
      <c r="U207" s="739"/>
      <c r="V207" s="12"/>
      <c r="W207" s="744"/>
      <c r="Y207" s="26"/>
      <c r="AT207" s="37"/>
      <c r="BA207" s="743"/>
    </row>
  </sheetData>
  <mergeCells count="397">
    <mergeCell ref="AT4:AW4"/>
    <mergeCell ref="AX4:BA4"/>
    <mergeCell ref="H202:I202"/>
    <mergeCell ref="J202:K202"/>
    <mergeCell ref="L202:M202"/>
    <mergeCell ref="N202:O202"/>
    <mergeCell ref="H200:I200"/>
    <mergeCell ref="J200:K200"/>
    <mergeCell ref="L200:M200"/>
    <mergeCell ref="N200:O200"/>
    <mergeCell ref="H201:I201"/>
    <mergeCell ref="J201:K201"/>
    <mergeCell ref="L201:M201"/>
    <mergeCell ref="N201:O201"/>
    <mergeCell ref="J198:K198"/>
    <mergeCell ref="L198:M198"/>
    <mergeCell ref="N198:O198"/>
    <mergeCell ref="H199:I199"/>
    <mergeCell ref="J199:K199"/>
    <mergeCell ref="L199:M199"/>
    <mergeCell ref="N199:O199"/>
    <mergeCell ref="H198:I198"/>
    <mergeCell ref="H196:I196"/>
    <mergeCell ref="J196:K196"/>
    <mergeCell ref="L196:M196"/>
    <mergeCell ref="N196:O196"/>
    <mergeCell ref="H197:I197"/>
    <mergeCell ref="J197:K197"/>
    <mergeCell ref="L197:M197"/>
    <mergeCell ref="N197:O197"/>
    <mergeCell ref="H194:I194"/>
    <mergeCell ref="J194:K194"/>
    <mergeCell ref="L194:M194"/>
    <mergeCell ref="N194:O194"/>
    <mergeCell ref="H195:I195"/>
    <mergeCell ref="J195:K195"/>
    <mergeCell ref="L195:M195"/>
    <mergeCell ref="N195:O195"/>
    <mergeCell ref="N166:O166"/>
    <mergeCell ref="N167:O167"/>
    <mergeCell ref="N168:O168"/>
    <mergeCell ref="N169:O169"/>
    <mergeCell ref="N170:O170"/>
    <mergeCell ref="N182:O182"/>
    <mergeCell ref="N171:O171"/>
    <mergeCell ref="N172:O172"/>
    <mergeCell ref="N173:O173"/>
    <mergeCell ref="N174:O174"/>
    <mergeCell ref="N175:O175"/>
    <mergeCell ref="N176:O176"/>
    <mergeCell ref="H192:I192"/>
    <mergeCell ref="J192:K192"/>
    <mergeCell ref="L192:M192"/>
    <mergeCell ref="N192:O192"/>
    <mergeCell ref="H193:I193"/>
    <mergeCell ref="J193:K193"/>
    <mergeCell ref="L193:M193"/>
    <mergeCell ref="N193:O193"/>
    <mergeCell ref="N184:O184"/>
    <mergeCell ref="N185:O185"/>
    <mergeCell ref="N186:O186"/>
    <mergeCell ref="L190:M190"/>
    <mergeCell ref="L184:M184"/>
    <mergeCell ref="J190:K190"/>
    <mergeCell ref="H190:I190"/>
    <mergeCell ref="H188:I188"/>
    <mergeCell ref="H189:I189"/>
    <mergeCell ref="J187:K187"/>
    <mergeCell ref="J188:K188"/>
    <mergeCell ref="J189:K189"/>
    <mergeCell ref="L185:M185"/>
    <mergeCell ref="L186:M186"/>
    <mergeCell ref="L187:M187"/>
    <mergeCell ref="L188:M188"/>
    <mergeCell ref="C27:D27"/>
    <mergeCell ref="C28:D28"/>
    <mergeCell ref="C29:D29"/>
    <mergeCell ref="R145:W145"/>
    <mergeCell ref="H191:I191"/>
    <mergeCell ref="J191:K191"/>
    <mergeCell ref="L191:M191"/>
    <mergeCell ref="N191:O191"/>
    <mergeCell ref="N189:O189"/>
    <mergeCell ref="N190:O190"/>
    <mergeCell ref="N183:O183"/>
    <mergeCell ref="C123:D123"/>
    <mergeCell ref="C124:D124"/>
    <mergeCell ref="C125:D125"/>
    <mergeCell ref="C126:D126"/>
    <mergeCell ref="C127:D127"/>
    <mergeCell ref="C128:D128"/>
    <mergeCell ref="N187:O187"/>
    <mergeCell ref="N188:O188"/>
    <mergeCell ref="N177:O177"/>
    <mergeCell ref="N178:O178"/>
    <mergeCell ref="N179:O179"/>
    <mergeCell ref="N180:O180"/>
    <mergeCell ref="N181:O181"/>
    <mergeCell ref="C18:D18"/>
    <mergeCell ref="C19:D19"/>
    <mergeCell ref="C20:D20"/>
    <mergeCell ref="C21:D21"/>
    <mergeCell ref="C22:D22"/>
    <mergeCell ref="C23:D23"/>
    <mergeCell ref="C24:D24"/>
    <mergeCell ref="C25:D25"/>
    <mergeCell ref="C26:D26"/>
    <mergeCell ref="C9:D9"/>
    <mergeCell ref="C10:D10"/>
    <mergeCell ref="C11:D11"/>
    <mergeCell ref="C12:D12"/>
    <mergeCell ref="C13:D13"/>
    <mergeCell ref="C14:D14"/>
    <mergeCell ref="C15:D15"/>
    <mergeCell ref="C16:D16"/>
    <mergeCell ref="C17:D17"/>
    <mergeCell ref="L189:M189"/>
    <mergeCell ref="L178:M178"/>
    <mergeCell ref="L179:M179"/>
    <mergeCell ref="L180:M180"/>
    <mergeCell ref="L181:M181"/>
    <mergeCell ref="L182:M182"/>
    <mergeCell ref="L183:M183"/>
    <mergeCell ref="J184:K184"/>
    <mergeCell ref="J185:K185"/>
    <mergeCell ref="J186:K186"/>
    <mergeCell ref="L172:M172"/>
    <mergeCell ref="L173:M173"/>
    <mergeCell ref="L174:M174"/>
    <mergeCell ref="L175:M175"/>
    <mergeCell ref="L176:M176"/>
    <mergeCell ref="L177:M177"/>
    <mergeCell ref="J172:K172"/>
    <mergeCell ref="J173:K173"/>
    <mergeCell ref="J174:K174"/>
    <mergeCell ref="H184:I184"/>
    <mergeCell ref="H185:I185"/>
    <mergeCell ref="H186:I186"/>
    <mergeCell ref="H187:I187"/>
    <mergeCell ref="H178:I178"/>
    <mergeCell ref="H179:I179"/>
    <mergeCell ref="H180:I180"/>
    <mergeCell ref="H181:I181"/>
    <mergeCell ref="H182:I182"/>
    <mergeCell ref="H183:I183"/>
    <mergeCell ref="H172:I172"/>
    <mergeCell ref="H173:I173"/>
    <mergeCell ref="H174:I174"/>
    <mergeCell ref="H175:I175"/>
    <mergeCell ref="H176:I176"/>
    <mergeCell ref="H177:I177"/>
    <mergeCell ref="J181:K181"/>
    <mergeCell ref="J182:K182"/>
    <mergeCell ref="J183:K183"/>
    <mergeCell ref="J175:K175"/>
    <mergeCell ref="J176:K176"/>
    <mergeCell ref="J177:K177"/>
    <mergeCell ref="J178:K178"/>
    <mergeCell ref="J179:K179"/>
    <mergeCell ref="J180:K180"/>
    <mergeCell ref="H166:I166"/>
    <mergeCell ref="H167:I167"/>
    <mergeCell ref="H168:I168"/>
    <mergeCell ref="H169:I169"/>
    <mergeCell ref="H170:I170"/>
    <mergeCell ref="H171:I171"/>
    <mergeCell ref="H164:I164"/>
    <mergeCell ref="J164:K164"/>
    <mergeCell ref="L164:M164"/>
    <mergeCell ref="J170:K170"/>
    <mergeCell ref="J171:K171"/>
    <mergeCell ref="L166:M166"/>
    <mergeCell ref="L167:M167"/>
    <mergeCell ref="L168:M168"/>
    <mergeCell ref="L169:M169"/>
    <mergeCell ref="L170:M170"/>
    <mergeCell ref="L171:M171"/>
    <mergeCell ref="J166:K166"/>
    <mergeCell ref="J167:K167"/>
    <mergeCell ref="J168:K168"/>
    <mergeCell ref="J169:K169"/>
    <mergeCell ref="N164:O164"/>
    <mergeCell ref="H165:I165"/>
    <mergeCell ref="J165:K165"/>
    <mergeCell ref="L165:M165"/>
    <mergeCell ref="N165:O165"/>
    <mergeCell ref="H162:I162"/>
    <mergeCell ref="J162:K162"/>
    <mergeCell ref="L162:M162"/>
    <mergeCell ref="N162:O162"/>
    <mergeCell ref="H163:I163"/>
    <mergeCell ref="J163:K163"/>
    <mergeCell ref="L163:M163"/>
    <mergeCell ref="N163:O163"/>
    <mergeCell ref="H160:I160"/>
    <mergeCell ref="J160:K160"/>
    <mergeCell ref="L160:M160"/>
    <mergeCell ref="N160:O160"/>
    <mergeCell ref="H161:I161"/>
    <mergeCell ref="J161:K161"/>
    <mergeCell ref="L161:M161"/>
    <mergeCell ref="N161:O161"/>
    <mergeCell ref="H158:I158"/>
    <mergeCell ref="J158:K158"/>
    <mergeCell ref="L158:M158"/>
    <mergeCell ref="N158:O158"/>
    <mergeCell ref="H159:I159"/>
    <mergeCell ref="J159:K159"/>
    <mergeCell ref="L159:M159"/>
    <mergeCell ref="N159:O159"/>
    <mergeCell ref="H156:I156"/>
    <mergeCell ref="J156:K156"/>
    <mergeCell ref="L156:M156"/>
    <mergeCell ref="N156:O156"/>
    <mergeCell ref="H157:I157"/>
    <mergeCell ref="J157:K157"/>
    <mergeCell ref="L157:M157"/>
    <mergeCell ref="N157:O157"/>
    <mergeCell ref="H154:I154"/>
    <mergeCell ref="J154:K154"/>
    <mergeCell ref="L154:M154"/>
    <mergeCell ref="N154:O154"/>
    <mergeCell ref="H155:I155"/>
    <mergeCell ref="J155:K155"/>
    <mergeCell ref="L155:M155"/>
    <mergeCell ref="N155:O155"/>
    <mergeCell ref="L153:M153"/>
    <mergeCell ref="N153:O153"/>
    <mergeCell ref="H150:I150"/>
    <mergeCell ref="J150:K150"/>
    <mergeCell ref="L150:M150"/>
    <mergeCell ref="N150:O150"/>
    <mergeCell ref="H151:I151"/>
    <mergeCell ref="J151:K151"/>
    <mergeCell ref="L151:M151"/>
    <mergeCell ref="N151:O151"/>
    <mergeCell ref="A4:A5"/>
    <mergeCell ref="B4:B5"/>
    <mergeCell ref="C4:D5"/>
    <mergeCell ref="E4:E5"/>
    <mergeCell ref="F4:F5"/>
    <mergeCell ref="G4:J4"/>
    <mergeCell ref="AP4:AS4"/>
    <mergeCell ref="G3:M3"/>
    <mergeCell ref="O3:Q3"/>
    <mergeCell ref="C8:D8"/>
    <mergeCell ref="K4:N4"/>
    <mergeCell ref="O4:R4"/>
    <mergeCell ref="S4:S5"/>
    <mergeCell ref="T4:T5"/>
    <mergeCell ref="Z4:AC4"/>
    <mergeCell ref="AD4:AG4"/>
    <mergeCell ref="AH4:AK4"/>
    <mergeCell ref="AL4:AO4"/>
    <mergeCell ref="C7:D7"/>
    <mergeCell ref="C6:D6"/>
    <mergeCell ref="U4:U5"/>
    <mergeCell ref="V4:Y4"/>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9:D119"/>
    <mergeCell ref="C111:D111"/>
    <mergeCell ref="C113:D113"/>
    <mergeCell ref="C115:D115"/>
    <mergeCell ref="C116:D116"/>
    <mergeCell ref="N147:O147"/>
    <mergeCell ref="C134:D134"/>
    <mergeCell ref="C136:D136"/>
    <mergeCell ref="C135:D135"/>
    <mergeCell ref="C117:D117"/>
    <mergeCell ref="C118:D118"/>
    <mergeCell ref="C112:D112"/>
    <mergeCell ref="C114:D114"/>
    <mergeCell ref="C120:D120"/>
    <mergeCell ref="C121:D121"/>
    <mergeCell ref="C122:D122"/>
    <mergeCell ref="C129:D129"/>
    <mergeCell ref="C130:D130"/>
    <mergeCell ref="C138:D138"/>
    <mergeCell ref="C140:D140"/>
    <mergeCell ref="C137:D137"/>
    <mergeCell ref="C139:D139"/>
    <mergeCell ref="H203:I203"/>
    <mergeCell ref="J203:K203"/>
    <mergeCell ref="L203:M203"/>
    <mergeCell ref="N203:O203"/>
    <mergeCell ref="C131:D131"/>
    <mergeCell ref="C132:D132"/>
    <mergeCell ref="H147:I147"/>
    <mergeCell ref="J147:K147"/>
    <mergeCell ref="L147:M147"/>
    <mergeCell ref="C133:D133"/>
    <mergeCell ref="H149:I149"/>
    <mergeCell ref="J149:K149"/>
    <mergeCell ref="L149:M149"/>
    <mergeCell ref="N149:O149"/>
    <mergeCell ref="H148:I148"/>
    <mergeCell ref="J148:K148"/>
    <mergeCell ref="L148:M148"/>
    <mergeCell ref="N148:O148"/>
    <mergeCell ref="H152:I152"/>
    <mergeCell ref="J152:K152"/>
    <mergeCell ref="L152:M152"/>
    <mergeCell ref="N152:O152"/>
    <mergeCell ref="H153:I153"/>
    <mergeCell ref="J153:K153"/>
    <mergeCell ref="H207:I207"/>
    <mergeCell ref="J207:K207"/>
    <mergeCell ref="L207:M207"/>
    <mergeCell ref="N207:O207"/>
    <mergeCell ref="H205:I205"/>
    <mergeCell ref="J205:K205"/>
    <mergeCell ref="L205:M205"/>
    <mergeCell ref="N205:O205"/>
    <mergeCell ref="H204:I204"/>
    <mergeCell ref="J204:K204"/>
    <mergeCell ref="L204:M204"/>
    <mergeCell ref="N204:O204"/>
  </mergeCells>
  <phoneticPr fontId="0" type="noConversion"/>
  <pageMargins left="0.78740157499999996" right="0.78740157499999996" top="0.984251969" bottom="0.984251969" header="0.4921259845" footer="0.4921259845"/>
  <pageSetup paperSize="9" orientation="portrait" r:id="rId1"/>
  <headerFooter alignWithMargins="0"/>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200"/>
  <sheetViews>
    <sheetView zoomScale="120" zoomScaleNormal="120" workbookViewId="0">
      <pane xSplit="1" ySplit="5" topLeftCell="B117" activePane="bottomRight" state="frozen"/>
      <selection pane="topRight" activeCell="B1" sqref="B1"/>
      <selection pane="bottomLeft" activeCell="A6" sqref="A6"/>
      <selection pane="bottomRight" activeCell="W199" sqref="W199"/>
    </sheetView>
  </sheetViews>
  <sheetFormatPr baseColWidth="10" defaultColWidth="10.7109375" defaultRowHeight="9" x14ac:dyDescent="0.15"/>
  <cols>
    <col min="1" max="1" width="5.85546875" style="1" customWidth="1"/>
    <col min="2" max="6" width="7.85546875" style="1" customWidth="1"/>
    <col min="7" max="18" width="4.42578125" style="1" customWidth="1"/>
    <col min="19" max="21" width="7.85546875" style="1" customWidth="1"/>
    <col min="22" max="45" width="5.7109375" style="1" customWidth="1"/>
    <col min="46" max="46" width="5.7109375" style="37" customWidth="1"/>
    <col min="47" max="53" width="5.7109375" style="1" customWidth="1"/>
    <col min="54" max="16384" width="10.7109375" style="1"/>
  </cols>
  <sheetData>
    <row r="1" spans="1:53" s="2" customFormat="1" ht="15" customHeight="1" x14ac:dyDescent="0.2">
      <c r="B1" s="22" t="s">
        <v>14</v>
      </c>
      <c r="AT1" s="36"/>
    </row>
    <row r="2" spans="1:53" s="2" customFormat="1" ht="15" customHeight="1" x14ac:dyDescent="0.2">
      <c r="B2" s="22" t="s">
        <v>60</v>
      </c>
      <c r="AT2" s="36"/>
    </row>
    <row r="3" spans="1:53" s="2" customFormat="1" x14ac:dyDescent="0.15">
      <c r="G3" s="814"/>
      <c r="H3" s="814"/>
      <c r="I3" s="814"/>
      <c r="J3" s="814"/>
      <c r="K3" s="814"/>
      <c r="L3" s="814"/>
      <c r="M3" s="814"/>
      <c r="O3" s="814"/>
      <c r="P3" s="814"/>
      <c r="Q3" s="814"/>
      <c r="AT3" s="36"/>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2" t="s">
        <v>23</v>
      </c>
      <c r="AU5" s="351" t="s">
        <v>24</v>
      </c>
      <c r="AV5" s="351" t="s">
        <v>25</v>
      </c>
      <c r="AW5" s="353" t="s">
        <v>1217</v>
      </c>
      <c r="AX5" s="351" t="s">
        <v>23</v>
      </c>
      <c r="AY5" s="351" t="s">
        <v>24</v>
      </c>
      <c r="AZ5" s="351" t="s">
        <v>25</v>
      </c>
      <c r="BA5" s="354" t="s">
        <v>1217</v>
      </c>
    </row>
    <row r="6" spans="1:53" s="257" customFormat="1" x14ac:dyDescent="0.15">
      <c r="A6" s="263">
        <v>1959</v>
      </c>
      <c r="B6" s="252"/>
      <c r="C6" s="815" t="s">
        <v>697</v>
      </c>
      <c r="D6" s="815"/>
      <c r="E6" s="257">
        <v>0</v>
      </c>
      <c r="G6" s="265">
        <v>17</v>
      </c>
      <c r="J6" s="272">
        <v>17</v>
      </c>
      <c r="K6" s="248">
        <f t="shared" ref="K6:M8" si="0">G6/$J6*100</f>
        <v>100</v>
      </c>
      <c r="L6" s="248">
        <f t="shared" si="0"/>
        <v>0</v>
      </c>
      <c r="M6" s="248">
        <f t="shared" si="0"/>
        <v>0</v>
      </c>
      <c r="N6" s="267">
        <f>K6+L6+M6</f>
        <v>100</v>
      </c>
      <c r="O6" s="247">
        <v>61.5</v>
      </c>
      <c r="P6" s="248"/>
      <c r="Q6" s="248"/>
      <c r="R6" s="249">
        <f>O6+P6+Q6</f>
        <v>61.5</v>
      </c>
      <c r="S6" s="257">
        <v>1</v>
      </c>
      <c r="T6" s="278"/>
      <c r="V6" s="256" t="s">
        <v>507</v>
      </c>
      <c r="W6" s="257" t="s">
        <v>74</v>
      </c>
      <c r="X6" s="257" t="s">
        <v>11</v>
      </c>
      <c r="Y6" s="258">
        <v>61.5</v>
      </c>
      <c r="AD6" s="256"/>
      <c r="AG6" s="258"/>
      <c r="AL6" s="256"/>
      <c r="AO6" s="258"/>
      <c r="AP6" s="256"/>
      <c r="AS6" s="258"/>
      <c r="AT6" s="282"/>
      <c r="AW6" s="258"/>
      <c r="BA6" s="259"/>
    </row>
    <row r="7" spans="1:53" s="257" customFormat="1" x14ac:dyDescent="0.15">
      <c r="A7" s="263">
        <v>1959</v>
      </c>
      <c r="B7" s="252"/>
      <c r="C7" s="815" t="s">
        <v>697</v>
      </c>
      <c r="D7" s="815"/>
      <c r="E7" s="257">
        <v>365</v>
      </c>
      <c r="G7" s="265">
        <v>17</v>
      </c>
      <c r="J7" s="272">
        <v>17</v>
      </c>
      <c r="K7" s="248">
        <f t="shared" si="0"/>
        <v>100</v>
      </c>
      <c r="L7" s="248">
        <f t="shared" si="0"/>
        <v>0</v>
      </c>
      <c r="M7" s="248">
        <f t="shared" si="0"/>
        <v>0</v>
      </c>
      <c r="N7" s="267">
        <f>K7+L7+M7</f>
        <v>100</v>
      </c>
      <c r="O7" s="247">
        <v>61.5</v>
      </c>
      <c r="P7" s="248"/>
      <c r="Q7" s="248"/>
      <c r="R7" s="249">
        <f>O7+P7+Q7</f>
        <v>61.5</v>
      </c>
      <c r="S7" s="257">
        <v>1</v>
      </c>
      <c r="T7" s="278"/>
      <c r="V7" s="256" t="s">
        <v>507</v>
      </c>
      <c r="W7" s="257" t="s">
        <v>74</v>
      </c>
      <c r="X7" s="257" t="s">
        <v>11</v>
      </c>
      <c r="Y7" s="258">
        <v>61.5</v>
      </c>
      <c r="AD7" s="256"/>
      <c r="AG7" s="258"/>
      <c r="AL7" s="256"/>
      <c r="AO7" s="258"/>
      <c r="AP7" s="256"/>
      <c r="AS7" s="258"/>
      <c r="AT7" s="282"/>
      <c r="AW7" s="258"/>
      <c r="BA7" s="259"/>
    </row>
    <row r="8" spans="1:53" s="73" customFormat="1" x14ac:dyDescent="0.15">
      <c r="A8" s="102">
        <v>1960</v>
      </c>
      <c r="B8" s="85"/>
      <c r="C8" s="811" t="s">
        <v>697</v>
      </c>
      <c r="D8" s="811"/>
      <c r="E8" s="73">
        <v>200</v>
      </c>
      <c r="G8" s="123">
        <v>17</v>
      </c>
      <c r="J8" s="134">
        <v>17</v>
      </c>
      <c r="K8" s="92">
        <f t="shared" si="0"/>
        <v>100</v>
      </c>
      <c r="L8" s="92">
        <f t="shared" si="0"/>
        <v>0</v>
      </c>
      <c r="M8" s="92">
        <f t="shared" si="0"/>
        <v>0</v>
      </c>
      <c r="N8" s="125">
        <f>K8+L8+M8</f>
        <v>100</v>
      </c>
      <c r="O8" s="91">
        <v>61.5</v>
      </c>
      <c r="P8" s="92"/>
      <c r="Q8" s="92"/>
      <c r="R8" s="93">
        <f>O8+P8+Q8</f>
        <v>61.5</v>
      </c>
      <c r="S8" s="73">
        <v>1</v>
      </c>
      <c r="T8" s="81"/>
      <c r="V8" s="82" t="s">
        <v>507</v>
      </c>
      <c r="W8" s="73" t="s">
        <v>74</v>
      </c>
      <c r="X8" s="73" t="s">
        <v>11</v>
      </c>
      <c r="Y8" s="83">
        <v>61.5</v>
      </c>
      <c r="AD8" s="82"/>
      <c r="AG8" s="83"/>
      <c r="AL8" s="82"/>
      <c r="AO8" s="83"/>
      <c r="AP8" s="82"/>
      <c r="AS8" s="83"/>
      <c r="AT8" s="164"/>
      <c r="AW8" s="83"/>
      <c r="BA8" s="84"/>
    </row>
    <row r="9" spans="1:53" s="334" customFormat="1" x14ac:dyDescent="0.15">
      <c r="A9" s="386">
        <v>1960</v>
      </c>
      <c r="B9" s="355">
        <v>22116</v>
      </c>
      <c r="C9" s="812" t="s">
        <v>699</v>
      </c>
      <c r="D9" s="812"/>
      <c r="E9" s="334">
        <v>142</v>
      </c>
      <c r="F9" s="334">
        <v>2</v>
      </c>
      <c r="G9" s="419">
        <v>13</v>
      </c>
      <c r="J9" s="435">
        <v>13</v>
      </c>
      <c r="K9" s="384">
        <f t="shared" ref="K9:M50" si="1">G9/$J9*100</f>
        <v>100</v>
      </c>
      <c r="L9" s="384">
        <f t="shared" si="1"/>
        <v>0</v>
      </c>
      <c r="M9" s="384">
        <f t="shared" si="1"/>
        <v>0</v>
      </c>
      <c r="N9" s="421">
        <f t="shared" ref="N9:N50" si="2">K9+L9+M9</f>
        <v>100</v>
      </c>
      <c r="O9" s="383">
        <v>61.5</v>
      </c>
      <c r="P9" s="384"/>
      <c r="Q9" s="384"/>
      <c r="R9" s="385">
        <f t="shared" ref="R9:R72" si="3">O9+P9+Q9</f>
        <v>61.5</v>
      </c>
      <c r="S9" s="334">
        <v>1</v>
      </c>
      <c r="T9" s="357"/>
      <c r="U9" s="355">
        <v>22116</v>
      </c>
      <c r="V9" s="343" t="s">
        <v>507</v>
      </c>
      <c r="W9" s="334" t="s">
        <v>74</v>
      </c>
      <c r="X9" s="334" t="s">
        <v>11</v>
      </c>
      <c r="Y9" s="344">
        <v>61.5</v>
      </c>
      <c r="AD9" s="343"/>
      <c r="AG9" s="344"/>
      <c r="AL9" s="343"/>
      <c r="AO9" s="344"/>
      <c r="AP9" s="343"/>
      <c r="AS9" s="344"/>
      <c r="AT9" s="452"/>
      <c r="AW9" s="344"/>
      <c r="BA9" s="345"/>
    </row>
    <row r="10" spans="1:53" s="73" customFormat="1" x14ac:dyDescent="0.15">
      <c r="A10" s="102">
        <v>1960</v>
      </c>
      <c r="B10" s="85">
        <v>22258</v>
      </c>
      <c r="C10" s="811" t="s">
        <v>698</v>
      </c>
      <c r="D10" s="811"/>
      <c r="E10" s="73">
        <f>366-E8-E9</f>
        <v>24</v>
      </c>
      <c r="F10" s="73">
        <v>1</v>
      </c>
      <c r="G10" s="123">
        <v>15</v>
      </c>
      <c r="J10" s="134">
        <v>15</v>
      </c>
      <c r="K10" s="92">
        <f t="shared" si="1"/>
        <v>100</v>
      </c>
      <c r="L10" s="92">
        <f t="shared" si="1"/>
        <v>0</v>
      </c>
      <c r="M10" s="92">
        <f t="shared" si="1"/>
        <v>0</v>
      </c>
      <c r="N10" s="125">
        <f t="shared" si="2"/>
        <v>100</v>
      </c>
      <c r="O10" s="91">
        <v>63.4</v>
      </c>
      <c r="P10" s="92"/>
      <c r="Q10" s="92"/>
      <c r="R10" s="93">
        <f t="shared" si="3"/>
        <v>63.4</v>
      </c>
      <c r="S10" s="73">
        <v>1</v>
      </c>
      <c r="T10" s="95">
        <v>22240</v>
      </c>
      <c r="U10" s="85">
        <v>22258</v>
      </c>
      <c r="V10" s="82" t="s">
        <v>507</v>
      </c>
      <c r="W10" s="73" t="s">
        <v>74</v>
      </c>
      <c r="X10" s="73" t="s">
        <v>11</v>
      </c>
      <c r="Y10" s="83">
        <v>63.4</v>
      </c>
      <c r="AD10" s="82"/>
      <c r="AG10" s="83"/>
      <c r="AL10" s="82"/>
      <c r="AO10" s="83"/>
      <c r="AP10" s="82"/>
      <c r="AS10" s="83"/>
      <c r="AT10" s="164"/>
      <c r="AW10" s="83"/>
      <c r="BA10" s="84"/>
    </row>
    <row r="11" spans="1:53" s="73" customFormat="1" x14ac:dyDescent="0.15">
      <c r="A11" s="102">
        <v>1961</v>
      </c>
      <c r="B11" s="85"/>
      <c r="C11" s="811" t="s">
        <v>698</v>
      </c>
      <c r="D11" s="811"/>
      <c r="E11" s="73">
        <v>0</v>
      </c>
      <c r="G11" s="123">
        <v>15</v>
      </c>
      <c r="J11" s="134">
        <v>15</v>
      </c>
      <c r="K11" s="92">
        <f t="shared" si="1"/>
        <v>100</v>
      </c>
      <c r="L11" s="92">
        <f t="shared" si="1"/>
        <v>0</v>
      </c>
      <c r="M11" s="92">
        <f t="shared" si="1"/>
        <v>0</v>
      </c>
      <c r="N11" s="125">
        <f t="shared" si="2"/>
        <v>100</v>
      </c>
      <c r="O11" s="91">
        <v>63.4</v>
      </c>
      <c r="P11" s="92"/>
      <c r="Q11" s="92"/>
      <c r="R11" s="93">
        <f t="shared" si="3"/>
        <v>63.4</v>
      </c>
      <c r="S11" s="73">
        <v>1</v>
      </c>
      <c r="T11" s="81"/>
      <c r="V11" s="82" t="s">
        <v>507</v>
      </c>
      <c r="W11" s="73" t="s">
        <v>74</v>
      </c>
      <c r="X11" s="73" t="s">
        <v>11</v>
      </c>
      <c r="Y11" s="83">
        <v>63.4</v>
      </c>
      <c r="AD11" s="82"/>
      <c r="AG11" s="83"/>
      <c r="AL11" s="82"/>
      <c r="AO11" s="83"/>
      <c r="AP11" s="82"/>
      <c r="AS11" s="83"/>
      <c r="AT11" s="164"/>
      <c r="AW11" s="83"/>
      <c r="BA11" s="84"/>
    </row>
    <row r="12" spans="1:53" s="73" customFormat="1" x14ac:dyDescent="0.15">
      <c r="A12" s="102">
        <v>1961</v>
      </c>
      <c r="B12" s="85"/>
      <c r="C12" s="811" t="s">
        <v>698</v>
      </c>
      <c r="D12" s="811"/>
      <c r="E12" s="73">
        <v>365</v>
      </c>
      <c r="G12" s="123">
        <v>15</v>
      </c>
      <c r="J12" s="134">
        <v>15</v>
      </c>
      <c r="K12" s="92">
        <f t="shared" si="1"/>
        <v>100</v>
      </c>
      <c r="L12" s="92">
        <f t="shared" si="1"/>
        <v>0</v>
      </c>
      <c r="M12" s="92">
        <f t="shared" si="1"/>
        <v>0</v>
      </c>
      <c r="N12" s="125">
        <f t="shared" si="2"/>
        <v>100</v>
      </c>
      <c r="O12" s="91">
        <v>63.4</v>
      </c>
      <c r="P12" s="92"/>
      <c r="Q12" s="92"/>
      <c r="R12" s="93">
        <f t="shared" si="3"/>
        <v>63.4</v>
      </c>
      <c r="S12" s="73">
        <v>1</v>
      </c>
      <c r="T12" s="81"/>
      <c r="V12" s="82" t="s">
        <v>507</v>
      </c>
      <c r="W12" s="73" t="s">
        <v>74</v>
      </c>
      <c r="X12" s="73" t="s">
        <v>11</v>
      </c>
      <c r="Y12" s="83">
        <v>63.4</v>
      </c>
      <c r="AD12" s="82"/>
      <c r="AG12" s="83"/>
      <c r="AL12" s="82"/>
      <c r="AO12" s="83"/>
      <c r="AP12" s="82"/>
      <c r="AS12" s="83"/>
      <c r="AT12" s="164"/>
      <c r="AW12" s="83"/>
      <c r="BA12" s="84"/>
    </row>
    <row r="13" spans="1:53" s="73" customFormat="1" x14ac:dyDescent="0.15">
      <c r="A13" s="102">
        <v>1962</v>
      </c>
      <c r="B13" s="85"/>
      <c r="C13" s="811" t="s">
        <v>698</v>
      </c>
      <c r="D13" s="811"/>
      <c r="E13" s="73">
        <v>0</v>
      </c>
      <c r="G13" s="123">
        <v>15</v>
      </c>
      <c r="J13" s="134">
        <v>15</v>
      </c>
      <c r="K13" s="92">
        <f t="shared" si="1"/>
        <v>100</v>
      </c>
      <c r="L13" s="92">
        <f t="shared" si="1"/>
        <v>0</v>
      </c>
      <c r="M13" s="92">
        <f t="shared" si="1"/>
        <v>0</v>
      </c>
      <c r="N13" s="125">
        <f t="shared" si="2"/>
        <v>100</v>
      </c>
      <c r="O13" s="91">
        <v>63.4</v>
      </c>
      <c r="P13" s="92"/>
      <c r="Q13" s="92"/>
      <c r="R13" s="93">
        <f t="shared" si="3"/>
        <v>63.4</v>
      </c>
      <c r="S13" s="73">
        <v>1</v>
      </c>
      <c r="T13" s="81"/>
      <c r="V13" s="82" t="s">
        <v>507</v>
      </c>
      <c r="W13" s="73" t="s">
        <v>74</v>
      </c>
      <c r="X13" s="73" t="s">
        <v>11</v>
      </c>
      <c r="Y13" s="83">
        <v>63.4</v>
      </c>
      <c r="AD13" s="82"/>
      <c r="AG13" s="83"/>
      <c r="AL13" s="82"/>
      <c r="AO13" s="83"/>
      <c r="AP13" s="82"/>
      <c r="AS13" s="83"/>
      <c r="AT13" s="164"/>
      <c r="AW13" s="83"/>
      <c r="BA13" s="84"/>
    </row>
    <row r="14" spans="1:53" s="73" customFormat="1" x14ac:dyDescent="0.15">
      <c r="A14" s="102">
        <v>1962</v>
      </c>
      <c r="B14" s="85"/>
      <c r="C14" s="811" t="s">
        <v>698</v>
      </c>
      <c r="D14" s="811"/>
      <c r="E14" s="73">
        <v>365</v>
      </c>
      <c r="G14" s="123">
        <v>15</v>
      </c>
      <c r="J14" s="134">
        <v>15</v>
      </c>
      <c r="K14" s="92">
        <f t="shared" si="1"/>
        <v>100</v>
      </c>
      <c r="L14" s="92">
        <f t="shared" si="1"/>
        <v>0</v>
      </c>
      <c r="M14" s="92">
        <f t="shared" si="1"/>
        <v>0</v>
      </c>
      <c r="N14" s="125">
        <f t="shared" si="2"/>
        <v>100</v>
      </c>
      <c r="O14" s="91">
        <v>63.4</v>
      </c>
      <c r="P14" s="92"/>
      <c r="Q14" s="92"/>
      <c r="R14" s="93">
        <f t="shared" si="3"/>
        <v>63.4</v>
      </c>
      <c r="S14" s="73">
        <v>1</v>
      </c>
      <c r="T14" s="81"/>
      <c r="V14" s="82" t="s">
        <v>507</v>
      </c>
      <c r="W14" s="73" t="s">
        <v>74</v>
      </c>
      <c r="X14" s="73" t="s">
        <v>11</v>
      </c>
      <c r="Y14" s="83">
        <v>63.4</v>
      </c>
      <c r="AD14" s="82"/>
      <c r="AG14" s="83"/>
      <c r="AL14" s="82"/>
      <c r="AO14" s="83"/>
      <c r="AP14" s="82"/>
      <c r="AS14" s="83"/>
      <c r="AT14" s="164"/>
      <c r="AW14" s="83"/>
      <c r="BA14" s="84"/>
    </row>
    <row r="15" spans="1:53" s="73" customFormat="1" x14ac:dyDescent="0.15">
      <c r="A15" s="102">
        <v>1962.6</v>
      </c>
      <c r="B15" s="85"/>
      <c r="C15" s="811" t="s">
        <v>698</v>
      </c>
      <c r="D15" s="811"/>
      <c r="E15" s="73">
        <v>342</v>
      </c>
      <c r="G15" s="123">
        <v>15</v>
      </c>
      <c r="J15" s="134">
        <v>15</v>
      </c>
      <c r="K15" s="92">
        <f t="shared" si="1"/>
        <v>100</v>
      </c>
      <c r="L15" s="92">
        <f t="shared" si="1"/>
        <v>0</v>
      </c>
      <c r="M15" s="92">
        <f t="shared" si="1"/>
        <v>0</v>
      </c>
      <c r="N15" s="125">
        <f t="shared" si="2"/>
        <v>100</v>
      </c>
      <c r="O15" s="91">
        <v>63.4</v>
      </c>
      <c r="P15" s="92"/>
      <c r="Q15" s="92"/>
      <c r="R15" s="93">
        <f t="shared" si="3"/>
        <v>63.4</v>
      </c>
      <c r="S15" s="73">
        <v>1</v>
      </c>
      <c r="T15" s="81"/>
      <c r="V15" s="82" t="s">
        <v>507</v>
      </c>
      <c r="W15" s="73" t="s">
        <v>74</v>
      </c>
      <c r="X15" s="73" t="s">
        <v>11</v>
      </c>
      <c r="Y15" s="83">
        <v>63.4</v>
      </c>
      <c r="AD15" s="82"/>
      <c r="AG15" s="83"/>
      <c r="AL15" s="82"/>
      <c r="AO15" s="83"/>
      <c r="AP15" s="82"/>
      <c r="AS15" s="83"/>
      <c r="AT15" s="164"/>
      <c r="AW15" s="83"/>
      <c r="BA15" s="84"/>
    </row>
    <row r="16" spans="1:53" s="334" customFormat="1" x14ac:dyDescent="0.15">
      <c r="A16" s="386">
        <v>1963.05714285714</v>
      </c>
      <c r="B16" s="355">
        <v>23354</v>
      </c>
      <c r="C16" s="812" t="s">
        <v>700</v>
      </c>
      <c r="D16" s="812"/>
      <c r="E16" s="334">
        <f>365-E15</f>
        <v>23</v>
      </c>
      <c r="F16" s="334">
        <v>1</v>
      </c>
      <c r="G16" s="419">
        <v>15</v>
      </c>
      <c r="J16" s="435">
        <v>15</v>
      </c>
      <c r="K16" s="384">
        <f t="shared" si="1"/>
        <v>100</v>
      </c>
      <c r="L16" s="384">
        <f t="shared" si="1"/>
        <v>0</v>
      </c>
      <c r="M16" s="384">
        <f t="shared" si="1"/>
        <v>0</v>
      </c>
      <c r="N16" s="421">
        <f t="shared" si="2"/>
        <v>100</v>
      </c>
      <c r="O16" s="383">
        <v>60.6</v>
      </c>
      <c r="P16" s="384"/>
      <c r="Q16" s="384"/>
      <c r="R16" s="385">
        <f t="shared" si="3"/>
        <v>60.6</v>
      </c>
      <c r="S16" s="334">
        <v>1</v>
      </c>
      <c r="T16" s="342">
        <v>23336</v>
      </c>
      <c r="U16" s="355">
        <v>23354</v>
      </c>
      <c r="V16" s="343" t="s">
        <v>507</v>
      </c>
      <c r="W16" s="334" t="s">
        <v>74</v>
      </c>
      <c r="X16" s="334" t="s">
        <v>11</v>
      </c>
      <c r="Y16" s="344">
        <v>60.6</v>
      </c>
      <c r="AD16" s="343"/>
      <c r="AG16" s="344"/>
      <c r="AL16" s="343"/>
      <c r="AO16" s="344"/>
      <c r="AP16" s="343"/>
      <c r="AS16" s="344"/>
      <c r="AT16" s="452"/>
      <c r="AW16" s="344"/>
      <c r="BA16" s="345"/>
    </row>
    <row r="17" spans="1:53" s="334" customFormat="1" x14ac:dyDescent="0.15">
      <c r="A17" s="386">
        <v>1963.5142857142901</v>
      </c>
      <c r="B17" s="355"/>
      <c r="C17" s="812" t="s">
        <v>700</v>
      </c>
      <c r="D17" s="812"/>
      <c r="E17" s="334">
        <v>313</v>
      </c>
      <c r="G17" s="419">
        <v>15</v>
      </c>
      <c r="J17" s="435">
        <v>15</v>
      </c>
      <c r="K17" s="384">
        <f t="shared" si="1"/>
        <v>100</v>
      </c>
      <c r="L17" s="384">
        <f t="shared" si="1"/>
        <v>0</v>
      </c>
      <c r="M17" s="384">
        <f t="shared" si="1"/>
        <v>0</v>
      </c>
      <c r="N17" s="421">
        <f t="shared" si="2"/>
        <v>100</v>
      </c>
      <c r="O17" s="383">
        <v>60.6</v>
      </c>
      <c r="P17" s="384"/>
      <c r="Q17" s="384"/>
      <c r="R17" s="385">
        <f t="shared" si="3"/>
        <v>60.6</v>
      </c>
      <c r="S17" s="334">
        <v>1</v>
      </c>
      <c r="T17" s="357"/>
      <c r="V17" s="343" t="s">
        <v>507</v>
      </c>
      <c r="W17" s="334" t="s">
        <v>74</v>
      </c>
      <c r="X17" s="334" t="s">
        <v>11</v>
      </c>
      <c r="Y17" s="344">
        <v>60.6</v>
      </c>
      <c r="AD17" s="343"/>
      <c r="AG17" s="344"/>
      <c r="AL17" s="343"/>
      <c r="AO17" s="344"/>
      <c r="AP17" s="343"/>
      <c r="AS17" s="344"/>
      <c r="AT17" s="452"/>
      <c r="AW17" s="344"/>
      <c r="BA17" s="345"/>
    </row>
    <row r="18" spans="1:53" s="73" customFormat="1" x14ac:dyDescent="0.15">
      <c r="A18" s="102">
        <v>1963.9714285714299</v>
      </c>
      <c r="B18" s="85">
        <v>23690</v>
      </c>
      <c r="C18" s="811" t="s">
        <v>1191</v>
      </c>
      <c r="D18" s="811"/>
      <c r="E18" s="73">
        <f>366-E17</f>
        <v>53</v>
      </c>
      <c r="F18" s="73">
        <v>3</v>
      </c>
      <c r="G18" s="123">
        <v>15</v>
      </c>
      <c r="J18" s="134">
        <v>15</v>
      </c>
      <c r="K18" s="92">
        <f t="shared" si="1"/>
        <v>100</v>
      </c>
      <c r="L18" s="92">
        <f t="shared" si="1"/>
        <v>0</v>
      </c>
      <c r="M18" s="92">
        <f t="shared" si="1"/>
        <v>0</v>
      </c>
      <c r="N18" s="125">
        <f t="shared" si="2"/>
        <v>100</v>
      </c>
      <c r="O18" s="91">
        <v>60.6</v>
      </c>
      <c r="P18" s="92"/>
      <c r="Q18" s="92"/>
      <c r="R18" s="93">
        <f t="shared" si="3"/>
        <v>60.6</v>
      </c>
      <c r="S18" s="73">
        <v>1</v>
      </c>
      <c r="T18" s="81"/>
      <c r="U18" s="85">
        <v>23690</v>
      </c>
      <c r="V18" s="82" t="s">
        <v>507</v>
      </c>
      <c r="W18" s="73" t="s">
        <v>74</v>
      </c>
      <c r="X18" s="73" t="s">
        <v>11</v>
      </c>
      <c r="Y18" s="83">
        <v>60.6</v>
      </c>
      <c r="AD18" s="82"/>
      <c r="AG18" s="83"/>
      <c r="AL18" s="82"/>
      <c r="AO18" s="83"/>
      <c r="AP18" s="82"/>
      <c r="AS18" s="83"/>
      <c r="AT18" s="164"/>
      <c r="AW18" s="83"/>
      <c r="BA18" s="84"/>
    </row>
    <row r="19" spans="1:53" s="73" customFormat="1" x14ac:dyDescent="0.15">
      <c r="A19" s="102">
        <v>1965</v>
      </c>
      <c r="B19" s="85"/>
      <c r="C19" s="811" t="s">
        <v>1191</v>
      </c>
      <c r="D19" s="811"/>
      <c r="E19" s="73">
        <v>0</v>
      </c>
      <c r="G19" s="123">
        <v>15</v>
      </c>
      <c r="J19" s="134">
        <v>15</v>
      </c>
      <c r="K19" s="92">
        <f t="shared" si="1"/>
        <v>100</v>
      </c>
      <c r="L19" s="92">
        <f t="shared" si="1"/>
        <v>0</v>
      </c>
      <c r="M19" s="92">
        <f t="shared" si="1"/>
        <v>0</v>
      </c>
      <c r="N19" s="125">
        <f t="shared" si="2"/>
        <v>100</v>
      </c>
      <c r="O19" s="91">
        <v>60.6</v>
      </c>
      <c r="P19" s="92"/>
      <c r="Q19" s="92"/>
      <c r="R19" s="93">
        <f t="shared" si="3"/>
        <v>60.6</v>
      </c>
      <c r="S19" s="73">
        <v>1</v>
      </c>
      <c r="T19" s="81"/>
      <c r="V19" s="82" t="s">
        <v>507</v>
      </c>
      <c r="W19" s="73" t="s">
        <v>74</v>
      </c>
      <c r="X19" s="73" t="s">
        <v>11</v>
      </c>
      <c r="Y19" s="83">
        <v>60.6</v>
      </c>
      <c r="AD19" s="82"/>
      <c r="AG19" s="83"/>
      <c r="AL19" s="82"/>
      <c r="AO19" s="83"/>
      <c r="AP19" s="82"/>
      <c r="AS19" s="83"/>
      <c r="AT19" s="164"/>
      <c r="AW19" s="83"/>
      <c r="BA19" s="84"/>
    </row>
    <row r="20" spans="1:53" s="73" customFormat="1" x14ac:dyDescent="0.15">
      <c r="A20" s="102">
        <v>1964.88571428572</v>
      </c>
      <c r="B20" s="85"/>
      <c r="C20" s="811" t="s">
        <v>1191</v>
      </c>
      <c r="D20" s="811"/>
      <c r="E20" s="73">
        <v>365</v>
      </c>
      <c r="G20" s="123">
        <v>15</v>
      </c>
      <c r="J20" s="134">
        <v>15</v>
      </c>
      <c r="K20" s="92">
        <f t="shared" si="1"/>
        <v>100</v>
      </c>
      <c r="L20" s="92">
        <f t="shared" si="1"/>
        <v>0</v>
      </c>
      <c r="M20" s="92">
        <f t="shared" si="1"/>
        <v>0</v>
      </c>
      <c r="N20" s="125">
        <f t="shared" si="2"/>
        <v>100</v>
      </c>
      <c r="O20" s="91">
        <v>60.6</v>
      </c>
      <c r="P20" s="92"/>
      <c r="Q20" s="92"/>
      <c r="R20" s="93">
        <f t="shared" si="3"/>
        <v>60.6</v>
      </c>
      <c r="S20" s="73">
        <v>1</v>
      </c>
      <c r="T20" s="81"/>
      <c r="V20" s="82" t="s">
        <v>507</v>
      </c>
      <c r="W20" s="73" t="s">
        <v>74</v>
      </c>
      <c r="X20" s="73" t="s">
        <v>11</v>
      </c>
      <c r="Y20" s="83">
        <v>60.6</v>
      </c>
      <c r="AD20" s="82"/>
      <c r="AG20" s="83"/>
      <c r="AL20" s="82"/>
      <c r="AO20" s="83"/>
      <c r="AP20" s="82"/>
      <c r="AS20" s="83"/>
      <c r="AT20" s="164"/>
      <c r="AW20" s="83"/>
      <c r="BA20" s="84"/>
    </row>
    <row r="21" spans="1:53" s="73" customFormat="1" x14ac:dyDescent="0.15">
      <c r="A21" s="102">
        <v>1966</v>
      </c>
      <c r="B21" s="85"/>
      <c r="C21" s="811" t="s">
        <v>1191</v>
      </c>
      <c r="D21" s="811"/>
      <c r="E21" s="73">
        <v>0</v>
      </c>
      <c r="G21" s="123">
        <v>15</v>
      </c>
      <c r="J21" s="134">
        <v>15</v>
      </c>
      <c r="K21" s="92">
        <f t="shared" si="1"/>
        <v>100</v>
      </c>
      <c r="L21" s="92">
        <f t="shared" si="1"/>
        <v>0</v>
      </c>
      <c r="M21" s="92">
        <f t="shared" si="1"/>
        <v>0</v>
      </c>
      <c r="N21" s="125">
        <f t="shared" si="2"/>
        <v>100</v>
      </c>
      <c r="O21" s="91">
        <v>60.6</v>
      </c>
      <c r="P21" s="92"/>
      <c r="Q21" s="92"/>
      <c r="R21" s="93">
        <f t="shared" si="3"/>
        <v>60.6</v>
      </c>
      <c r="S21" s="73">
        <v>1</v>
      </c>
      <c r="T21" s="81"/>
      <c r="V21" s="82" t="s">
        <v>507</v>
      </c>
      <c r="W21" s="73" t="s">
        <v>74</v>
      </c>
      <c r="X21" s="73" t="s">
        <v>11</v>
      </c>
      <c r="Y21" s="83">
        <v>60.6</v>
      </c>
      <c r="AD21" s="82"/>
      <c r="AG21" s="83"/>
      <c r="AL21" s="82"/>
      <c r="AO21" s="83"/>
      <c r="AP21" s="82"/>
      <c r="AS21" s="83"/>
      <c r="AT21" s="164"/>
      <c r="AW21" s="83"/>
      <c r="BA21" s="84"/>
    </row>
    <row r="22" spans="1:53" s="73" customFormat="1" x14ac:dyDescent="0.15">
      <c r="A22" s="102">
        <v>1965.8</v>
      </c>
      <c r="B22" s="85"/>
      <c r="C22" s="811" t="s">
        <v>1191</v>
      </c>
      <c r="D22" s="811"/>
      <c r="E22" s="73">
        <v>365</v>
      </c>
      <c r="G22" s="123">
        <v>15</v>
      </c>
      <c r="J22" s="134">
        <v>15</v>
      </c>
      <c r="K22" s="92">
        <f t="shared" si="1"/>
        <v>100</v>
      </c>
      <c r="L22" s="92">
        <f t="shared" si="1"/>
        <v>0</v>
      </c>
      <c r="M22" s="92">
        <f t="shared" si="1"/>
        <v>0</v>
      </c>
      <c r="N22" s="125">
        <f t="shared" si="2"/>
        <v>100</v>
      </c>
      <c r="O22" s="91">
        <v>60.6</v>
      </c>
      <c r="P22" s="92"/>
      <c r="Q22" s="92"/>
      <c r="R22" s="93">
        <f t="shared" si="3"/>
        <v>60.6</v>
      </c>
      <c r="S22" s="73">
        <v>1</v>
      </c>
      <c r="T22" s="81"/>
      <c r="V22" s="82" t="s">
        <v>507</v>
      </c>
      <c r="W22" s="73" t="s">
        <v>74</v>
      </c>
      <c r="X22" s="73" t="s">
        <v>11</v>
      </c>
      <c r="Y22" s="83">
        <v>60.6</v>
      </c>
      <c r="AD22" s="82"/>
      <c r="AG22" s="83"/>
      <c r="AL22" s="82"/>
      <c r="AO22" s="83"/>
      <c r="AP22" s="82"/>
      <c r="AS22" s="83"/>
      <c r="AT22" s="164"/>
      <c r="AW22" s="83"/>
      <c r="BA22" s="84"/>
    </row>
    <row r="23" spans="1:53" s="73" customFormat="1" x14ac:dyDescent="0.15">
      <c r="A23" s="102">
        <v>1967</v>
      </c>
      <c r="B23" s="85"/>
      <c r="C23" s="811" t="s">
        <v>1191</v>
      </c>
      <c r="D23" s="811"/>
      <c r="E23" s="73">
        <v>47</v>
      </c>
      <c r="G23" s="123">
        <v>15</v>
      </c>
      <c r="J23" s="134">
        <v>15</v>
      </c>
      <c r="K23" s="92">
        <f t="shared" si="1"/>
        <v>100</v>
      </c>
      <c r="L23" s="92">
        <f t="shared" si="1"/>
        <v>0</v>
      </c>
      <c r="M23" s="92">
        <f t="shared" si="1"/>
        <v>0</v>
      </c>
      <c r="N23" s="125">
        <f t="shared" si="2"/>
        <v>100</v>
      </c>
      <c r="O23" s="91">
        <v>60.6</v>
      </c>
      <c r="P23" s="92"/>
      <c r="Q23" s="92"/>
      <c r="R23" s="93">
        <f t="shared" si="3"/>
        <v>60.6</v>
      </c>
      <c r="S23" s="73">
        <v>1</v>
      </c>
      <c r="T23" s="81"/>
      <c r="V23" s="82" t="s">
        <v>507</v>
      </c>
      <c r="W23" s="73" t="s">
        <v>74</v>
      </c>
      <c r="X23" s="73" t="s">
        <v>11</v>
      </c>
      <c r="Y23" s="83">
        <v>60.6</v>
      </c>
      <c r="AD23" s="82"/>
      <c r="AG23" s="83"/>
      <c r="AL23" s="82"/>
      <c r="AO23" s="83"/>
      <c r="AP23" s="82"/>
      <c r="AS23" s="83"/>
      <c r="AT23" s="164"/>
      <c r="AW23" s="83"/>
      <c r="BA23" s="84"/>
    </row>
    <row r="24" spans="1:53" s="334" customFormat="1" x14ac:dyDescent="0.15">
      <c r="A24" s="386">
        <v>1966.7142857142901</v>
      </c>
      <c r="B24" s="355">
        <v>24520</v>
      </c>
      <c r="C24" s="812" t="s">
        <v>1192</v>
      </c>
      <c r="D24" s="812"/>
      <c r="E24" s="334">
        <f>365-E23</f>
        <v>318</v>
      </c>
      <c r="F24" s="334">
        <v>1</v>
      </c>
      <c r="G24" s="419">
        <v>15</v>
      </c>
      <c r="J24" s="435">
        <v>15</v>
      </c>
      <c r="K24" s="384">
        <f t="shared" si="1"/>
        <v>100</v>
      </c>
      <c r="L24" s="384">
        <f t="shared" si="1"/>
        <v>0</v>
      </c>
      <c r="M24" s="384">
        <f t="shared" si="1"/>
        <v>0</v>
      </c>
      <c r="N24" s="421">
        <f t="shared" si="2"/>
        <v>100</v>
      </c>
      <c r="O24" s="383">
        <v>57</v>
      </c>
      <c r="P24" s="384"/>
      <c r="Q24" s="384"/>
      <c r="R24" s="385">
        <f t="shared" si="3"/>
        <v>57</v>
      </c>
      <c r="S24" s="334">
        <v>1</v>
      </c>
      <c r="T24" s="342">
        <v>24501</v>
      </c>
      <c r="U24" s="355">
        <v>24520</v>
      </c>
      <c r="V24" s="343" t="s">
        <v>507</v>
      </c>
      <c r="W24" s="334" t="s">
        <v>74</v>
      </c>
      <c r="X24" s="334" t="s">
        <v>11</v>
      </c>
      <c r="Y24" s="344">
        <v>57</v>
      </c>
      <c r="AD24" s="343"/>
      <c r="AG24" s="344"/>
      <c r="AL24" s="343"/>
      <c r="AO24" s="344"/>
      <c r="AP24" s="343"/>
      <c r="AS24" s="344"/>
      <c r="AT24" s="452"/>
      <c r="AW24" s="344"/>
      <c r="BA24" s="345"/>
    </row>
    <row r="25" spans="1:53" s="334" customFormat="1" x14ac:dyDescent="0.15">
      <c r="A25" s="386">
        <v>1968</v>
      </c>
      <c r="B25" s="355"/>
      <c r="C25" s="812" t="s">
        <v>1192</v>
      </c>
      <c r="D25" s="812"/>
      <c r="E25" s="334">
        <v>0</v>
      </c>
      <c r="G25" s="419">
        <v>15</v>
      </c>
      <c r="J25" s="435">
        <v>15</v>
      </c>
      <c r="K25" s="384">
        <f t="shared" si="1"/>
        <v>100</v>
      </c>
      <c r="L25" s="384">
        <f t="shared" si="1"/>
        <v>0</v>
      </c>
      <c r="M25" s="384">
        <f t="shared" si="1"/>
        <v>0</v>
      </c>
      <c r="N25" s="421">
        <f t="shared" si="2"/>
        <v>100</v>
      </c>
      <c r="O25" s="383">
        <v>57</v>
      </c>
      <c r="P25" s="384"/>
      <c r="Q25" s="384"/>
      <c r="R25" s="385">
        <f t="shared" si="3"/>
        <v>57</v>
      </c>
      <c r="S25" s="334">
        <v>1</v>
      </c>
      <c r="T25" s="357"/>
      <c r="V25" s="343" t="s">
        <v>507</v>
      </c>
      <c r="W25" s="334" t="s">
        <v>74</v>
      </c>
      <c r="X25" s="334" t="s">
        <v>11</v>
      </c>
      <c r="Y25" s="344">
        <v>57</v>
      </c>
      <c r="AD25" s="343"/>
      <c r="AG25" s="344"/>
      <c r="AL25" s="343"/>
      <c r="AO25" s="344"/>
      <c r="AP25" s="343"/>
      <c r="AS25" s="344"/>
      <c r="AT25" s="452"/>
      <c r="AW25" s="344"/>
      <c r="BA25" s="345"/>
    </row>
    <row r="26" spans="1:53" s="334" customFormat="1" x14ac:dyDescent="0.15">
      <c r="A26" s="386">
        <v>1967.62857142857</v>
      </c>
      <c r="B26" s="355"/>
      <c r="C26" s="812" t="s">
        <v>1192</v>
      </c>
      <c r="D26" s="812"/>
      <c r="E26" s="334">
        <v>366</v>
      </c>
      <c r="G26" s="419">
        <v>15</v>
      </c>
      <c r="J26" s="435">
        <v>15</v>
      </c>
      <c r="K26" s="384">
        <f t="shared" si="1"/>
        <v>100</v>
      </c>
      <c r="L26" s="384">
        <f t="shared" si="1"/>
        <v>0</v>
      </c>
      <c r="M26" s="384">
        <f t="shared" si="1"/>
        <v>0</v>
      </c>
      <c r="N26" s="421">
        <f t="shared" si="2"/>
        <v>100</v>
      </c>
      <c r="O26" s="383">
        <v>57</v>
      </c>
      <c r="P26" s="384"/>
      <c r="Q26" s="384"/>
      <c r="R26" s="385">
        <f t="shared" si="3"/>
        <v>57</v>
      </c>
      <c r="S26" s="334">
        <v>1</v>
      </c>
      <c r="T26" s="357"/>
      <c r="V26" s="343" t="s">
        <v>507</v>
      </c>
      <c r="W26" s="334" t="s">
        <v>74</v>
      </c>
      <c r="X26" s="334" t="s">
        <v>11</v>
      </c>
      <c r="Y26" s="344">
        <v>57</v>
      </c>
      <c r="AD26" s="343"/>
      <c r="AG26" s="344"/>
      <c r="AL26" s="343"/>
      <c r="AO26" s="344"/>
      <c r="AP26" s="343"/>
      <c r="AS26" s="344"/>
      <c r="AT26" s="452"/>
      <c r="AW26" s="344"/>
      <c r="BA26" s="345"/>
    </row>
    <row r="27" spans="1:53" s="334" customFormat="1" x14ac:dyDescent="0.15">
      <c r="A27" s="386">
        <v>1969</v>
      </c>
      <c r="B27" s="355"/>
      <c r="C27" s="812" t="s">
        <v>1192</v>
      </c>
      <c r="D27" s="812"/>
      <c r="E27" s="334">
        <v>0</v>
      </c>
      <c r="G27" s="419">
        <v>15</v>
      </c>
      <c r="J27" s="435">
        <v>15</v>
      </c>
      <c r="K27" s="384">
        <f t="shared" si="1"/>
        <v>100</v>
      </c>
      <c r="L27" s="384">
        <f t="shared" si="1"/>
        <v>0</v>
      </c>
      <c r="M27" s="384">
        <f t="shared" si="1"/>
        <v>0</v>
      </c>
      <c r="N27" s="421">
        <f t="shared" si="2"/>
        <v>100</v>
      </c>
      <c r="O27" s="383">
        <v>57</v>
      </c>
      <c r="P27" s="384"/>
      <c r="Q27" s="384"/>
      <c r="R27" s="385">
        <f t="shared" si="3"/>
        <v>57</v>
      </c>
      <c r="S27" s="334">
        <v>1</v>
      </c>
      <c r="T27" s="357"/>
      <c r="V27" s="343" t="s">
        <v>507</v>
      </c>
      <c r="W27" s="334" t="s">
        <v>74</v>
      </c>
      <c r="X27" s="334" t="s">
        <v>11</v>
      </c>
      <c r="Y27" s="344">
        <v>57</v>
      </c>
      <c r="AD27" s="343"/>
      <c r="AG27" s="344"/>
      <c r="AL27" s="343"/>
      <c r="AO27" s="344"/>
      <c r="AP27" s="343"/>
      <c r="AS27" s="344"/>
      <c r="AT27" s="452"/>
      <c r="AW27" s="344"/>
      <c r="BA27" s="345"/>
    </row>
    <row r="28" spans="1:53" s="334" customFormat="1" x14ac:dyDescent="0.15">
      <c r="A28" s="386">
        <v>1968.5428571428599</v>
      </c>
      <c r="B28" s="355"/>
      <c r="C28" s="812" t="s">
        <v>1192</v>
      </c>
      <c r="D28" s="812"/>
      <c r="E28" s="334">
        <v>365</v>
      </c>
      <c r="G28" s="419">
        <v>15</v>
      </c>
      <c r="J28" s="435">
        <v>15</v>
      </c>
      <c r="K28" s="384">
        <f t="shared" si="1"/>
        <v>100</v>
      </c>
      <c r="L28" s="384">
        <f t="shared" si="1"/>
        <v>0</v>
      </c>
      <c r="M28" s="384">
        <f t="shared" si="1"/>
        <v>0</v>
      </c>
      <c r="N28" s="421">
        <f t="shared" si="2"/>
        <v>100</v>
      </c>
      <c r="O28" s="383">
        <v>57</v>
      </c>
      <c r="P28" s="384"/>
      <c r="Q28" s="384"/>
      <c r="R28" s="385">
        <f t="shared" si="3"/>
        <v>57</v>
      </c>
      <c r="S28" s="334">
        <v>1</v>
      </c>
      <c r="T28" s="342">
        <v>25564</v>
      </c>
      <c r="V28" s="343" t="s">
        <v>507</v>
      </c>
      <c r="W28" s="334" t="s">
        <v>74</v>
      </c>
      <c r="X28" s="334" t="s">
        <v>11</v>
      </c>
      <c r="Y28" s="344">
        <v>57</v>
      </c>
      <c r="AD28" s="343"/>
      <c r="AG28" s="344"/>
      <c r="AL28" s="343"/>
      <c r="AO28" s="344"/>
      <c r="AP28" s="343"/>
      <c r="AS28" s="344"/>
      <c r="AT28" s="452"/>
      <c r="AW28" s="344"/>
      <c r="BA28" s="345"/>
    </row>
    <row r="29" spans="1:53" s="334" customFormat="1" x14ac:dyDescent="0.15">
      <c r="A29" s="386">
        <v>1970</v>
      </c>
      <c r="B29" s="355"/>
      <c r="C29" s="812" t="s">
        <v>1192</v>
      </c>
      <c r="D29" s="812"/>
      <c r="E29" s="334">
        <v>13</v>
      </c>
      <c r="G29" s="419">
        <v>15</v>
      </c>
      <c r="J29" s="435">
        <v>15</v>
      </c>
      <c r="K29" s="384">
        <f t="shared" si="1"/>
        <v>100</v>
      </c>
      <c r="L29" s="384">
        <f t="shared" si="1"/>
        <v>0</v>
      </c>
      <c r="M29" s="384">
        <f t="shared" si="1"/>
        <v>0</v>
      </c>
      <c r="N29" s="421">
        <f t="shared" si="2"/>
        <v>100</v>
      </c>
      <c r="O29" s="383">
        <v>57</v>
      </c>
      <c r="P29" s="384"/>
      <c r="Q29" s="384"/>
      <c r="R29" s="385">
        <f t="shared" si="3"/>
        <v>57</v>
      </c>
      <c r="S29" s="334">
        <v>1</v>
      </c>
      <c r="T29" s="357"/>
      <c r="V29" s="343" t="s">
        <v>507</v>
      </c>
      <c r="W29" s="334" t="s">
        <v>74</v>
      </c>
      <c r="X29" s="334" t="s">
        <v>11</v>
      </c>
      <c r="Y29" s="344">
        <v>57</v>
      </c>
      <c r="AD29" s="343"/>
      <c r="AG29" s="344"/>
      <c r="AL29" s="343"/>
      <c r="AO29" s="344"/>
      <c r="AP29" s="343"/>
      <c r="AS29" s="344"/>
      <c r="AT29" s="452"/>
      <c r="AW29" s="344"/>
      <c r="BA29" s="345"/>
    </row>
    <row r="30" spans="1:53" s="73" customFormat="1" x14ac:dyDescent="0.15">
      <c r="A30" s="102">
        <v>1970</v>
      </c>
      <c r="B30" s="85">
        <v>25582</v>
      </c>
      <c r="C30" s="811" t="s">
        <v>1193</v>
      </c>
      <c r="D30" s="811"/>
      <c r="E30" s="73">
        <f>365-E29</f>
        <v>352</v>
      </c>
      <c r="F30" s="73">
        <v>1</v>
      </c>
      <c r="G30" s="123">
        <v>15</v>
      </c>
      <c r="J30" s="134">
        <v>15</v>
      </c>
      <c r="K30" s="92">
        <f t="shared" si="1"/>
        <v>100</v>
      </c>
      <c r="L30" s="92">
        <f t="shared" si="1"/>
        <v>0</v>
      </c>
      <c r="M30" s="92">
        <f t="shared" si="1"/>
        <v>0</v>
      </c>
      <c r="N30" s="125">
        <f t="shared" si="2"/>
        <v>100</v>
      </c>
      <c r="O30" s="91">
        <v>59.3</v>
      </c>
      <c r="P30" s="92"/>
      <c r="Q30" s="92"/>
      <c r="R30" s="93">
        <f t="shared" si="3"/>
        <v>59.3</v>
      </c>
      <c r="S30" s="73">
        <v>1</v>
      </c>
      <c r="T30" s="81"/>
      <c r="U30" s="85">
        <v>25582</v>
      </c>
      <c r="V30" s="82" t="s">
        <v>507</v>
      </c>
      <c r="W30" s="73" t="s">
        <v>74</v>
      </c>
      <c r="X30" s="73" t="s">
        <v>11</v>
      </c>
      <c r="Y30" s="83">
        <v>59.3</v>
      </c>
      <c r="AD30" s="82"/>
      <c r="AG30" s="83"/>
      <c r="AL30" s="82"/>
      <c r="AO30" s="83"/>
      <c r="AP30" s="82"/>
      <c r="AS30" s="83"/>
      <c r="AT30" s="164"/>
      <c r="AW30" s="83"/>
      <c r="BA30" s="84"/>
    </row>
    <row r="31" spans="1:53" s="73" customFormat="1" x14ac:dyDescent="0.15">
      <c r="A31" s="102">
        <v>1971</v>
      </c>
      <c r="B31" s="85"/>
      <c r="C31" s="811" t="s">
        <v>1193</v>
      </c>
      <c r="D31" s="811"/>
      <c r="E31" s="73">
        <v>0</v>
      </c>
      <c r="G31" s="123">
        <v>15</v>
      </c>
      <c r="J31" s="134">
        <v>15</v>
      </c>
      <c r="K31" s="92">
        <f t="shared" si="1"/>
        <v>100</v>
      </c>
      <c r="L31" s="92">
        <f t="shared" si="1"/>
        <v>0</v>
      </c>
      <c r="M31" s="92">
        <f t="shared" si="1"/>
        <v>0</v>
      </c>
      <c r="N31" s="125">
        <f t="shared" si="2"/>
        <v>100</v>
      </c>
      <c r="O31" s="91">
        <v>59.3</v>
      </c>
      <c r="P31" s="92"/>
      <c r="Q31" s="92"/>
      <c r="R31" s="93">
        <f t="shared" si="3"/>
        <v>59.3</v>
      </c>
      <c r="S31" s="73">
        <v>1</v>
      </c>
      <c r="T31" s="81"/>
      <c r="V31" s="82" t="s">
        <v>507</v>
      </c>
      <c r="W31" s="73" t="s">
        <v>74</v>
      </c>
      <c r="X31" s="73" t="s">
        <v>11</v>
      </c>
      <c r="Y31" s="83">
        <v>59.3</v>
      </c>
      <c r="AD31" s="82"/>
      <c r="AG31" s="83"/>
      <c r="AL31" s="82"/>
      <c r="AO31" s="83"/>
      <c r="AP31" s="82"/>
      <c r="AS31" s="83"/>
      <c r="AT31" s="164"/>
      <c r="AW31" s="83"/>
      <c r="BA31" s="84"/>
    </row>
    <row r="32" spans="1:53" s="73" customFormat="1" x14ac:dyDescent="0.15">
      <c r="A32" s="102">
        <v>1971</v>
      </c>
      <c r="B32" s="85"/>
      <c r="C32" s="811" t="s">
        <v>1193</v>
      </c>
      <c r="D32" s="811"/>
      <c r="E32" s="73">
        <v>365</v>
      </c>
      <c r="G32" s="123">
        <v>15</v>
      </c>
      <c r="J32" s="134">
        <v>15</v>
      </c>
      <c r="K32" s="92">
        <f t="shared" si="1"/>
        <v>100</v>
      </c>
      <c r="L32" s="92">
        <f t="shared" si="1"/>
        <v>0</v>
      </c>
      <c r="M32" s="92">
        <f t="shared" si="1"/>
        <v>0</v>
      </c>
      <c r="N32" s="125">
        <f t="shared" si="2"/>
        <v>100</v>
      </c>
      <c r="O32" s="91">
        <v>59.3</v>
      </c>
      <c r="P32" s="92"/>
      <c r="Q32" s="92"/>
      <c r="R32" s="93">
        <f t="shared" si="3"/>
        <v>59.3</v>
      </c>
      <c r="S32" s="73">
        <v>1</v>
      </c>
      <c r="T32" s="81"/>
      <c r="V32" s="82" t="s">
        <v>507</v>
      </c>
      <c r="W32" s="73" t="s">
        <v>74</v>
      </c>
      <c r="X32" s="73" t="s">
        <v>11</v>
      </c>
      <c r="Y32" s="83">
        <v>59.3</v>
      </c>
      <c r="AD32" s="82"/>
      <c r="AG32" s="83"/>
      <c r="AL32" s="82"/>
      <c r="AO32" s="83"/>
      <c r="AP32" s="82"/>
      <c r="AS32" s="83"/>
      <c r="AT32" s="164"/>
      <c r="AW32" s="83"/>
      <c r="BA32" s="84"/>
    </row>
    <row r="33" spans="1:53" s="73" customFormat="1" x14ac:dyDescent="0.15">
      <c r="A33" s="102">
        <v>1972</v>
      </c>
      <c r="B33" s="85"/>
      <c r="C33" s="811" t="s">
        <v>1193</v>
      </c>
      <c r="D33" s="811"/>
      <c r="E33" s="73">
        <v>188</v>
      </c>
      <c r="G33" s="123">
        <v>15</v>
      </c>
      <c r="J33" s="134">
        <v>15</v>
      </c>
      <c r="K33" s="92">
        <f t="shared" si="1"/>
        <v>100</v>
      </c>
      <c r="L33" s="92">
        <f t="shared" si="1"/>
        <v>0</v>
      </c>
      <c r="M33" s="92">
        <f t="shared" si="1"/>
        <v>0</v>
      </c>
      <c r="N33" s="125">
        <f t="shared" si="2"/>
        <v>100</v>
      </c>
      <c r="O33" s="91">
        <v>59.3</v>
      </c>
      <c r="P33" s="92"/>
      <c r="Q33" s="92"/>
      <c r="R33" s="93">
        <f t="shared" si="3"/>
        <v>59.3</v>
      </c>
      <c r="S33" s="73">
        <v>1</v>
      </c>
      <c r="T33" s="81"/>
      <c r="V33" s="82" t="s">
        <v>507</v>
      </c>
      <c r="W33" s="73" t="s">
        <v>74</v>
      </c>
      <c r="X33" s="73" t="s">
        <v>11</v>
      </c>
      <c r="Y33" s="83">
        <v>59.3</v>
      </c>
      <c r="AD33" s="82"/>
      <c r="AG33" s="83"/>
      <c r="AL33" s="82"/>
      <c r="AO33" s="83"/>
      <c r="AP33" s="82"/>
      <c r="AS33" s="83"/>
      <c r="AT33" s="164"/>
      <c r="AW33" s="83"/>
      <c r="BA33" s="84"/>
    </row>
    <row r="34" spans="1:53" s="334" customFormat="1" x14ac:dyDescent="0.15">
      <c r="A34" s="386">
        <v>1972</v>
      </c>
      <c r="B34" s="355">
        <v>26487</v>
      </c>
      <c r="C34" s="812" t="s">
        <v>701</v>
      </c>
      <c r="D34" s="812"/>
      <c r="E34" s="334">
        <v>168</v>
      </c>
      <c r="F34" s="334">
        <v>2</v>
      </c>
      <c r="G34" s="419">
        <v>15</v>
      </c>
      <c r="J34" s="435">
        <v>15</v>
      </c>
      <c r="K34" s="384">
        <f t="shared" si="1"/>
        <v>100</v>
      </c>
      <c r="L34" s="384">
        <f t="shared" si="1"/>
        <v>0</v>
      </c>
      <c r="M34" s="384">
        <f t="shared" si="1"/>
        <v>0</v>
      </c>
      <c r="N34" s="421">
        <f t="shared" si="2"/>
        <v>100</v>
      </c>
      <c r="O34" s="383">
        <v>59.3</v>
      </c>
      <c r="P34" s="384"/>
      <c r="Q34" s="384"/>
      <c r="R34" s="385">
        <f t="shared" si="3"/>
        <v>59.3</v>
      </c>
      <c r="S34" s="334">
        <v>1</v>
      </c>
      <c r="T34" s="357"/>
      <c r="U34" s="355">
        <v>26487</v>
      </c>
      <c r="V34" s="343" t="s">
        <v>507</v>
      </c>
      <c r="W34" s="334" t="s">
        <v>74</v>
      </c>
      <c r="X34" s="334" t="s">
        <v>11</v>
      </c>
      <c r="Y34" s="344">
        <v>59.3</v>
      </c>
      <c r="AD34" s="343"/>
      <c r="AG34" s="344"/>
      <c r="AL34" s="343"/>
      <c r="AO34" s="344"/>
      <c r="AP34" s="343"/>
      <c r="AS34" s="344"/>
      <c r="AT34" s="452"/>
      <c r="AW34" s="344"/>
      <c r="BA34" s="345"/>
    </row>
    <row r="35" spans="1:53" s="73" customFormat="1" x14ac:dyDescent="0.15">
      <c r="A35" s="102">
        <v>1972</v>
      </c>
      <c r="B35" s="85">
        <v>26655</v>
      </c>
      <c r="C35" s="811" t="s">
        <v>702</v>
      </c>
      <c r="D35" s="811"/>
      <c r="E35" s="73">
        <f>366-E33-E34</f>
        <v>10</v>
      </c>
      <c r="F35" s="73">
        <v>1</v>
      </c>
      <c r="G35" s="123">
        <v>15</v>
      </c>
      <c r="J35" s="134">
        <v>15</v>
      </c>
      <c r="K35" s="92">
        <f t="shared" si="1"/>
        <v>100</v>
      </c>
      <c r="L35" s="92">
        <f t="shared" si="1"/>
        <v>0</v>
      </c>
      <c r="M35" s="92">
        <f t="shared" si="1"/>
        <v>0</v>
      </c>
      <c r="N35" s="125">
        <f t="shared" si="2"/>
        <v>100</v>
      </c>
      <c r="O35" s="91">
        <v>55.2</v>
      </c>
      <c r="P35" s="92"/>
      <c r="Q35" s="92"/>
      <c r="R35" s="93">
        <f t="shared" si="3"/>
        <v>55.2</v>
      </c>
      <c r="S35" s="73">
        <v>1</v>
      </c>
      <c r="T35" s="95">
        <v>26643</v>
      </c>
      <c r="U35" s="85">
        <v>26655</v>
      </c>
      <c r="V35" s="82" t="s">
        <v>507</v>
      </c>
      <c r="W35" s="73" t="s">
        <v>74</v>
      </c>
      <c r="X35" s="73" t="s">
        <v>11</v>
      </c>
      <c r="Y35" s="83">
        <v>55.2</v>
      </c>
      <c r="AD35" s="82"/>
      <c r="AG35" s="83"/>
      <c r="AL35" s="82"/>
      <c r="AO35" s="83"/>
      <c r="AP35" s="82"/>
      <c r="AS35" s="83"/>
      <c r="AT35" s="164"/>
      <c r="AW35" s="83"/>
      <c r="BA35" s="84"/>
    </row>
    <row r="36" spans="1:53" s="73" customFormat="1" x14ac:dyDescent="0.15">
      <c r="A36" s="102">
        <v>1973</v>
      </c>
      <c r="B36" s="85"/>
      <c r="C36" s="811" t="s">
        <v>702</v>
      </c>
      <c r="D36" s="811"/>
      <c r="E36" s="73">
        <v>0</v>
      </c>
      <c r="G36" s="123">
        <v>15</v>
      </c>
      <c r="J36" s="134">
        <v>15</v>
      </c>
      <c r="K36" s="92">
        <f t="shared" si="1"/>
        <v>100</v>
      </c>
      <c r="L36" s="92">
        <f t="shared" si="1"/>
        <v>0</v>
      </c>
      <c r="M36" s="92">
        <f t="shared" si="1"/>
        <v>0</v>
      </c>
      <c r="N36" s="125">
        <f t="shared" si="2"/>
        <v>100</v>
      </c>
      <c r="O36" s="91">
        <v>55.2</v>
      </c>
      <c r="P36" s="92"/>
      <c r="Q36" s="92"/>
      <c r="R36" s="93">
        <f t="shared" si="3"/>
        <v>55.2</v>
      </c>
      <c r="S36" s="73">
        <v>1</v>
      </c>
      <c r="T36" s="81"/>
      <c r="V36" s="82" t="s">
        <v>507</v>
      </c>
      <c r="W36" s="73" t="s">
        <v>74</v>
      </c>
      <c r="X36" s="73" t="s">
        <v>11</v>
      </c>
      <c r="Y36" s="83">
        <v>55.2</v>
      </c>
      <c r="AD36" s="82"/>
      <c r="AG36" s="83"/>
      <c r="AL36" s="82"/>
      <c r="AO36" s="83"/>
      <c r="AP36" s="82"/>
      <c r="AS36" s="83"/>
      <c r="AT36" s="164"/>
      <c r="AW36" s="83"/>
      <c r="BA36" s="84"/>
    </row>
    <row r="37" spans="1:53" s="73" customFormat="1" x14ac:dyDescent="0.15">
      <c r="A37" s="102">
        <v>1973</v>
      </c>
      <c r="B37" s="85"/>
      <c r="C37" s="811" t="s">
        <v>702</v>
      </c>
      <c r="D37" s="811"/>
      <c r="E37" s="73">
        <v>365</v>
      </c>
      <c r="G37" s="123">
        <v>15</v>
      </c>
      <c r="J37" s="134">
        <v>15</v>
      </c>
      <c r="K37" s="92">
        <f t="shared" si="1"/>
        <v>100</v>
      </c>
      <c r="L37" s="92">
        <f t="shared" si="1"/>
        <v>0</v>
      </c>
      <c r="M37" s="92">
        <f t="shared" si="1"/>
        <v>0</v>
      </c>
      <c r="N37" s="125">
        <f t="shared" si="2"/>
        <v>100</v>
      </c>
      <c r="O37" s="91">
        <v>55.2</v>
      </c>
      <c r="P37" s="92"/>
      <c r="Q37" s="92"/>
      <c r="R37" s="93">
        <f t="shared" si="3"/>
        <v>55.2</v>
      </c>
      <c r="S37" s="73">
        <v>1</v>
      </c>
      <c r="T37" s="81"/>
      <c r="V37" s="82" t="s">
        <v>507</v>
      </c>
      <c r="W37" s="73" t="s">
        <v>74</v>
      </c>
      <c r="X37" s="73" t="s">
        <v>11</v>
      </c>
      <c r="Y37" s="83">
        <v>55.2</v>
      </c>
      <c r="AD37" s="82"/>
      <c r="AG37" s="83"/>
      <c r="AL37" s="82"/>
      <c r="AO37" s="83"/>
      <c r="AP37" s="82"/>
      <c r="AS37" s="83"/>
      <c r="AT37" s="164"/>
      <c r="AW37" s="83"/>
      <c r="BA37" s="84"/>
    </row>
    <row r="38" spans="1:53" s="73" customFormat="1" x14ac:dyDescent="0.15">
      <c r="A38" s="102">
        <v>1974</v>
      </c>
      <c r="B38" s="85"/>
      <c r="C38" s="811" t="s">
        <v>702</v>
      </c>
      <c r="D38" s="811"/>
      <c r="E38" s="73">
        <v>342</v>
      </c>
      <c r="G38" s="123">
        <v>15</v>
      </c>
      <c r="J38" s="134">
        <v>15</v>
      </c>
      <c r="K38" s="92">
        <f t="shared" si="1"/>
        <v>100</v>
      </c>
      <c r="L38" s="92">
        <f t="shared" si="1"/>
        <v>0</v>
      </c>
      <c r="M38" s="92">
        <f t="shared" si="1"/>
        <v>0</v>
      </c>
      <c r="N38" s="125">
        <f t="shared" si="2"/>
        <v>100</v>
      </c>
      <c r="O38" s="91">
        <v>55.2</v>
      </c>
      <c r="P38" s="92"/>
      <c r="Q38" s="92"/>
      <c r="R38" s="93">
        <f t="shared" si="3"/>
        <v>55.2</v>
      </c>
      <c r="S38" s="73">
        <v>1</v>
      </c>
      <c r="T38" s="81"/>
      <c r="V38" s="82" t="s">
        <v>507</v>
      </c>
      <c r="W38" s="73" t="s">
        <v>74</v>
      </c>
      <c r="X38" s="73" t="s">
        <v>11</v>
      </c>
      <c r="Y38" s="83">
        <v>55.2</v>
      </c>
      <c r="AD38" s="82"/>
      <c r="AG38" s="83"/>
      <c r="AL38" s="82"/>
      <c r="AO38" s="83"/>
      <c r="AP38" s="82"/>
      <c r="AS38" s="83"/>
      <c r="AT38" s="164"/>
      <c r="AW38" s="83"/>
      <c r="BA38" s="84"/>
    </row>
    <row r="39" spans="1:53" s="334" customFormat="1" x14ac:dyDescent="0.15">
      <c r="A39" s="386">
        <v>1974</v>
      </c>
      <c r="B39" s="355">
        <v>27372</v>
      </c>
      <c r="C39" s="812" t="s">
        <v>703</v>
      </c>
      <c r="D39" s="812"/>
      <c r="E39" s="334">
        <f>365-E38</f>
        <v>23</v>
      </c>
      <c r="F39" s="334">
        <v>2</v>
      </c>
      <c r="G39" s="419">
        <v>15</v>
      </c>
      <c r="J39" s="435">
        <v>15</v>
      </c>
      <c r="K39" s="384">
        <f t="shared" si="1"/>
        <v>100</v>
      </c>
      <c r="L39" s="384">
        <f t="shared" si="1"/>
        <v>0</v>
      </c>
      <c r="M39" s="384">
        <f t="shared" si="1"/>
        <v>0</v>
      </c>
      <c r="N39" s="421">
        <f t="shared" si="2"/>
        <v>100</v>
      </c>
      <c r="O39" s="383">
        <v>55.2</v>
      </c>
      <c r="P39" s="384"/>
      <c r="Q39" s="384"/>
      <c r="R39" s="385">
        <f t="shared" si="3"/>
        <v>55.2</v>
      </c>
      <c r="S39" s="334">
        <v>1</v>
      </c>
      <c r="T39" s="357"/>
      <c r="U39" s="355">
        <v>27372</v>
      </c>
      <c r="V39" s="343" t="s">
        <v>507</v>
      </c>
      <c r="W39" s="334" t="s">
        <v>74</v>
      </c>
      <c r="X39" s="334" t="s">
        <v>11</v>
      </c>
      <c r="Y39" s="344">
        <v>55.2</v>
      </c>
      <c r="AD39" s="343"/>
      <c r="AG39" s="344"/>
      <c r="AL39" s="343"/>
      <c r="AO39" s="344"/>
      <c r="AP39" s="343"/>
      <c r="AS39" s="344"/>
      <c r="AT39" s="452"/>
      <c r="AW39" s="344"/>
      <c r="BA39" s="345"/>
    </row>
    <row r="40" spans="1:53" s="334" customFormat="1" x14ac:dyDescent="0.15">
      <c r="A40" s="386">
        <v>1975</v>
      </c>
      <c r="B40" s="355"/>
      <c r="C40" s="812" t="s">
        <v>703</v>
      </c>
      <c r="D40" s="812"/>
      <c r="E40" s="334">
        <v>0</v>
      </c>
      <c r="G40" s="419">
        <v>15</v>
      </c>
      <c r="J40" s="435">
        <v>15</v>
      </c>
      <c r="K40" s="384">
        <f t="shared" si="1"/>
        <v>100</v>
      </c>
      <c r="L40" s="384">
        <f t="shared" si="1"/>
        <v>0</v>
      </c>
      <c r="M40" s="384">
        <f t="shared" si="1"/>
        <v>0</v>
      </c>
      <c r="N40" s="421">
        <f t="shared" si="2"/>
        <v>100</v>
      </c>
      <c r="O40" s="383">
        <v>55.2</v>
      </c>
      <c r="P40" s="384"/>
      <c r="Q40" s="384"/>
      <c r="R40" s="385">
        <f t="shared" si="3"/>
        <v>55.2</v>
      </c>
      <c r="S40" s="334">
        <v>1</v>
      </c>
      <c r="T40" s="357"/>
      <c r="V40" s="343" t="s">
        <v>507</v>
      </c>
      <c r="W40" s="334" t="s">
        <v>74</v>
      </c>
      <c r="X40" s="334" t="s">
        <v>11</v>
      </c>
      <c r="Y40" s="344">
        <v>55.2</v>
      </c>
      <c r="AD40" s="343"/>
      <c r="AG40" s="344"/>
      <c r="AL40" s="343"/>
      <c r="AO40" s="344"/>
      <c r="AP40" s="343"/>
      <c r="AS40" s="344"/>
      <c r="AT40" s="452"/>
      <c r="AW40" s="344"/>
      <c r="BA40" s="345"/>
    </row>
    <row r="41" spans="1:53" s="334" customFormat="1" x14ac:dyDescent="0.15">
      <c r="A41" s="386">
        <v>1975</v>
      </c>
      <c r="B41" s="355"/>
      <c r="C41" s="812" t="s">
        <v>703</v>
      </c>
      <c r="D41" s="812"/>
      <c r="E41" s="334">
        <v>365</v>
      </c>
      <c r="G41" s="419">
        <v>15</v>
      </c>
      <c r="J41" s="435">
        <v>15</v>
      </c>
      <c r="K41" s="384">
        <f t="shared" si="1"/>
        <v>100</v>
      </c>
      <c r="L41" s="384">
        <f t="shared" si="1"/>
        <v>0</v>
      </c>
      <c r="M41" s="384">
        <f t="shared" si="1"/>
        <v>0</v>
      </c>
      <c r="N41" s="421">
        <f t="shared" si="2"/>
        <v>100</v>
      </c>
      <c r="O41" s="383">
        <v>55.2</v>
      </c>
      <c r="P41" s="384"/>
      <c r="Q41" s="384"/>
      <c r="R41" s="385">
        <f t="shared" si="3"/>
        <v>55.2</v>
      </c>
      <c r="S41" s="334">
        <v>1</v>
      </c>
      <c r="T41" s="357"/>
      <c r="V41" s="343" t="s">
        <v>507</v>
      </c>
      <c r="W41" s="334" t="s">
        <v>74</v>
      </c>
      <c r="X41" s="334" t="s">
        <v>11</v>
      </c>
      <c r="Y41" s="344">
        <v>55.2</v>
      </c>
      <c r="AD41" s="343"/>
      <c r="AG41" s="344"/>
      <c r="AL41" s="343"/>
      <c r="AO41" s="344"/>
      <c r="AP41" s="343"/>
      <c r="AS41" s="344"/>
      <c r="AT41" s="452"/>
      <c r="AW41" s="344"/>
      <c r="BA41" s="345"/>
    </row>
    <row r="42" spans="1:53" s="334" customFormat="1" x14ac:dyDescent="0.15">
      <c r="A42" s="386">
        <v>1976</v>
      </c>
      <c r="B42" s="355"/>
      <c r="C42" s="812" t="s">
        <v>703</v>
      </c>
      <c r="D42" s="812"/>
      <c r="E42" s="334">
        <v>358</v>
      </c>
      <c r="G42" s="419">
        <v>15</v>
      </c>
      <c r="J42" s="435">
        <v>15</v>
      </c>
      <c r="K42" s="384">
        <f t="shared" si="1"/>
        <v>100</v>
      </c>
      <c r="L42" s="384">
        <f t="shared" si="1"/>
        <v>0</v>
      </c>
      <c r="M42" s="384">
        <f t="shared" si="1"/>
        <v>0</v>
      </c>
      <c r="N42" s="421">
        <f t="shared" si="2"/>
        <v>100</v>
      </c>
      <c r="O42" s="383">
        <v>55.2</v>
      </c>
      <c r="P42" s="384"/>
      <c r="Q42" s="384"/>
      <c r="R42" s="385">
        <f t="shared" si="3"/>
        <v>55.2</v>
      </c>
      <c r="S42" s="334">
        <v>1</v>
      </c>
      <c r="T42" s="357"/>
      <c r="V42" s="343" t="s">
        <v>507</v>
      </c>
      <c r="W42" s="334" t="s">
        <v>74</v>
      </c>
      <c r="X42" s="334" t="s">
        <v>11</v>
      </c>
      <c r="Y42" s="344">
        <v>55.2</v>
      </c>
      <c r="AD42" s="343"/>
      <c r="AG42" s="344"/>
      <c r="AL42" s="343"/>
      <c r="AO42" s="344"/>
      <c r="AP42" s="343"/>
      <c r="AS42" s="344"/>
      <c r="AT42" s="452"/>
      <c r="AW42" s="344"/>
      <c r="BA42" s="345"/>
    </row>
    <row r="43" spans="1:53" s="73" customFormat="1" x14ac:dyDescent="0.15">
      <c r="A43" s="102">
        <v>1976</v>
      </c>
      <c r="B43" s="85">
        <v>28118</v>
      </c>
      <c r="C43" s="811" t="s">
        <v>704</v>
      </c>
      <c r="D43" s="811"/>
      <c r="E43" s="73">
        <f>366-E42</f>
        <v>8</v>
      </c>
      <c r="F43" s="73">
        <v>2</v>
      </c>
      <c r="G43" s="123">
        <v>15</v>
      </c>
      <c r="J43" s="134">
        <v>15</v>
      </c>
      <c r="K43" s="92">
        <f t="shared" si="1"/>
        <v>100</v>
      </c>
      <c r="L43" s="92">
        <f t="shared" si="1"/>
        <v>0</v>
      </c>
      <c r="M43" s="92">
        <f t="shared" si="1"/>
        <v>0</v>
      </c>
      <c r="N43" s="125">
        <f t="shared" si="2"/>
        <v>100</v>
      </c>
      <c r="O43" s="91">
        <v>48.7</v>
      </c>
      <c r="P43" s="92"/>
      <c r="Q43" s="92"/>
      <c r="R43" s="93">
        <f t="shared" si="3"/>
        <v>48.7</v>
      </c>
      <c r="S43" s="73">
        <v>4</v>
      </c>
      <c r="T43" s="95">
        <v>28099</v>
      </c>
      <c r="U43" s="85">
        <v>28118</v>
      </c>
      <c r="V43" s="82" t="s">
        <v>507</v>
      </c>
      <c r="W43" s="73" t="s">
        <v>74</v>
      </c>
      <c r="X43" s="73" t="s">
        <v>11</v>
      </c>
      <c r="Y43" s="83">
        <v>48.7</v>
      </c>
      <c r="AD43" s="82"/>
      <c r="AG43" s="83"/>
      <c r="AL43" s="82"/>
      <c r="AO43" s="83"/>
      <c r="AP43" s="82"/>
      <c r="AS43" s="83"/>
      <c r="AT43" s="164"/>
      <c r="AW43" s="83"/>
      <c r="BA43" s="84"/>
    </row>
    <row r="44" spans="1:53" s="73" customFormat="1" x14ac:dyDescent="0.15">
      <c r="A44" s="102">
        <v>1977</v>
      </c>
      <c r="B44" s="85"/>
      <c r="C44" s="811" t="s">
        <v>704</v>
      </c>
      <c r="D44" s="811"/>
      <c r="E44" s="73">
        <v>0</v>
      </c>
      <c r="G44" s="123">
        <v>15</v>
      </c>
      <c r="J44" s="134">
        <v>15</v>
      </c>
      <c r="K44" s="92">
        <f t="shared" si="1"/>
        <v>100</v>
      </c>
      <c r="L44" s="92">
        <f t="shared" si="1"/>
        <v>0</v>
      </c>
      <c r="M44" s="92">
        <f t="shared" si="1"/>
        <v>0</v>
      </c>
      <c r="N44" s="125">
        <f t="shared" si="2"/>
        <v>100</v>
      </c>
      <c r="O44" s="91">
        <v>48.7</v>
      </c>
      <c r="P44" s="92"/>
      <c r="Q44" s="92"/>
      <c r="R44" s="93">
        <f t="shared" si="3"/>
        <v>48.7</v>
      </c>
      <c r="S44" s="73">
        <v>4</v>
      </c>
      <c r="T44" s="81"/>
      <c r="V44" s="82" t="s">
        <v>507</v>
      </c>
      <c r="W44" s="73" t="s">
        <v>74</v>
      </c>
      <c r="X44" s="73" t="s">
        <v>11</v>
      </c>
      <c r="Y44" s="83">
        <v>48.7</v>
      </c>
      <c r="AD44" s="82"/>
      <c r="AG44" s="83"/>
      <c r="AL44" s="82"/>
      <c r="AO44" s="83"/>
      <c r="AP44" s="82"/>
      <c r="AS44" s="83"/>
      <c r="AT44" s="164"/>
      <c r="AW44" s="83"/>
      <c r="BA44" s="84"/>
    </row>
    <row r="45" spans="1:53" s="73" customFormat="1" x14ac:dyDescent="0.15">
      <c r="A45" s="102">
        <v>1977</v>
      </c>
      <c r="B45" s="85"/>
      <c r="C45" s="811" t="s">
        <v>704</v>
      </c>
      <c r="D45" s="811"/>
      <c r="E45" s="73">
        <v>365</v>
      </c>
      <c r="G45" s="123">
        <v>15</v>
      </c>
      <c r="J45" s="134">
        <v>15</v>
      </c>
      <c r="K45" s="92">
        <f t="shared" si="1"/>
        <v>100</v>
      </c>
      <c r="L45" s="92">
        <f t="shared" si="1"/>
        <v>0</v>
      </c>
      <c r="M45" s="92">
        <f t="shared" si="1"/>
        <v>0</v>
      </c>
      <c r="N45" s="125">
        <f t="shared" si="2"/>
        <v>100</v>
      </c>
      <c r="O45" s="91">
        <v>48.7</v>
      </c>
      <c r="P45" s="92"/>
      <c r="Q45" s="92"/>
      <c r="R45" s="93">
        <f t="shared" si="3"/>
        <v>48.7</v>
      </c>
      <c r="S45" s="73">
        <v>4</v>
      </c>
      <c r="T45" s="81"/>
      <c r="V45" s="82" t="s">
        <v>507</v>
      </c>
      <c r="W45" s="73" t="s">
        <v>74</v>
      </c>
      <c r="X45" s="73" t="s">
        <v>11</v>
      </c>
      <c r="Y45" s="83">
        <v>48.7</v>
      </c>
      <c r="AD45" s="82"/>
      <c r="AG45" s="83"/>
      <c r="AL45" s="82"/>
      <c r="AO45" s="83"/>
      <c r="AP45" s="82"/>
      <c r="AS45" s="83"/>
      <c r="AT45" s="164"/>
      <c r="AW45" s="83"/>
      <c r="BA45" s="84"/>
    </row>
    <row r="46" spans="1:53" s="73" customFormat="1" x14ac:dyDescent="0.15">
      <c r="A46" s="102">
        <v>1978</v>
      </c>
      <c r="B46" s="85"/>
      <c r="C46" s="811" t="s">
        <v>704</v>
      </c>
      <c r="D46" s="811"/>
      <c r="E46" s="73">
        <v>341</v>
      </c>
      <c r="G46" s="123">
        <v>15</v>
      </c>
      <c r="J46" s="134">
        <v>15</v>
      </c>
      <c r="K46" s="92">
        <f t="shared" si="1"/>
        <v>100</v>
      </c>
      <c r="L46" s="92">
        <f t="shared" si="1"/>
        <v>0</v>
      </c>
      <c r="M46" s="92">
        <f t="shared" si="1"/>
        <v>0</v>
      </c>
      <c r="N46" s="125">
        <f t="shared" si="2"/>
        <v>100</v>
      </c>
      <c r="O46" s="91">
        <v>48.7</v>
      </c>
      <c r="P46" s="92"/>
      <c r="Q46" s="92"/>
      <c r="R46" s="93">
        <f t="shared" si="3"/>
        <v>48.7</v>
      </c>
      <c r="S46" s="73">
        <v>4</v>
      </c>
      <c r="T46" s="81"/>
      <c r="V46" s="82" t="s">
        <v>507</v>
      </c>
      <c r="W46" s="73" t="s">
        <v>74</v>
      </c>
      <c r="X46" s="73" t="s">
        <v>11</v>
      </c>
      <c r="Y46" s="83">
        <v>48.7</v>
      </c>
      <c r="AD46" s="82"/>
      <c r="AG46" s="83"/>
      <c r="AL46" s="82"/>
      <c r="AO46" s="83"/>
      <c r="AP46" s="82"/>
      <c r="AS46" s="83"/>
      <c r="AT46" s="164"/>
      <c r="AW46" s="83"/>
      <c r="BA46" s="84"/>
    </row>
    <row r="47" spans="1:53" s="334" customFormat="1" x14ac:dyDescent="0.15">
      <c r="A47" s="386">
        <v>1978</v>
      </c>
      <c r="B47" s="355">
        <v>28832</v>
      </c>
      <c r="C47" s="812" t="s">
        <v>1194</v>
      </c>
      <c r="D47" s="812"/>
      <c r="E47" s="334">
        <f>365-E46</f>
        <v>24</v>
      </c>
      <c r="F47" s="334">
        <v>2</v>
      </c>
      <c r="G47" s="419">
        <v>15</v>
      </c>
      <c r="J47" s="435">
        <v>15</v>
      </c>
      <c r="K47" s="384">
        <f t="shared" si="1"/>
        <v>100</v>
      </c>
      <c r="L47" s="384">
        <f t="shared" si="1"/>
        <v>0</v>
      </c>
      <c r="M47" s="384">
        <f t="shared" si="1"/>
        <v>0</v>
      </c>
      <c r="N47" s="421">
        <f t="shared" si="2"/>
        <v>100</v>
      </c>
      <c r="O47" s="383">
        <v>48.7</v>
      </c>
      <c r="P47" s="384"/>
      <c r="Q47" s="384"/>
      <c r="R47" s="385">
        <f t="shared" si="3"/>
        <v>48.7</v>
      </c>
      <c r="S47" s="334">
        <v>4</v>
      </c>
      <c r="T47" s="357"/>
      <c r="U47" s="355">
        <v>28832</v>
      </c>
      <c r="V47" s="343" t="s">
        <v>507</v>
      </c>
      <c r="W47" s="334" t="s">
        <v>74</v>
      </c>
      <c r="X47" s="334" t="s">
        <v>11</v>
      </c>
      <c r="Y47" s="344">
        <v>48.7</v>
      </c>
      <c r="AD47" s="343"/>
      <c r="AG47" s="344"/>
      <c r="AL47" s="343"/>
      <c r="AO47" s="344"/>
      <c r="AP47" s="343"/>
      <c r="AS47" s="344"/>
      <c r="AT47" s="452"/>
      <c r="AW47" s="344"/>
      <c r="BA47" s="345"/>
    </row>
    <row r="48" spans="1:53" s="334" customFormat="1" x14ac:dyDescent="0.15">
      <c r="A48" s="386">
        <v>1979</v>
      </c>
      <c r="B48" s="355"/>
      <c r="C48" s="812" t="s">
        <v>1194</v>
      </c>
      <c r="D48" s="812"/>
      <c r="E48" s="334">
        <v>311</v>
      </c>
      <c r="G48" s="419">
        <v>15</v>
      </c>
      <c r="J48" s="435">
        <v>15</v>
      </c>
      <c r="K48" s="384">
        <f t="shared" si="1"/>
        <v>100</v>
      </c>
      <c r="L48" s="384">
        <f t="shared" si="1"/>
        <v>0</v>
      </c>
      <c r="M48" s="384">
        <f t="shared" si="1"/>
        <v>0</v>
      </c>
      <c r="N48" s="421">
        <f t="shared" si="2"/>
        <v>100</v>
      </c>
      <c r="O48" s="383">
        <v>48.7</v>
      </c>
      <c r="P48" s="384"/>
      <c r="Q48" s="384"/>
      <c r="R48" s="385">
        <f t="shared" si="3"/>
        <v>48.7</v>
      </c>
      <c r="S48" s="334">
        <v>4</v>
      </c>
      <c r="T48" s="357"/>
      <c r="U48" s="355"/>
      <c r="V48" s="343" t="s">
        <v>507</v>
      </c>
      <c r="W48" s="334" t="s">
        <v>74</v>
      </c>
      <c r="X48" s="334" t="s">
        <v>11</v>
      </c>
      <c r="Y48" s="344">
        <v>48.7</v>
      </c>
      <c r="AD48" s="343"/>
      <c r="AG48" s="344"/>
      <c r="AL48" s="343"/>
      <c r="AO48" s="344"/>
      <c r="AP48" s="343"/>
      <c r="AS48" s="344"/>
      <c r="AT48" s="452"/>
      <c r="AW48" s="344"/>
      <c r="BA48" s="345"/>
    </row>
    <row r="49" spans="1:53" s="73" customFormat="1" x14ac:dyDescent="0.15">
      <c r="A49" s="102">
        <v>1979</v>
      </c>
      <c r="B49" s="85">
        <v>29167</v>
      </c>
      <c r="C49" s="811" t="s">
        <v>1195</v>
      </c>
      <c r="D49" s="811"/>
      <c r="E49" s="73">
        <f>365-E48</f>
        <v>54</v>
      </c>
      <c r="F49" s="73">
        <v>1</v>
      </c>
      <c r="G49" s="123">
        <v>14</v>
      </c>
      <c r="J49" s="134">
        <v>14</v>
      </c>
      <c r="K49" s="92">
        <f t="shared" si="1"/>
        <v>100</v>
      </c>
      <c r="L49" s="92">
        <f t="shared" si="1"/>
        <v>0</v>
      </c>
      <c r="M49" s="92">
        <f t="shared" si="1"/>
        <v>0</v>
      </c>
      <c r="N49" s="125">
        <f t="shared" si="2"/>
        <v>100</v>
      </c>
      <c r="O49" s="91">
        <v>48.5</v>
      </c>
      <c r="P49" s="92"/>
      <c r="Q49" s="92"/>
      <c r="R49" s="93">
        <f t="shared" si="3"/>
        <v>48.5</v>
      </c>
      <c r="S49" s="73">
        <v>4</v>
      </c>
      <c r="T49" s="95">
        <v>29135</v>
      </c>
      <c r="U49" s="85">
        <v>29167</v>
      </c>
      <c r="V49" s="82" t="s">
        <v>507</v>
      </c>
      <c r="W49" s="73" t="s">
        <v>74</v>
      </c>
      <c r="X49" s="73" t="s">
        <v>11</v>
      </c>
      <c r="Y49" s="83">
        <v>48.5</v>
      </c>
      <c r="AD49" s="82"/>
      <c r="AG49" s="83"/>
      <c r="AL49" s="82"/>
      <c r="AO49" s="83"/>
      <c r="AP49" s="82"/>
      <c r="AS49" s="83"/>
      <c r="AT49" s="164"/>
      <c r="AW49" s="83"/>
      <c r="BA49" s="84"/>
    </row>
    <row r="50" spans="1:53" s="73" customFormat="1" x14ac:dyDescent="0.15">
      <c r="A50" s="102">
        <v>1980</v>
      </c>
      <c r="B50" s="85"/>
      <c r="C50" s="811" t="s">
        <v>1195</v>
      </c>
      <c r="D50" s="811"/>
      <c r="E50" s="73">
        <v>198</v>
      </c>
      <c r="G50" s="123">
        <v>14</v>
      </c>
      <c r="J50" s="134">
        <v>14</v>
      </c>
      <c r="K50" s="92">
        <f t="shared" si="1"/>
        <v>100</v>
      </c>
      <c r="L50" s="92">
        <f t="shared" si="1"/>
        <v>0</v>
      </c>
      <c r="M50" s="92">
        <f t="shared" si="1"/>
        <v>0</v>
      </c>
      <c r="N50" s="125">
        <f t="shared" si="2"/>
        <v>100</v>
      </c>
      <c r="O50" s="91">
        <v>48.5</v>
      </c>
      <c r="P50" s="92"/>
      <c r="Q50" s="92"/>
      <c r="R50" s="93">
        <f t="shared" si="3"/>
        <v>48.5</v>
      </c>
      <c r="S50" s="73">
        <v>4</v>
      </c>
      <c r="T50" s="81"/>
      <c r="U50" s="85"/>
      <c r="V50" s="82" t="s">
        <v>507</v>
      </c>
      <c r="W50" s="73" t="s">
        <v>74</v>
      </c>
      <c r="X50" s="73" t="s">
        <v>11</v>
      </c>
      <c r="Y50" s="83">
        <v>48.5</v>
      </c>
      <c r="AD50" s="82"/>
      <c r="AG50" s="83"/>
      <c r="AL50" s="82"/>
      <c r="AO50" s="83"/>
      <c r="AP50" s="82"/>
      <c r="AS50" s="83"/>
      <c r="AT50" s="164"/>
      <c r="AW50" s="83"/>
      <c r="BA50" s="84"/>
    </row>
    <row r="51" spans="1:53" s="334" customFormat="1" x14ac:dyDescent="0.15">
      <c r="A51" s="386">
        <v>1980</v>
      </c>
      <c r="B51" s="355">
        <v>29419</v>
      </c>
      <c r="C51" s="812" t="s">
        <v>705</v>
      </c>
      <c r="D51" s="812"/>
      <c r="E51" s="334">
        <f>366-E50</f>
        <v>168</v>
      </c>
      <c r="F51" s="334">
        <v>5</v>
      </c>
      <c r="G51" s="419">
        <v>15</v>
      </c>
      <c r="J51" s="435">
        <v>15</v>
      </c>
      <c r="K51" s="384">
        <f>G51/$J51*100</f>
        <v>100</v>
      </c>
      <c r="L51" s="384">
        <f t="shared" ref="L51:M93" si="4">H51/$J51*100</f>
        <v>0</v>
      </c>
      <c r="M51" s="384">
        <f t="shared" si="4"/>
        <v>0</v>
      </c>
      <c r="N51" s="421">
        <f>K51+L51+M51</f>
        <v>100</v>
      </c>
      <c r="O51" s="383">
        <v>55.6</v>
      </c>
      <c r="P51" s="384"/>
      <c r="Q51" s="384"/>
      <c r="R51" s="385">
        <f t="shared" si="3"/>
        <v>55.6</v>
      </c>
      <c r="S51" s="334">
        <v>1</v>
      </c>
      <c r="T51" s="342">
        <v>29394</v>
      </c>
      <c r="U51" s="355">
        <v>29419</v>
      </c>
      <c r="V51" s="343" t="s">
        <v>507</v>
      </c>
      <c r="W51" s="334" t="s">
        <v>74</v>
      </c>
      <c r="X51" s="334" t="s">
        <v>11</v>
      </c>
      <c r="Y51" s="344">
        <v>55.6</v>
      </c>
      <c r="AD51" s="343"/>
      <c r="AG51" s="344"/>
      <c r="AL51" s="343"/>
      <c r="AO51" s="344"/>
      <c r="AP51" s="343"/>
      <c r="AS51" s="344"/>
      <c r="AT51" s="452"/>
      <c r="AW51" s="344"/>
      <c r="BA51" s="345"/>
    </row>
    <row r="52" spans="1:53" s="334" customFormat="1" x14ac:dyDescent="0.15">
      <c r="A52" s="386">
        <v>1981</v>
      </c>
      <c r="B52" s="355"/>
      <c r="C52" s="812" t="s">
        <v>705</v>
      </c>
      <c r="D52" s="812"/>
      <c r="E52" s="334">
        <v>0</v>
      </c>
      <c r="G52" s="419">
        <v>15</v>
      </c>
      <c r="J52" s="435">
        <v>15</v>
      </c>
      <c r="K52" s="384">
        <f t="shared" ref="K52:K79" si="5">G52/$J52*100</f>
        <v>100</v>
      </c>
      <c r="L52" s="384">
        <f t="shared" si="4"/>
        <v>0</v>
      </c>
      <c r="M52" s="384">
        <f t="shared" si="4"/>
        <v>0</v>
      </c>
      <c r="N52" s="421">
        <f t="shared" ref="N52:N79" si="6">K52+L52+M52</f>
        <v>100</v>
      </c>
      <c r="O52" s="383">
        <v>55.6</v>
      </c>
      <c r="P52" s="384"/>
      <c r="Q52" s="384"/>
      <c r="R52" s="385">
        <f t="shared" si="3"/>
        <v>55.6</v>
      </c>
      <c r="S52" s="334">
        <v>1</v>
      </c>
      <c r="T52" s="357"/>
      <c r="U52" s="355"/>
      <c r="V52" s="343" t="s">
        <v>507</v>
      </c>
      <c r="W52" s="334" t="s">
        <v>74</v>
      </c>
      <c r="X52" s="334" t="s">
        <v>11</v>
      </c>
      <c r="Y52" s="344">
        <v>55.6</v>
      </c>
      <c r="AD52" s="343"/>
      <c r="AG52" s="344"/>
      <c r="AL52" s="343"/>
      <c r="AO52" s="344"/>
      <c r="AP52" s="343"/>
      <c r="AS52" s="344"/>
      <c r="AT52" s="452"/>
      <c r="AW52" s="344"/>
      <c r="BA52" s="345"/>
    </row>
    <row r="53" spans="1:53" s="334" customFormat="1" x14ac:dyDescent="0.15">
      <c r="A53" s="386">
        <v>1981</v>
      </c>
      <c r="B53" s="355"/>
      <c r="C53" s="812" t="s">
        <v>705</v>
      </c>
      <c r="D53" s="812"/>
      <c r="E53" s="334">
        <v>365</v>
      </c>
      <c r="G53" s="419">
        <v>15</v>
      </c>
      <c r="J53" s="435">
        <v>15</v>
      </c>
      <c r="K53" s="384">
        <f t="shared" si="5"/>
        <v>100</v>
      </c>
      <c r="L53" s="384">
        <f t="shared" si="4"/>
        <v>0</v>
      </c>
      <c r="M53" s="384">
        <f t="shared" si="4"/>
        <v>0</v>
      </c>
      <c r="N53" s="421">
        <f t="shared" si="6"/>
        <v>100</v>
      </c>
      <c r="O53" s="383">
        <v>55.6</v>
      </c>
      <c r="P53" s="384"/>
      <c r="Q53" s="384"/>
      <c r="R53" s="385">
        <f t="shared" si="3"/>
        <v>55.6</v>
      </c>
      <c r="S53" s="334">
        <v>1</v>
      </c>
      <c r="T53" s="357"/>
      <c r="U53" s="355"/>
      <c r="V53" s="343" t="s">
        <v>507</v>
      </c>
      <c r="W53" s="334" t="s">
        <v>74</v>
      </c>
      <c r="X53" s="334" t="s">
        <v>11</v>
      </c>
      <c r="Y53" s="344">
        <v>55.6</v>
      </c>
      <c r="AD53" s="343"/>
      <c r="AG53" s="344"/>
      <c r="AL53" s="343"/>
      <c r="AO53" s="344"/>
      <c r="AP53" s="343"/>
      <c r="AS53" s="344"/>
      <c r="AT53" s="452"/>
      <c r="AW53" s="344"/>
      <c r="BA53" s="345"/>
    </row>
    <row r="54" spans="1:53" s="334" customFormat="1" x14ac:dyDescent="0.15">
      <c r="A54" s="386">
        <v>1982</v>
      </c>
      <c r="B54" s="355"/>
      <c r="C54" s="812" t="s">
        <v>705</v>
      </c>
      <c r="D54" s="812"/>
      <c r="E54" s="334">
        <v>329</v>
      </c>
      <c r="G54" s="419">
        <v>15</v>
      </c>
      <c r="J54" s="435">
        <v>15</v>
      </c>
      <c r="K54" s="384">
        <f t="shared" si="5"/>
        <v>100</v>
      </c>
      <c r="L54" s="384">
        <f t="shared" si="4"/>
        <v>0</v>
      </c>
      <c r="M54" s="384">
        <f t="shared" si="4"/>
        <v>0</v>
      </c>
      <c r="N54" s="421">
        <f t="shared" si="6"/>
        <v>100</v>
      </c>
      <c r="O54" s="383">
        <v>55.6</v>
      </c>
      <c r="P54" s="384"/>
      <c r="Q54" s="384"/>
      <c r="R54" s="385">
        <f t="shared" si="3"/>
        <v>55.6</v>
      </c>
      <c r="S54" s="334">
        <v>1</v>
      </c>
      <c r="T54" s="357"/>
      <c r="U54" s="355"/>
      <c r="V54" s="343" t="s">
        <v>507</v>
      </c>
      <c r="W54" s="334" t="s">
        <v>74</v>
      </c>
      <c r="X54" s="334" t="s">
        <v>11</v>
      </c>
      <c r="Y54" s="344">
        <v>55.6</v>
      </c>
      <c r="AD54" s="343"/>
      <c r="AG54" s="344"/>
      <c r="AL54" s="343"/>
      <c r="AO54" s="344"/>
      <c r="AP54" s="343"/>
      <c r="AS54" s="344"/>
      <c r="AT54" s="452"/>
      <c r="AW54" s="344"/>
      <c r="BA54" s="345"/>
    </row>
    <row r="55" spans="1:53" s="73" customFormat="1" x14ac:dyDescent="0.15">
      <c r="A55" s="102">
        <v>1982</v>
      </c>
      <c r="B55" s="85">
        <v>30281</v>
      </c>
      <c r="C55" s="811" t="s">
        <v>706</v>
      </c>
      <c r="D55" s="811"/>
      <c r="E55" s="73">
        <f>365-E54</f>
        <v>36</v>
      </c>
      <c r="F55" s="73">
        <v>2</v>
      </c>
      <c r="G55" s="123">
        <v>15</v>
      </c>
      <c r="J55" s="134">
        <v>15</v>
      </c>
      <c r="K55" s="92">
        <f t="shared" si="5"/>
        <v>100</v>
      </c>
      <c r="L55" s="92">
        <f t="shared" si="4"/>
        <v>0</v>
      </c>
      <c r="M55" s="92">
        <f t="shared" si="4"/>
        <v>0</v>
      </c>
      <c r="N55" s="125">
        <f t="shared" si="6"/>
        <v>100</v>
      </c>
      <c r="O55" s="91">
        <v>55.6</v>
      </c>
      <c r="P55" s="92"/>
      <c r="Q55" s="92"/>
      <c r="R55" s="93">
        <f t="shared" si="3"/>
        <v>55.6</v>
      </c>
      <c r="S55" s="73">
        <v>1</v>
      </c>
      <c r="T55" s="81"/>
      <c r="U55" s="85">
        <v>30281</v>
      </c>
      <c r="V55" s="82" t="s">
        <v>507</v>
      </c>
      <c r="W55" s="73" t="s">
        <v>74</v>
      </c>
      <c r="X55" s="73" t="s">
        <v>11</v>
      </c>
      <c r="Y55" s="83">
        <v>55.6</v>
      </c>
      <c r="AD55" s="82"/>
      <c r="AG55" s="83"/>
      <c r="AL55" s="82"/>
      <c r="AO55" s="83"/>
      <c r="AP55" s="82"/>
      <c r="AS55" s="83"/>
      <c r="AT55" s="164"/>
      <c r="AW55" s="83"/>
      <c r="BA55" s="84"/>
    </row>
    <row r="56" spans="1:53" s="73" customFormat="1" x14ac:dyDescent="0.15">
      <c r="A56" s="102">
        <v>1983</v>
      </c>
      <c r="B56" s="85"/>
      <c r="C56" s="811" t="s">
        <v>706</v>
      </c>
      <c r="D56" s="811"/>
      <c r="E56" s="73">
        <v>359</v>
      </c>
      <c r="G56" s="123">
        <v>15</v>
      </c>
      <c r="J56" s="134">
        <v>15</v>
      </c>
      <c r="K56" s="92">
        <f t="shared" si="5"/>
        <v>100</v>
      </c>
      <c r="L56" s="92">
        <f t="shared" si="4"/>
        <v>0</v>
      </c>
      <c r="M56" s="92">
        <f t="shared" si="4"/>
        <v>0</v>
      </c>
      <c r="N56" s="125">
        <f t="shared" si="6"/>
        <v>100</v>
      </c>
      <c r="O56" s="91">
        <v>55.6</v>
      </c>
      <c r="P56" s="92"/>
      <c r="Q56" s="92"/>
      <c r="R56" s="93">
        <f t="shared" si="3"/>
        <v>55.6</v>
      </c>
      <c r="S56" s="73">
        <v>1</v>
      </c>
      <c r="T56" s="81"/>
      <c r="U56" s="85"/>
      <c r="V56" s="82" t="s">
        <v>507</v>
      </c>
      <c r="W56" s="73" t="s">
        <v>74</v>
      </c>
      <c r="X56" s="73" t="s">
        <v>11</v>
      </c>
      <c r="Y56" s="83">
        <v>55.6</v>
      </c>
      <c r="AD56" s="82"/>
      <c r="AG56" s="83"/>
      <c r="AL56" s="82"/>
      <c r="AO56" s="83"/>
      <c r="AP56" s="82"/>
      <c r="AS56" s="83"/>
      <c r="AT56" s="164"/>
      <c r="AW56" s="83"/>
      <c r="BA56" s="84"/>
    </row>
    <row r="57" spans="1:53" s="334" customFormat="1" x14ac:dyDescent="0.15">
      <c r="A57" s="386">
        <v>1983</v>
      </c>
      <c r="B57" s="355">
        <v>30676</v>
      </c>
      <c r="C57" s="812" t="s">
        <v>707</v>
      </c>
      <c r="D57" s="812"/>
      <c r="E57" s="334">
        <f>365-E56</f>
        <v>6</v>
      </c>
      <c r="F57" s="334">
        <v>1</v>
      </c>
      <c r="G57" s="419">
        <v>15</v>
      </c>
      <c r="J57" s="435">
        <v>15</v>
      </c>
      <c r="K57" s="384">
        <f t="shared" si="5"/>
        <v>100</v>
      </c>
      <c r="L57" s="384">
        <f t="shared" si="4"/>
        <v>0</v>
      </c>
      <c r="M57" s="384">
        <f t="shared" si="4"/>
        <v>0</v>
      </c>
      <c r="N57" s="421">
        <f t="shared" si="6"/>
        <v>100</v>
      </c>
      <c r="O57" s="383">
        <f t="shared" ref="O57:O62" si="7">Y57+AC57</f>
        <v>50.5</v>
      </c>
      <c r="P57" s="384"/>
      <c r="Q57" s="384"/>
      <c r="R57" s="385">
        <f t="shared" si="3"/>
        <v>50.5</v>
      </c>
      <c r="S57" s="334">
        <v>2</v>
      </c>
      <c r="T57" s="342">
        <v>30668</v>
      </c>
      <c r="U57" s="355">
        <v>30676</v>
      </c>
      <c r="V57" s="343" t="s">
        <v>507</v>
      </c>
      <c r="W57" s="334" t="s">
        <v>74</v>
      </c>
      <c r="X57" s="334" t="s">
        <v>11</v>
      </c>
      <c r="Y57" s="344">
        <v>48.9</v>
      </c>
      <c r="Z57" s="334" t="s">
        <v>508</v>
      </c>
      <c r="AA57" s="334" t="s">
        <v>22</v>
      </c>
      <c r="AB57" s="334" t="s">
        <v>11</v>
      </c>
      <c r="AC57" s="334">
        <v>1.6</v>
      </c>
      <c r="AD57" s="343"/>
      <c r="AG57" s="344"/>
      <c r="AL57" s="343"/>
      <c r="AO57" s="344"/>
      <c r="AP57" s="343"/>
      <c r="AS57" s="344"/>
      <c r="AT57" s="452"/>
      <c r="AW57" s="344"/>
      <c r="BA57" s="345"/>
    </row>
    <row r="58" spans="1:53" s="334" customFormat="1" x14ac:dyDescent="0.15">
      <c r="A58" s="386">
        <v>1984</v>
      </c>
      <c r="B58" s="355"/>
      <c r="C58" s="812" t="s">
        <v>707</v>
      </c>
      <c r="D58" s="812"/>
      <c r="E58" s="334">
        <v>305</v>
      </c>
      <c r="G58" s="419">
        <v>15</v>
      </c>
      <c r="J58" s="435">
        <v>15</v>
      </c>
      <c r="K58" s="384">
        <f t="shared" si="5"/>
        <v>100</v>
      </c>
      <c r="L58" s="384">
        <f t="shared" si="4"/>
        <v>0</v>
      </c>
      <c r="M58" s="384">
        <f t="shared" si="4"/>
        <v>0</v>
      </c>
      <c r="N58" s="421">
        <f t="shared" si="6"/>
        <v>100</v>
      </c>
      <c r="O58" s="383">
        <f t="shared" si="7"/>
        <v>50.5</v>
      </c>
      <c r="P58" s="384"/>
      <c r="Q58" s="384"/>
      <c r="R58" s="385">
        <f t="shared" si="3"/>
        <v>50.5</v>
      </c>
      <c r="S58" s="334">
        <v>2</v>
      </c>
      <c r="T58" s="357"/>
      <c r="U58" s="355"/>
      <c r="V58" s="343" t="s">
        <v>507</v>
      </c>
      <c r="W58" s="334" t="s">
        <v>74</v>
      </c>
      <c r="X58" s="334" t="s">
        <v>11</v>
      </c>
      <c r="Y58" s="344">
        <v>48.9</v>
      </c>
      <c r="Z58" s="334" t="s">
        <v>508</v>
      </c>
      <c r="AA58" s="334" t="s">
        <v>22</v>
      </c>
      <c r="AB58" s="334" t="s">
        <v>11</v>
      </c>
      <c r="AC58" s="334">
        <v>1.6</v>
      </c>
      <c r="AD58" s="343"/>
      <c r="AG58" s="344"/>
      <c r="AL58" s="343"/>
      <c r="AO58" s="344"/>
      <c r="AP58" s="343"/>
      <c r="AS58" s="344"/>
      <c r="AT58" s="452"/>
      <c r="AW58" s="344"/>
      <c r="BA58" s="345"/>
    </row>
    <row r="59" spans="1:53" s="73" customFormat="1" x14ac:dyDescent="0.15">
      <c r="A59" s="102">
        <v>1984</v>
      </c>
      <c r="B59" s="85">
        <v>30987</v>
      </c>
      <c r="C59" s="811" t="s">
        <v>708</v>
      </c>
      <c r="D59" s="811"/>
      <c r="E59" s="73">
        <f>366-E58</f>
        <v>61</v>
      </c>
      <c r="F59" s="73" t="s">
        <v>322</v>
      </c>
      <c r="G59" s="123">
        <v>15</v>
      </c>
      <c r="J59" s="134">
        <v>15</v>
      </c>
      <c r="K59" s="92">
        <f t="shared" si="5"/>
        <v>100</v>
      </c>
      <c r="L59" s="92">
        <f t="shared" si="4"/>
        <v>0</v>
      </c>
      <c r="M59" s="92">
        <f t="shared" si="4"/>
        <v>0</v>
      </c>
      <c r="N59" s="125">
        <f t="shared" si="6"/>
        <v>100</v>
      </c>
      <c r="O59" s="91">
        <f t="shared" si="7"/>
        <v>50.5</v>
      </c>
      <c r="P59" s="92"/>
      <c r="Q59" s="92"/>
      <c r="R59" s="93">
        <f t="shared" si="3"/>
        <v>50.5</v>
      </c>
      <c r="S59" s="73">
        <v>2</v>
      </c>
      <c r="T59" s="81"/>
      <c r="U59" s="85">
        <v>30987</v>
      </c>
      <c r="V59" s="82" t="s">
        <v>507</v>
      </c>
      <c r="W59" s="73" t="s">
        <v>74</v>
      </c>
      <c r="X59" s="73" t="s">
        <v>11</v>
      </c>
      <c r="Y59" s="83">
        <v>48.9</v>
      </c>
      <c r="Z59" s="73" t="s">
        <v>508</v>
      </c>
      <c r="AA59" s="73" t="s">
        <v>22</v>
      </c>
      <c r="AB59" s="73" t="s">
        <v>11</v>
      </c>
      <c r="AC59" s="73">
        <v>1.6</v>
      </c>
      <c r="AD59" s="82"/>
      <c r="AG59" s="83"/>
      <c r="AL59" s="82"/>
      <c r="AO59" s="83"/>
      <c r="AP59" s="82"/>
      <c r="AS59" s="83"/>
      <c r="AT59" s="164"/>
      <c r="AW59" s="83"/>
      <c r="BA59" s="84"/>
    </row>
    <row r="60" spans="1:53" s="73" customFormat="1" x14ac:dyDescent="0.15">
      <c r="A60" s="102">
        <v>1985</v>
      </c>
      <c r="B60" s="85"/>
      <c r="C60" s="811" t="s">
        <v>708</v>
      </c>
      <c r="D60" s="811"/>
      <c r="E60" s="73">
        <v>0</v>
      </c>
      <c r="G60" s="123">
        <v>15</v>
      </c>
      <c r="J60" s="134">
        <v>15</v>
      </c>
      <c r="K60" s="92">
        <f t="shared" si="5"/>
        <v>100</v>
      </c>
      <c r="L60" s="92">
        <f t="shared" si="4"/>
        <v>0</v>
      </c>
      <c r="M60" s="92">
        <f t="shared" si="4"/>
        <v>0</v>
      </c>
      <c r="N60" s="125">
        <f t="shared" si="6"/>
        <v>100</v>
      </c>
      <c r="O60" s="91">
        <f t="shared" si="7"/>
        <v>50.5</v>
      </c>
      <c r="P60" s="92"/>
      <c r="Q60" s="92"/>
      <c r="R60" s="93">
        <f t="shared" si="3"/>
        <v>50.5</v>
      </c>
      <c r="S60" s="73">
        <v>2</v>
      </c>
      <c r="T60" s="81"/>
      <c r="U60" s="85"/>
      <c r="V60" s="82" t="s">
        <v>507</v>
      </c>
      <c r="W60" s="73" t="s">
        <v>74</v>
      </c>
      <c r="X60" s="73" t="s">
        <v>11</v>
      </c>
      <c r="Y60" s="83">
        <v>48.9</v>
      </c>
      <c r="Z60" s="73" t="s">
        <v>508</v>
      </c>
      <c r="AA60" s="73" t="s">
        <v>22</v>
      </c>
      <c r="AB60" s="73" t="s">
        <v>11</v>
      </c>
      <c r="AC60" s="73">
        <v>1.6</v>
      </c>
      <c r="AD60" s="82"/>
      <c r="AG60" s="83"/>
      <c r="AL60" s="82"/>
      <c r="AO60" s="83"/>
      <c r="AP60" s="82"/>
      <c r="AS60" s="83"/>
      <c r="AT60" s="164"/>
      <c r="AW60" s="83"/>
      <c r="BA60" s="84"/>
    </row>
    <row r="61" spans="1:53" s="73" customFormat="1" x14ac:dyDescent="0.15">
      <c r="A61" s="102">
        <v>1985</v>
      </c>
      <c r="B61" s="85"/>
      <c r="C61" s="811" t="s">
        <v>708</v>
      </c>
      <c r="D61" s="811"/>
      <c r="E61" s="73">
        <v>365</v>
      </c>
      <c r="G61" s="123">
        <v>15</v>
      </c>
      <c r="J61" s="134">
        <v>15</v>
      </c>
      <c r="K61" s="92">
        <f t="shared" si="5"/>
        <v>100</v>
      </c>
      <c r="L61" s="92">
        <f t="shared" si="4"/>
        <v>0</v>
      </c>
      <c r="M61" s="92">
        <f t="shared" si="4"/>
        <v>0</v>
      </c>
      <c r="N61" s="125">
        <f t="shared" si="6"/>
        <v>100</v>
      </c>
      <c r="O61" s="91">
        <f t="shared" si="7"/>
        <v>50.5</v>
      </c>
      <c r="P61" s="92"/>
      <c r="Q61" s="92"/>
      <c r="R61" s="93">
        <f t="shared" si="3"/>
        <v>50.5</v>
      </c>
      <c r="S61" s="73">
        <v>2</v>
      </c>
      <c r="T61" s="81"/>
      <c r="U61" s="85"/>
      <c r="V61" s="82" t="s">
        <v>507</v>
      </c>
      <c r="W61" s="73" t="s">
        <v>74</v>
      </c>
      <c r="X61" s="73" t="s">
        <v>11</v>
      </c>
      <c r="Y61" s="83">
        <v>48.9</v>
      </c>
      <c r="Z61" s="73" t="s">
        <v>508</v>
      </c>
      <c r="AA61" s="73" t="s">
        <v>22</v>
      </c>
      <c r="AB61" s="73" t="s">
        <v>11</v>
      </c>
      <c r="AC61" s="73">
        <v>1.6</v>
      </c>
      <c r="AD61" s="82"/>
      <c r="AG61" s="83"/>
      <c r="AL61" s="82"/>
      <c r="AO61" s="83"/>
      <c r="AP61" s="82"/>
      <c r="AS61" s="83"/>
      <c r="AT61" s="164"/>
      <c r="AW61" s="83"/>
      <c r="BA61" s="84"/>
    </row>
    <row r="62" spans="1:53" s="73" customFormat="1" x14ac:dyDescent="0.15">
      <c r="A62" s="102">
        <v>1986</v>
      </c>
      <c r="B62" s="85"/>
      <c r="C62" s="811" t="s">
        <v>708</v>
      </c>
      <c r="D62" s="811"/>
      <c r="E62" s="73">
        <v>202</v>
      </c>
      <c r="G62" s="123">
        <v>15</v>
      </c>
      <c r="J62" s="134">
        <v>15</v>
      </c>
      <c r="K62" s="92">
        <f t="shared" si="5"/>
        <v>100</v>
      </c>
      <c r="L62" s="92">
        <f t="shared" si="4"/>
        <v>0</v>
      </c>
      <c r="M62" s="92">
        <f t="shared" si="4"/>
        <v>0</v>
      </c>
      <c r="N62" s="125">
        <f t="shared" si="6"/>
        <v>100</v>
      </c>
      <c r="O62" s="91">
        <f t="shared" si="7"/>
        <v>50.5</v>
      </c>
      <c r="P62" s="92"/>
      <c r="Q62" s="92"/>
      <c r="R62" s="93">
        <f t="shared" si="3"/>
        <v>50.5</v>
      </c>
      <c r="S62" s="73">
        <v>2</v>
      </c>
      <c r="T62" s="81"/>
      <c r="U62" s="85"/>
      <c r="V62" s="82" t="s">
        <v>507</v>
      </c>
      <c r="W62" s="73" t="s">
        <v>74</v>
      </c>
      <c r="X62" s="73" t="s">
        <v>11</v>
      </c>
      <c r="Y62" s="83">
        <v>48.9</v>
      </c>
      <c r="Z62" s="73" t="s">
        <v>508</v>
      </c>
      <c r="AA62" s="73" t="s">
        <v>22</v>
      </c>
      <c r="AB62" s="73" t="s">
        <v>11</v>
      </c>
      <c r="AC62" s="73">
        <v>1.6</v>
      </c>
      <c r="AD62" s="82"/>
      <c r="AG62" s="83"/>
      <c r="AL62" s="82"/>
      <c r="AO62" s="83"/>
      <c r="AP62" s="82"/>
      <c r="AS62" s="83"/>
      <c r="AT62" s="164"/>
      <c r="AW62" s="83"/>
      <c r="BA62" s="84"/>
    </row>
    <row r="63" spans="1:53" s="334" customFormat="1" x14ac:dyDescent="0.15">
      <c r="A63" s="386">
        <v>1986</v>
      </c>
      <c r="B63" s="355">
        <v>31615</v>
      </c>
      <c r="C63" s="812" t="s">
        <v>709</v>
      </c>
      <c r="D63" s="812"/>
      <c r="E63" s="334">
        <f>365-E62</f>
        <v>163</v>
      </c>
      <c r="F63" s="334">
        <v>1</v>
      </c>
      <c r="G63" s="419">
        <v>16</v>
      </c>
      <c r="J63" s="435">
        <v>16</v>
      </c>
      <c r="K63" s="384">
        <f t="shared" si="5"/>
        <v>100</v>
      </c>
      <c r="L63" s="384">
        <f t="shared" si="4"/>
        <v>0</v>
      </c>
      <c r="M63" s="384">
        <f t="shared" si="4"/>
        <v>0</v>
      </c>
      <c r="N63" s="421">
        <f t="shared" si="6"/>
        <v>100</v>
      </c>
      <c r="O63" s="383">
        <v>58.6</v>
      </c>
      <c r="P63" s="384"/>
      <c r="Q63" s="384"/>
      <c r="R63" s="385">
        <f t="shared" si="3"/>
        <v>58.6</v>
      </c>
      <c r="S63" s="334">
        <v>1</v>
      </c>
      <c r="T63" s="342">
        <v>31599</v>
      </c>
      <c r="U63" s="355">
        <v>31615</v>
      </c>
      <c r="V63" s="343" t="s">
        <v>507</v>
      </c>
      <c r="W63" s="334" t="s">
        <v>74</v>
      </c>
      <c r="X63" s="334" t="s">
        <v>11</v>
      </c>
      <c r="Y63" s="344">
        <v>58.6</v>
      </c>
      <c r="AD63" s="343"/>
      <c r="AG63" s="344"/>
      <c r="AL63" s="343"/>
      <c r="AO63" s="344"/>
      <c r="AP63" s="343"/>
      <c r="AS63" s="344"/>
      <c r="AT63" s="452"/>
      <c r="AW63" s="344"/>
      <c r="BA63" s="345"/>
    </row>
    <row r="64" spans="1:53" s="334" customFormat="1" x14ac:dyDescent="0.15">
      <c r="A64" s="386">
        <v>1987</v>
      </c>
      <c r="B64" s="355"/>
      <c r="C64" s="812" t="s">
        <v>709</v>
      </c>
      <c r="D64" s="812"/>
      <c r="E64" s="334">
        <v>309</v>
      </c>
      <c r="G64" s="419">
        <v>16</v>
      </c>
      <c r="J64" s="435">
        <v>16</v>
      </c>
      <c r="K64" s="384">
        <f t="shared" si="5"/>
        <v>100</v>
      </c>
      <c r="L64" s="384">
        <f t="shared" si="4"/>
        <v>0</v>
      </c>
      <c r="M64" s="384">
        <f t="shared" si="4"/>
        <v>0</v>
      </c>
      <c r="N64" s="421">
        <f t="shared" si="6"/>
        <v>100</v>
      </c>
      <c r="O64" s="383">
        <v>58.6</v>
      </c>
      <c r="P64" s="384"/>
      <c r="Q64" s="384"/>
      <c r="R64" s="385">
        <f t="shared" si="3"/>
        <v>58.6</v>
      </c>
      <c r="S64" s="334">
        <v>1</v>
      </c>
      <c r="T64" s="357"/>
      <c r="U64" s="355"/>
      <c r="V64" s="343" t="s">
        <v>507</v>
      </c>
      <c r="W64" s="334" t="s">
        <v>74</v>
      </c>
      <c r="X64" s="334" t="s">
        <v>11</v>
      </c>
      <c r="Y64" s="344">
        <v>58.6</v>
      </c>
      <c r="AD64" s="343"/>
      <c r="AG64" s="344"/>
      <c r="AL64" s="343"/>
      <c r="AO64" s="344"/>
      <c r="AP64" s="343"/>
      <c r="AS64" s="344"/>
      <c r="AT64" s="452"/>
      <c r="AW64" s="344"/>
      <c r="BA64" s="345"/>
    </row>
    <row r="65" spans="1:53" s="73" customFormat="1" x14ac:dyDescent="0.15">
      <c r="A65" s="102">
        <v>1987</v>
      </c>
      <c r="B65" s="85">
        <v>32087</v>
      </c>
      <c r="C65" s="811" t="s">
        <v>710</v>
      </c>
      <c r="D65" s="811"/>
      <c r="E65" s="73">
        <f>365-E64</f>
        <v>56</v>
      </c>
      <c r="F65" s="73">
        <v>2</v>
      </c>
      <c r="G65" s="123">
        <v>15</v>
      </c>
      <c r="J65" s="134">
        <v>15</v>
      </c>
      <c r="K65" s="92">
        <f t="shared" si="5"/>
        <v>100</v>
      </c>
      <c r="L65" s="92">
        <f t="shared" si="4"/>
        <v>0</v>
      </c>
      <c r="M65" s="92">
        <f t="shared" si="4"/>
        <v>0</v>
      </c>
      <c r="N65" s="125">
        <f t="shared" si="6"/>
        <v>100</v>
      </c>
      <c r="O65" s="91">
        <v>58.6</v>
      </c>
      <c r="P65" s="92"/>
      <c r="Q65" s="92"/>
      <c r="R65" s="93">
        <f t="shared" si="3"/>
        <v>58.6</v>
      </c>
      <c r="S65" s="73">
        <v>1</v>
      </c>
      <c r="T65" s="81"/>
      <c r="U65" s="85">
        <v>32087</v>
      </c>
      <c r="V65" s="82" t="s">
        <v>507</v>
      </c>
      <c r="W65" s="73" t="s">
        <v>74</v>
      </c>
      <c r="X65" s="73" t="s">
        <v>11</v>
      </c>
      <c r="Y65" s="83">
        <v>58.6</v>
      </c>
      <c r="AD65" s="82"/>
      <c r="AG65" s="83"/>
      <c r="AL65" s="82"/>
      <c r="AO65" s="83"/>
      <c r="AP65" s="82"/>
      <c r="AS65" s="83"/>
      <c r="AT65" s="164"/>
      <c r="AW65" s="83"/>
      <c r="BA65" s="84"/>
    </row>
    <row r="66" spans="1:53" s="73" customFormat="1" x14ac:dyDescent="0.15">
      <c r="A66" s="102">
        <v>1988</v>
      </c>
      <c r="B66" s="85"/>
      <c r="C66" s="811" t="s">
        <v>710</v>
      </c>
      <c r="D66" s="811"/>
      <c r="E66" s="73">
        <v>0</v>
      </c>
      <c r="G66" s="123">
        <v>15</v>
      </c>
      <c r="J66" s="134">
        <v>15</v>
      </c>
      <c r="K66" s="92">
        <f t="shared" si="5"/>
        <v>100</v>
      </c>
      <c r="L66" s="92">
        <f t="shared" si="4"/>
        <v>0</v>
      </c>
      <c r="M66" s="92">
        <f t="shared" si="4"/>
        <v>0</v>
      </c>
      <c r="N66" s="125">
        <f t="shared" si="6"/>
        <v>100</v>
      </c>
      <c r="O66" s="91">
        <v>58.6</v>
      </c>
      <c r="P66" s="92"/>
      <c r="Q66" s="92"/>
      <c r="R66" s="93">
        <f t="shared" si="3"/>
        <v>58.6</v>
      </c>
      <c r="S66" s="73">
        <v>1</v>
      </c>
      <c r="T66" s="81"/>
      <c r="V66" s="82" t="s">
        <v>507</v>
      </c>
      <c r="W66" s="73" t="s">
        <v>74</v>
      </c>
      <c r="X66" s="73" t="s">
        <v>11</v>
      </c>
      <c r="Y66" s="83">
        <v>58.6</v>
      </c>
      <c r="AD66" s="82"/>
      <c r="AG66" s="83"/>
      <c r="AL66" s="82"/>
      <c r="AO66" s="83"/>
      <c r="AP66" s="82"/>
      <c r="AS66" s="83"/>
      <c r="AT66" s="164"/>
      <c r="AW66" s="83"/>
      <c r="BA66" s="84"/>
    </row>
    <row r="67" spans="1:53" s="73" customFormat="1" x14ac:dyDescent="0.15">
      <c r="A67" s="102">
        <v>1988</v>
      </c>
      <c r="B67" s="85"/>
      <c r="C67" s="811" t="s">
        <v>710</v>
      </c>
      <c r="D67" s="811"/>
      <c r="E67" s="73">
        <v>366</v>
      </c>
      <c r="G67" s="123">
        <v>15</v>
      </c>
      <c r="J67" s="134">
        <v>15</v>
      </c>
      <c r="K67" s="92">
        <f t="shared" si="5"/>
        <v>100</v>
      </c>
      <c r="L67" s="92">
        <f t="shared" si="4"/>
        <v>0</v>
      </c>
      <c r="M67" s="92">
        <f t="shared" si="4"/>
        <v>0</v>
      </c>
      <c r="N67" s="125">
        <f t="shared" si="6"/>
        <v>100</v>
      </c>
      <c r="O67" s="91">
        <v>58.6</v>
      </c>
      <c r="P67" s="92"/>
      <c r="Q67" s="92"/>
      <c r="R67" s="93">
        <f t="shared" si="3"/>
        <v>58.6</v>
      </c>
      <c r="S67" s="73">
        <v>1</v>
      </c>
      <c r="T67" s="81"/>
      <c r="V67" s="82" t="s">
        <v>507</v>
      </c>
      <c r="W67" s="73" t="s">
        <v>74</v>
      </c>
      <c r="X67" s="73" t="s">
        <v>11</v>
      </c>
      <c r="Y67" s="83">
        <v>58.6</v>
      </c>
      <c r="AD67" s="82"/>
      <c r="AG67" s="83"/>
      <c r="AL67" s="82"/>
      <c r="AO67" s="83"/>
      <c r="AP67" s="82"/>
      <c r="AS67" s="83"/>
      <c r="AT67" s="164"/>
      <c r="AW67" s="83"/>
      <c r="BA67" s="84"/>
    </row>
    <row r="68" spans="1:53" s="73" customFormat="1" x14ac:dyDescent="0.15">
      <c r="A68" s="102">
        <v>1989</v>
      </c>
      <c r="B68" s="85"/>
      <c r="C68" s="811" t="s">
        <v>710</v>
      </c>
      <c r="D68" s="811"/>
      <c r="E68" s="73">
        <v>153</v>
      </c>
      <c r="G68" s="123">
        <v>15</v>
      </c>
      <c r="J68" s="134">
        <v>15</v>
      </c>
      <c r="K68" s="92">
        <f t="shared" si="5"/>
        <v>100</v>
      </c>
      <c r="L68" s="92">
        <f t="shared" si="4"/>
        <v>0</v>
      </c>
      <c r="M68" s="92">
        <f t="shared" si="4"/>
        <v>0</v>
      </c>
      <c r="N68" s="125">
        <f t="shared" si="6"/>
        <v>100</v>
      </c>
      <c r="O68" s="91">
        <v>58.6</v>
      </c>
      <c r="P68" s="92"/>
      <c r="Q68" s="92"/>
      <c r="R68" s="93">
        <f t="shared" si="3"/>
        <v>58.6</v>
      </c>
      <c r="S68" s="73">
        <v>1</v>
      </c>
      <c r="T68" s="81"/>
      <c r="V68" s="82" t="s">
        <v>507</v>
      </c>
      <c r="W68" s="73" t="s">
        <v>74</v>
      </c>
      <c r="X68" s="73" t="s">
        <v>11</v>
      </c>
      <c r="Y68" s="83">
        <v>58.6</v>
      </c>
      <c r="AD68" s="82"/>
      <c r="AG68" s="83"/>
      <c r="AL68" s="82"/>
      <c r="AO68" s="83"/>
      <c r="AP68" s="82"/>
      <c r="AS68" s="83"/>
      <c r="AT68" s="164"/>
      <c r="AW68" s="83"/>
      <c r="BA68" s="84"/>
    </row>
    <row r="69" spans="1:53" s="334" customFormat="1" x14ac:dyDescent="0.15">
      <c r="A69" s="386">
        <v>1989</v>
      </c>
      <c r="B69" s="355">
        <v>32662</v>
      </c>
      <c r="C69" s="812" t="s">
        <v>711</v>
      </c>
      <c r="D69" s="812"/>
      <c r="E69" s="334">
        <v>67</v>
      </c>
      <c r="F69" s="334">
        <v>2</v>
      </c>
      <c r="G69" s="419">
        <v>15</v>
      </c>
      <c r="J69" s="435">
        <v>15</v>
      </c>
      <c r="K69" s="384">
        <f t="shared" si="5"/>
        <v>100</v>
      </c>
      <c r="L69" s="384">
        <f t="shared" si="4"/>
        <v>0</v>
      </c>
      <c r="M69" s="384">
        <f t="shared" si="4"/>
        <v>0</v>
      </c>
      <c r="N69" s="421">
        <f t="shared" si="6"/>
        <v>100</v>
      </c>
      <c r="O69" s="383">
        <v>58.6</v>
      </c>
      <c r="P69" s="384"/>
      <c r="Q69" s="384"/>
      <c r="R69" s="385">
        <f t="shared" si="3"/>
        <v>58.6</v>
      </c>
      <c r="S69" s="334">
        <v>1</v>
      </c>
      <c r="T69" s="357"/>
      <c r="U69" s="355">
        <v>32662</v>
      </c>
      <c r="V69" s="343" t="s">
        <v>507</v>
      </c>
      <c r="W69" s="334" t="s">
        <v>74</v>
      </c>
      <c r="X69" s="334" t="s">
        <v>11</v>
      </c>
      <c r="Y69" s="344">
        <v>58.6</v>
      </c>
      <c r="AD69" s="343"/>
      <c r="AG69" s="344"/>
      <c r="AL69" s="343"/>
      <c r="AO69" s="344"/>
      <c r="AP69" s="343"/>
      <c r="AS69" s="344"/>
      <c r="AT69" s="452"/>
      <c r="AW69" s="344"/>
      <c r="BA69" s="345"/>
    </row>
    <row r="70" spans="1:53" s="136" customFormat="1" x14ac:dyDescent="0.15">
      <c r="A70" s="162">
        <v>1989</v>
      </c>
      <c r="B70" s="137">
        <v>32729</v>
      </c>
      <c r="C70" s="845" t="s">
        <v>712</v>
      </c>
      <c r="D70" s="845"/>
      <c r="E70" s="136">
        <f>365-E68-E69</f>
        <v>145</v>
      </c>
      <c r="F70" s="136">
        <v>2</v>
      </c>
      <c r="G70" s="123">
        <v>15</v>
      </c>
      <c r="H70" s="73"/>
      <c r="I70" s="73"/>
      <c r="J70" s="134">
        <v>15</v>
      </c>
      <c r="K70" s="92">
        <f t="shared" si="5"/>
        <v>100</v>
      </c>
      <c r="L70" s="92">
        <f t="shared" si="4"/>
        <v>0</v>
      </c>
      <c r="M70" s="92">
        <f t="shared" si="4"/>
        <v>0</v>
      </c>
      <c r="N70" s="125">
        <f t="shared" si="6"/>
        <v>100</v>
      </c>
      <c r="O70" s="91">
        <v>58.6</v>
      </c>
      <c r="P70" s="92"/>
      <c r="Q70" s="92"/>
      <c r="R70" s="93">
        <f t="shared" si="3"/>
        <v>58.6</v>
      </c>
      <c r="S70" s="73">
        <v>1</v>
      </c>
      <c r="T70" s="81"/>
      <c r="U70" s="85">
        <v>32729</v>
      </c>
      <c r="V70" s="82" t="s">
        <v>507</v>
      </c>
      <c r="W70" s="73" t="s">
        <v>74</v>
      </c>
      <c r="X70" s="73" t="s">
        <v>11</v>
      </c>
      <c r="Y70" s="83">
        <v>58.6</v>
      </c>
      <c r="AD70" s="146"/>
      <c r="AG70" s="147"/>
      <c r="AL70" s="146"/>
      <c r="AO70" s="147"/>
      <c r="AP70" s="146"/>
      <c r="AS70" s="147"/>
      <c r="AT70" s="187"/>
      <c r="AW70" s="147"/>
      <c r="BA70" s="148"/>
    </row>
    <row r="71" spans="1:53" s="73" customFormat="1" x14ac:dyDescent="0.15">
      <c r="A71" s="73">
        <v>1990</v>
      </c>
      <c r="C71" s="852" t="s">
        <v>712</v>
      </c>
      <c r="D71" s="852"/>
      <c r="E71" s="73">
        <v>58</v>
      </c>
      <c r="G71" s="165">
        <v>15</v>
      </c>
      <c r="H71" s="151"/>
      <c r="I71" s="151"/>
      <c r="J71" s="166">
        <v>15</v>
      </c>
      <c r="K71" s="167">
        <f t="shared" si="5"/>
        <v>100</v>
      </c>
      <c r="L71" s="167">
        <f t="shared" si="4"/>
        <v>0</v>
      </c>
      <c r="M71" s="167">
        <f t="shared" si="4"/>
        <v>0</v>
      </c>
      <c r="N71" s="168">
        <f t="shared" si="6"/>
        <v>100</v>
      </c>
      <c r="O71" s="169">
        <v>58.6</v>
      </c>
      <c r="P71" s="167"/>
      <c r="Q71" s="167"/>
      <c r="R71" s="170">
        <f t="shared" si="3"/>
        <v>58.6</v>
      </c>
      <c r="S71" s="151">
        <v>1</v>
      </c>
      <c r="T71" s="171"/>
      <c r="U71" s="151"/>
      <c r="V71" s="172" t="s">
        <v>507</v>
      </c>
      <c r="W71" s="151" t="s">
        <v>74</v>
      </c>
      <c r="X71" s="151" t="s">
        <v>11</v>
      </c>
      <c r="Y71" s="173">
        <v>58.6</v>
      </c>
      <c r="AD71" s="82"/>
      <c r="AG71" s="83"/>
      <c r="AL71" s="82"/>
      <c r="AO71" s="83"/>
      <c r="AP71" s="82"/>
      <c r="AS71" s="83"/>
      <c r="AT71" s="164"/>
      <c r="AW71" s="83"/>
      <c r="BA71" s="84"/>
    </row>
    <row r="72" spans="1:53" s="334" customFormat="1" x14ac:dyDescent="0.15">
      <c r="A72" s="334">
        <v>1990</v>
      </c>
      <c r="B72" s="355">
        <v>32932</v>
      </c>
      <c r="C72" s="812" t="s">
        <v>323</v>
      </c>
      <c r="D72" s="812"/>
      <c r="E72" s="334">
        <f>365-E71</f>
        <v>307</v>
      </c>
      <c r="F72" s="334">
        <v>1</v>
      </c>
      <c r="G72" s="419">
        <v>22</v>
      </c>
      <c r="J72" s="435">
        <v>22</v>
      </c>
      <c r="K72" s="384">
        <f t="shared" si="5"/>
        <v>100</v>
      </c>
      <c r="L72" s="384">
        <f t="shared" si="4"/>
        <v>0</v>
      </c>
      <c r="M72" s="384">
        <f t="shared" si="4"/>
        <v>0</v>
      </c>
      <c r="N72" s="421">
        <f t="shared" si="6"/>
        <v>100</v>
      </c>
      <c r="O72" s="383">
        <v>53.7</v>
      </c>
      <c r="P72" s="384"/>
      <c r="Q72" s="384"/>
      <c r="R72" s="385">
        <f t="shared" si="3"/>
        <v>53.7</v>
      </c>
      <c r="S72" s="334">
        <v>1</v>
      </c>
      <c r="T72" s="342">
        <v>32922</v>
      </c>
      <c r="U72" s="355">
        <v>32932</v>
      </c>
      <c r="V72" s="343" t="s">
        <v>507</v>
      </c>
      <c r="W72" s="334" t="s">
        <v>74</v>
      </c>
      <c r="X72" s="334" t="s">
        <v>11</v>
      </c>
      <c r="Y72" s="344">
        <v>53.7</v>
      </c>
      <c r="AD72" s="343"/>
      <c r="AG72" s="344"/>
      <c r="AL72" s="343"/>
      <c r="AO72" s="344"/>
      <c r="AP72" s="343"/>
      <c r="AS72" s="344"/>
      <c r="AT72" s="452"/>
      <c r="AW72" s="344"/>
      <c r="BA72" s="345"/>
    </row>
    <row r="73" spans="1:53" s="334" customFormat="1" x14ac:dyDescent="0.15">
      <c r="A73" s="334">
        <v>1991</v>
      </c>
      <c r="C73" s="812" t="s">
        <v>323</v>
      </c>
      <c r="D73" s="812"/>
      <c r="E73" s="334">
        <v>308</v>
      </c>
      <c r="G73" s="419">
        <v>22</v>
      </c>
      <c r="J73" s="435">
        <v>22</v>
      </c>
      <c r="K73" s="384">
        <f t="shared" si="5"/>
        <v>100</v>
      </c>
      <c r="L73" s="384">
        <f t="shared" si="4"/>
        <v>0</v>
      </c>
      <c r="M73" s="384">
        <f t="shared" si="4"/>
        <v>0</v>
      </c>
      <c r="N73" s="421">
        <f t="shared" si="6"/>
        <v>100</v>
      </c>
      <c r="O73" s="383">
        <v>53.7</v>
      </c>
      <c r="P73" s="384"/>
      <c r="Q73" s="384"/>
      <c r="R73" s="385">
        <f t="shared" ref="R73:R131" si="8">O73+P73+Q73</f>
        <v>53.7</v>
      </c>
      <c r="S73" s="334">
        <v>1</v>
      </c>
      <c r="T73" s="357"/>
      <c r="V73" s="343" t="s">
        <v>507</v>
      </c>
      <c r="W73" s="334" t="s">
        <v>74</v>
      </c>
      <c r="X73" s="334" t="s">
        <v>11</v>
      </c>
      <c r="Y73" s="344">
        <v>53.7</v>
      </c>
      <c r="AD73" s="343"/>
      <c r="AG73" s="344"/>
      <c r="AL73" s="343"/>
      <c r="AO73" s="344"/>
      <c r="AP73" s="343"/>
      <c r="AS73" s="344"/>
      <c r="AT73" s="452"/>
      <c r="AW73" s="344"/>
      <c r="BA73" s="345"/>
    </row>
    <row r="74" spans="1:53" s="73" customFormat="1" x14ac:dyDescent="0.15">
      <c r="A74" s="73">
        <v>1991</v>
      </c>
      <c r="B74" s="85">
        <v>33547</v>
      </c>
      <c r="C74" s="811" t="s">
        <v>324</v>
      </c>
      <c r="D74" s="811"/>
      <c r="E74" s="73">
        <f>365-E73</f>
        <v>57</v>
      </c>
      <c r="F74" s="73">
        <v>3</v>
      </c>
      <c r="G74" s="123">
        <v>21</v>
      </c>
      <c r="J74" s="134">
        <v>21</v>
      </c>
      <c r="K74" s="92">
        <f t="shared" si="5"/>
        <v>100</v>
      </c>
      <c r="L74" s="92">
        <f t="shared" si="4"/>
        <v>0</v>
      </c>
      <c r="M74" s="92">
        <f t="shared" si="4"/>
        <v>0</v>
      </c>
      <c r="N74" s="125">
        <f t="shared" si="6"/>
        <v>100</v>
      </c>
      <c r="O74" s="91">
        <v>53.7</v>
      </c>
      <c r="P74" s="92"/>
      <c r="Q74" s="92"/>
      <c r="R74" s="93">
        <f t="shared" si="8"/>
        <v>53.7</v>
      </c>
      <c r="S74" s="73">
        <v>1</v>
      </c>
      <c r="T74" s="81"/>
      <c r="U74" s="85">
        <v>33547</v>
      </c>
      <c r="V74" s="82" t="s">
        <v>507</v>
      </c>
      <c r="W74" s="73" t="s">
        <v>74</v>
      </c>
      <c r="X74" s="73" t="s">
        <v>11</v>
      </c>
      <c r="Y74" s="83">
        <v>53.7</v>
      </c>
      <c r="AD74" s="82"/>
      <c r="AG74" s="83"/>
      <c r="AL74" s="82"/>
      <c r="AO74" s="83"/>
      <c r="AP74" s="82"/>
      <c r="AS74" s="83"/>
      <c r="AT74" s="164"/>
      <c r="AW74" s="83"/>
      <c r="BA74" s="84"/>
    </row>
    <row r="75" spans="1:53" s="73" customFormat="1" x14ac:dyDescent="0.15">
      <c r="A75" s="73">
        <v>1992</v>
      </c>
      <c r="C75" s="811" t="s">
        <v>324</v>
      </c>
      <c r="D75" s="811"/>
      <c r="E75" s="73">
        <v>346</v>
      </c>
      <c r="G75" s="123">
        <v>21</v>
      </c>
      <c r="J75" s="134">
        <v>21</v>
      </c>
      <c r="K75" s="92">
        <f t="shared" si="5"/>
        <v>100</v>
      </c>
      <c r="L75" s="92">
        <f t="shared" si="4"/>
        <v>0</v>
      </c>
      <c r="M75" s="92">
        <f t="shared" si="4"/>
        <v>0</v>
      </c>
      <c r="N75" s="125">
        <f t="shared" si="6"/>
        <v>100</v>
      </c>
      <c r="O75" s="91">
        <v>53.7</v>
      </c>
      <c r="P75" s="92"/>
      <c r="Q75" s="92"/>
      <c r="R75" s="93">
        <f t="shared" si="8"/>
        <v>53.7</v>
      </c>
      <c r="S75" s="73">
        <v>1</v>
      </c>
      <c r="T75" s="81"/>
      <c r="V75" s="82" t="s">
        <v>507</v>
      </c>
      <c r="W75" s="73" t="s">
        <v>74</v>
      </c>
      <c r="X75" s="73" t="s">
        <v>11</v>
      </c>
      <c r="Y75" s="83">
        <v>53.7</v>
      </c>
      <c r="AD75" s="82"/>
      <c r="AG75" s="83"/>
      <c r="AL75" s="82"/>
      <c r="AO75" s="83"/>
      <c r="AP75" s="82"/>
      <c r="AS75" s="83"/>
      <c r="AT75" s="164"/>
      <c r="AW75" s="83"/>
      <c r="BA75" s="84"/>
    </row>
    <row r="76" spans="1:53" s="73" customFormat="1" x14ac:dyDescent="0.15">
      <c r="A76" s="73">
        <v>1992</v>
      </c>
      <c r="B76" s="149">
        <v>33950</v>
      </c>
      <c r="C76" s="811" t="s">
        <v>325</v>
      </c>
      <c r="D76" s="811"/>
      <c r="E76" s="73">
        <f>366-E75</f>
        <v>20</v>
      </c>
      <c r="F76" s="150">
        <v>0</v>
      </c>
      <c r="G76" s="123">
        <v>21</v>
      </c>
      <c r="J76" s="134">
        <v>21</v>
      </c>
      <c r="K76" s="92">
        <f t="shared" si="5"/>
        <v>100</v>
      </c>
      <c r="L76" s="92">
        <f t="shared" si="4"/>
        <v>0</v>
      </c>
      <c r="M76" s="92">
        <f t="shared" si="4"/>
        <v>0</v>
      </c>
      <c r="N76" s="125">
        <f t="shared" si="6"/>
        <v>100</v>
      </c>
      <c r="O76" s="91">
        <v>53.7</v>
      </c>
      <c r="P76" s="92"/>
      <c r="Q76" s="92"/>
      <c r="R76" s="93">
        <f t="shared" si="8"/>
        <v>53.7</v>
      </c>
      <c r="S76" s="73">
        <v>1</v>
      </c>
      <c r="T76" s="81"/>
      <c r="U76" s="85"/>
      <c r="V76" s="82" t="s">
        <v>507</v>
      </c>
      <c r="W76" s="73" t="s">
        <v>74</v>
      </c>
      <c r="X76" s="73" t="s">
        <v>11</v>
      </c>
      <c r="Y76" s="83">
        <v>53.7</v>
      </c>
      <c r="AD76" s="82"/>
      <c r="AG76" s="83"/>
      <c r="AL76" s="82"/>
      <c r="AO76" s="83"/>
      <c r="AP76" s="82"/>
      <c r="AS76" s="83"/>
      <c r="AT76" s="164"/>
      <c r="AW76" s="83"/>
      <c r="BA76" s="84"/>
    </row>
    <row r="77" spans="1:53" s="73" customFormat="1" x14ac:dyDescent="0.15">
      <c r="A77" s="73">
        <v>1993</v>
      </c>
      <c r="C77" s="811" t="s">
        <v>325</v>
      </c>
      <c r="D77" s="811"/>
      <c r="E77" s="73">
        <v>220</v>
      </c>
      <c r="G77" s="123">
        <v>21</v>
      </c>
      <c r="J77" s="134">
        <v>21</v>
      </c>
      <c r="K77" s="92">
        <f t="shared" si="5"/>
        <v>100</v>
      </c>
      <c r="L77" s="92">
        <f t="shared" si="4"/>
        <v>0</v>
      </c>
      <c r="M77" s="92">
        <f t="shared" si="4"/>
        <v>0</v>
      </c>
      <c r="N77" s="125">
        <f t="shared" si="6"/>
        <v>100</v>
      </c>
      <c r="O77" s="91">
        <v>53.7</v>
      </c>
      <c r="P77" s="92"/>
      <c r="Q77" s="92"/>
      <c r="R77" s="93">
        <f t="shared" si="8"/>
        <v>53.7</v>
      </c>
      <c r="S77" s="73">
        <v>1</v>
      </c>
      <c r="T77" s="81"/>
      <c r="V77" s="82" t="s">
        <v>507</v>
      </c>
      <c r="W77" s="73" t="s">
        <v>74</v>
      </c>
      <c r="X77" s="73" t="s">
        <v>11</v>
      </c>
      <c r="Y77" s="83">
        <v>53.7</v>
      </c>
      <c r="AD77" s="82"/>
      <c r="AG77" s="83"/>
      <c r="AL77" s="82"/>
      <c r="AO77" s="83"/>
      <c r="AP77" s="82"/>
      <c r="AS77" s="83"/>
      <c r="AT77" s="164"/>
      <c r="AW77" s="83"/>
      <c r="BA77" s="84"/>
    </row>
    <row r="78" spans="1:53" s="334" customFormat="1" x14ac:dyDescent="0.15">
      <c r="A78" s="334">
        <v>1993</v>
      </c>
      <c r="B78" s="355">
        <v>34190</v>
      </c>
      <c r="C78" s="812" t="s">
        <v>326</v>
      </c>
      <c r="D78" s="812"/>
      <c r="E78" s="334">
        <f>365-E77</f>
        <v>145</v>
      </c>
      <c r="F78" s="334">
        <v>5</v>
      </c>
      <c r="G78" s="419">
        <v>7</v>
      </c>
      <c r="H78" s="334">
        <v>4</v>
      </c>
      <c r="I78" s="334">
        <v>8</v>
      </c>
      <c r="J78" s="435">
        <v>21</v>
      </c>
      <c r="K78" s="384">
        <f t="shared" si="5"/>
        <v>33.333333333333329</v>
      </c>
      <c r="L78" s="384">
        <f t="shared" si="4"/>
        <v>19.047619047619047</v>
      </c>
      <c r="M78" s="384">
        <f t="shared" si="4"/>
        <v>38.095238095238095</v>
      </c>
      <c r="N78" s="421">
        <f t="shared" si="6"/>
        <v>90.476190476190482</v>
      </c>
      <c r="O78" s="383">
        <v>20.100000000000001</v>
      </c>
      <c r="P78" s="384">
        <v>10</v>
      </c>
      <c r="Q78" s="384">
        <f>16.6+0.8</f>
        <v>17.400000000000002</v>
      </c>
      <c r="R78" s="385">
        <f t="shared" si="8"/>
        <v>47.5</v>
      </c>
      <c r="S78" s="334">
        <v>5</v>
      </c>
      <c r="T78" s="342">
        <v>34168</v>
      </c>
      <c r="U78" s="355">
        <v>34190</v>
      </c>
      <c r="V78" s="343" t="s">
        <v>112</v>
      </c>
      <c r="W78" s="334" t="s">
        <v>20</v>
      </c>
      <c r="X78" s="334" t="s">
        <v>12</v>
      </c>
      <c r="Y78" s="344">
        <v>13.7</v>
      </c>
      <c r="Z78" s="334" t="s">
        <v>509</v>
      </c>
      <c r="AA78" s="334" t="s">
        <v>76</v>
      </c>
      <c r="AB78" s="334" t="s">
        <v>11</v>
      </c>
      <c r="AC78" s="334">
        <v>10.8</v>
      </c>
      <c r="AD78" s="343" t="s">
        <v>510</v>
      </c>
      <c r="AE78" s="334" t="s">
        <v>17</v>
      </c>
      <c r="AF78" s="334" t="s">
        <v>18</v>
      </c>
      <c r="AG78" s="344">
        <v>10</v>
      </c>
      <c r="AH78" s="334" t="s">
        <v>511</v>
      </c>
      <c r="AI78" s="334" t="s">
        <v>77</v>
      </c>
      <c r="AJ78" s="334" t="s">
        <v>11</v>
      </c>
      <c r="AK78" s="334">
        <v>6.8</v>
      </c>
      <c r="AL78" s="343" t="s">
        <v>512</v>
      </c>
      <c r="AM78" s="334" t="s">
        <v>98</v>
      </c>
      <c r="AN78" s="334" t="s">
        <v>12</v>
      </c>
      <c r="AO78" s="344">
        <v>2.9</v>
      </c>
      <c r="AP78" s="343" t="s">
        <v>579</v>
      </c>
      <c r="AQ78" s="334" t="s">
        <v>80</v>
      </c>
      <c r="AR78" s="334" t="s">
        <v>11</v>
      </c>
      <c r="AS78" s="344">
        <v>2.5</v>
      </c>
      <c r="AT78" s="452" t="s">
        <v>513</v>
      </c>
      <c r="AU78" s="334" t="s">
        <v>340</v>
      </c>
      <c r="AV78" s="334" t="s">
        <v>12</v>
      </c>
      <c r="AW78" s="344">
        <v>0.8</v>
      </c>
      <c r="BA78" s="345"/>
    </row>
    <row r="79" spans="1:53" s="334" customFormat="1" x14ac:dyDescent="0.15">
      <c r="A79" s="334">
        <v>1994</v>
      </c>
      <c r="C79" s="812" t="s">
        <v>326</v>
      </c>
      <c r="D79" s="812"/>
      <c r="E79" s="334">
        <v>117</v>
      </c>
      <c r="G79" s="419">
        <v>7</v>
      </c>
      <c r="H79" s="334">
        <v>4</v>
      </c>
      <c r="I79" s="334">
        <v>8</v>
      </c>
      <c r="J79" s="435">
        <v>21</v>
      </c>
      <c r="K79" s="384">
        <f t="shared" si="5"/>
        <v>33.333333333333329</v>
      </c>
      <c r="L79" s="384">
        <f t="shared" si="4"/>
        <v>19.047619047619047</v>
      </c>
      <c r="M79" s="384">
        <f t="shared" si="4"/>
        <v>38.095238095238095</v>
      </c>
      <c r="N79" s="421">
        <f t="shared" si="6"/>
        <v>90.476190476190482</v>
      </c>
      <c r="O79" s="383">
        <v>20.100000000000001</v>
      </c>
      <c r="P79" s="384">
        <v>10</v>
      </c>
      <c r="Q79" s="384">
        <f>16.6+0.8</f>
        <v>17.400000000000002</v>
      </c>
      <c r="R79" s="385">
        <f t="shared" si="8"/>
        <v>47.5</v>
      </c>
      <c r="S79" s="334">
        <v>5</v>
      </c>
      <c r="T79" s="357"/>
      <c r="V79" s="343" t="s">
        <v>112</v>
      </c>
      <c r="W79" s="334" t="s">
        <v>20</v>
      </c>
      <c r="X79" s="334" t="s">
        <v>12</v>
      </c>
      <c r="Y79" s="344">
        <v>13.7</v>
      </c>
      <c r="Z79" s="334" t="s">
        <v>509</v>
      </c>
      <c r="AA79" s="334" t="s">
        <v>76</v>
      </c>
      <c r="AB79" s="334" t="s">
        <v>11</v>
      </c>
      <c r="AC79" s="334">
        <v>10.8</v>
      </c>
      <c r="AD79" s="343" t="s">
        <v>510</v>
      </c>
      <c r="AE79" s="334" t="s">
        <v>17</v>
      </c>
      <c r="AF79" s="334" t="s">
        <v>18</v>
      </c>
      <c r="AG79" s="344">
        <v>10</v>
      </c>
      <c r="AH79" s="334" t="s">
        <v>511</v>
      </c>
      <c r="AI79" s="334" t="s">
        <v>77</v>
      </c>
      <c r="AJ79" s="334" t="s">
        <v>11</v>
      </c>
      <c r="AK79" s="334">
        <v>6.8</v>
      </c>
      <c r="AL79" s="343" t="s">
        <v>512</v>
      </c>
      <c r="AM79" s="334" t="s">
        <v>98</v>
      </c>
      <c r="AN79" s="334" t="s">
        <v>12</v>
      </c>
      <c r="AO79" s="344">
        <v>2.9</v>
      </c>
      <c r="AP79" s="343" t="s">
        <v>579</v>
      </c>
      <c r="AQ79" s="334" t="s">
        <v>80</v>
      </c>
      <c r="AR79" s="334" t="s">
        <v>11</v>
      </c>
      <c r="AS79" s="344">
        <v>2.5</v>
      </c>
      <c r="AT79" s="452" t="s">
        <v>513</v>
      </c>
      <c r="AU79" s="334" t="s">
        <v>340</v>
      </c>
      <c r="AV79" s="334" t="s">
        <v>12</v>
      </c>
      <c r="AW79" s="344">
        <v>0.8</v>
      </c>
      <c r="BA79" s="345"/>
    </row>
    <row r="80" spans="1:53" s="73" customFormat="1" x14ac:dyDescent="0.15">
      <c r="A80" s="73">
        <v>1994</v>
      </c>
      <c r="B80" s="85">
        <v>34452</v>
      </c>
      <c r="C80" s="811" t="s">
        <v>327</v>
      </c>
      <c r="D80" s="811"/>
      <c r="E80" s="73">
        <v>63</v>
      </c>
      <c r="F80" s="73">
        <v>2</v>
      </c>
      <c r="G80" s="123">
        <v>10</v>
      </c>
      <c r="H80" s="73">
        <v>6</v>
      </c>
      <c r="I80" s="73">
        <v>2</v>
      </c>
      <c r="J80" s="134">
        <v>21</v>
      </c>
      <c r="K80" s="92">
        <f>G80/$J80*100</f>
        <v>47.619047619047613</v>
      </c>
      <c r="L80" s="92">
        <f t="shared" si="4"/>
        <v>28.571428571428569</v>
      </c>
      <c r="M80" s="92">
        <f t="shared" si="4"/>
        <v>9.5238095238095237</v>
      </c>
      <c r="N80" s="125">
        <f>K80+L80+M80</f>
        <v>85.714285714285694</v>
      </c>
      <c r="O80" s="91">
        <v>17.600000000000001</v>
      </c>
      <c r="P80" s="92">
        <v>10</v>
      </c>
      <c r="Q80" s="92">
        <v>2.9</v>
      </c>
      <c r="R80" s="93">
        <f t="shared" si="8"/>
        <v>30.5</v>
      </c>
      <c r="S80" s="73">
        <v>5</v>
      </c>
      <c r="T80" s="81"/>
      <c r="U80" s="85">
        <v>34452</v>
      </c>
      <c r="V80" s="73" t="s">
        <v>509</v>
      </c>
      <c r="W80" s="73" t="s">
        <v>76</v>
      </c>
      <c r="X80" s="73" t="s">
        <v>11</v>
      </c>
      <c r="Y80" s="83">
        <v>10.8</v>
      </c>
      <c r="Z80" s="73" t="s">
        <v>510</v>
      </c>
      <c r="AA80" s="73" t="s">
        <v>17</v>
      </c>
      <c r="AB80" s="73" t="s">
        <v>18</v>
      </c>
      <c r="AC80" s="73">
        <v>10</v>
      </c>
      <c r="AD80" s="82" t="s">
        <v>511</v>
      </c>
      <c r="AE80" s="73" t="s">
        <v>77</v>
      </c>
      <c r="AF80" s="73" t="s">
        <v>11</v>
      </c>
      <c r="AG80" s="83">
        <v>6.8</v>
      </c>
      <c r="AH80" s="82" t="s">
        <v>512</v>
      </c>
      <c r="AI80" s="73" t="s">
        <v>98</v>
      </c>
      <c r="AJ80" s="73" t="s">
        <v>12</v>
      </c>
      <c r="AK80" s="73">
        <v>2.9</v>
      </c>
      <c r="AL80" s="82"/>
      <c r="AO80" s="83"/>
      <c r="AP80" s="82"/>
      <c r="AS80" s="83"/>
      <c r="AT80" s="164"/>
      <c r="AW80" s="83"/>
      <c r="BA80" s="84"/>
    </row>
    <row r="81" spans="1:53" s="334" customFormat="1" x14ac:dyDescent="0.15">
      <c r="A81" s="334">
        <v>1994</v>
      </c>
      <c r="B81" s="355">
        <v>34515</v>
      </c>
      <c r="C81" s="812" t="s">
        <v>328</v>
      </c>
      <c r="D81" s="812"/>
      <c r="E81" s="334">
        <f>365-E80-E79</f>
        <v>185</v>
      </c>
      <c r="F81" s="334">
        <v>2</v>
      </c>
      <c r="G81" s="419">
        <v>15</v>
      </c>
      <c r="I81" s="334">
        <v>6</v>
      </c>
      <c r="J81" s="435">
        <v>21</v>
      </c>
      <c r="K81" s="384">
        <f t="shared" ref="K81:M110" si="9">G81/$J81*100</f>
        <v>71.428571428571431</v>
      </c>
      <c r="L81" s="384">
        <f t="shared" si="4"/>
        <v>0</v>
      </c>
      <c r="M81" s="384">
        <f t="shared" si="4"/>
        <v>28.571428571428569</v>
      </c>
      <c r="N81" s="421">
        <f t="shared" ref="N81:N110" si="10">K81+L81+M81</f>
        <v>100</v>
      </c>
      <c r="O81" s="383">
        <v>43.6</v>
      </c>
      <c r="P81" s="384">
        <v>2.5</v>
      </c>
      <c r="Q81" s="384">
        <v>13.7</v>
      </c>
      <c r="R81" s="385">
        <f t="shared" si="8"/>
        <v>59.8</v>
      </c>
      <c r="S81" s="334">
        <v>3</v>
      </c>
      <c r="T81" s="357"/>
      <c r="U81" s="355">
        <v>34515</v>
      </c>
      <c r="V81" s="343" t="s">
        <v>507</v>
      </c>
      <c r="W81" s="334" t="s">
        <v>74</v>
      </c>
      <c r="X81" s="334" t="s">
        <v>11</v>
      </c>
      <c r="Y81" s="344">
        <v>43.6</v>
      </c>
      <c r="Z81" s="334" t="s">
        <v>112</v>
      </c>
      <c r="AA81" s="334" t="s">
        <v>20</v>
      </c>
      <c r="AB81" s="334" t="s">
        <v>12</v>
      </c>
      <c r="AC81" s="334">
        <v>13.7</v>
      </c>
      <c r="AD81" s="343" t="s">
        <v>580</v>
      </c>
      <c r="AE81" s="334" t="s">
        <v>80</v>
      </c>
      <c r="AF81" s="334" t="s">
        <v>18</v>
      </c>
      <c r="AG81" s="344">
        <v>2.5</v>
      </c>
      <c r="AL81" s="343"/>
      <c r="AO81" s="344"/>
      <c r="AP81" s="343"/>
      <c r="AS81" s="344"/>
      <c r="AT81" s="452"/>
      <c r="AW81" s="344"/>
      <c r="BA81" s="345"/>
    </row>
    <row r="82" spans="1:53" s="334" customFormat="1" x14ac:dyDescent="0.15">
      <c r="A82" s="334">
        <v>1995</v>
      </c>
      <c r="C82" s="812" t="s">
        <v>328</v>
      </c>
      <c r="D82" s="812"/>
      <c r="E82" s="334">
        <v>219</v>
      </c>
      <c r="G82" s="419">
        <v>15</v>
      </c>
      <c r="I82" s="334">
        <v>6</v>
      </c>
      <c r="J82" s="435">
        <v>21</v>
      </c>
      <c r="K82" s="384">
        <f t="shared" si="9"/>
        <v>71.428571428571431</v>
      </c>
      <c r="L82" s="384">
        <f t="shared" si="4"/>
        <v>0</v>
      </c>
      <c r="M82" s="384">
        <f t="shared" si="4"/>
        <v>28.571428571428569</v>
      </c>
      <c r="N82" s="421">
        <f t="shared" si="10"/>
        <v>100</v>
      </c>
      <c r="O82" s="383">
        <v>43.6</v>
      </c>
      <c r="P82" s="384">
        <v>2.5</v>
      </c>
      <c r="Q82" s="384">
        <v>13.7</v>
      </c>
      <c r="R82" s="385">
        <f t="shared" si="8"/>
        <v>59.8</v>
      </c>
      <c r="S82" s="334">
        <v>3</v>
      </c>
      <c r="T82" s="357"/>
      <c r="V82" s="343" t="s">
        <v>507</v>
      </c>
      <c r="W82" s="334" t="s">
        <v>74</v>
      </c>
      <c r="X82" s="334" t="s">
        <v>11</v>
      </c>
      <c r="Y82" s="344">
        <v>43.6</v>
      </c>
      <c r="Z82" s="334" t="s">
        <v>112</v>
      </c>
      <c r="AA82" s="334" t="s">
        <v>20</v>
      </c>
      <c r="AB82" s="334" t="s">
        <v>12</v>
      </c>
      <c r="AC82" s="334">
        <v>13.7</v>
      </c>
      <c r="AD82" s="343" t="s">
        <v>580</v>
      </c>
      <c r="AE82" s="334" t="s">
        <v>80</v>
      </c>
      <c r="AF82" s="334" t="s">
        <v>18</v>
      </c>
      <c r="AG82" s="344">
        <v>2.5</v>
      </c>
      <c r="AL82" s="343"/>
      <c r="AO82" s="344"/>
      <c r="AP82" s="343"/>
      <c r="AS82" s="344"/>
      <c r="AT82" s="452"/>
      <c r="AW82" s="344"/>
      <c r="BA82" s="345"/>
    </row>
    <row r="83" spans="1:53" s="334" customFormat="1" x14ac:dyDescent="0.15">
      <c r="A83" s="334">
        <v>1995</v>
      </c>
      <c r="B83" s="445">
        <v>34919</v>
      </c>
      <c r="C83" s="812" t="s">
        <v>329</v>
      </c>
      <c r="D83" s="812"/>
      <c r="E83" s="334">
        <f>365-E82</f>
        <v>146</v>
      </c>
      <c r="F83" s="441">
        <v>0</v>
      </c>
      <c r="G83" s="419">
        <v>14</v>
      </c>
      <c r="I83" s="334">
        <v>6</v>
      </c>
      <c r="J83" s="435">
        <v>21</v>
      </c>
      <c r="K83" s="384">
        <f t="shared" si="9"/>
        <v>66.666666666666657</v>
      </c>
      <c r="L83" s="384">
        <f t="shared" si="4"/>
        <v>0</v>
      </c>
      <c r="M83" s="384">
        <f t="shared" si="4"/>
        <v>28.571428571428569</v>
      </c>
      <c r="N83" s="421">
        <f t="shared" si="10"/>
        <v>95.238095238095227</v>
      </c>
      <c r="O83" s="383">
        <v>43.6</v>
      </c>
      <c r="P83" s="384">
        <v>2.5</v>
      </c>
      <c r="Q83" s="384">
        <v>13.7</v>
      </c>
      <c r="R83" s="385">
        <f t="shared" si="8"/>
        <v>59.8</v>
      </c>
      <c r="S83" s="334">
        <v>3</v>
      </c>
      <c r="T83" s="357"/>
      <c r="U83" s="355">
        <v>34919</v>
      </c>
      <c r="V83" s="343" t="s">
        <v>507</v>
      </c>
      <c r="W83" s="334" t="s">
        <v>74</v>
      </c>
      <c r="X83" s="334" t="s">
        <v>11</v>
      </c>
      <c r="Y83" s="344">
        <v>43.6</v>
      </c>
      <c r="Z83" s="334" t="s">
        <v>112</v>
      </c>
      <c r="AA83" s="334" t="s">
        <v>20</v>
      </c>
      <c r="AB83" s="334" t="s">
        <v>12</v>
      </c>
      <c r="AC83" s="334">
        <v>13.7</v>
      </c>
      <c r="AD83" s="343" t="s">
        <v>580</v>
      </c>
      <c r="AE83" s="334" t="s">
        <v>80</v>
      </c>
      <c r="AF83" s="334" t="s">
        <v>18</v>
      </c>
      <c r="AG83" s="344">
        <v>2.5</v>
      </c>
      <c r="AL83" s="343"/>
      <c r="AO83" s="344"/>
      <c r="AP83" s="343"/>
      <c r="AS83" s="344"/>
      <c r="AT83" s="452"/>
      <c r="AW83" s="344"/>
      <c r="BA83" s="345"/>
    </row>
    <row r="84" spans="1:53" s="334" customFormat="1" x14ac:dyDescent="0.15">
      <c r="A84" s="334">
        <v>1996</v>
      </c>
      <c r="C84" s="812" t="s">
        <v>329</v>
      </c>
      <c r="D84" s="812"/>
      <c r="E84" s="334">
        <v>10</v>
      </c>
      <c r="G84" s="419">
        <v>14</v>
      </c>
      <c r="I84" s="334">
        <v>6</v>
      </c>
      <c r="J84" s="435">
        <v>21</v>
      </c>
      <c r="K84" s="384">
        <f t="shared" si="9"/>
        <v>66.666666666666657</v>
      </c>
      <c r="L84" s="384">
        <f t="shared" si="4"/>
        <v>0</v>
      </c>
      <c r="M84" s="384">
        <f t="shared" si="4"/>
        <v>28.571428571428569</v>
      </c>
      <c r="N84" s="421">
        <f t="shared" si="10"/>
        <v>95.238095238095227</v>
      </c>
      <c r="O84" s="383">
        <v>43.6</v>
      </c>
      <c r="P84" s="384">
        <v>2.5</v>
      </c>
      <c r="Q84" s="384">
        <v>13.7</v>
      </c>
      <c r="R84" s="385">
        <f t="shared" si="8"/>
        <v>59.8</v>
      </c>
      <c r="S84" s="334">
        <v>3</v>
      </c>
      <c r="T84" s="357"/>
      <c r="V84" s="343" t="s">
        <v>507</v>
      </c>
      <c r="W84" s="334" t="s">
        <v>74</v>
      </c>
      <c r="X84" s="334" t="s">
        <v>11</v>
      </c>
      <c r="Y84" s="344">
        <v>43.6</v>
      </c>
      <c r="Z84" s="334" t="s">
        <v>112</v>
      </c>
      <c r="AA84" s="334" t="s">
        <v>20</v>
      </c>
      <c r="AB84" s="334" t="s">
        <v>12</v>
      </c>
      <c r="AC84" s="334">
        <v>13.7</v>
      </c>
      <c r="AD84" s="343" t="s">
        <v>580</v>
      </c>
      <c r="AE84" s="334" t="s">
        <v>80</v>
      </c>
      <c r="AF84" s="334" t="s">
        <v>18</v>
      </c>
      <c r="AG84" s="344">
        <v>2.5</v>
      </c>
      <c r="AL84" s="343"/>
      <c r="AO84" s="344"/>
      <c r="AP84" s="343"/>
      <c r="AS84" s="344"/>
      <c r="AT84" s="452"/>
      <c r="AW84" s="344"/>
      <c r="BA84" s="345"/>
    </row>
    <row r="85" spans="1:53" s="73" customFormat="1" x14ac:dyDescent="0.15">
      <c r="A85" s="73">
        <v>1996</v>
      </c>
      <c r="B85" s="85">
        <v>35075</v>
      </c>
      <c r="C85" s="811" t="s">
        <v>330</v>
      </c>
      <c r="D85" s="811"/>
      <c r="E85" s="73">
        <v>301</v>
      </c>
      <c r="F85" s="73">
        <v>2</v>
      </c>
      <c r="G85" s="123">
        <v>13</v>
      </c>
      <c r="I85" s="73">
        <v>7</v>
      </c>
      <c r="J85" s="134">
        <v>21</v>
      </c>
      <c r="K85" s="92">
        <f t="shared" si="9"/>
        <v>61.904761904761905</v>
      </c>
      <c r="L85" s="92">
        <f t="shared" si="4"/>
        <v>0</v>
      </c>
      <c r="M85" s="92">
        <f t="shared" si="4"/>
        <v>33.333333333333329</v>
      </c>
      <c r="N85" s="125">
        <f t="shared" si="10"/>
        <v>95.238095238095241</v>
      </c>
      <c r="O85" s="91">
        <v>43.6</v>
      </c>
      <c r="P85" s="92">
        <v>2.5</v>
      </c>
      <c r="Q85" s="92">
        <v>13.7</v>
      </c>
      <c r="R85" s="93">
        <f t="shared" si="8"/>
        <v>59.8</v>
      </c>
      <c r="S85" s="73">
        <v>3</v>
      </c>
      <c r="T85" s="81"/>
      <c r="U85" s="85">
        <v>35075</v>
      </c>
      <c r="V85" s="82" t="s">
        <v>507</v>
      </c>
      <c r="W85" s="73" t="s">
        <v>74</v>
      </c>
      <c r="X85" s="73" t="s">
        <v>11</v>
      </c>
      <c r="Y85" s="83">
        <v>43.6</v>
      </c>
      <c r="Z85" s="73" t="s">
        <v>112</v>
      </c>
      <c r="AA85" s="73" t="s">
        <v>20</v>
      </c>
      <c r="AB85" s="73" t="s">
        <v>12</v>
      </c>
      <c r="AC85" s="73">
        <v>13.7</v>
      </c>
      <c r="AD85" s="82" t="s">
        <v>580</v>
      </c>
      <c r="AE85" s="73" t="s">
        <v>80</v>
      </c>
      <c r="AF85" s="73" t="s">
        <v>18</v>
      </c>
      <c r="AG85" s="83">
        <v>2.5</v>
      </c>
      <c r="AL85" s="82"/>
      <c r="AO85" s="83"/>
      <c r="AP85" s="82"/>
      <c r="AS85" s="83"/>
      <c r="AT85" s="164"/>
      <c r="AW85" s="83"/>
      <c r="BA85" s="84"/>
    </row>
    <row r="86" spans="1:53" s="334" customFormat="1" x14ac:dyDescent="0.15">
      <c r="A86" s="334">
        <v>1996</v>
      </c>
      <c r="B86" s="355">
        <v>35376</v>
      </c>
      <c r="C86" s="812" t="s">
        <v>331</v>
      </c>
      <c r="D86" s="812"/>
      <c r="E86" s="334">
        <f>366-E85-E84</f>
        <v>55</v>
      </c>
      <c r="F86" s="334">
        <v>1</v>
      </c>
      <c r="G86" s="419">
        <v>21</v>
      </c>
      <c r="J86" s="435">
        <v>21</v>
      </c>
      <c r="K86" s="384">
        <f t="shared" si="9"/>
        <v>100</v>
      </c>
      <c r="L86" s="384">
        <f t="shared" si="4"/>
        <v>0</v>
      </c>
      <c r="M86" s="384">
        <f t="shared" si="4"/>
        <v>0</v>
      </c>
      <c r="N86" s="421">
        <f t="shared" si="10"/>
        <v>100</v>
      </c>
      <c r="O86" s="383">
        <v>47.8</v>
      </c>
      <c r="P86" s="384"/>
      <c r="Q86" s="384"/>
      <c r="R86" s="385">
        <f t="shared" si="8"/>
        <v>47.8</v>
      </c>
      <c r="S86" s="334">
        <v>4</v>
      </c>
      <c r="T86" s="342">
        <v>35358</v>
      </c>
      <c r="U86" s="355">
        <v>35376</v>
      </c>
      <c r="V86" s="343" t="s">
        <v>507</v>
      </c>
      <c r="W86" s="334" t="s">
        <v>74</v>
      </c>
      <c r="X86" s="334" t="s">
        <v>11</v>
      </c>
      <c r="Y86" s="344">
        <v>47.8</v>
      </c>
      <c r="Z86" s="441" t="s">
        <v>112</v>
      </c>
      <c r="AA86" s="441" t="s">
        <v>20</v>
      </c>
      <c r="AB86" s="441" t="s">
        <v>12</v>
      </c>
      <c r="AC86" s="441">
        <v>3</v>
      </c>
      <c r="AD86" s="456" t="s">
        <v>580</v>
      </c>
      <c r="AE86" s="441" t="s">
        <v>80</v>
      </c>
      <c r="AF86" s="441" t="s">
        <v>18</v>
      </c>
      <c r="AG86" s="455">
        <v>0.4</v>
      </c>
      <c r="AL86" s="343"/>
      <c r="AO86" s="344"/>
      <c r="AP86" s="343"/>
      <c r="AS86" s="344"/>
      <c r="AT86" s="452"/>
      <c r="AW86" s="344"/>
      <c r="BA86" s="345"/>
    </row>
    <row r="87" spans="1:53" s="334" customFormat="1" x14ac:dyDescent="0.15">
      <c r="A87" s="334">
        <v>1997</v>
      </c>
      <c r="C87" s="812" t="s">
        <v>331</v>
      </c>
      <c r="D87" s="812"/>
      <c r="E87" s="334">
        <v>253</v>
      </c>
      <c r="G87" s="419">
        <v>21</v>
      </c>
      <c r="J87" s="435">
        <v>21</v>
      </c>
      <c r="K87" s="384">
        <f t="shared" si="9"/>
        <v>100</v>
      </c>
      <c r="L87" s="384">
        <f t="shared" si="4"/>
        <v>0</v>
      </c>
      <c r="M87" s="384">
        <f t="shared" si="4"/>
        <v>0</v>
      </c>
      <c r="N87" s="421">
        <f t="shared" si="10"/>
        <v>100</v>
      </c>
      <c r="O87" s="383">
        <v>47.8</v>
      </c>
      <c r="P87" s="384"/>
      <c r="Q87" s="384"/>
      <c r="R87" s="385">
        <f t="shared" si="8"/>
        <v>47.8</v>
      </c>
      <c r="S87" s="334">
        <v>4</v>
      </c>
      <c r="T87" s="357"/>
      <c r="V87" s="343" t="s">
        <v>507</v>
      </c>
      <c r="W87" s="334" t="s">
        <v>74</v>
      </c>
      <c r="X87" s="334" t="s">
        <v>11</v>
      </c>
      <c r="Y87" s="344">
        <v>47.8</v>
      </c>
      <c r="Z87" s="441" t="s">
        <v>112</v>
      </c>
      <c r="AA87" s="441" t="s">
        <v>20</v>
      </c>
      <c r="AB87" s="441" t="s">
        <v>12</v>
      </c>
      <c r="AC87" s="441">
        <v>3</v>
      </c>
      <c r="AD87" s="456" t="s">
        <v>580</v>
      </c>
      <c r="AE87" s="441" t="s">
        <v>80</v>
      </c>
      <c r="AF87" s="441" t="s">
        <v>18</v>
      </c>
      <c r="AG87" s="455">
        <v>0.4</v>
      </c>
      <c r="AL87" s="343"/>
      <c r="AO87" s="344"/>
      <c r="AP87" s="343"/>
      <c r="AS87" s="344"/>
      <c r="AT87" s="452"/>
      <c r="AW87" s="344"/>
      <c r="BA87" s="345"/>
    </row>
    <row r="88" spans="1:53" s="334" customFormat="1" x14ac:dyDescent="0.15">
      <c r="A88" s="334">
        <v>1997</v>
      </c>
      <c r="B88" s="445">
        <v>35684</v>
      </c>
      <c r="C88" s="812" t="s">
        <v>331</v>
      </c>
      <c r="D88" s="812"/>
      <c r="E88" s="334">
        <f>365-E87</f>
        <v>112</v>
      </c>
      <c r="F88" s="441">
        <v>0</v>
      </c>
      <c r="G88" s="419">
        <v>21</v>
      </c>
      <c r="J88" s="435">
        <v>21</v>
      </c>
      <c r="K88" s="384">
        <f t="shared" si="9"/>
        <v>100</v>
      </c>
      <c r="L88" s="384">
        <f t="shared" si="4"/>
        <v>0</v>
      </c>
      <c r="M88" s="384">
        <f t="shared" si="4"/>
        <v>0</v>
      </c>
      <c r="N88" s="421">
        <f t="shared" si="10"/>
        <v>100</v>
      </c>
      <c r="O88" s="383">
        <v>47.8</v>
      </c>
      <c r="P88" s="384"/>
      <c r="Q88" s="384"/>
      <c r="R88" s="385">
        <f t="shared" si="8"/>
        <v>47.8</v>
      </c>
      <c r="S88" s="334">
        <v>4</v>
      </c>
      <c r="T88" s="357"/>
      <c r="V88" s="343" t="s">
        <v>507</v>
      </c>
      <c r="W88" s="334" t="s">
        <v>74</v>
      </c>
      <c r="X88" s="334" t="s">
        <v>11</v>
      </c>
      <c r="Y88" s="344">
        <v>47.8</v>
      </c>
      <c r="Z88" s="441" t="s">
        <v>112</v>
      </c>
      <c r="AA88" s="441" t="s">
        <v>20</v>
      </c>
      <c r="AB88" s="441" t="s">
        <v>12</v>
      </c>
      <c r="AC88" s="441">
        <v>3</v>
      </c>
      <c r="AD88" s="456" t="s">
        <v>580</v>
      </c>
      <c r="AE88" s="441" t="s">
        <v>80</v>
      </c>
      <c r="AF88" s="441" t="s">
        <v>18</v>
      </c>
      <c r="AG88" s="455">
        <v>0.4</v>
      </c>
      <c r="AL88" s="343"/>
      <c r="AO88" s="344"/>
      <c r="AP88" s="343"/>
      <c r="AS88" s="344"/>
      <c r="AT88" s="452"/>
      <c r="AW88" s="344"/>
      <c r="BA88" s="345"/>
    </row>
    <row r="89" spans="1:53" s="334" customFormat="1" x14ac:dyDescent="0.15">
      <c r="A89" s="334">
        <v>1998</v>
      </c>
      <c r="C89" s="812" t="s">
        <v>331</v>
      </c>
      <c r="D89" s="812"/>
      <c r="E89" s="334">
        <v>210</v>
      </c>
      <c r="G89" s="419">
        <v>21</v>
      </c>
      <c r="J89" s="435">
        <v>21</v>
      </c>
      <c r="K89" s="384">
        <f t="shared" si="9"/>
        <v>100</v>
      </c>
      <c r="L89" s="384">
        <f t="shared" si="4"/>
        <v>0</v>
      </c>
      <c r="M89" s="384">
        <f t="shared" si="4"/>
        <v>0</v>
      </c>
      <c r="N89" s="421">
        <f t="shared" si="10"/>
        <v>100</v>
      </c>
      <c r="O89" s="383">
        <v>47.8</v>
      </c>
      <c r="P89" s="384"/>
      <c r="Q89" s="384"/>
      <c r="R89" s="385">
        <f t="shared" si="8"/>
        <v>47.8</v>
      </c>
      <c r="S89" s="334">
        <v>4</v>
      </c>
      <c r="T89" s="357"/>
      <c r="V89" s="343" t="s">
        <v>507</v>
      </c>
      <c r="W89" s="334" t="s">
        <v>74</v>
      </c>
      <c r="X89" s="334" t="s">
        <v>11</v>
      </c>
      <c r="Y89" s="344">
        <v>47.8</v>
      </c>
      <c r="Z89" s="441" t="s">
        <v>112</v>
      </c>
      <c r="AA89" s="441" t="s">
        <v>20</v>
      </c>
      <c r="AB89" s="441" t="s">
        <v>12</v>
      </c>
      <c r="AC89" s="441">
        <v>3</v>
      </c>
      <c r="AD89" s="456" t="s">
        <v>580</v>
      </c>
      <c r="AE89" s="441" t="s">
        <v>80</v>
      </c>
      <c r="AF89" s="441" t="s">
        <v>18</v>
      </c>
      <c r="AG89" s="455">
        <v>0.4</v>
      </c>
      <c r="AL89" s="343"/>
      <c r="AO89" s="344"/>
      <c r="AP89" s="343"/>
      <c r="AS89" s="344"/>
      <c r="AT89" s="452"/>
      <c r="AW89" s="344"/>
      <c r="BA89" s="345"/>
    </row>
    <row r="90" spans="1:53" s="73" customFormat="1" x14ac:dyDescent="0.15">
      <c r="A90" s="73">
        <v>1998</v>
      </c>
      <c r="B90" s="85">
        <v>36006</v>
      </c>
      <c r="C90" s="811" t="s">
        <v>332</v>
      </c>
      <c r="D90" s="811"/>
      <c r="E90" s="73">
        <f>365-E89</f>
        <v>155</v>
      </c>
      <c r="F90" s="73">
        <v>2</v>
      </c>
      <c r="G90" s="123">
        <v>20</v>
      </c>
      <c r="J90" s="134">
        <v>21</v>
      </c>
      <c r="K90" s="92">
        <f t="shared" si="9"/>
        <v>95.238095238095227</v>
      </c>
      <c r="L90" s="92">
        <f t="shared" si="4"/>
        <v>0</v>
      </c>
      <c r="M90" s="92">
        <f t="shared" si="4"/>
        <v>0</v>
      </c>
      <c r="N90" s="125">
        <f t="shared" si="10"/>
        <v>95.238095238095227</v>
      </c>
      <c r="O90" s="91">
        <v>47.8</v>
      </c>
      <c r="P90" s="92"/>
      <c r="Q90" s="92"/>
      <c r="R90" s="93">
        <f t="shared" si="8"/>
        <v>47.8</v>
      </c>
      <c r="S90" s="73">
        <v>4</v>
      </c>
      <c r="T90" s="81"/>
      <c r="U90" s="85">
        <v>36006</v>
      </c>
      <c r="V90" s="82" t="s">
        <v>507</v>
      </c>
      <c r="W90" s="73" t="s">
        <v>74</v>
      </c>
      <c r="X90" s="73" t="s">
        <v>11</v>
      </c>
      <c r="Y90" s="83">
        <v>47.8</v>
      </c>
      <c r="AD90" s="82"/>
      <c r="AG90" s="83"/>
      <c r="AL90" s="82"/>
      <c r="AO90" s="83"/>
      <c r="AP90" s="82"/>
      <c r="AS90" s="83"/>
      <c r="AT90" s="164"/>
      <c r="AW90" s="83"/>
      <c r="BA90" s="84"/>
    </row>
    <row r="91" spans="1:53" s="73" customFormat="1" x14ac:dyDescent="0.15">
      <c r="A91" s="73">
        <v>1999</v>
      </c>
      <c r="C91" s="811" t="s">
        <v>332</v>
      </c>
      <c r="D91" s="811"/>
      <c r="E91" s="73">
        <v>13</v>
      </c>
      <c r="G91" s="123">
        <v>20</v>
      </c>
      <c r="J91" s="134">
        <v>21</v>
      </c>
      <c r="K91" s="92">
        <f t="shared" si="9"/>
        <v>95.238095238095227</v>
      </c>
      <c r="L91" s="92">
        <f t="shared" si="4"/>
        <v>0</v>
      </c>
      <c r="M91" s="92">
        <f t="shared" si="4"/>
        <v>0</v>
      </c>
      <c r="N91" s="125">
        <f t="shared" si="10"/>
        <v>95.238095238095227</v>
      </c>
      <c r="O91" s="91">
        <v>47.8</v>
      </c>
      <c r="P91" s="92"/>
      <c r="Q91" s="92"/>
      <c r="R91" s="93">
        <f t="shared" si="8"/>
        <v>47.8</v>
      </c>
      <c r="S91" s="73">
        <v>4</v>
      </c>
      <c r="T91" s="81"/>
      <c r="V91" s="82" t="s">
        <v>507</v>
      </c>
      <c r="W91" s="73" t="s">
        <v>74</v>
      </c>
      <c r="X91" s="73" t="s">
        <v>11</v>
      </c>
      <c r="Y91" s="83">
        <v>47.8</v>
      </c>
      <c r="AD91" s="82"/>
      <c r="AG91" s="83"/>
      <c r="AL91" s="82"/>
      <c r="AO91" s="83"/>
      <c r="AP91" s="82"/>
      <c r="AS91" s="83"/>
      <c r="AT91" s="164"/>
      <c r="AW91" s="83"/>
      <c r="BA91" s="84"/>
    </row>
    <row r="92" spans="1:53" s="334" customFormat="1" x14ac:dyDescent="0.15">
      <c r="A92" s="334">
        <v>1999</v>
      </c>
      <c r="B92" s="355">
        <v>36174</v>
      </c>
      <c r="C92" s="812" t="s">
        <v>333</v>
      </c>
      <c r="D92" s="812"/>
      <c r="E92" s="334">
        <v>264</v>
      </c>
      <c r="F92" s="334">
        <v>7</v>
      </c>
      <c r="G92" s="419">
        <v>21</v>
      </c>
      <c r="J92" s="435">
        <v>22</v>
      </c>
      <c r="K92" s="384">
        <f t="shared" si="9"/>
        <v>95.454545454545453</v>
      </c>
      <c r="L92" s="384">
        <f t="shared" si="4"/>
        <v>0</v>
      </c>
      <c r="M92" s="384">
        <f t="shared" si="4"/>
        <v>0</v>
      </c>
      <c r="N92" s="421">
        <f t="shared" si="10"/>
        <v>95.454545454545453</v>
      </c>
      <c r="O92" s="383">
        <v>55.4</v>
      </c>
      <c r="P92" s="384"/>
      <c r="Q92" s="384"/>
      <c r="R92" s="385">
        <v>55.4</v>
      </c>
      <c r="S92" s="334">
        <v>2</v>
      </c>
      <c r="T92" s="357"/>
      <c r="U92" s="355">
        <v>36174</v>
      </c>
      <c r="V92" s="343" t="s">
        <v>507</v>
      </c>
      <c r="W92" s="334" t="s">
        <v>74</v>
      </c>
      <c r="X92" s="334" t="s">
        <v>11</v>
      </c>
      <c r="Y92" s="344">
        <v>47.8</v>
      </c>
      <c r="Z92" s="334" t="s">
        <v>83</v>
      </c>
      <c r="AA92" s="334" t="s">
        <v>79</v>
      </c>
      <c r="AB92" s="334" t="s">
        <v>11</v>
      </c>
      <c r="AC92" s="334">
        <v>7.6</v>
      </c>
      <c r="AD92" s="343"/>
      <c r="AG92" s="344"/>
      <c r="AL92" s="343"/>
      <c r="AO92" s="344"/>
      <c r="AP92" s="343"/>
      <c r="AS92" s="344"/>
      <c r="AT92" s="452"/>
      <c r="AW92" s="344"/>
      <c r="BA92" s="345"/>
    </row>
    <row r="93" spans="1:53" s="73" customFormat="1" x14ac:dyDescent="0.15">
      <c r="A93" s="73">
        <v>1999</v>
      </c>
      <c r="B93" s="85">
        <v>36438</v>
      </c>
      <c r="C93" s="811" t="s">
        <v>334</v>
      </c>
      <c r="D93" s="811"/>
      <c r="E93" s="73">
        <f>365-E92-E91</f>
        <v>88</v>
      </c>
      <c r="F93" s="73">
        <v>7</v>
      </c>
      <c r="G93" s="123">
        <v>21</v>
      </c>
      <c r="H93" s="73">
        <v>1</v>
      </c>
      <c r="J93" s="134">
        <v>23</v>
      </c>
      <c r="K93" s="92">
        <f t="shared" si="9"/>
        <v>91.304347826086953</v>
      </c>
      <c r="L93" s="92">
        <f t="shared" si="4"/>
        <v>4.3478260869565215</v>
      </c>
      <c r="M93" s="92">
        <f t="shared" si="4"/>
        <v>0</v>
      </c>
      <c r="N93" s="125">
        <f t="shared" si="10"/>
        <v>95.65217391304347</v>
      </c>
      <c r="O93" s="91">
        <v>55.6</v>
      </c>
      <c r="P93" s="92">
        <v>10.4</v>
      </c>
      <c r="Q93" s="92"/>
      <c r="R93" s="93">
        <v>66</v>
      </c>
      <c r="S93" s="73">
        <v>3</v>
      </c>
      <c r="T93" s="81"/>
      <c r="U93" s="85">
        <v>36438</v>
      </c>
      <c r="V93" s="82" t="s">
        <v>507</v>
      </c>
      <c r="W93" s="73" t="s">
        <v>74</v>
      </c>
      <c r="X93" s="73" t="s">
        <v>11</v>
      </c>
      <c r="Y93" s="83">
        <v>47.8</v>
      </c>
      <c r="Z93" s="73" t="s">
        <v>83</v>
      </c>
      <c r="AA93" s="73" t="s">
        <v>79</v>
      </c>
      <c r="AB93" s="73" t="s">
        <v>11</v>
      </c>
      <c r="AC93" s="73">
        <v>7.8</v>
      </c>
      <c r="AD93" s="82" t="s">
        <v>510</v>
      </c>
      <c r="AE93" s="73" t="s">
        <v>17</v>
      </c>
      <c r="AF93" s="73" t="s">
        <v>18</v>
      </c>
      <c r="AG93" s="83">
        <v>10.4</v>
      </c>
      <c r="AL93" s="82"/>
      <c r="AO93" s="83"/>
      <c r="AP93" s="82"/>
      <c r="AS93" s="83"/>
      <c r="AT93" s="164"/>
      <c r="AW93" s="83"/>
      <c r="BA93" s="84"/>
    </row>
    <row r="94" spans="1:53" s="73" customFormat="1" x14ac:dyDescent="0.15">
      <c r="A94" s="73">
        <v>2000</v>
      </c>
      <c r="C94" s="811" t="s">
        <v>334</v>
      </c>
      <c r="D94" s="811"/>
      <c r="E94" s="73">
        <v>95</v>
      </c>
      <c r="G94" s="123">
        <v>21</v>
      </c>
      <c r="H94" s="73">
        <v>1</v>
      </c>
      <c r="J94" s="134">
        <v>23</v>
      </c>
      <c r="K94" s="92">
        <f t="shared" si="9"/>
        <v>91.304347826086953</v>
      </c>
      <c r="L94" s="92">
        <f t="shared" si="9"/>
        <v>4.3478260869565215</v>
      </c>
      <c r="M94" s="92">
        <f t="shared" si="9"/>
        <v>0</v>
      </c>
      <c r="N94" s="125">
        <f t="shared" si="10"/>
        <v>95.65217391304347</v>
      </c>
      <c r="O94" s="91">
        <v>55.6</v>
      </c>
      <c r="P94" s="92">
        <v>10.4</v>
      </c>
      <c r="Q94" s="92"/>
      <c r="R94" s="93">
        <v>66</v>
      </c>
      <c r="S94" s="73">
        <v>3</v>
      </c>
      <c r="T94" s="81"/>
      <c r="V94" s="82" t="s">
        <v>507</v>
      </c>
      <c r="W94" s="73" t="s">
        <v>74</v>
      </c>
      <c r="X94" s="73" t="s">
        <v>11</v>
      </c>
      <c r="Y94" s="83">
        <v>47.8</v>
      </c>
      <c r="Z94" s="73" t="s">
        <v>83</v>
      </c>
      <c r="AA94" s="73" t="s">
        <v>79</v>
      </c>
      <c r="AB94" s="73" t="s">
        <v>11</v>
      </c>
      <c r="AC94" s="73">
        <v>7.8</v>
      </c>
      <c r="AD94" s="82" t="s">
        <v>510</v>
      </c>
      <c r="AE94" s="73" t="s">
        <v>17</v>
      </c>
      <c r="AF94" s="73" t="s">
        <v>18</v>
      </c>
      <c r="AG94" s="83">
        <v>10.4</v>
      </c>
      <c r="AL94" s="82"/>
      <c r="AO94" s="83"/>
      <c r="AP94" s="82"/>
      <c r="AS94" s="83"/>
      <c r="AT94" s="164"/>
      <c r="AW94" s="83"/>
      <c r="BA94" s="84"/>
    </row>
    <row r="95" spans="1:53" s="334" customFormat="1" x14ac:dyDescent="0.15">
      <c r="A95" s="334">
        <v>2000</v>
      </c>
      <c r="B95" s="355">
        <v>36621</v>
      </c>
      <c r="C95" s="812" t="s">
        <v>822</v>
      </c>
      <c r="D95" s="812"/>
      <c r="E95" s="334">
        <v>90</v>
      </c>
      <c r="F95" s="334">
        <v>2</v>
      </c>
      <c r="G95" s="419">
        <v>21</v>
      </c>
      <c r="H95" s="334">
        <v>1</v>
      </c>
      <c r="J95" s="435">
        <v>23</v>
      </c>
      <c r="K95" s="384">
        <f>G95/$J95*100</f>
        <v>91.304347826086953</v>
      </c>
      <c r="L95" s="384">
        <f>H95/$J95*100</f>
        <v>4.3478260869565215</v>
      </c>
      <c r="M95" s="384">
        <f>I95/$J95*100</f>
        <v>0</v>
      </c>
      <c r="N95" s="421">
        <f>K95+L95+M95</f>
        <v>95.65217391304347</v>
      </c>
      <c r="O95" s="383">
        <v>55.6</v>
      </c>
      <c r="P95" s="384">
        <v>10.4</v>
      </c>
      <c r="Q95" s="384"/>
      <c r="R95" s="385">
        <v>66</v>
      </c>
      <c r="S95" s="334">
        <v>3</v>
      </c>
      <c r="T95" s="342"/>
      <c r="U95" s="355">
        <v>36621</v>
      </c>
      <c r="V95" s="343" t="s">
        <v>507</v>
      </c>
      <c r="W95" s="334" t="s">
        <v>74</v>
      </c>
      <c r="X95" s="334" t="s">
        <v>11</v>
      </c>
      <c r="Y95" s="344">
        <v>47.8</v>
      </c>
      <c r="Z95" s="334" t="s">
        <v>83</v>
      </c>
      <c r="AA95" s="334" t="s">
        <v>79</v>
      </c>
      <c r="AB95" s="334" t="s">
        <v>11</v>
      </c>
      <c r="AC95" s="334">
        <v>7.8</v>
      </c>
      <c r="AD95" s="343" t="s">
        <v>510</v>
      </c>
      <c r="AE95" s="334" t="s">
        <v>17</v>
      </c>
      <c r="AF95" s="334" t="s">
        <v>18</v>
      </c>
      <c r="AG95" s="344">
        <v>10.4</v>
      </c>
      <c r="AL95" s="343"/>
      <c r="AO95" s="344"/>
      <c r="AP95" s="343"/>
      <c r="AS95" s="344"/>
      <c r="AT95" s="452"/>
      <c r="AW95" s="344"/>
      <c r="BA95" s="345"/>
    </row>
    <row r="96" spans="1:53" s="73" customFormat="1" x14ac:dyDescent="0.15">
      <c r="A96" s="73">
        <v>2000</v>
      </c>
      <c r="B96" s="85">
        <v>36711</v>
      </c>
      <c r="C96" s="811" t="s">
        <v>871</v>
      </c>
      <c r="D96" s="811"/>
      <c r="E96" s="73">
        <v>181</v>
      </c>
      <c r="F96" s="73">
        <v>1</v>
      </c>
      <c r="G96" s="123">
        <v>20</v>
      </c>
      <c r="H96" s="73">
        <v>1</v>
      </c>
      <c r="J96" s="134">
        <v>23</v>
      </c>
      <c r="K96" s="92">
        <f t="shared" si="9"/>
        <v>86.956521739130437</v>
      </c>
      <c r="L96" s="92">
        <f t="shared" si="9"/>
        <v>4.3478260869565215</v>
      </c>
      <c r="M96" s="92">
        <f t="shared" si="9"/>
        <v>0</v>
      </c>
      <c r="N96" s="125">
        <f t="shared" si="10"/>
        <v>91.304347826086953</v>
      </c>
      <c r="O96" s="91">
        <v>50</v>
      </c>
      <c r="P96" s="92">
        <v>6.5</v>
      </c>
      <c r="Q96" s="92"/>
      <c r="R96" s="93">
        <f t="shared" si="8"/>
        <v>56.5</v>
      </c>
      <c r="S96" s="73">
        <v>3</v>
      </c>
      <c r="T96" s="95">
        <v>36702</v>
      </c>
      <c r="U96" s="85">
        <v>36711</v>
      </c>
      <c r="V96" s="82" t="s">
        <v>507</v>
      </c>
      <c r="W96" s="73" t="s">
        <v>74</v>
      </c>
      <c r="X96" s="73" t="s">
        <v>11</v>
      </c>
      <c r="Y96" s="83">
        <v>48.5</v>
      </c>
      <c r="Z96" s="73" t="s">
        <v>510</v>
      </c>
      <c r="AA96" s="73" t="s">
        <v>17</v>
      </c>
      <c r="AB96" s="73" t="s">
        <v>18</v>
      </c>
      <c r="AC96" s="73">
        <v>6.5</v>
      </c>
      <c r="AD96" s="82" t="s">
        <v>514</v>
      </c>
      <c r="AE96" s="73" t="s">
        <v>340</v>
      </c>
      <c r="AF96" s="73" t="s">
        <v>11</v>
      </c>
      <c r="AG96" s="83">
        <v>1.5</v>
      </c>
      <c r="AL96" s="82"/>
      <c r="AO96" s="83"/>
      <c r="AP96" s="82"/>
      <c r="AS96" s="83"/>
      <c r="AT96" s="164"/>
      <c r="AW96" s="83"/>
      <c r="BA96" s="84"/>
    </row>
    <row r="97" spans="1:53" s="73" customFormat="1" x14ac:dyDescent="0.15">
      <c r="A97" s="73">
        <v>2001</v>
      </c>
      <c r="C97" s="811" t="s">
        <v>871</v>
      </c>
      <c r="D97" s="811"/>
      <c r="E97" s="73">
        <v>115</v>
      </c>
      <c r="G97" s="123">
        <v>20</v>
      </c>
      <c r="H97" s="73">
        <v>1</v>
      </c>
      <c r="J97" s="134">
        <v>23</v>
      </c>
      <c r="K97" s="92">
        <f t="shared" si="9"/>
        <v>86.956521739130437</v>
      </c>
      <c r="L97" s="92">
        <f t="shared" si="9"/>
        <v>4.3478260869565215</v>
      </c>
      <c r="M97" s="92">
        <f t="shared" si="9"/>
        <v>0</v>
      </c>
      <c r="N97" s="125">
        <f t="shared" si="10"/>
        <v>91.304347826086953</v>
      </c>
      <c r="O97" s="91">
        <v>50</v>
      </c>
      <c r="P97" s="92">
        <v>6.5</v>
      </c>
      <c r="Q97" s="92"/>
      <c r="R97" s="93">
        <f t="shared" si="8"/>
        <v>56.5</v>
      </c>
      <c r="S97" s="73">
        <v>3</v>
      </c>
      <c r="T97" s="81"/>
      <c r="V97" s="82" t="s">
        <v>507</v>
      </c>
      <c r="W97" s="73" t="s">
        <v>74</v>
      </c>
      <c r="X97" s="73" t="s">
        <v>11</v>
      </c>
      <c r="Y97" s="83">
        <v>48.5</v>
      </c>
      <c r="Z97" s="73" t="s">
        <v>510</v>
      </c>
      <c r="AA97" s="73" t="s">
        <v>17</v>
      </c>
      <c r="AB97" s="73" t="s">
        <v>18</v>
      </c>
      <c r="AC97" s="73">
        <v>6.5</v>
      </c>
      <c r="AD97" s="82" t="s">
        <v>514</v>
      </c>
      <c r="AE97" s="73" t="s">
        <v>340</v>
      </c>
      <c r="AF97" s="73" t="s">
        <v>11</v>
      </c>
      <c r="AG97" s="83">
        <v>1.5</v>
      </c>
      <c r="AL97" s="82"/>
      <c r="AO97" s="83"/>
      <c r="AP97" s="82"/>
      <c r="AS97" s="83"/>
      <c r="AT97" s="164"/>
      <c r="AW97" s="83"/>
      <c r="BA97" s="84"/>
    </row>
    <row r="98" spans="1:53" s="334" customFormat="1" x14ac:dyDescent="0.15">
      <c r="A98" s="334">
        <v>2001</v>
      </c>
      <c r="B98" s="355">
        <v>37007</v>
      </c>
      <c r="C98" s="812" t="s">
        <v>713</v>
      </c>
      <c r="D98" s="812"/>
      <c r="E98" s="334">
        <f>365-E97</f>
        <v>250</v>
      </c>
      <c r="F98" s="334">
        <v>2</v>
      </c>
      <c r="G98" s="419">
        <v>14</v>
      </c>
      <c r="H98" s="334">
        <v>1</v>
      </c>
      <c r="J98" s="435">
        <v>18</v>
      </c>
      <c r="K98" s="384">
        <f t="shared" si="9"/>
        <v>77.777777777777786</v>
      </c>
      <c r="L98" s="384">
        <f t="shared" si="9"/>
        <v>5.5555555555555554</v>
      </c>
      <c r="M98" s="384">
        <f t="shared" si="9"/>
        <v>0</v>
      </c>
      <c r="N98" s="421">
        <f t="shared" si="10"/>
        <v>83.333333333333343</v>
      </c>
      <c r="O98" s="383">
        <v>50</v>
      </c>
      <c r="P98" s="384">
        <v>6.5</v>
      </c>
      <c r="Q98" s="384"/>
      <c r="R98" s="385">
        <f t="shared" si="8"/>
        <v>56.5</v>
      </c>
      <c r="S98" s="334">
        <v>3</v>
      </c>
      <c r="T98" s="357"/>
      <c r="U98" s="355">
        <v>37007</v>
      </c>
      <c r="V98" s="343" t="s">
        <v>507</v>
      </c>
      <c r="W98" s="334" t="s">
        <v>74</v>
      </c>
      <c r="X98" s="334" t="s">
        <v>11</v>
      </c>
      <c r="Y98" s="344">
        <v>48.5</v>
      </c>
      <c r="Z98" s="334" t="s">
        <v>510</v>
      </c>
      <c r="AA98" s="334" t="s">
        <v>17</v>
      </c>
      <c r="AB98" s="334" t="s">
        <v>18</v>
      </c>
      <c r="AC98" s="334">
        <v>6.5</v>
      </c>
      <c r="AD98" s="343" t="s">
        <v>514</v>
      </c>
      <c r="AE98" s="334" t="s">
        <v>340</v>
      </c>
      <c r="AF98" s="334" t="s">
        <v>11</v>
      </c>
      <c r="AG98" s="344">
        <v>1.5</v>
      </c>
      <c r="AL98" s="343"/>
      <c r="AO98" s="344"/>
      <c r="AP98" s="343"/>
      <c r="AS98" s="344"/>
      <c r="AT98" s="452"/>
      <c r="AW98" s="344"/>
      <c r="BA98" s="345"/>
    </row>
    <row r="99" spans="1:53" s="334" customFormat="1" x14ac:dyDescent="0.15">
      <c r="A99" s="334">
        <v>2002</v>
      </c>
      <c r="C99" s="812" t="s">
        <v>713</v>
      </c>
      <c r="D99" s="812"/>
      <c r="E99" s="334">
        <v>0</v>
      </c>
      <c r="G99" s="419">
        <v>14</v>
      </c>
      <c r="H99" s="334">
        <v>1</v>
      </c>
      <c r="J99" s="435">
        <v>18</v>
      </c>
      <c r="K99" s="384">
        <f t="shared" si="9"/>
        <v>77.777777777777786</v>
      </c>
      <c r="L99" s="384">
        <f t="shared" si="9"/>
        <v>5.5555555555555554</v>
      </c>
      <c r="M99" s="384">
        <f t="shared" si="9"/>
        <v>0</v>
      </c>
      <c r="N99" s="421">
        <f t="shared" si="10"/>
        <v>83.333333333333343</v>
      </c>
      <c r="O99" s="383">
        <v>50</v>
      </c>
      <c r="P99" s="384">
        <v>6.5</v>
      </c>
      <c r="Q99" s="384"/>
      <c r="R99" s="385">
        <f t="shared" si="8"/>
        <v>56.5</v>
      </c>
      <c r="S99" s="334">
        <v>3</v>
      </c>
      <c r="T99" s="357"/>
      <c r="V99" s="343" t="s">
        <v>507</v>
      </c>
      <c r="W99" s="334" t="s">
        <v>74</v>
      </c>
      <c r="X99" s="334" t="s">
        <v>11</v>
      </c>
      <c r="Y99" s="344">
        <v>48.5</v>
      </c>
      <c r="Z99" s="334" t="s">
        <v>510</v>
      </c>
      <c r="AA99" s="334" t="s">
        <v>17</v>
      </c>
      <c r="AB99" s="334" t="s">
        <v>18</v>
      </c>
      <c r="AC99" s="334">
        <v>6.5</v>
      </c>
      <c r="AD99" s="343" t="s">
        <v>514</v>
      </c>
      <c r="AE99" s="334" t="s">
        <v>340</v>
      </c>
      <c r="AF99" s="334" t="s">
        <v>11</v>
      </c>
      <c r="AG99" s="344">
        <v>1.5</v>
      </c>
      <c r="AL99" s="343"/>
      <c r="AO99" s="344"/>
      <c r="AP99" s="343"/>
      <c r="AS99" s="344"/>
      <c r="AT99" s="452"/>
      <c r="AW99" s="344"/>
      <c r="BA99" s="345"/>
    </row>
    <row r="100" spans="1:53" s="334" customFormat="1" x14ac:dyDescent="0.15">
      <c r="A100" s="334">
        <v>2002</v>
      </c>
      <c r="C100" s="812" t="s">
        <v>713</v>
      </c>
      <c r="D100" s="812"/>
      <c r="E100" s="334">
        <f>365-E99</f>
        <v>365</v>
      </c>
      <c r="G100" s="419">
        <v>14</v>
      </c>
      <c r="H100" s="334">
        <v>1</v>
      </c>
      <c r="J100" s="435">
        <v>18</v>
      </c>
      <c r="K100" s="384">
        <f t="shared" si="9"/>
        <v>77.777777777777786</v>
      </c>
      <c r="L100" s="384">
        <f t="shared" si="9"/>
        <v>5.5555555555555554</v>
      </c>
      <c r="M100" s="384">
        <f t="shared" si="9"/>
        <v>0</v>
      </c>
      <c r="N100" s="421">
        <f t="shared" si="10"/>
        <v>83.333333333333343</v>
      </c>
      <c r="O100" s="383">
        <v>50</v>
      </c>
      <c r="P100" s="384">
        <v>6.5</v>
      </c>
      <c r="Q100" s="384"/>
      <c r="R100" s="385">
        <f t="shared" si="8"/>
        <v>56.5</v>
      </c>
      <c r="S100" s="334">
        <v>3</v>
      </c>
      <c r="T100" s="357"/>
      <c r="V100" s="343" t="s">
        <v>507</v>
      </c>
      <c r="W100" s="334" t="s">
        <v>74</v>
      </c>
      <c r="X100" s="334" t="s">
        <v>11</v>
      </c>
      <c r="Y100" s="344">
        <v>48.5</v>
      </c>
      <c r="Z100" s="334" t="s">
        <v>510</v>
      </c>
      <c r="AA100" s="334" t="s">
        <v>17</v>
      </c>
      <c r="AB100" s="334" t="s">
        <v>18</v>
      </c>
      <c r="AC100" s="334">
        <v>6.5</v>
      </c>
      <c r="AD100" s="343" t="s">
        <v>514</v>
      </c>
      <c r="AE100" s="334" t="s">
        <v>340</v>
      </c>
      <c r="AF100" s="334" t="s">
        <v>11</v>
      </c>
      <c r="AG100" s="344">
        <v>1.5</v>
      </c>
      <c r="AL100" s="343"/>
      <c r="AO100" s="344"/>
      <c r="AP100" s="343"/>
      <c r="AS100" s="344"/>
      <c r="AT100" s="452"/>
      <c r="AW100" s="344"/>
      <c r="BA100" s="345"/>
    </row>
    <row r="101" spans="1:53" s="334" customFormat="1" x14ac:dyDescent="0.15">
      <c r="A101" s="334">
        <v>2003</v>
      </c>
      <c r="C101" s="812" t="s">
        <v>713</v>
      </c>
      <c r="D101" s="812"/>
      <c r="E101" s="334">
        <v>264</v>
      </c>
      <c r="G101" s="419">
        <v>14</v>
      </c>
      <c r="H101" s="334">
        <v>1</v>
      </c>
      <c r="J101" s="435">
        <v>18</v>
      </c>
      <c r="K101" s="384">
        <f t="shared" si="9"/>
        <v>77.777777777777786</v>
      </c>
      <c r="L101" s="384">
        <f t="shared" si="9"/>
        <v>5.5555555555555554</v>
      </c>
      <c r="M101" s="384">
        <f t="shared" si="9"/>
        <v>0</v>
      </c>
      <c r="N101" s="421">
        <f t="shared" si="10"/>
        <v>83.333333333333343</v>
      </c>
      <c r="O101" s="383">
        <v>50</v>
      </c>
      <c r="P101" s="384">
        <v>6.5</v>
      </c>
      <c r="Q101" s="384"/>
      <c r="R101" s="385">
        <f t="shared" si="8"/>
        <v>56.5</v>
      </c>
      <c r="S101" s="334">
        <v>3</v>
      </c>
      <c r="T101" s="357"/>
      <c r="V101" s="343" t="s">
        <v>507</v>
      </c>
      <c r="W101" s="334" t="s">
        <v>74</v>
      </c>
      <c r="X101" s="334" t="s">
        <v>11</v>
      </c>
      <c r="Y101" s="344">
        <v>48.5</v>
      </c>
      <c r="Z101" s="334" t="s">
        <v>510</v>
      </c>
      <c r="AA101" s="334" t="s">
        <v>17</v>
      </c>
      <c r="AB101" s="334" t="s">
        <v>18</v>
      </c>
      <c r="AC101" s="334">
        <v>6.5</v>
      </c>
      <c r="AD101" s="343" t="s">
        <v>514</v>
      </c>
      <c r="AE101" s="334" t="s">
        <v>340</v>
      </c>
      <c r="AF101" s="334" t="s">
        <v>11</v>
      </c>
      <c r="AG101" s="344">
        <v>1.5</v>
      </c>
      <c r="AL101" s="343"/>
      <c r="AO101" s="344"/>
      <c r="AP101" s="343"/>
      <c r="AS101" s="344"/>
      <c r="AT101" s="452"/>
      <c r="AW101" s="344"/>
      <c r="BA101" s="345"/>
    </row>
    <row r="102" spans="1:53" s="334" customFormat="1" x14ac:dyDescent="0.15">
      <c r="A102" s="334">
        <v>2003</v>
      </c>
      <c r="B102" s="445">
        <v>37886</v>
      </c>
      <c r="C102" s="812" t="s">
        <v>713</v>
      </c>
      <c r="D102" s="812"/>
      <c r="E102" s="334">
        <f>365-E101</f>
        <v>101</v>
      </c>
      <c r="F102" s="441">
        <v>0</v>
      </c>
      <c r="G102" s="419">
        <v>14</v>
      </c>
      <c r="H102" s="334">
        <v>1</v>
      </c>
      <c r="J102" s="435">
        <v>18</v>
      </c>
      <c r="K102" s="384">
        <f t="shared" si="9"/>
        <v>77.777777777777786</v>
      </c>
      <c r="L102" s="384">
        <f t="shared" si="9"/>
        <v>5.5555555555555554</v>
      </c>
      <c r="M102" s="384">
        <f t="shared" si="9"/>
        <v>0</v>
      </c>
      <c r="N102" s="421">
        <f t="shared" si="10"/>
        <v>83.333333333333343</v>
      </c>
      <c r="O102" s="383">
        <f>Y102+AG102</f>
        <v>50</v>
      </c>
      <c r="P102" s="384">
        <v>7.1</v>
      </c>
      <c r="Q102" s="384"/>
      <c r="R102" s="385">
        <f t="shared" si="8"/>
        <v>57.1</v>
      </c>
      <c r="S102" s="334">
        <v>3</v>
      </c>
      <c r="T102" s="342"/>
      <c r="U102" s="355">
        <v>37886</v>
      </c>
      <c r="V102" s="343" t="s">
        <v>507</v>
      </c>
      <c r="W102" s="334" t="s">
        <v>74</v>
      </c>
      <c r="X102" s="334" t="s">
        <v>11</v>
      </c>
      <c r="Y102" s="344">
        <v>48.5</v>
      </c>
      <c r="Z102" s="334" t="s">
        <v>510</v>
      </c>
      <c r="AA102" s="334" t="s">
        <v>17</v>
      </c>
      <c r="AB102" s="334" t="s">
        <v>18</v>
      </c>
      <c r="AC102" s="334">
        <v>6.5</v>
      </c>
      <c r="AD102" s="343" t="s">
        <v>581</v>
      </c>
      <c r="AE102" s="334" t="s">
        <v>340</v>
      </c>
      <c r="AF102" s="334" t="s">
        <v>11</v>
      </c>
      <c r="AG102" s="344">
        <v>1.5</v>
      </c>
      <c r="AL102" s="343"/>
      <c r="AO102" s="344"/>
      <c r="AP102" s="343"/>
      <c r="AS102" s="344"/>
      <c r="AT102" s="452"/>
      <c r="AW102" s="344"/>
      <c r="BA102" s="345"/>
    </row>
    <row r="103" spans="1:53" s="334" customFormat="1" x14ac:dyDescent="0.15">
      <c r="A103" s="334">
        <v>2004</v>
      </c>
      <c r="C103" s="812" t="s">
        <v>713</v>
      </c>
      <c r="D103" s="812"/>
      <c r="E103" s="334">
        <v>270</v>
      </c>
      <c r="G103" s="419">
        <v>14</v>
      </c>
      <c r="H103" s="334">
        <v>1</v>
      </c>
      <c r="J103" s="435">
        <v>18</v>
      </c>
      <c r="K103" s="384">
        <f t="shared" si="9"/>
        <v>77.777777777777786</v>
      </c>
      <c r="L103" s="384">
        <f t="shared" si="9"/>
        <v>5.5555555555555554</v>
      </c>
      <c r="M103" s="384">
        <f t="shared" si="9"/>
        <v>0</v>
      </c>
      <c r="N103" s="421">
        <f t="shared" si="10"/>
        <v>83.333333333333343</v>
      </c>
      <c r="O103" s="383">
        <v>50.2</v>
      </c>
      <c r="P103" s="384">
        <v>7.1</v>
      </c>
      <c r="Q103" s="384"/>
      <c r="R103" s="385">
        <f t="shared" si="8"/>
        <v>57.300000000000004</v>
      </c>
      <c r="S103" s="334">
        <v>3</v>
      </c>
      <c r="T103" s="342">
        <v>37934</v>
      </c>
      <c r="V103" s="343" t="s">
        <v>507</v>
      </c>
      <c r="W103" s="334" t="s">
        <v>74</v>
      </c>
      <c r="X103" s="334" t="s">
        <v>11</v>
      </c>
      <c r="Y103" s="344">
        <v>48.5</v>
      </c>
      <c r="Z103" s="334" t="s">
        <v>510</v>
      </c>
      <c r="AA103" s="334" t="s">
        <v>17</v>
      </c>
      <c r="AB103" s="334" t="s">
        <v>18</v>
      </c>
      <c r="AC103" s="334">
        <v>6.5</v>
      </c>
      <c r="AD103" s="343" t="s">
        <v>581</v>
      </c>
      <c r="AE103" s="334" t="s">
        <v>340</v>
      </c>
      <c r="AF103" s="334" t="s">
        <v>11</v>
      </c>
      <c r="AG103" s="344">
        <v>1.5</v>
      </c>
      <c r="AL103" s="343"/>
      <c r="AO103" s="344"/>
      <c r="AP103" s="343"/>
      <c r="AS103" s="344"/>
      <c r="AT103" s="452"/>
      <c r="AW103" s="344"/>
      <c r="BA103" s="345"/>
    </row>
    <row r="104" spans="1:53" s="73" customFormat="1" x14ac:dyDescent="0.15">
      <c r="A104" s="73">
        <v>2004</v>
      </c>
      <c r="B104" s="85">
        <v>38257</v>
      </c>
      <c r="C104" s="811" t="s">
        <v>714</v>
      </c>
      <c r="D104" s="811"/>
      <c r="E104" s="73">
        <f>366-E103</f>
        <v>96</v>
      </c>
      <c r="F104" s="73">
        <v>4</v>
      </c>
      <c r="G104" s="123">
        <v>17</v>
      </c>
      <c r="H104" s="73">
        <v>1</v>
      </c>
      <c r="J104" s="134">
        <v>18</v>
      </c>
      <c r="K104" s="92">
        <f t="shared" si="9"/>
        <v>94.444444444444443</v>
      </c>
      <c r="L104" s="92">
        <f t="shared" si="9"/>
        <v>5.5555555555555554</v>
      </c>
      <c r="M104" s="92">
        <f t="shared" si="9"/>
        <v>0</v>
      </c>
      <c r="N104" s="125">
        <f t="shared" si="10"/>
        <v>100</v>
      </c>
      <c r="O104" s="91">
        <v>49.4</v>
      </c>
      <c r="P104" s="92">
        <v>7.1</v>
      </c>
      <c r="Q104" s="92"/>
      <c r="R104" s="93">
        <f t="shared" si="8"/>
        <v>56.5</v>
      </c>
      <c r="S104" s="73">
        <v>2</v>
      </c>
      <c r="T104" s="81"/>
      <c r="U104" s="85">
        <v>38257</v>
      </c>
      <c r="V104" s="82" t="s">
        <v>507</v>
      </c>
      <c r="W104" s="73" t="s">
        <v>74</v>
      </c>
      <c r="X104" s="73" t="s">
        <v>11</v>
      </c>
      <c r="Y104" s="83">
        <v>49.4</v>
      </c>
      <c r="Z104" s="73" t="s">
        <v>510</v>
      </c>
      <c r="AA104" s="73" t="s">
        <v>17</v>
      </c>
      <c r="AB104" s="73" t="s">
        <v>18</v>
      </c>
      <c r="AC104" s="73">
        <v>7.1</v>
      </c>
      <c r="AD104" s="82"/>
      <c r="AG104" s="83"/>
      <c r="AL104" s="82"/>
      <c r="AO104" s="83"/>
      <c r="AP104" s="82"/>
      <c r="AS104" s="83"/>
      <c r="AT104" s="164"/>
      <c r="AW104" s="83"/>
      <c r="BA104" s="84"/>
    </row>
    <row r="105" spans="1:53" s="73" customFormat="1" x14ac:dyDescent="0.15">
      <c r="A105" s="73">
        <v>2005</v>
      </c>
      <c r="C105" s="811" t="s">
        <v>714</v>
      </c>
      <c r="D105" s="811"/>
      <c r="E105" s="73">
        <v>303</v>
      </c>
      <c r="G105" s="123">
        <v>17</v>
      </c>
      <c r="H105" s="73">
        <v>1</v>
      </c>
      <c r="J105" s="134">
        <v>18</v>
      </c>
      <c r="K105" s="92">
        <f t="shared" si="9"/>
        <v>94.444444444444443</v>
      </c>
      <c r="L105" s="92">
        <f t="shared" si="9"/>
        <v>5.5555555555555554</v>
      </c>
      <c r="M105" s="92">
        <f t="shared" si="9"/>
        <v>0</v>
      </c>
      <c r="N105" s="125">
        <f t="shared" si="10"/>
        <v>100</v>
      </c>
      <c r="O105" s="91">
        <v>49.4</v>
      </c>
      <c r="P105" s="92">
        <v>7.1</v>
      </c>
      <c r="Q105" s="92"/>
      <c r="R105" s="93">
        <f t="shared" si="8"/>
        <v>56.5</v>
      </c>
      <c r="S105" s="73">
        <v>2</v>
      </c>
      <c r="T105" s="81"/>
      <c r="V105" s="82" t="s">
        <v>507</v>
      </c>
      <c r="W105" s="73" t="s">
        <v>74</v>
      </c>
      <c r="X105" s="73" t="s">
        <v>11</v>
      </c>
      <c r="Y105" s="83">
        <v>49.4</v>
      </c>
      <c r="Z105" s="73" t="s">
        <v>510</v>
      </c>
      <c r="AA105" s="73" t="s">
        <v>17</v>
      </c>
      <c r="AB105" s="73" t="s">
        <v>18</v>
      </c>
      <c r="AC105" s="73">
        <v>7.1</v>
      </c>
      <c r="AD105" s="82"/>
      <c r="AG105" s="83"/>
      <c r="AL105" s="82"/>
      <c r="AO105" s="83"/>
      <c r="AP105" s="82"/>
      <c r="AS105" s="83"/>
      <c r="AT105" s="164"/>
      <c r="AW105" s="83"/>
      <c r="BA105" s="84"/>
    </row>
    <row r="106" spans="1:53" s="334" customFormat="1" x14ac:dyDescent="0.15">
      <c r="A106" s="334">
        <v>2005</v>
      </c>
      <c r="B106" s="355">
        <v>38656</v>
      </c>
      <c r="C106" s="812" t="s">
        <v>872</v>
      </c>
      <c r="D106" s="812"/>
      <c r="E106" s="334">
        <f>365-E105</f>
        <v>62</v>
      </c>
      <c r="F106" s="334">
        <v>1</v>
      </c>
      <c r="G106" s="419">
        <v>17</v>
      </c>
      <c r="H106" s="334">
        <v>1</v>
      </c>
      <c r="J106" s="435">
        <v>18</v>
      </c>
      <c r="K106" s="384">
        <f t="shared" si="9"/>
        <v>94.444444444444443</v>
      </c>
      <c r="L106" s="384">
        <f t="shared" si="9"/>
        <v>5.5555555555555554</v>
      </c>
      <c r="M106" s="384">
        <f t="shared" si="9"/>
        <v>0</v>
      </c>
      <c r="N106" s="421">
        <f t="shared" si="10"/>
        <v>100</v>
      </c>
      <c r="O106" s="383">
        <v>61.7</v>
      </c>
      <c r="P106" s="384">
        <v>6.5</v>
      </c>
      <c r="Q106" s="384"/>
      <c r="R106" s="385">
        <f t="shared" si="8"/>
        <v>68.2</v>
      </c>
      <c r="S106" s="334">
        <v>3</v>
      </c>
      <c r="T106" s="342">
        <v>38606</v>
      </c>
      <c r="U106" s="355">
        <v>38656</v>
      </c>
      <c r="V106" s="343" t="s">
        <v>507</v>
      </c>
      <c r="W106" s="334" t="s">
        <v>74</v>
      </c>
      <c r="X106" s="334" t="s">
        <v>11</v>
      </c>
      <c r="Y106" s="344">
        <v>61.7</v>
      </c>
      <c r="Z106" s="334" t="s">
        <v>510</v>
      </c>
      <c r="AA106" s="334" t="s">
        <v>17</v>
      </c>
      <c r="AB106" s="334" t="s">
        <v>18</v>
      </c>
      <c r="AC106" s="334">
        <v>6.5</v>
      </c>
      <c r="AD106" s="343"/>
      <c r="AG106" s="344"/>
      <c r="AL106" s="343"/>
      <c r="AO106" s="344"/>
      <c r="AP106" s="343"/>
      <c r="AS106" s="344"/>
      <c r="AT106" s="452"/>
      <c r="AW106" s="344"/>
      <c r="BA106" s="345"/>
    </row>
    <row r="107" spans="1:53" s="334" customFormat="1" x14ac:dyDescent="0.15">
      <c r="A107" s="334">
        <v>2006</v>
      </c>
      <c r="C107" s="812" t="s">
        <v>872</v>
      </c>
      <c r="D107" s="812"/>
      <c r="E107" s="334">
        <v>268</v>
      </c>
      <c r="G107" s="419">
        <v>17</v>
      </c>
      <c r="H107" s="334">
        <v>1</v>
      </c>
      <c r="J107" s="435">
        <v>18</v>
      </c>
      <c r="K107" s="384">
        <f t="shared" si="9"/>
        <v>94.444444444444443</v>
      </c>
      <c r="L107" s="384">
        <f t="shared" si="9"/>
        <v>5.5555555555555554</v>
      </c>
      <c r="M107" s="384">
        <f t="shared" si="9"/>
        <v>0</v>
      </c>
      <c r="N107" s="421">
        <f t="shared" si="10"/>
        <v>100</v>
      </c>
      <c r="O107" s="383">
        <v>61.7</v>
      </c>
      <c r="P107" s="384">
        <v>6.5</v>
      </c>
      <c r="Q107" s="384"/>
      <c r="R107" s="385">
        <f t="shared" si="8"/>
        <v>68.2</v>
      </c>
      <c r="S107" s="334">
        <v>3</v>
      </c>
      <c r="T107" s="357"/>
      <c r="V107" s="343" t="s">
        <v>507</v>
      </c>
      <c r="W107" s="334" t="s">
        <v>74</v>
      </c>
      <c r="X107" s="334" t="s">
        <v>11</v>
      </c>
      <c r="Y107" s="344">
        <v>61.7</v>
      </c>
      <c r="Z107" s="334" t="s">
        <v>510</v>
      </c>
      <c r="AA107" s="334" t="s">
        <v>17</v>
      </c>
      <c r="AB107" s="334" t="s">
        <v>18</v>
      </c>
      <c r="AC107" s="334">
        <v>6.5</v>
      </c>
      <c r="AD107" s="343"/>
      <c r="AG107" s="344"/>
      <c r="AL107" s="343"/>
      <c r="AO107" s="344"/>
      <c r="AP107" s="343"/>
      <c r="AS107" s="344"/>
      <c r="AT107" s="452"/>
      <c r="AW107" s="344"/>
      <c r="BA107" s="345"/>
    </row>
    <row r="108" spans="1:53" s="73" customFormat="1" x14ac:dyDescent="0.15">
      <c r="A108" s="73">
        <v>2006</v>
      </c>
      <c r="B108" s="85">
        <v>38986</v>
      </c>
      <c r="C108" s="811" t="s">
        <v>715</v>
      </c>
      <c r="D108" s="811"/>
      <c r="E108" s="73">
        <f>365-E107</f>
        <v>97</v>
      </c>
      <c r="G108" s="123">
        <v>16</v>
      </c>
      <c r="H108" s="73">
        <v>1</v>
      </c>
      <c r="J108" s="134">
        <v>18</v>
      </c>
      <c r="K108" s="92">
        <f t="shared" si="9"/>
        <v>88.888888888888886</v>
      </c>
      <c r="L108" s="92">
        <f t="shared" si="9"/>
        <v>5.5555555555555554</v>
      </c>
      <c r="M108" s="92">
        <f t="shared" si="9"/>
        <v>0</v>
      </c>
      <c r="N108" s="125">
        <f t="shared" si="10"/>
        <v>94.444444444444443</v>
      </c>
      <c r="O108" s="91">
        <v>61.7</v>
      </c>
      <c r="P108" s="92">
        <v>6.5</v>
      </c>
      <c r="Q108" s="92"/>
      <c r="R108" s="93">
        <f t="shared" si="8"/>
        <v>68.2</v>
      </c>
      <c r="S108" s="73">
        <v>3</v>
      </c>
      <c r="T108" s="81"/>
      <c r="U108" s="85">
        <v>38986</v>
      </c>
      <c r="V108" s="82" t="s">
        <v>507</v>
      </c>
      <c r="W108" s="73" t="s">
        <v>74</v>
      </c>
      <c r="X108" s="73" t="s">
        <v>11</v>
      </c>
      <c r="Y108" s="83">
        <v>61.7</v>
      </c>
      <c r="Z108" s="73" t="s">
        <v>510</v>
      </c>
      <c r="AA108" s="73" t="s">
        <v>17</v>
      </c>
      <c r="AB108" s="73" t="s">
        <v>18</v>
      </c>
      <c r="AC108" s="73">
        <v>6.5</v>
      </c>
      <c r="AD108" s="82"/>
      <c r="AG108" s="83"/>
      <c r="AL108" s="82"/>
      <c r="AO108" s="83"/>
      <c r="AP108" s="82"/>
      <c r="AS108" s="83"/>
      <c r="AT108" s="164"/>
      <c r="AW108" s="83"/>
      <c r="BA108" s="84"/>
    </row>
    <row r="109" spans="1:53" s="73" customFormat="1" x14ac:dyDescent="0.15">
      <c r="A109" s="73">
        <v>2007</v>
      </c>
      <c r="C109" s="811" t="s">
        <v>715</v>
      </c>
      <c r="D109" s="811"/>
      <c r="E109" s="73">
        <v>238</v>
      </c>
      <c r="G109" s="123">
        <v>16</v>
      </c>
      <c r="H109" s="73">
        <v>1</v>
      </c>
      <c r="J109" s="134">
        <v>18</v>
      </c>
      <c r="K109" s="92">
        <f t="shared" si="9"/>
        <v>88.888888888888886</v>
      </c>
      <c r="L109" s="92">
        <f t="shared" si="9"/>
        <v>5.5555555555555554</v>
      </c>
      <c r="M109" s="92">
        <f t="shared" si="9"/>
        <v>0</v>
      </c>
      <c r="N109" s="125">
        <f t="shared" si="10"/>
        <v>94.444444444444443</v>
      </c>
      <c r="O109" s="91">
        <v>61.7</v>
      </c>
      <c r="P109" s="92">
        <v>6.5</v>
      </c>
      <c r="Q109" s="92"/>
      <c r="R109" s="93">
        <f t="shared" si="8"/>
        <v>68.2</v>
      </c>
      <c r="S109" s="73">
        <v>3</v>
      </c>
      <c r="T109" s="81"/>
      <c r="V109" s="82" t="s">
        <v>507</v>
      </c>
      <c r="W109" s="73" t="s">
        <v>74</v>
      </c>
      <c r="X109" s="73" t="s">
        <v>11</v>
      </c>
      <c r="Y109" s="83">
        <v>61.7</v>
      </c>
      <c r="Z109" s="73" t="s">
        <v>510</v>
      </c>
      <c r="AA109" s="73" t="s">
        <v>17</v>
      </c>
      <c r="AB109" s="73" t="s">
        <v>18</v>
      </c>
      <c r="AC109" s="73">
        <v>6.5</v>
      </c>
      <c r="AD109" s="82"/>
      <c r="AG109" s="83"/>
      <c r="AL109" s="82"/>
      <c r="AO109" s="83"/>
      <c r="AP109" s="82"/>
      <c r="AS109" s="83"/>
      <c r="AT109" s="164"/>
      <c r="AW109" s="83"/>
      <c r="BA109" s="84"/>
    </row>
    <row r="110" spans="1:53" s="73" customFormat="1" x14ac:dyDescent="0.15">
      <c r="A110" s="73">
        <v>2007</v>
      </c>
      <c r="B110" s="149">
        <v>39321</v>
      </c>
      <c r="C110" s="811" t="s">
        <v>715</v>
      </c>
      <c r="D110" s="811"/>
      <c r="E110" s="73">
        <v>30</v>
      </c>
      <c r="F110" s="150">
        <v>0</v>
      </c>
      <c r="G110" s="123">
        <v>15</v>
      </c>
      <c r="H110" s="73">
        <v>1</v>
      </c>
      <c r="J110" s="134">
        <v>18</v>
      </c>
      <c r="K110" s="92">
        <f t="shared" si="9"/>
        <v>83.333333333333343</v>
      </c>
      <c r="L110" s="92">
        <f t="shared" si="9"/>
        <v>5.5555555555555554</v>
      </c>
      <c r="M110" s="92">
        <f t="shared" si="9"/>
        <v>0</v>
      </c>
      <c r="N110" s="125">
        <f t="shared" si="10"/>
        <v>88.8888888888889</v>
      </c>
      <c r="O110" s="91">
        <v>61.7</v>
      </c>
      <c r="P110" s="92">
        <v>6.5</v>
      </c>
      <c r="Q110" s="92"/>
      <c r="R110" s="93">
        <f t="shared" si="8"/>
        <v>68.2</v>
      </c>
      <c r="S110" s="73">
        <v>3</v>
      </c>
      <c r="T110" s="81"/>
      <c r="U110" s="85">
        <v>39321</v>
      </c>
      <c r="V110" s="82" t="s">
        <v>507</v>
      </c>
      <c r="W110" s="73" t="s">
        <v>74</v>
      </c>
      <c r="X110" s="73" t="s">
        <v>11</v>
      </c>
      <c r="Y110" s="83">
        <v>61.7</v>
      </c>
      <c r="Z110" s="73" t="s">
        <v>510</v>
      </c>
      <c r="AA110" s="73" t="s">
        <v>17</v>
      </c>
      <c r="AB110" s="73" t="s">
        <v>18</v>
      </c>
      <c r="AC110" s="73">
        <v>6.5</v>
      </c>
      <c r="AD110" s="82"/>
      <c r="AG110" s="83"/>
      <c r="AL110" s="82"/>
      <c r="AO110" s="83"/>
      <c r="AP110" s="82"/>
      <c r="AS110" s="83"/>
      <c r="AT110" s="164"/>
      <c r="AW110" s="83"/>
      <c r="BA110" s="84"/>
    </row>
    <row r="111" spans="1:53" s="334" customFormat="1" x14ac:dyDescent="0.15">
      <c r="A111" s="334">
        <v>2007</v>
      </c>
      <c r="B111" s="355">
        <v>39351</v>
      </c>
      <c r="C111" s="812" t="s">
        <v>704</v>
      </c>
      <c r="D111" s="812"/>
      <c r="E111" s="334">
        <f>365-E110-E109</f>
        <v>97</v>
      </c>
      <c r="F111" s="334">
        <v>3</v>
      </c>
      <c r="G111" s="419">
        <v>15</v>
      </c>
      <c r="H111" s="334">
        <v>1</v>
      </c>
      <c r="J111" s="435">
        <v>18</v>
      </c>
      <c r="K111" s="384">
        <f>G111/$J111*100</f>
        <v>83.333333333333343</v>
      </c>
      <c r="L111" s="384">
        <f>H111/$J111*100</f>
        <v>5.5555555555555554</v>
      </c>
      <c r="M111" s="384">
        <f>I111/$J111*100</f>
        <v>0</v>
      </c>
      <c r="N111" s="421">
        <f>K111+L111+M111</f>
        <v>88.8888888888889</v>
      </c>
      <c r="O111" s="383">
        <v>61.7</v>
      </c>
      <c r="P111" s="384">
        <v>6.5</v>
      </c>
      <c r="Q111" s="384"/>
      <c r="R111" s="385">
        <f t="shared" si="8"/>
        <v>68.2</v>
      </c>
      <c r="S111" s="334">
        <v>3</v>
      </c>
      <c r="T111" s="357"/>
      <c r="U111" s="355">
        <v>39351</v>
      </c>
      <c r="V111" s="343" t="s">
        <v>507</v>
      </c>
      <c r="W111" s="334" t="s">
        <v>74</v>
      </c>
      <c r="X111" s="334" t="s">
        <v>11</v>
      </c>
      <c r="Y111" s="344">
        <v>61.7</v>
      </c>
      <c r="Z111" s="334" t="s">
        <v>510</v>
      </c>
      <c r="AA111" s="334" t="s">
        <v>17</v>
      </c>
      <c r="AB111" s="334" t="s">
        <v>18</v>
      </c>
      <c r="AC111" s="334">
        <v>6.5</v>
      </c>
      <c r="AD111" s="343"/>
      <c r="AG111" s="344"/>
      <c r="AL111" s="343"/>
      <c r="AO111" s="344"/>
      <c r="AP111" s="343"/>
      <c r="AS111" s="344"/>
      <c r="AT111" s="452"/>
      <c r="AW111" s="344"/>
      <c r="BA111" s="345"/>
    </row>
    <row r="112" spans="1:53" s="334" customFormat="1" x14ac:dyDescent="0.15">
      <c r="A112" s="334">
        <v>2008</v>
      </c>
      <c r="C112" s="812" t="s">
        <v>704</v>
      </c>
      <c r="D112" s="812"/>
      <c r="E112" s="334">
        <v>214</v>
      </c>
      <c r="G112" s="419">
        <v>15</v>
      </c>
      <c r="H112" s="334">
        <v>1</v>
      </c>
      <c r="J112" s="435">
        <v>18</v>
      </c>
      <c r="K112" s="384">
        <f t="shared" ref="K112:K125" si="11">G112/$J112*100</f>
        <v>83.333333333333343</v>
      </c>
      <c r="L112" s="384">
        <f t="shared" ref="L112:L131" si="12">H112/$J112*100</f>
        <v>5.5555555555555554</v>
      </c>
      <c r="M112" s="384">
        <f t="shared" ref="M112:M131" si="13">I112/$J112*100</f>
        <v>0</v>
      </c>
      <c r="N112" s="421">
        <f t="shared" ref="N112:N125" si="14">K112+L112+M112</f>
        <v>88.8888888888889</v>
      </c>
      <c r="O112" s="383">
        <v>61.7</v>
      </c>
      <c r="P112" s="384">
        <v>6.5</v>
      </c>
      <c r="Q112" s="384"/>
      <c r="R112" s="385">
        <f t="shared" si="8"/>
        <v>68.2</v>
      </c>
      <c r="S112" s="334">
        <v>3</v>
      </c>
      <c r="T112" s="357"/>
      <c r="V112" s="343" t="s">
        <v>507</v>
      </c>
      <c r="W112" s="334" t="s">
        <v>74</v>
      </c>
      <c r="X112" s="334" t="s">
        <v>11</v>
      </c>
      <c r="Y112" s="344">
        <v>61.7</v>
      </c>
      <c r="Z112" s="334" t="s">
        <v>510</v>
      </c>
      <c r="AA112" s="334" t="s">
        <v>17</v>
      </c>
      <c r="AB112" s="334" t="s">
        <v>18</v>
      </c>
      <c r="AC112" s="334">
        <v>6.5</v>
      </c>
      <c r="AD112" s="343"/>
      <c r="AG112" s="344"/>
      <c r="AL112" s="343"/>
      <c r="AO112" s="344"/>
      <c r="AP112" s="343"/>
      <c r="AS112" s="344"/>
      <c r="AT112" s="452"/>
      <c r="AW112" s="344"/>
      <c r="BA112" s="345"/>
    </row>
    <row r="113" spans="1:53" s="334" customFormat="1" x14ac:dyDescent="0.15">
      <c r="A113" s="334">
        <v>2008</v>
      </c>
      <c r="B113" s="445">
        <v>39662</v>
      </c>
      <c r="C113" s="812" t="s">
        <v>704</v>
      </c>
      <c r="D113" s="812"/>
      <c r="E113" s="334">
        <v>53</v>
      </c>
      <c r="F113" s="441">
        <v>0</v>
      </c>
      <c r="G113" s="419">
        <v>16</v>
      </c>
      <c r="H113" s="334">
        <v>1</v>
      </c>
      <c r="J113" s="435">
        <v>18</v>
      </c>
      <c r="K113" s="384">
        <f t="shared" si="11"/>
        <v>88.888888888888886</v>
      </c>
      <c r="L113" s="384">
        <f t="shared" si="12"/>
        <v>5.5555555555555554</v>
      </c>
      <c r="M113" s="384">
        <f t="shared" si="13"/>
        <v>0</v>
      </c>
      <c r="N113" s="421">
        <f t="shared" si="14"/>
        <v>94.444444444444443</v>
      </c>
      <c r="O113" s="383">
        <v>61.7</v>
      </c>
      <c r="P113" s="384">
        <v>6.5</v>
      </c>
      <c r="Q113" s="384"/>
      <c r="R113" s="385">
        <f t="shared" si="8"/>
        <v>68.2</v>
      </c>
      <c r="S113" s="334">
        <v>3</v>
      </c>
      <c r="T113" s="357"/>
      <c r="U113" s="355">
        <v>39662</v>
      </c>
      <c r="V113" s="343" t="s">
        <v>507</v>
      </c>
      <c r="W113" s="334" t="s">
        <v>74</v>
      </c>
      <c r="X113" s="334" t="s">
        <v>11</v>
      </c>
      <c r="Y113" s="344">
        <v>61.7</v>
      </c>
      <c r="Z113" s="334" t="s">
        <v>510</v>
      </c>
      <c r="AA113" s="334" t="s">
        <v>17</v>
      </c>
      <c r="AB113" s="334" t="s">
        <v>18</v>
      </c>
      <c r="AC113" s="334">
        <v>6.5</v>
      </c>
      <c r="AD113" s="343"/>
      <c r="AG113" s="344"/>
      <c r="AL113" s="343"/>
      <c r="AO113" s="344"/>
      <c r="AP113" s="343"/>
      <c r="AS113" s="344"/>
      <c r="AT113" s="452"/>
      <c r="AW113" s="344"/>
      <c r="BA113" s="345"/>
    </row>
    <row r="114" spans="1:53" s="73" customFormat="1" x14ac:dyDescent="0.15">
      <c r="A114" s="73">
        <v>2008</v>
      </c>
      <c r="B114" s="85">
        <v>39715</v>
      </c>
      <c r="C114" s="811" t="s">
        <v>1196</v>
      </c>
      <c r="D114" s="811"/>
      <c r="E114" s="73">
        <f>366-E112-E113</f>
        <v>99</v>
      </c>
      <c r="G114" s="123">
        <v>17</v>
      </c>
      <c r="H114" s="73">
        <v>1</v>
      </c>
      <c r="J114" s="134">
        <v>18</v>
      </c>
      <c r="K114" s="92">
        <f t="shared" si="11"/>
        <v>94.444444444444443</v>
      </c>
      <c r="L114" s="92">
        <f t="shared" si="12"/>
        <v>5.5555555555555554</v>
      </c>
      <c r="M114" s="92">
        <f t="shared" si="13"/>
        <v>0</v>
      </c>
      <c r="N114" s="125">
        <f t="shared" si="14"/>
        <v>100</v>
      </c>
      <c r="O114" s="91">
        <v>61.7</v>
      </c>
      <c r="P114" s="92">
        <v>6.5</v>
      </c>
      <c r="Q114" s="92"/>
      <c r="R114" s="93">
        <f t="shared" si="8"/>
        <v>68.2</v>
      </c>
      <c r="S114" s="73">
        <v>3</v>
      </c>
      <c r="T114" s="81"/>
      <c r="U114" s="85">
        <v>40080</v>
      </c>
      <c r="V114" s="82" t="s">
        <v>507</v>
      </c>
      <c r="W114" s="73" t="s">
        <v>74</v>
      </c>
      <c r="X114" s="73" t="s">
        <v>11</v>
      </c>
      <c r="Y114" s="83">
        <v>61.7</v>
      </c>
      <c r="Z114" s="73" t="s">
        <v>510</v>
      </c>
      <c r="AA114" s="73" t="s">
        <v>17</v>
      </c>
      <c r="AB114" s="73" t="s">
        <v>18</v>
      </c>
      <c r="AC114" s="73">
        <v>6.5</v>
      </c>
      <c r="AD114" s="82"/>
      <c r="AG114" s="83"/>
      <c r="AL114" s="82"/>
      <c r="AO114" s="83"/>
      <c r="AP114" s="82"/>
      <c r="AS114" s="83"/>
      <c r="AT114" s="164"/>
      <c r="AW114" s="83"/>
      <c r="BA114" s="84"/>
    </row>
    <row r="115" spans="1:53" s="73" customFormat="1" x14ac:dyDescent="0.15">
      <c r="A115" s="73">
        <v>2009</v>
      </c>
      <c r="C115" s="811" t="s">
        <v>1196</v>
      </c>
      <c r="D115" s="811"/>
      <c r="E115" s="73">
        <v>258</v>
      </c>
      <c r="G115" s="123">
        <v>17</v>
      </c>
      <c r="H115" s="73">
        <v>1</v>
      </c>
      <c r="J115" s="134">
        <v>18</v>
      </c>
      <c r="K115" s="92">
        <f t="shared" si="11"/>
        <v>94.444444444444443</v>
      </c>
      <c r="L115" s="92">
        <f t="shared" si="12"/>
        <v>5.5555555555555554</v>
      </c>
      <c r="M115" s="92">
        <f t="shared" si="13"/>
        <v>0</v>
      </c>
      <c r="N115" s="125">
        <f t="shared" si="14"/>
        <v>100</v>
      </c>
      <c r="O115" s="91">
        <v>61.7</v>
      </c>
      <c r="P115" s="92">
        <v>6.5</v>
      </c>
      <c r="Q115" s="92"/>
      <c r="R115" s="93">
        <f t="shared" si="8"/>
        <v>68.2</v>
      </c>
      <c r="S115" s="73">
        <v>3</v>
      </c>
      <c r="T115" s="81"/>
      <c r="V115" s="82" t="s">
        <v>507</v>
      </c>
      <c r="W115" s="73" t="s">
        <v>74</v>
      </c>
      <c r="X115" s="73" t="s">
        <v>11</v>
      </c>
      <c r="Y115" s="83">
        <v>61.7</v>
      </c>
      <c r="Z115" s="73" t="s">
        <v>510</v>
      </c>
      <c r="AA115" s="73" t="s">
        <v>17</v>
      </c>
      <c r="AB115" s="73" t="s">
        <v>18</v>
      </c>
      <c r="AC115" s="73">
        <v>6.5</v>
      </c>
      <c r="AD115" s="82"/>
      <c r="AG115" s="83"/>
      <c r="AL115" s="82"/>
      <c r="AO115" s="83"/>
      <c r="AP115" s="82"/>
      <c r="AS115" s="83"/>
      <c r="AT115" s="164"/>
      <c r="AW115" s="83"/>
      <c r="BA115" s="84"/>
    </row>
    <row r="116" spans="1:53" s="334" customFormat="1" x14ac:dyDescent="0.15">
      <c r="A116" s="334">
        <v>2009</v>
      </c>
      <c r="B116" s="355">
        <v>40072</v>
      </c>
      <c r="C116" s="812" t="s">
        <v>716</v>
      </c>
      <c r="D116" s="812"/>
      <c r="E116" s="334">
        <v>107</v>
      </c>
      <c r="F116" s="334">
        <v>1</v>
      </c>
      <c r="G116" s="419">
        <v>1</v>
      </c>
      <c r="H116" s="334">
        <v>16</v>
      </c>
      <c r="I116" s="334">
        <v>1</v>
      </c>
      <c r="J116" s="435">
        <v>18</v>
      </c>
      <c r="K116" s="384">
        <f t="shared" si="11"/>
        <v>5.5555555555555554</v>
      </c>
      <c r="L116" s="384">
        <f t="shared" si="12"/>
        <v>88.888888888888886</v>
      </c>
      <c r="M116" s="384">
        <f t="shared" si="13"/>
        <v>5.5555555555555554</v>
      </c>
      <c r="N116" s="421">
        <f t="shared" si="14"/>
        <v>100</v>
      </c>
      <c r="O116" s="383">
        <v>0.6</v>
      </c>
      <c r="P116" s="384">
        <v>64.2</v>
      </c>
      <c r="Q116" s="384">
        <v>1.5</v>
      </c>
      <c r="R116" s="385">
        <f t="shared" si="8"/>
        <v>66.3</v>
      </c>
      <c r="S116" s="334">
        <v>3</v>
      </c>
      <c r="T116" s="342">
        <v>40055</v>
      </c>
      <c r="U116" s="355">
        <v>40072</v>
      </c>
      <c r="V116" s="343" t="s">
        <v>582</v>
      </c>
      <c r="W116" s="334" t="s">
        <v>97</v>
      </c>
      <c r="X116" s="334" t="s">
        <v>18</v>
      </c>
      <c r="Y116" s="344">
        <v>64.2</v>
      </c>
      <c r="Z116" s="334" t="s">
        <v>112</v>
      </c>
      <c r="AA116" s="334" t="s">
        <v>20</v>
      </c>
      <c r="AB116" s="334" t="s">
        <v>12</v>
      </c>
      <c r="AC116" s="334">
        <v>1.5</v>
      </c>
      <c r="AD116" s="343" t="s">
        <v>515</v>
      </c>
      <c r="AE116" s="334" t="s">
        <v>340</v>
      </c>
      <c r="AF116" s="334" t="s">
        <v>11</v>
      </c>
      <c r="AG116" s="344">
        <v>0.6</v>
      </c>
      <c r="AL116" s="343"/>
      <c r="AO116" s="344"/>
      <c r="AP116" s="343"/>
      <c r="AS116" s="344"/>
      <c r="AT116" s="452"/>
      <c r="AW116" s="344"/>
      <c r="BA116" s="345"/>
    </row>
    <row r="117" spans="1:53" s="334" customFormat="1" x14ac:dyDescent="0.15">
      <c r="A117" s="334">
        <v>2010</v>
      </c>
      <c r="C117" s="812" t="s">
        <v>716</v>
      </c>
      <c r="D117" s="812"/>
      <c r="E117" s="334">
        <v>147</v>
      </c>
      <c r="G117" s="419">
        <v>1</v>
      </c>
      <c r="H117" s="334">
        <v>16</v>
      </c>
      <c r="I117" s="334">
        <v>1</v>
      </c>
      <c r="J117" s="435">
        <v>18</v>
      </c>
      <c r="K117" s="384">
        <f t="shared" si="11"/>
        <v>5.5555555555555554</v>
      </c>
      <c r="L117" s="384">
        <f t="shared" si="12"/>
        <v>88.888888888888886</v>
      </c>
      <c r="M117" s="384">
        <f t="shared" si="13"/>
        <v>5.5555555555555554</v>
      </c>
      <c r="N117" s="421">
        <f t="shared" si="14"/>
        <v>100</v>
      </c>
      <c r="O117" s="383">
        <v>0.6</v>
      </c>
      <c r="P117" s="384">
        <v>64.2</v>
      </c>
      <c r="Q117" s="384">
        <v>1.5</v>
      </c>
      <c r="R117" s="385">
        <f t="shared" si="8"/>
        <v>66.3</v>
      </c>
      <c r="S117" s="334">
        <v>3</v>
      </c>
      <c r="T117" s="357"/>
      <c r="V117" s="343" t="s">
        <v>582</v>
      </c>
      <c r="W117" s="334" t="s">
        <v>97</v>
      </c>
      <c r="X117" s="334" t="s">
        <v>18</v>
      </c>
      <c r="Y117" s="344">
        <v>64.2</v>
      </c>
      <c r="Z117" s="334" t="s">
        <v>112</v>
      </c>
      <c r="AA117" s="334" t="s">
        <v>20</v>
      </c>
      <c r="AB117" s="334" t="s">
        <v>12</v>
      </c>
      <c r="AC117" s="334">
        <v>1.5</v>
      </c>
      <c r="AD117" s="343" t="s">
        <v>515</v>
      </c>
      <c r="AE117" s="334" t="s">
        <v>340</v>
      </c>
      <c r="AF117" s="334" t="s">
        <v>11</v>
      </c>
      <c r="AG117" s="344">
        <v>0.6</v>
      </c>
      <c r="AL117" s="343"/>
      <c r="AO117" s="344"/>
      <c r="AP117" s="343"/>
      <c r="AS117" s="344"/>
      <c r="AT117" s="452"/>
      <c r="AW117" s="344"/>
      <c r="BA117" s="345"/>
    </row>
    <row r="118" spans="1:53" s="73" customFormat="1" x14ac:dyDescent="0.15">
      <c r="A118" s="73">
        <v>2010</v>
      </c>
      <c r="B118" s="85">
        <v>40326</v>
      </c>
      <c r="C118" s="811" t="s">
        <v>717</v>
      </c>
      <c r="D118" s="811"/>
      <c r="E118" s="73">
        <v>11</v>
      </c>
      <c r="F118" s="73">
        <v>4</v>
      </c>
      <c r="G118" s="123">
        <v>1</v>
      </c>
      <c r="H118" s="73">
        <v>16</v>
      </c>
      <c r="J118" s="134">
        <v>17</v>
      </c>
      <c r="K118" s="92">
        <f t="shared" si="11"/>
        <v>5.8823529411764701</v>
      </c>
      <c r="L118" s="92">
        <f t="shared" si="12"/>
        <v>94.117647058823522</v>
      </c>
      <c r="M118" s="92">
        <f t="shared" si="13"/>
        <v>0</v>
      </c>
      <c r="N118" s="125">
        <f t="shared" si="14"/>
        <v>99.999999999999986</v>
      </c>
      <c r="O118" s="91">
        <v>0.6</v>
      </c>
      <c r="P118" s="92">
        <v>64.2</v>
      </c>
      <c r="Q118" s="92"/>
      <c r="R118" s="93">
        <f t="shared" si="8"/>
        <v>64.8</v>
      </c>
      <c r="S118" s="73">
        <v>3</v>
      </c>
      <c r="T118" s="81"/>
      <c r="U118" s="85">
        <v>40326</v>
      </c>
      <c r="V118" s="82" t="s">
        <v>582</v>
      </c>
      <c r="W118" s="73" t="s">
        <v>97</v>
      </c>
      <c r="X118" s="73" t="s">
        <v>18</v>
      </c>
      <c r="Y118" s="83">
        <v>64.2</v>
      </c>
      <c r="Z118" s="82" t="s">
        <v>515</v>
      </c>
      <c r="AA118" s="73" t="s">
        <v>340</v>
      </c>
      <c r="AB118" s="73" t="s">
        <v>11</v>
      </c>
      <c r="AC118" s="73">
        <v>0.6</v>
      </c>
      <c r="AD118" s="82"/>
      <c r="AG118" s="83"/>
      <c r="AL118" s="82"/>
      <c r="AO118" s="83"/>
      <c r="AP118" s="82"/>
      <c r="AS118" s="83"/>
      <c r="AT118" s="164"/>
      <c r="AW118" s="83"/>
      <c r="BA118" s="84"/>
    </row>
    <row r="119" spans="1:53" s="334" customFormat="1" x14ac:dyDescent="0.15">
      <c r="A119" s="334">
        <v>2010</v>
      </c>
      <c r="B119" s="355">
        <v>40337</v>
      </c>
      <c r="C119" s="812" t="s">
        <v>821</v>
      </c>
      <c r="D119" s="812"/>
      <c r="E119" s="334">
        <v>101</v>
      </c>
      <c r="F119" s="334">
        <v>1</v>
      </c>
      <c r="G119" s="419">
        <v>1</v>
      </c>
      <c r="H119" s="334">
        <v>17</v>
      </c>
      <c r="J119" s="435">
        <v>18</v>
      </c>
      <c r="K119" s="384">
        <f t="shared" si="11"/>
        <v>5.5555555555555554</v>
      </c>
      <c r="L119" s="384">
        <f t="shared" si="12"/>
        <v>94.444444444444443</v>
      </c>
      <c r="M119" s="384">
        <f t="shared" si="13"/>
        <v>0</v>
      </c>
      <c r="N119" s="421">
        <f t="shared" si="14"/>
        <v>100</v>
      </c>
      <c r="O119" s="383">
        <v>0.6</v>
      </c>
      <c r="P119" s="384">
        <v>64.2</v>
      </c>
      <c r="Q119" s="384"/>
      <c r="R119" s="385">
        <f t="shared" si="8"/>
        <v>64.8</v>
      </c>
      <c r="S119" s="334">
        <v>3</v>
      </c>
      <c r="T119" s="357"/>
      <c r="U119" s="355">
        <v>40337</v>
      </c>
      <c r="V119" s="343" t="s">
        <v>582</v>
      </c>
      <c r="W119" s="334" t="s">
        <v>97</v>
      </c>
      <c r="X119" s="334" t="s">
        <v>18</v>
      </c>
      <c r="Y119" s="344">
        <v>64.2</v>
      </c>
      <c r="Z119" s="343" t="s">
        <v>515</v>
      </c>
      <c r="AA119" s="334" t="s">
        <v>340</v>
      </c>
      <c r="AB119" s="334" t="s">
        <v>11</v>
      </c>
      <c r="AC119" s="334">
        <v>0.6</v>
      </c>
      <c r="AD119" s="343"/>
      <c r="AG119" s="344"/>
      <c r="AL119" s="343"/>
      <c r="AO119" s="344"/>
      <c r="AP119" s="343"/>
      <c r="AS119" s="344"/>
      <c r="AT119" s="452"/>
      <c r="AW119" s="344"/>
      <c r="BA119" s="345"/>
    </row>
    <row r="120" spans="1:53" s="334" customFormat="1" x14ac:dyDescent="0.15">
      <c r="A120" s="334">
        <v>2010</v>
      </c>
      <c r="B120" s="445">
        <v>40438</v>
      </c>
      <c r="C120" s="812" t="s">
        <v>821</v>
      </c>
      <c r="D120" s="812"/>
      <c r="E120" s="334">
        <f>365-E117-E118-E119</f>
        <v>106</v>
      </c>
      <c r="F120" s="441">
        <v>0</v>
      </c>
      <c r="G120" s="419">
        <v>1</v>
      </c>
      <c r="H120" s="334">
        <v>16</v>
      </c>
      <c r="J120" s="435">
        <v>18</v>
      </c>
      <c r="K120" s="384">
        <f t="shared" si="11"/>
        <v>5.5555555555555554</v>
      </c>
      <c r="L120" s="384">
        <f t="shared" si="12"/>
        <v>88.888888888888886</v>
      </c>
      <c r="M120" s="384">
        <f t="shared" si="13"/>
        <v>0</v>
      </c>
      <c r="N120" s="421">
        <f t="shared" si="14"/>
        <v>94.444444444444443</v>
      </c>
      <c r="O120" s="383">
        <v>0.6</v>
      </c>
      <c r="P120" s="384">
        <v>64.2</v>
      </c>
      <c r="Q120" s="384"/>
      <c r="R120" s="385">
        <f t="shared" si="8"/>
        <v>64.8</v>
      </c>
      <c r="S120" s="334">
        <v>3</v>
      </c>
      <c r="T120" s="357"/>
      <c r="V120" s="343" t="s">
        <v>582</v>
      </c>
      <c r="W120" s="334" t="s">
        <v>97</v>
      </c>
      <c r="X120" s="334" t="s">
        <v>18</v>
      </c>
      <c r="Y120" s="344">
        <v>64.2</v>
      </c>
      <c r="Z120" s="343" t="s">
        <v>515</v>
      </c>
      <c r="AA120" s="334" t="s">
        <v>340</v>
      </c>
      <c r="AB120" s="334" t="s">
        <v>11</v>
      </c>
      <c r="AC120" s="334">
        <v>0.6</v>
      </c>
      <c r="AD120" s="343"/>
      <c r="AG120" s="344"/>
      <c r="AL120" s="343"/>
      <c r="AO120" s="344"/>
      <c r="AP120" s="343"/>
      <c r="AS120" s="344"/>
      <c r="AT120" s="452"/>
      <c r="AW120" s="344"/>
      <c r="BA120" s="345"/>
    </row>
    <row r="121" spans="1:53" s="334" customFormat="1" x14ac:dyDescent="0.15">
      <c r="A121" s="334">
        <v>2011</v>
      </c>
      <c r="C121" s="812" t="s">
        <v>821</v>
      </c>
      <c r="D121" s="812"/>
      <c r="E121" s="334">
        <v>13</v>
      </c>
      <c r="G121" s="419">
        <v>1</v>
      </c>
      <c r="H121" s="334">
        <v>16</v>
      </c>
      <c r="J121" s="435">
        <v>18</v>
      </c>
      <c r="K121" s="384">
        <f t="shared" si="11"/>
        <v>5.5555555555555554</v>
      </c>
      <c r="L121" s="384">
        <f t="shared" si="12"/>
        <v>88.888888888888886</v>
      </c>
      <c r="M121" s="384">
        <f t="shared" si="13"/>
        <v>0</v>
      </c>
      <c r="N121" s="421">
        <f t="shared" si="14"/>
        <v>94.444444444444443</v>
      </c>
      <c r="O121" s="383">
        <v>0.6</v>
      </c>
      <c r="P121" s="384">
        <v>64.2</v>
      </c>
      <c r="Q121" s="384"/>
      <c r="R121" s="385">
        <f t="shared" si="8"/>
        <v>64.8</v>
      </c>
      <c r="S121" s="334">
        <v>3</v>
      </c>
      <c r="T121" s="357"/>
      <c r="V121" s="343" t="s">
        <v>582</v>
      </c>
      <c r="W121" s="334" t="s">
        <v>97</v>
      </c>
      <c r="X121" s="334" t="s">
        <v>18</v>
      </c>
      <c r="Y121" s="344">
        <v>64.2</v>
      </c>
      <c r="Z121" s="343" t="s">
        <v>515</v>
      </c>
      <c r="AA121" s="334" t="s">
        <v>340</v>
      </c>
      <c r="AB121" s="334" t="s">
        <v>11</v>
      </c>
      <c r="AC121" s="334">
        <v>0.6</v>
      </c>
      <c r="AD121" s="343"/>
      <c r="AG121" s="344"/>
      <c r="AL121" s="343"/>
      <c r="AO121" s="344"/>
      <c r="AP121" s="343"/>
      <c r="AS121" s="344"/>
      <c r="AT121" s="452"/>
      <c r="AW121" s="344"/>
      <c r="BA121" s="345"/>
    </row>
    <row r="122" spans="1:53" s="334" customFormat="1" x14ac:dyDescent="0.15">
      <c r="A122" s="334">
        <v>2011</v>
      </c>
      <c r="B122" s="445">
        <v>40557</v>
      </c>
      <c r="C122" s="812" t="s">
        <v>821</v>
      </c>
      <c r="D122" s="812"/>
      <c r="E122" s="334">
        <f>365-E121-E123</f>
        <v>231</v>
      </c>
      <c r="F122" s="441">
        <v>0</v>
      </c>
      <c r="G122" s="419">
        <v>1</v>
      </c>
      <c r="H122" s="334">
        <v>15</v>
      </c>
      <c r="J122" s="435">
        <v>18</v>
      </c>
      <c r="K122" s="384">
        <f t="shared" si="11"/>
        <v>5.5555555555555554</v>
      </c>
      <c r="L122" s="384">
        <f t="shared" si="12"/>
        <v>83.333333333333343</v>
      </c>
      <c r="M122" s="384">
        <f t="shared" si="13"/>
        <v>0</v>
      </c>
      <c r="N122" s="421">
        <f t="shared" si="14"/>
        <v>88.8888888888889</v>
      </c>
      <c r="O122" s="383">
        <v>0.6</v>
      </c>
      <c r="P122" s="384">
        <v>64.2</v>
      </c>
      <c r="Q122" s="384"/>
      <c r="R122" s="385">
        <f t="shared" si="8"/>
        <v>64.8</v>
      </c>
      <c r="S122" s="334">
        <v>3</v>
      </c>
      <c r="T122" s="357"/>
      <c r="V122" s="343" t="s">
        <v>582</v>
      </c>
      <c r="W122" s="334" t="s">
        <v>97</v>
      </c>
      <c r="X122" s="334" t="s">
        <v>18</v>
      </c>
      <c r="Y122" s="344">
        <v>64.2</v>
      </c>
      <c r="Z122" s="343" t="s">
        <v>515</v>
      </c>
      <c r="AA122" s="334" t="s">
        <v>340</v>
      </c>
      <c r="AB122" s="334" t="s">
        <v>11</v>
      </c>
      <c r="AC122" s="334">
        <v>0.6</v>
      </c>
      <c r="AD122" s="343"/>
      <c r="AG122" s="344"/>
      <c r="AL122" s="343"/>
      <c r="AO122" s="344"/>
      <c r="AP122" s="343"/>
      <c r="AS122" s="344"/>
      <c r="AT122" s="452"/>
      <c r="AW122" s="344"/>
      <c r="BA122" s="345"/>
    </row>
    <row r="123" spans="1:53" s="73" customFormat="1" x14ac:dyDescent="0.15">
      <c r="A123" s="73">
        <v>2011</v>
      </c>
      <c r="B123" s="85">
        <v>40788</v>
      </c>
      <c r="C123" s="843" t="s">
        <v>335</v>
      </c>
      <c r="D123" s="843"/>
      <c r="E123" s="73">
        <v>121</v>
      </c>
      <c r="F123" s="73">
        <v>1</v>
      </c>
      <c r="G123" s="123">
        <v>1</v>
      </c>
      <c r="H123" s="73">
        <v>17</v>
      </c>
      <c r="J123" s="134">
        <v>18</v>
      </c>
      <c r="K123" s="92">
        <f t="shared" si="11"/>
        <v>5.5555555555555554</v>
      </c>
      <c r="L123" s="92">
        <f t="shared" si="12"/>
        <v>94.444444444444443</v>
      </c>
      <c r="M123" s="92">
        <f t="shared" si="13"/>
        <v>0</v>
      </c>
      <c r="N123" s="125">
        <f t="shared" si="14"/>
        <v>100</v>
      </c>
      <c r="O123" s="91">
        <v>0.6</v>
      </c>
      <c r="P123" s="92">
        <v>64.2</v>
      </c>
      <c r="Q123" s="92"/>
      <c r="R123" s="93">
        <f t="shared" si="8"/>
        <v>64.8</v>
      </c>
      <c r="S123" s="73">
        <v>3</v>
      </c>
      <c r="T123" s="81"/>
      <c r="U123" s="85">
        <v>40788</v>
      </c>
      <c r="V123" s="82" t="s">
        <v>582</v>
      </c>
      <c r="W123" s="73" t="s">
        <v>97</v>
      </c>
      <c r="X123" s="73" t="s">
        <v>18</v>
      </c>
      <c r="Y123" s="83">
        <v>64.2</v>
      </c>
      <c r="Z123" s="82" t="s">
        <v>515</v>
      </c>
      <c r="AA123" s="73" t="s">
        <v>340</v>
      </c>
      <c r="AB123" s="73" t="s">
        <v>11</v>
      </c>
      <c r="AC123" s="73">
        <v>0.6</v>
      </c>
      <c r="AD123" s="82"/>
      <c r="AG123" s="83"/>
      <c r="AL123" s="82"/>
      <c r="AO123" s="83"/>
      <c r="AP123" s="82"/>
      <c r="AS123" s="83"/>
      <c r="AT123" s="164"/>
      <c r="AW123" s="83"/>
      <c r="BA123" s="84"/>
    </row>
    <row r="124" spans="1:53" s="73" customFormat="1" x14ac:dyDescent="0.15">
      <c r="A124" s="73">
        <v>2012</v>
      </c>
      <c r="B124" s="85"/>
      <c r="C124" s="843" t="s">
        <v>335</v>
      </c>
      <c r="D124" s="843"/>
      <c r="E124" s="73">
        <v>12</v>
      </c>
      <c r="G124" s="123">
        <v>1</v>
      </c>
      <c r="H124" s="73">
        <v>17</v>
      </c>
      <c r="J124" s="134">
        <v>18</v>
      </c>
      <c r="K124" s="92">
        <f t="shared" si="11"/>
        <v>5.5555555555555554</v>
      </c>
      <c r="L124" s="92">
        <f t="shared" si="12"/>
        <v>94.444444444444443</v>
      </c>
      <c r="M124" s="92">
        <f t="shared" si="13"/>
        <v>0</v>
      </c>
      <c r="N124" s="125">
        <f t="shared" si="14"/>
        <v>100</v>
      </c>
      <c r="O124" s="91">
        <v>0.6</v>
      </c>
      <c r="P124" s="92">
        <v>64.2</v>
      </c>
      <c r="Q124" s="92"/>
      <c r="R124" s="93">
        <f t="shared" si="8"/>
        <v>64.8</v>
      </c>
      <c r="S124" s="73">
        <v>3</v>
      </c>
      <c r="T124" s="81"/>
      <c r="V124" s="82" t="s">
        <v>582</v>
      </c>
      <c r="W124" s="73" t="s">
        <v>97</v>
      </c>
      <c r="X124" s="73" t="s">
        <v>18</v>
      </c>
      <c r="Y124" s="83">
        <v>64.2</v>
      </c>
      <c r="Z124" s="82" t="s">
        <v>515</v>
      </c>
      <c r="AA124" s="73" t="s">
        <v>340</v>
      </c>
      <c r="AB124" s="73" t="s">
        <v>11</v>
      </c>
      <c r="AC124" s="73">
        <v>0.6</v>
      </c>
      <c r="AD124" s="82"/>
      <c r="AG124" s="83"/>
      <c r="AL124" s="82"/>
      <c r="AO124" s="83"/>
      <c r="AP124" s="82"/>
      <c r="AS124" s="83"/>
      <c r="AT124" s="164"/>
      <c r="AW124" s="83"/>
      <c r="BA124" s="84"/>
    </row>
    <row r="125" spans="1:53" s="73" customFormat="1" x14ac:dyDescent="0.15">
      <c r="A125" s="73">
        <v>2012</v>
      </c>
      <c r="B125" s="149">
        <v>40921</v>
      </c>
      <c r="C125" s="843" t="s">
        <v>335</v>
      </c>
      <c r="D125" s="843"/>
      <c r="E125" s="73">
        <v>143</v>
      </c>
      <c r="F125" s="150">
        <v>0</v>
      </c>
      <c r="G125" s="123">
        <v>1</v>
      </c>
      <c r="H125" s="73">
        <v>18</v>
      </c>
      <c r="J125" s="134">
        <v>19</v>
      </c>
      <c r="K125" s="92">
        <f t="shared" si="11"/>
        <v>5.2631578947368416</v>
      </c>
      <c r="L125" s="92">
        <f t="shared" si="12"/>
        <v>94.73684210526315</v>
      </c>
      <c r="M125" s="92">
        <f t="shared" si="13"/>
        <v>0</v>
      </c>
      <c r="N125" s="125">
        <f t="shared" si="14"/>
        <v>99.999999999999986</v>
      </c>
      <c r="O125" s="91">
        <v>0.6</v>
      </c>
      <c r="P125" s="92">
        <v>64.2</v>
      </c>
      <c r="Q125" s="92"/>
      <c r="R125" s="93">
        <f t="shared" si="8"/>
        <v>64.8</v>
      </c>
      <c r="S125" s="73">
        <v>3</v>
      </c>
      <c r="T125" s="81"/>
      <c r="V125" s="82" t="s">
        <v>582</v>
      </c>
      <c r="W125" s="73" t="s">
        <v>97</v>
      </c>
      <c r="X125" s="73" t="s">
        <v>18</v>
      </c>
      <c r="Y125" s="83">
        <v>64.2</v>
      </c>
      <c r="Z125" s="82" t="s">
        <v>515</v>
      </c>
      <c r="AA125" s="73" t="s">
        <v>340</v>
      </c>
      <c r="AB125" s="73" t="s">
        <v>11</v>
      </c>
      <c r="AC125" s="73">
        <v>0.6</v>
      </c>
      <c r="AD125" s="82"/>
      <c r="AG125" s="83"/>
      <c r="AL125" s="82"/>
      <c r="AO125" s="83"/>
      <c r="AP125" s="82"/>
      <c r="AS125" s="83"/>
      <c r="AT125" s="164"/>
      <c r="AW125" s="83"/>
      <c r="BA125" s="84"/>
    </row>
    <row r="126" spans="1:53" s="73" customFormat="1" x14ac:dyDescent="0.15">
      <c r="A126" s="73">
        <v>2012</v>
      </c>
      <c r="B126" s="149">
        <v>41064</v>
      </c>
      <c r="C126" s="843" t="s">
        <v>335</v>
      </c>
      <c r="D126" s="843"/>
      <c r="E126" s="73">
        <v>98</v>
      </c>
      <c r="F126" s="150">
        <v>0</v>
      </c>
      <c r="G126" s="123">
        <v>1</v>
      </c>
      <c r="H126" s="73">
        <v>17</v>
      </c>
      <c r="J126" s="134">
        <v>19</v>
      </c>
      <c r="K126" s="92">
        <f t="shared" ref="K126:K131" si="15">G126/$J126*100</f>
        <v>5.2631578947368416</v>
      </c>
      <c r="L126" s="92">
        <f t="shared" si="12"/>
        <v>89.473684210526315</v>
      </c>
      <c r="M126" s="92">
        <f t="shared" si="13"/>
        <v>0</v>
      </c>
      <c r="N126" s="125">
        <f t="shared" ref="N126:N131" si="16">K126+L126+M126</f>
        <v>94.73684210526315</v>
      </c>
      <c r="O126" s="91">
        <v>0.6</v>
      </c>
      <c r="P126" s="92">
        <v>64.2</v>
      </c>
      <c r="Q126" s="92"/>
      <c r="R126" s="93">
        <f t="shared" si="8"/>
        <v>64.8</v>
      </c>
      <c r="S126" s="73">
        <v>3</v>
      </c>
      <c r="T126" s="81"/>
      <c r="V126" s="82" t="s">
        <v>582</v>
      </c>
      <c r="W126" s="73" t="s">
        <v>97</v>
      </c>
      <c r="X126" s="73" t="s">
        <v>18</v>
      </c>
      <c r="Y126" s="83">
        <v>64.2</v>
      </c>
      <c r="Z126" s="82" t="s">
        <v>515</v>
      </c>
      <c r="AA126" s="73" t="s">
        <v>340</v>
      </c>
      <c r="AB126" s="73" t="s">
        <v>11</v>
      </c>
      <c r="AC126" s="73">
        <v>0.6</v>
      </c>
      <c r="AD126" s="82"/>
      <c r="AG126" s="83"/>
      <c r="AL126" s="82"/>
      <c r="AO126" s="83"/>
      <c r="AP126" s="82"/>
      <c r="AS126" s="83"/>
      <c r="AT126" s="164"/>
      <c r="AW126" s="83"/>
      <c r="BA126" s="84"/>
    </row>
    <row r="127" spans="1:53" s="73" customFormat="1" x14ac:dyDescent="0.15">
      <c r="A127" s="73">
        <v>2012</v>
      </c>
      <c r="B127" s="149">
        <v>41162</v>
      </c>
      <c r="C127" s="843" t="s">
        <v>335</v>
      </c>
      <c r="D127" s="843"/>
      <c r="E127" s="73">
        <v>21</v>
      </c>
      <c r="F127" s="150">
        <v>0</v>
      </c>
      <c r="G127" s="123"/>
      <c r="H127" s="73">
        <v>17</v>
      </c>
      <c r="J127" s="134">
        <v>18</v>
      </c>
      <c r="K127" s="92">
        <f t="shared" si="15"/>
        <v>0</v>
      </c>
      <c r="L127" s="92">
        <f t="shared" si="12"/>
        <v>94.444444444444443</v>
      </c>
      <c r="M127" s="92">
        <f t="shared" si="13"/>
        <v>0</v>
      </c>
      <c r="N127" s="125">
        <f t="shared" si="16"/>
        <v>94.444444444444443</v>
      </c>
      <c r="O127" s="91">
        <v>0.6</v>
      </c>
      <c r="P127" s="92">
        <v>64.2</v>
      </c>
      <c r="Q127" s="92"/>
      <c r="R127" s="93">
        <f t="shared" si="8"/>
        <v>64.8</v>
      </c>
      <c r="S127" s="73">
        <v>3</v>
      </c>
      <c r="T127" s="81"/>
      <c r="V127" s="82" t="s">
        <v>582</v>
      </c>
      <c r="W127" s="73" t="s">
        <v>97</v>
      </c>
      <c r="X127" s="73" t="s">
        <v>18</v>
      </c>
      <c r="Y127" s="83">
        <v>64.2</v>
      </c>
      <c r="Z127" s="82" t="s">
        <v>515</v>
      </c>
      <c r="AA127" s="73" t="s">
        <v>340</v>
      </c>
      <c r="AB127" s="73" t="s">
        <v>11</v>
      </c>
      <c r="AC127" s="73">
        <v>0.6</v>
      </c>
      <c r="AD127" s="82"/>
      <c r="AG127" s="83"/>
      <c r="AL127" s="82"/>
      <c r="AO127" s="83"/>
      <c r="AP127" s="82"/>
      <c r="AS127" s="83"/>
      <c r="AT127" s="164"/>
      <c r="AW127" s="83"/>
      <c r="BA127" s="84"/>
    </row>
    <row r="128" spans="1:53" s="73" customFormat="1" x14ac:dyDescent="0.15">
      <c r="A128" s="73">
        <v>2012</v>
      </c>
      <c r="B128" s="149">
        <v>41183</v>
      </c>
      <c r="C128" s="843" t="s">
        <v>335</v>
      </c>
      <c r="D128" s="843"/>
      <c r="E128" s="73">
        <v>86</v>
      </c>
      <c r="F128" s="150">
        <v>0</v>
      </c>
      <c r="G128" s="123">
        <v>1</v>
      </c>
      <c r="H128" s="73">
        <v>17</v>
      </c>
      <c r="J128" s="134">
        <v>19</v>
      </c>
      <c r="K128" s="92">
        <f t="shared" si="15"/>
        <v>5.2631578947368416</v>
      </c>
      <c r="L128" s="92">
        <f t="shared" si="12"/>
        <v>89.473684210526315</v>
      </c>
      <c r="M128" s="92">
        <f t="shared" si="13"/>
        <v>0</v>
      </c>
      <c r="N128" s="125">
        <f t="shared" si="16"/>
        <v>94.73684210526315</v>
      </c>
      <c r="O128" s="91">
        <v>0.6</v>
      </c>
      <c r="P128" s="92">
        <v>64.2</v>
      </c>
      <c r="Q128" s="92"/>
      <c r="R128" s="93">
        <f t="shared" si="8"/>
        <v>64.8</v>
      </c>
      <c r="S128" s="73">
        <v>3</v>
      </c>
      <c r="T128" s="81"/>
      <c r="V128" s="82" t="s">
        <v>582</v>
      </c>
      <c r="W128" s="73" t="s">
        <v>97</v>
      </c>
      <c r="X128" s="73" t="s">
        <v>18</v>
      </c>
      <c r="Y128" s="83">
        <v>64.2</v>
      </c>
      <c r="Z128" s="82" t="s">
        <v>515</v>
      </c>
      <c r="AA128" s="73" t="s">
        <v>340</v>
      </c>
      <c r="AB128" s="73" t="s">
        <v>11</v>
      </c>
      <c r="AC128" s="73">
        <v>0.6</v>
      </c>
      <c r="AD128" s="82"/>
      <c r="AG128" s="83"/>
      <c r="AL128" s="82"/>
      <c r="AO128" s="83"/>
      <c r="AP128" s="82"/>
      <c r="AS128" s="83"/>
      <c r="AT128" s="164"/>
      <c r="AW128" s="83"/>
      <c r="BA128" s="84"/>
    </row>
    <row r="129" spans="1:53" s="334" customFormat="1" x14ac:dyDescent="0.15">
      <c r="A129" s="334">
        <v>2012</v>
      </c>
      <c r="B129" s="355">
        <v>41269</v>
      </c>
      <c r="C129" s="844" t="s">
        <v>823</v>
      </c>
      <c r="D129" s="844"/>
      <c r="E129" s="334">
        <v>6</v>
      </c>
      <c r="F129" s="334">
        <v>1</v>
      </c>
      <c r="G129" s="419">
        <v>18</v>
      </c>
      <c r="H129" s="334">
        <v>1</v>
      </c>
      <c r="J129" s="435">
        <v>19</v>
      </c>
      <c r="K129" s="384">
        <f t="shared" si="15"/>
        <v>94.73684210526315</v>
      </c>
      <c r="L129" s="384">
        <f t="shared" si="12"/>
        <v>5.2631578947368416</v>
      </c>
      <c r="M129" s="384">
        <f t="shared" si="13"/>
        <v>0</v>
      </c>
      <c r="N129" s="421">
        <f t="shared" si="16"/>
        <v>99.999999999999986</v>
      </c>
      <c r="O129" s="383">
        <v>61.3</v>
      </c>
      <c r="P129" s="384">
        <v>6.5</v>
      </c>
      <c r="Q129" s="384"/>
      <c r="R129" s="385">
        <f t="shared" si="8"/>
        <v>67.8</v>
      </c>
      <c r="S129" s="334">
        <v>3</v>
      </c>
      <c r="T129" s="342">
        <v>41259</v>
      </c>
      <c r="U129" s="355">
        <v>41269</v>
      </c>
      <c r="V129" s="343" t="s">
        <v>507</v>
      </c>
      <c r="W129" s="334" t="s">
        <v>74</v>
      </c>
      <c r="X129" s="334" t="s">
        <v>11</v>
      </c>
      <c r="Y129" s="344">
        <v>61.3</v>
      </c>
      <c r="Z129" s="334" t="s">
        <v>510</v>
      </c>
      <c r="AA129" s="334" t="s">
        <v>17</v>
      </c>
      <c r="AB129" s="334" t="s">
        <v>18</v>
      </c>
      <c r="AC129" s="334">
        <v>6.5</v>
      </c>
      <c r="AD129" s="343"/>
      <c r="AG129" s="344"/>
      <c r="AL129" s="343"/>
      <c r="AO129" s="344"/>
      <c r="AP129" s="343"/>
      <c r="AS129" s="344"/>
      <c r="AT129" s="452"/>
      <c r="AW129" s="344"/>
      <c r="BA129" s="345"/>
    </row>
    <row r="130" spans="1:53" s="334" customFormat="1" x14ac:dyDescent="0.15">
      <c r="A130" s="334">
        <v>2013</v>
      </c>
      <c r="B130" s="355"/>
      <c r="C130" s="844" t="s">
        <v>823</v>
      </c>
      <c r="D130" s="844"/>
      <c r="E130" s="334">
        <v>0</v>
      </c>
      <c r="G130" s="419">
        <v>18</v>
      </c>
      <c r="H130" s="334">
        <v>1</v>
      </c>
      <c r="J130" s="435">
        <v>19</v>
      </c>
      <c r="K130" s="384">
        <f t="shared" si="15"/>
        <v>94.73684210526315</v>
      </c>
      <c r="L130" s="384">
        <f t="shared" si="12"/>
        <v>5.2631578947368416</v>
      </c>
      <c r="M130" s="384">
        <f t="shared" si="13"/>
        <v>0</v>
      </c>
      <c r="N130" s="421">
        <f t="shared" si="16"/>
        <v>99.999999999999986</v>
      </c>
      <c r="O130" s="383">
        <v>61.3</v>
      </c>
      <c r="P130" s="384">
        <v>6.5</v>
      </c>
      <c r="Q130" s="384"/>
      <c r="R130" s="385">
        <f t="shared" si="8"/>
        <v>67.8</v>
      </c>
      <c r="S130" s="334">
        <v>3</v>
      </c>
      <c r="T130" s="342"/>
      <c r="U130" s="355"/>
      <c r="V130" s="343" t="s">
        <v>507</v>
      </c>
      <c r="W130" s="334" t="s">
        <v>74</v>
      </c>
      <c r="X130" s="334" t="s">
        <v>11</v>
      </c>
      <c r="Y130" s="344">
        <v>61.3</v>
      </c>
      <c r="Z130" s="334" t="s">
        <v>510</v>
      </c>
      <c r="AA130" s="334" t="s">
        <v>17</v>
      </c>
      <c r="AB130" s="334" t="s">
        <v>18</v>
      </c>
      <c r="AC130" s="334">
        <v>6.5</v>
      </c>
      <c r="AD130" s="343"/>
      <c r="AG130" s="344"/>
      <c r="AL130" s="343"/>
      <c r="AO130" s="344"/>
      <c r="AP130" s="343"/>
      <c r="AS130" s="344"/>
      <c r="AT130" s="452"/>
      <c r="AW130" s="344"/>
      <c r="BA130" s="345"/>
    </row>
    <row r="131" spans="1:53" s="334" customFormat="1" x14ac:dyDescent="0.15">
      <c r="A131" s="334">
        <v>2013</v>
      </c>
      <c r="B131" s="355"/>
      <c r="C131" s="844" t="s">
        <v>823</v>
      </c>
      <c r="D131" s="844"/>
      <c r="E131" s="334">
        <v>365</v>
      </c>
      <c r="G131" s="419">
        <v>18</v>
      </c>
      <c r="H131" s="334">
        <v>1</v>
      </c>
      <c r="J131" s="435">
        <v>19</v>
      </c>
      <c r="K131" s="384">
        <f t="shared" si="15"/>
        <v>94.73684210526315</v>
      </c>
      <c r="L131" s="384">
        <f t="shared" si="12"/>
        <v>5.2631578947368416</v>
      </c>
      <c r="M131" s="384">
        <f t="shared" si="13"/>
        <v>0</v>
      </c>
      <c r="N131" s="421">
        <f t="shared" si="16"/>
        <v>99.999999999999986</v>
      </c>
      <c r="O131" s="383">
        <v>61.3</v>
      </c>
      <c r="P131" s="384">
        <v>6.5</v>
      </c>
      <c r="Q131" s="384"/>
      <c r="R131" s="385">
        <f t="shared" si="8"/>
        <v>67.8</v>
      </c>
      <c r="S131" s="334">
        <v>3</v>
      </c>
      <c r="T131" s="342"/>
      <c r="U131" s="355"/>
      <c r="V131" s="343" t="s">
        <v>507</v>
      </c>
      <c r="W131" s="334" t="s">
        <v>74</v>
      </c>
      <c r="X131" s="334" t="s">
        <v>11</v>
      </c>
      <c r="Y131" s="344">
        <v>61.3</v>
      </c>
      <c r="Z131" s="334" t="s">
        <v>510</v>
      </c>
      <c r="AA131" s="334" t="s">
        <v>17</v>
      </c>
      <c r="AB131" s="334" t="s">
        <v>18</v>
      </c>
      <c r="AC131" s="334">
        <v>6.5</v>
      </c>
      <c r="AD131" s="343"/>
      <c r="AG131" s="344"/>
      <c r="AL131" s="343"/>
      <c r="AO131" s="344"/>
      <c r="AP131" s="343"/>
      <c r="AS131" s="344"/>
      <c r="AT131" s="452"/>
      <c r="AW131" s="344"/>
      <c r="BA131" s="345"/>
    </row>
    <row r="132" spans="1:53" s="556" customFormat="1" x14ac:dyDescent="0.15">
      <c r="A132" s="556">
        <v>2014</v>
      </c>
      <c r="B132" s="553"/>
      <c r="C132" s="844" t="s">
        <v>823</v>
      </c>
      <c r="D132" s="844"/>
      <c r="E132" s="556">
        <v>357</v>
      </c>
      <c r="G132" s="497">
        <v>18</v>
      </c>
      <c r="H132" s="556">
        <v>1</v>
      </c>
      <c r="J132" s="499">
        <v>19</v>
      </c>
      <c r="K132" s="495">
        <f t="shared" ref="K132:M133" si="17">G132/$J132*100</f>
        <v>94.73684210526315</v>
      </c>
      <c r="L132" s="495">
        <f t="shared" si="17"/>
        <v>5.2631578947368416</v>
      </c>
      <c r="M132" s="495">
        <f t="shared" si="17"/>
        <v>0</v>
      </c>
      <c r="N132" s="498">
        <f>K132+L132+M132</f>
        <v>99.999999999999986</v>
      </c>
      <c r="O132" s="494">
        <v>61.3</v>
      </c>
      <c r="P132" s="495">
        <v>6.5</v>
      </c>
      <c r="Q132" s="495"/>
      <c r="R132" s="496">
        <f>O132+P132+Q132</f>
        <v>67.8</v>
      </c>
      <c r="S132" s="556">
        <v>3</v>
      </c>
      <c r="T132" s="487"/>
      <c r="U132" s="553"/>
      <c r="V132" s="488" t="s">
        <v>507</v>
      </c>
      <c r="W132" s="556" t="s">
        <v>74</v>
      </c>
      <c r="X132" s="556" t="s">
        <v>11</v>
      </c>
      <c r="Y132" s="489">
        <v>61.3</v>
      </c>
      <c r="Z132" s="556" t="s">
        <v>510</v>
      </c>
      <c r="AA132" s="556" t="s">
        <v>17</v>
      </c>
      <c r="AB132" s="556" t="s">
        <v>18</v>
      </c>
      <c r="AC132" s="556">
        <v>6.5</v>
      </c>
      <c r="AD132" s="488"/>
      <c r="AG132" s="489"/>
      <c r="AL132" s="488"/>
      <c r="AO132" s="489"/>
      <c r="AP132" s="488"/>
      <c r="AS132" s="489"/>
      <c r="AT132" s="452"/>
      <c r="AW132" s="489"/>
      <c r="BA132" s="490"/>
    </row>
    <row r="133" spans="1:53" s="555" customFormat="1" x14ac:dyDescent="0.15">
      <c r="A133" s="555">
        <v>2014</v>
      </c>
      <c r="B133" s="552">
        <v>41997</v>
      </c>
      <c r="C133" s="843" t="s">
        <v>1310</v>
      </c>
      <c r="D133" s="843"/>
      <c r="E133" s="555">
        <v>8</v>
      </c>
      <c r="F133" s="555">
        <v>1</v>
      </c>
      <c r="G133" s="480">
        <v>18</v>
      </c>
      <c r="H133" s="555">
        <v>1</v>
      </c>
      <c r="J133" s="482">
        <v>19</v>
      </c>
      <c r="K133" s="477">
        <f t="shared" si="17"/>
        <v>94.73684210526315</v>
      </c>
      <c r="L133" s="477">
        <f t="shared" si="17"/>
        <v>5.2631578947368416</v>
      </c>
      <c r="M133" s="477">
        <f t="shared" si="17"/>
        <v>0</v>
      </c>
      <c r="N133" s="481">
        <f>K133+L133+M133</f>
        <v>99.999999999999986</v>
      </c>
      <c r="O133" s="476">
        <v>61.1</v>
      </c>
      <c r="P133" s="477">
        <v>7.4</v>
      </c>
      <c r="Q133" s="477"/>
      <c r="R133" s="478">
        <f>O133+P133+Q133</f>
        <v>68.5</v>
      </c>
      <c r="S133" s="555">
        <v>3</v>
      </c>
      <c r="T133" s="479">
        <v>41987</v>
      </c>
      <c r="U133" s="552">
        <v>41997</v>
      </c>
      <c r="V133" s="472" t="s">
        <v>507</v>
      </c>
      <c r="W133" s="555" t="s">
        <v>74</v>
      </c>
      <c r="X133" s="555" t="s">
        <v>11</v>
      </c>
      <c r="Y133" s="473">
        <v>61.1</v>
      </c>
      <c r="Z133" s="472" t="s">
        <v>510</v>
      </c>
      <c r="AA133" s="555" t="s">
        <v>17</v>
      </c>
      <c r="AB133" s="555" t="s">
        <v>18</v>
      </c>
      <c r="AC133" s="555">
        <v>7.4</v>
      </c>
      <c r="AD133" s="472"/>
      <c r="AG133" s="473"/>
      <c r="AL133" s="472"/>
      <c r="AO133" s="473"/>
      <c r="AP133" s="472"/>
      <c r="AS133" s="473"/>
      <c r="AT133" s="164"/>
      <c r="AW133" s="473"/>
      <c r="BA133" s="474"/>
    </row>
    <row r="134" spans="1:53" s="741" customFormat="1" x14ac:dyDescent="0.15">
      <c r="A134" s="741">
        <v>2015</v>
      </c>
      <c r="B134" s="738"/>
      <c r="C134" s="843" t="s">
        <v>1310</v>
      </c>
      <c r="D134" s="843"/>
      <c r="E134" s="741">
        <v>279</v>
      </c>
      <c r="G134" s="600">
        <v>18</v>
      </c>
      <c r="H134" s="741">
        <v>1</v>
      </c>
      <c r="J134" s="602">
        <v>19</v>
      </c>
      <c r="K134" s="597">
        <f t="shared" ref="K134:K135" si="18">G134/$J134*100</f>
        <v>94.73684210526315</v>
      </c>
      <c r="L134" s="597">
        <f t="shared" ref="L134:L135" si="19">H134/$J134*100</f>
        <v>5.2631578947368416</v>
      </c>
      <c r="M134" s="597">
        <f t="shared" ref="M134:M135" si="20">I134/$J134*100</f>
        <v>0</v>
      </c>
      <c r="N134" s="601">
        <f t="shared" ref="N134:N135" si="21">K134+L134+M134</f>
        <v>99.999999999999986</v>
      </c>
      <c r="O134" s="596">
        <v>61.1</v>
      </c>
      <c r="P134" s="597">
        <v>7.4</v>
      </c>
      <c r="Q134" s="597"/>
      <c r="R134" s="598">
        <f t="shared" ref="R134:R135" si="22">O134+P134+Q134</f>
        <v>68.5</v>
      </c>
      <c r="S134" s="741">
        <v>3</v>
      </c>
      <c r="T134" s="599"/>
      <c r="U134" s="738"/>
      <c r="V134" s="592" t="s">
        <v>507</v>
      </c>
      <c r="W134" s="741" t="s">
        <v>74</v>
      </c>
      <c r="X134" s="741" t="s">
        <v>11</v>
      </c>
      <c r="Y134" s="593">
        <v>61.1</v>
      </c>
      <c r="Z134" s="592" t="s">
        <v>510</v>
      </c>
      <c r="AA134" s="741" t="s">
        <v>17</v>
      </c>
      <c r="AB134" s="741" t="s">
        <v>18</v>
      </c>
      <c r="AC134" s="741">
        <v>7.4</v>
      </c>
      <c r="AD134" s="592"/>
      <c r="AG134" s="593"/>
      <c r="AL134" s="592"/>
      <c r="AO134" s="593"/>
      <c r="AP134" s="592"/>
      <c r="AS134" s="593"/>
      <c r="AT134" s="164"/>
      <c r="AW134" s="593"/>
      <c r="BA134" s="594"/>
    </row>
    <row r="135" spans="1:53" s="741" customFormat="1" x14ac:dyDescent="0.15">
      <c r="A135" s="741">
        <v>2015</v>
      </c>
      <c r="B135" s="603">
        <v>42284</v>
      </c>
      <c r="C135" s="843" t="s">
        <v>1310</v>
      </c>
      <c r="D135" s="843"/>
      <c r="E135" s="741">
        <v>86</v>
      </c>
      <c r="F135" s="604">
        <v>0</v>
      </c>
      <c r="G135" s="600">
        <v>19</v>
      </c>
      <c r="H135" s="741">
        <v>1</v>
      </c>
      <c r="J135" s="602">
        <v>20</v>
      </c>
      <c r="K135" s="597">
        <f t="shared" si="18"/>
        <v>95</v>
      </c>
      <c r="L135" s="597">
        <f t="shared" si="19"/>
        <v>5</v>
      </c>
      <c r="M135" s="597">
        <f t="shared" si="20"/>
        <v>0</v>
      </c>
      <c r="N135" s="601">
        <f t="shared" si="21"/>
        <v>100</v>
      </c>
      <c r="O135" s="596">
        <v>61.1</v>
      </c>
      <c r="P135" s="597">
        <v>7.4</v>
      </c>
      <c r="Q135" s="597"/>
      <c r="R135" s="598">
        <f t="shared" si="22"/>
        <v>68.5</v>
      </c>
      <c r="S135" s="741">
        <v>3</v>
      </c>
      <c r="T135" s="599"/>
      <c r="U135" s="738"/>
      <c r="V135" s="592" t="s">
        <v>507</v>
      </c>
      <c r="W135" s="741" t="s">
        <v>74</v>
      </c>
      <c r="X135" s="741" t="s">
        <v>11</v>
      </c>
      <c r="Y135" s="593">
        <v>61.1</v>
      </c>
      <c r="Z135" s="592" t="s">
        <v>510</v>
      </c>
      <c r="AA135" s="741" t="s">
        <v>17</v>
      </c>
      <c r="AB135" s="741" t="s">
        <v>18</v>
      </c>
      <c r="AC135" s="741">
        <v>7.4</v>
      </c>
      <c r="AD135" s="592"/>
      <c r="AG135" s="593"/>
      <c r="AL135" s="592"/>
      <c r="AO135" s="593"/>
      <c r="AP135" s="592"/>
      <c r="AS135" s="593"/>
      <c r="AT135" s="164"/>
      <c r="AW135" s="593"/>
      <c r="BA135" s="594"/>
    </row>
    <row r="136" spans="1:53" s="2" customFormat="1" x14ac:dyDescent="0.15">
      <c r="I136" s="16"/>
      <c r="AT136" s="36"/>
    </row>
    <row r="137" spans="1:53" s="2" customFormat="1" x14ac:dyDescent="0.15">
      <c r="I137" s="16"/>
      <c r="AT137" s="36"/>
    </row>
    <row r="138" spans="1:53" s="2" customFormat="1" ht="18" customHeight="1" x14ac:dyDescent="0.2">
      <c r="B138" s="22" t="s">
        <v>1284</v>
      </c>
      <c r="H138" s="6"/>
    </row>
    <row r="139" spans="1:53" s="2" customFormat="1" ht="9" customHeight="1" x14ac:dyDescent="0.15">
      <c r="H139" s="6"/>
    </row>
    <row r="140" spans="1:53" s="364" customFormat="1" ht="9" customHeight="1" x14ac:dyDescent="0.15">
      <c r="A140" s="362"/>
      <c r="B140" s="363" t="s">
        <v>1235</v>
      </c>
      <c r="C140" s="363"/>
      <c r="D140" s="363"/>
      <c r="E140" s="363"/>
      <c r="F140" s="363"/>
      <c r="G140" s="363" t="s">
        <v>1236</v>
      </c>
      <c r="H140" s="363"/>
      <c r="I140" s="363"/>
      <c r="J140" s="363"/>
      <c r="K140" s="363"/>
      <c r="L140" s="363"/>
      <c r="M140" s="363"/>
      <c r="N140" s="363"/>
      <c r="R140" s="802" t="s">
        <v>1237</v>
      </c>
      <c r="S140" s="802"/>
      <c r="T140" s="802"/>
      <c r="U140" s="802"/>
      <c r="V140" s="802"/>
      <c r="W140" s="802"/>
      <c r="X140" s="365"/>
      <c r="Y140" s="365"/>
      <c r="AA140" s="365"/>
      <c r="AB140" s="365"/>
      <c r="AC140" s="365"/>
      <c r="AD140" s="365"/>
    </row>
    <row r="141" spans="1:53" s="369" customFormat="1" ht="9" customHeight="1" x14ac:dyDescent="0.15">
      <c r="A141" s="366"/>
      <c r="B141" s="367" t="s">
        <v>1239</v>
      </c>
      <c r="C141" s="368"/>
      <c r="D141" s="368"/>
      <c r="E141" s="368"/>
      <c r="F141" s="368"/>
      <c r="G141" s="367" t="s">
        <v>1238</v>
      </c>
      <c r="H141" s="368"/>
      <c r="I141" s="368"/>
      <c r="J141" s="368"/>
      <c r="K141" s="368"/>
      <c r="L141" s="368"/>
      <c r="M141" s="368"/>
      <c r="N141" s="368"/>
      <c r="R141" s="370" t="s">
        <v>1240</v>
      </c>
      <c r="S141" s="371"/>
      <c r="T141" s="372"/>
      <c r="U141" s="372"/>
      <c r="V141" s="372"/>
      <c r="W141" s="370" t="s">
        <v>1241</v>
      </c>
      <c r="X141" s="372"/>
      <c r="Y141" s="372"/>
      <c r="AA141" s="372"/>
      <c r="AB141" s="372"/>
      <c r="AC141" s="372"/>
      <c r="AD141" s="372"/>
    </row>
    <row r="142" spans="1:53" s="351" customFormat="1" ht="12" customHeight="1" x14ac:dyDescent="0.15">
      <c r="A142" s="373" t="s">
        <v>3</v>
      </c>
      <c r="B142" s="374" t="s">
        <v>8</v>
      </c>
      <c r="C142" s="374" t="s">
        <v>9</v>
      </c>
      <c r="D142" s="374" t="s">
        <v>10</v>
      </c>
      <c r="E142" s="375" t="s">
        <v>1215</v>
      </c>
      <c r="F142" s="374"/>
      <c r="G142" s="351" t="s">
        <v>3</v>
      </c>
      <c r="H142" s="803" t="s">
        <v>0</v>
      </c>
      <c r="I142" s="803"/>
      <c r="J142" s="803" t="s">
        <v>1</v>
      </c>
      <c r="K142" s="803"/>
      <c r="L142" s="803" t="s">
        <v>2</v>
      </c>
      <c r="M142" s="803"/>
      <c r="N142" s="804" t="s">
        <v>1215</v>
      </c>
      <c r="O142" s="804"/>
      <c r="P142" s="376"/>
      <c r="Q142" s="376"/>
      <c r="R142" s="377" t="s">
        <v>3</v>
      </c>
      <c r="S142" s="378" t="s">
        <v>136</v>
      </c>
      <c r="T142" s="376" t="s">
        <v>134</v>
      </c>
      <c r="U142" s="374" t="s">
        <v>135</v>
      </c>
      <c r="V142" s="376"/>
      <c r="W142" s="379" t="s">
        <v>26</v>
      </c>
    </row>
    <row r="143" spans="1:53" s="273" customFormat="1" x14ac:dyDescent="0.15">
      <c r="A143" s="273">
        <v>1959</v>
      </c>
      <c r="B143" s="260">
        <f>(K6*($E6/365)) + (K7*($E7/365))</f>
        <v>100</v>
      </c>
      <c r="C143" s="260">
        <f>(L6*($E6/365)) + (L7*($E7/365))</f>
        <v>0</v>
      </c>
      <c r="D143" s="260">
        <f>(M6*($E6/365)) + (M7*($E7/365))</f>
        <v>0</v>
      </c>
      <c r="E143" s="261">
        <f>B143+C143+D143</f>
        <v>100</v>
      </c>
      <c r="G143" s="273">
        <v>1959</v>
      </c>
      <c r="H143" s="819">
        <f>(O6/$R6*100*($E6/365))+(O7/$R7*100*($E7/365))</f>
        <v>100</v>
      </c>
      <c r="I143" s="819"/>
      <c r="J143" s="819">
        <f>(P6/$R6*100*($E6/365))+(P7/$R7*100*($E7/365))</f>
        <v>0</v>
      </c>
      <c r="K143" s="819"/>
      <c r="L143" s="819">
        <f>(Q6/$R6*100*($E6/365))+(Q7/$R7*100*($E7/365))</f>
        <v>0</v>
      </c>
      <c r="M143" s="819"/>
      <c r="N143" s="813">
        <f>H143+J143+L143</f>
        <v>100</v>
      </c>
      <c r="O143" s="813"/>
      <c r="R143" s="273">
        <v>1959</v>
      </c>
      <c r="S143" s="260">
        <f>(O6*($E6/365)) + (O7*($E7/365))</f>
        <v>61.5</v>
      </c>
      <c r="T143" s="260">
        <f>(P6*($E6/365)) + (P7*($E7/365))</f>
        <v>0</v>
      </c>
      <c r="U143" s="260">
        <f>(Q6*($E6/365)) + (Q7*($E7/365))</f>
        <v>0</v>
      </c>
      <c r="V143" s="275"/>
      <c r="W143" s="274">
        <f>S143+T143+U143</f>
        <v>61.5</v>
      </c>
      <c r="AT143" s="280"/>
    </row>
    <row r="144" spans="1:53" x14ac:dyDescent="0.15">
      <c r="A144" s="1">
        <v>1960</v>
      </c>
      <c r="B144" s="8">
        <f>(K8*($E8/366))+(K9*($E9/366))+(K10*($E10/366))</f>
        <v>100</v>
      </c>
      <c r="C144" s="8">
        <f>(L8*($E8/366))+(L9*($E9/366))+(L10*($E10/366))</f>
        <v>0</v>
      </c>
      <c r="D144" s="8">
        <f>(M8*($E8/366))+(M9*($E9/366))+(M10*($E10/366))</f>
        <v>0</v>
      </c>
      <c r="E144" s="48">
        <f>B144+C144+D144</f>
        <v>100</v>
      </c>
      <c r="G144" s="1">
        <v>1960</v>
      </c>
      <c r="H144" s="809">
        <f>(O8/$R8*100*($E8/366))+(O9/$R9*100*($E9/366))+(O10/$R10*100*($E10/366))</f>
        <v>100</v>
      </c>
      <c r="I144" s="809"/>
      <c r="J144" s="809">
        <f>(P8/$R8*100*($E8/366))+(P9/$R9*100*($E9/366))+(P10/$R10*100*($E10/366))</f>
        <v>0</v>
      </c>
      <c r="K144" s="809"/>
      <c r="L144" s="809">
        <f>(Q8/$R8*100*($E8/366))+(Q9/$R9*100*($E9/366))+(Q10/$R10*100*($E10/366))</f>
        <v>0</v>
      </c>
      <c r="M144" s="809"/>
      <c r="N144" s="810">
        <f>H144+J144+L144</f>
        <v>100</v>
      </c>
      <c r="O144" s="810"/>
      <c r="R144" s="1">
        <v>1960</v>
      </c>
      <c r="S144" s="8">
        <f>(O8*($E8/366))+(O9*($E9/366))+(O10*($E10/366))</f>
        <v>61.624590163934428</v>
      </c>
      <c r="T144" s="8">
        <f>(P8*($E8/366))+(P9*($E9/366))+(P10*($E10/366))</f>
        <v>0</v>
      </c>
      <c r="U144" s="8">
        <f>(Q8*($E8/366))+(Q9*($E9/366))+(Q10*($E10/366))</f>
        <v>0</v>
      </c>
      <c r="V144" s="12"/>
      <c r="W144" s="7">
        <f>S144+T144+U144</f>
        <v>61.624590163934428</v>
      </c>
    </row>
    <row r="145" spans="1:23" x14ac:dyDescent="0.15">
      <c r="A145" s="1">
        <v>1961</v>
      </c>
      <c r="B145" s="8">
        <f>(K11*($E11/365))+(K12*($E12/365))</f>
        <v>100</v>
      </c>
      <c r="C145" s="8">
        <f>(L11*($E11/365))+(L12*($E12/365))</f>
        <v>0</v>
      </c>
      <c r="D145" s="8">
        <f>(M11*($E11/365))+(M12*($E12/365))</f>
        <v>0</v>
      </c>
      <c r="E145" s="48">
        <f t="shared" ref="E145:E197" si="23">B145+C145+D145</f>
        <v>100</v>
      </c>
      <c r="G145" s="1">
        <v>1961</v>
      </c>
      <c r="H145" s="809">
        <f>(O11/$R11*100*($E11/365))+(O12/$R12*100*($E12/365))</f>
        <v>100</v>
      </c>
      <c r="I145" s="809"/>
      <c r="J145" s="809">
        <f>(P11/$R11*100*($E11/365))+(P12/$R12*100*($E12/365))</f>
        <v>0</v>
      </c>
      <c r="K145" s="809"/>
      <c r="L145" s="809">
        <f>(Q11/$R11*100*($E11/365))+(Q12/$R12*100*($E12/365))</f>
        <v>0</v>
      </c>
      <c r="M145" s="809"/>
      <c r="N145" s="781">
        <f t="shared" ref="N145:N196" si="24">H145+J145+L145</f>
        <v>100</v>
      </c>
      <c r="O145" s="781"/>
      <c r="R145" s="1">
        <v>1961</v>
      </c>
      <c r="S145" s="8">
        <f>(O11*($E11/365))+(O12*($E12/365))</f>
        <v>63.4</v>
      </c>
      <c r="T145" s="8">
        <f>(P11*($E11/365))+(P12*($E12/365))</f>
        <v>0</v>
      </c>
      <c r="U145" s="8">
        <f>(Q11*($E11/365))+(Q12*($E12/365))</f>
        <v>0</v>
      </c>
      <c r="V145" s="12"/>
      <c r="W145" s="7">
        <f t="shared" ref="W145:W197" si="25">S145+T145+U145</f>
        <v>63.4</v>
      </c>
    </row>
    <row r="146" spans="1:23" x14ac:dyDescent="0.15">
      <c r="A146" s="1">
        <v>1962</v>
      </c>
      <c r="B146" s="8">
        <f>(K13*($E13/365))+(K14*($E14/365))</f>
        <v>100</v>
      </c>
      <c r="C146" s="8">
        <f>(L13*($E13/365))+(L14*($E14/365))</f>
        <v>0</v>
      </c>
      <c r="D146" s="8">
        <f>(M13*($E13/365))+(M14*($E14/365))</f>
        <v>0</v>
      </c>
      <c r="E146" s="48">
        <f t="shared" si="23"/>
        <v>100</v>
      </c>
      <c r="G146" s="1">
        <v>1962</v>
      </c>
      <c r="H146" s="809">
        <f>(O13/$R13*100*($E13/365))+(O14/$R14*100*($E14/365))</f>
        <v>100</v>
      </c>
      <c r="I146" s="809"/>
      <c r="J146" s="809">
        <f>(P13/$R13*100*($E13/365))+(P14/$R14*100*($E14/365))</f>
        <v>0</v>
      </c>
      <c r="K146" s="809"/>
      <c r="L146" s="809">
        <f>(Q13/$R13*100*($E13/365))+(Q14/$R14*100*($E14/365))</f>
        <v>0</v>
      </c>
      <c r="M146" s="809"/>
      <c r="N146" s="781">
        <f t="shared" si="24"/>
        <v>100</v>
      </c>
      <c r="O146" s="781"/>
      <c r="R146" s="1">
        <v>1962</v>
      </c>
      <c r="S146" s="8">
        <f>(O13*($E13/365))+(O14*($E14/365))</f>
        <v>63.4</v>
      </c>
      <c r="T146" s="8">
        <f>(P13*($E13/365))+(P14*($E14/365))</f>
        <v>0</v>
      </c>
      <c r="U146" s="8">
        <f>(Q13*($E13/365))+(Q14*($E14/365))</f>
        <v>0</v>
      </c>
      <c r="V146" s="12"/>
      <c r="W146" s="7">
        <f t="shared" si="25"/>
        <v>63.4</v>
      </c>
    </row>
    <row r="147" spans="1:23" x14ac:dyDescent="0.15">
      <c r="A147" s="1">
        <v>1963</v>
      </c>
      <c r="B147" s="8">
        <f>(K15*($E15/365))+(K16*($E16/365))</f>
        <v>100.00000000000001</v>
      </c>
      <c r="C147" s="8">
        <f>(L15*($E15/365))+(L16*($E16/365))</f>
        <v>0</v>
      </c>
      <c r="D147" s="8">
        <f>(M15*($E15/365))+(M16*($E16/365))</f>
        <v>0</v>
      </c>
      <c r="E147" s="48">
        <f t="shared" si="23"/>
        <v>100.00000000000001</v>
      </c>
      <c r="G147" s="1">
        <v>1963</v>
      </c>
      <c r="H147" s="809">
        <f>(O15/$R15*100*($E15/365))+(O16/$R16*100*($E16/365))</f>
        <v>100.00000000000001</v>
      </c>
      <c r="I147" s="809"/>
      <c r="J147" s="809">
        <f>(P15/$R15*100*($E15/365))+(P16/$R16*100*($E16/365))</f>
        <v>0</v>
      </c>
      <c r="K147" s="809"/>
      <c r="L147" s="809">
        <f>(Q15/$R15*100*($E15/365))+(Q16/$R16*100*($E16/365))</f>
        <v>0</v>
      </c>
      <c r="M147" s="809"/>
      <c r="N147" s="781">
        <f t="shared" si="24"/>
        <v>100.00000000000001</v>
      </c>
      <c r="O147" s="781"/>
      <c r="R147" s="1">
        <v>1963</v>
      </c>
      <c r="S147" s="8">
        <f>(O15*($E15/365))+(O16*($E16/365))</f>
        <v>63.223561643835616</v>
      </c>
      <c r="T147" s="8">
        <f>(P15*($E15/365))+(P16*($E16/365))</f>
        <v>0</v>
      </c>
      <c r="U147" s="8">
        <f>(Q15*($E15/365))+(Q16*($E16/365))</f>
        <v>0</v>
      </c>
      <c r="V147" s="12"/>
      <c r="W147" s="7">
        <f t="shared" si="25"/>
        <v>63.223561643835616</v>
      </c>
    </row>
    <row r="148" spans="1:23" x14ac:dyDescent="0.15">
      <c r="A148" s="1">
        <v>1964</v>
      </c>
      <c r="B148" s="8">
        <f>(K17*($E17/366))+(K18*($E18/366))</f>
        <v>100</v>
      </c>
      <c r="C148" s="8">
        <f>(L17*($E17/366))+(L18*($E18/366))</f>
        <v>0</v>
      </c>
      <c r="D148" s="8">
        <f>(M17*($E17/366))+(M18*($E18/366))</f>
        <v>0</v>
      </c>
      <c r="E148" s="48">
        <f t="shared" si="23"/>
        <v>100</v>
      </c>
      <c r="G148" s="1">
        <v>1964</v>
      </c>
      <c r="H148" s="809">
        <f>(O17/$R17*100*($E17/366))+(O18/$R18*100*($E18/366))</f>
        <v>100</v>
      </c>
      <c r="I148" s="809"/>
      <c r="J148" s="809">
        <f>(P17/$R17*100*($E17/366))+(P18/$R18*100*($E18/366))</f>
        <v>0</v>
      </c>
      <c r="K148" s="809"/>
      <c r="L148" s="809">
        <f>(Q17/$R17*100*($E17/366))+(Q18/$R18*100*($E18/366))</f>
        <v>0</v>
      </c>
      <c r="M148" s="809"/>
      <c r="N148" s="781">
        <f t="shared" si="24"/>
        <v>100</v>
      </c>
      <c r="O148" s="781"/>
      <c r="R148" s="1">
        <v>1964</v>
      </c>
      <c r="S148" s="8">
        <f>(O17*($E17/366))+(O18*($E18/366))</f>
        <v>60.599999999999994</v>
      </c>
      <c r="T148" s="8">
        <f>(P17*($E17/366))+(P18*($E18/366))</f>
        <v>0</v>
      </c>
      <c r="U148" s="8">
        <f>(Q17*($E17/366))+(Q18*($E18/366))</f>
        <v>0</v>
      </c>
      <c r="V148" s="12"/>
      <c r="W148" s="7">
        <f t="shared" si="25"/>
        <v>60.599999999999994</v>
      </c>
    </row>
    <row r="149" spans="1:23" x14ac:dyDescent="0.15">
      <c r="A149" s="1">
        <v>1965</v>
      </c>
      <c r="B149" s="8">
        <f>(K19*($E19/365))+(K20*($E20/365))</f>
        <v>100</v>
      </c>
      <c r="C149" s="8">
        <f>(L19*($E19/365))+(L20*($E20/365))</f>
        <v>0</v>
      </c>
      <c r="D149" s="8">
        <f>(M19*($E19/365))+(M20*($E20/365))</f>
        <v>0</v>
      </c>
      <c r="E149" s="48">
        <f t="shared" si="23"/>
        <v>100</v>
      </c>
      <c r="G149" s="1">
        <v>1965</v>
      </c>
      <c r="H149" s="809">
        <f>(O19/$R19*100*($E19/365))+(O20/$R20*100*($E20/365))</f>
        <v>100</v>
      </c>
      <c r="I149" s="809"/>
      <c r="J149" s="809">
        <f>(P19/$R19*100*($E19/365))+(P20/$R20*100*($E20/365))</f>
        <v>0</v>
      </c>
      <c r="K149" s="809"/>
      <c r="L149" s="809">
        <f>(Q19/$R19*100*($E19/365))+(Q20/$R20*100*($E20/365))</f>
        <v>0</v>
      </c>
      <c r="M149" s="809"/>
      <c r="N149" s="781">
        <f t="shared" si="24"/>
        <v>100</v>
      </c>
      <c r="O149" s="781"/>
      <c r="R149" s="1">
        <v>1965</v>
      </c>
      <c r="S149" s="8">
        <f>(O19*($E19/365))+(O20*($E20/365))</f>
        <v>60.6</v>
      </c>
      <c r="T149" s="8">
        <f>(P19*($E19/365))+(P20*($E20/365))</f>
        <v>0</v>
      </c>
      <c r="U149" s="8">
        <f>(Q19*($E19/365))+(Q20*($E20/365))</f>
        <v>0</v>
      </c>
      <c r="V149" s="12"/>
      <c r="W149" s="7">
        <f t="shared" si="25"/>
        <v>60.6</v>
      </c>
    </row>
    <row r="150" spans="1:23" x14ac:dyDescent="0.15">
      <c r="A150" s="1">
        <v>1966</v>
      </c>
      <c r="B150" s="8">
        <f>(K21*($E21/365))+(K22*($E22/365))</f>
        <v>100</v>
      </c>
      <c r="C150" s="8">
        <f>(L21*($E21/365))+(L22*($E22/365))</f>
        <v>0</v>
      </c>
      <c r="D150" s="8">
        <f>(M21*($E21/365))+(M22*($E22/365))</f>
        <v>0</v>
      </c>
      <c r="E150" s="48">
        <f t="shared" si="23"/>
        <v>100</v>
      </c>
      <c r="G150" s="1">
        <v>1966</v>
      </c>
      <c r="H150" s="809">
        <f>(O21/$R21*100*($E21/365))+(O22/$R22*100*($E22/365))</f>
        <v>100</v>
      </c>
      <c r="I150" s="809"/>
      <c r="J150" s="809">
        <f>(P21/$R21*100*($E21/365))+(P22/$R22*100*($E22/365))</f>
        <v>0</v>
      </c>
      <c r="K150" s="809"/>
      <c r="L150" s="809">
        <f>(Q21/$R21*100*($E21/365))+(Q22/$R22*100*($E22/365))</f>
        <v>0</v>
      </c>
      <c r="M150" s="809"/>
      <c r="N150" s="781">
        <f t="shared" si="24"/>
        <v>100</v>
      </c>
      <c r="O150" s="781"/>
      <c r="R150" s="1">
        <v>1966</v>
      </c>
      <c r="S150" s="8">
        <f>(O21*($E21/365))+(O22*($E22/365))</f>
        <v>60.6</v>
      </c>
      <c r="T150" s="8">
        <f>(P21*($E21/365))+(P22*($E22/365))</f>
        <v>0</v>
      </c>
      <c r="U150" s="8">
        <f>(Q21*($E21/365))+(Q22*($E22/365))</f>
        <v>0</v>
      </c>
      <c r="V150" s="12"/>
      <c r="W150" s="7">
        <f t="shared" si="25"/>
        <v>60.6</v>
      </c>
    </row>
    <row r="151" spans="1:23" x14ac:dyDescent="0.15">
      <c r="A151" s="1">
        <v>1967</v>
      </c>
      <c r="B151" s="8">
        <f>(K23*($E23/365))+(K24*($E24/365))</f>
        <v>100</v>
      </c>
      <c r="C151" s="8">
        <f>(L23*($E23/365))+(L24*($E24/365))</f>
        <v>0</v>
      </c>
      <c r="D151" s="8">
        <f>(M23*($E23/365))+(M24*($E24/365))</f>
        <v>0</v>
      </c>
      <c r="E151" s="48">
        <f t="shared" si="23"/>
        <v>100</v>
      </c>
      <c r="G151" s="1">
        <v>1967</v>
      </c>
      <c r="H151" s="809">
        <f>(O23/$R23*100*($E23/365))+(O24/$R24*100*($E24/365))</f>
        <v>100</v>
      </c>
      <c r="I151" s="809"/>
      <c r="J151" s="809">
        <f>(P23/$R23*100*($E23/365))+(P24/$R24*100*($E24/365))</f>
        <v>0</v>
      </c>
      <c r="K151" s="809"/>
      <c r="L151" s="809">
        <f>(Q23/$R23*100*($E23/365))+(Q24/$R24*100*($E24/365))</f>
        <v>0</v>
      </c>
      <c r="M151" s="809"/>
      <c r="N151" s="781">
        <f t="shared" si="24"/>
        <v>100</v>
      </c>
      <c r="O151" s="781"/>
      <c r="R151" s="1">
        <v>1967</v>
      </c>
      <c r="S151" s="8">
        <f>(O23*($E23/365))+(O24*($E24/365))</f>
        <v>57.463561643835618</v>
      </c>
      <c r="T151" s="8">
        <f>(P23*($E23/365))+(P24*($E24/365))</f>
        <v>0</v>
      </c>
      <c r="U151" s="8">
        <f>(Q23*($E23/365))+(Q24*($E24/365))</f>
        <v>0</v>
      </c>
      <c r="V151" s="12"/>
      <c r="W151" s="7">
        <f t="shared" si="25"/>
        <v>57.463561643835618</v>
      </c>
    </row>
    <row r="152" spans="1:23" x14ac:dyDescent="0.15">
      <c r="A152" s="1">
        <v>1968</v>
      </c>
      <c r="B152" s="8">
        <f>(K25*($E25/366))+(K26*($E26/366))</f>
        <v>100</v>
      </c>
      <c r="C152" s="8">
        <f>(L25*($E25/366))+(L26*($E26/366))</f>
        <v>0</v>
      </c>
      <c r="D152" s="8">
        <f>(M25*($E25/366))+(M26*($E26/366))</f>
        <v>0</v>
      </c>
      <c r="E152" s="48">
        <f t="shared" si="23"/>
        <v>100</v>
      </c>
      <c r="G152" s="1">
        <v>1968</v>
      </c>
      <c r="H152" s="809">
        <f>(O25/$R25*100*($E25/366))+(O26/$R26*100*($E26/366))</f>
        <v>100</v>
      </c>
      <c r="I152" s="809"/>
      <c r="J152" s="809">
        <f>(P25/$R25*100*($E25/366))+(P26/$R26*100*($E26/366))</f>
        <v>0</v>
      </c>
      <c r="K152" s="809"/>
      <c r="L152" s="809">
        <f>(Q25/$R25*100*($E25/366))+(Q26/$R26*100*($E26/366))</f>
        <v>0</v>
      </c>
      <c r="M152" s="809"/>
      <c r="N152" s="781">
        <f t="shared" si="24"/>
        <v>100</v>
      </c>
      <c r="O152" s="781"/>
      <c r="R152" s="1">
        <v>1968</v>
      </c>
      <c r="S152" s="8">
        <f>(O25*($E25/366))+(O26*($E26/366))</f>
        <v>57</v>
      </c>
      <c r="T152" s="8">
        <f>(P25*($E25/366))+(P26*($E26/366))</f>
        <v>0</v>
      </c>
      <c r="U152" s="8">
        <f>(Q25*($E25/366))+(Q26*($E26/366))</f>
        <v>0</v>
      </c>
      <c r="V152" s="12"/>
      <c r="W152" s="7">
        <f t="shared" si="25"/>
        <v>57</v>
      </c>
    </row>
    <row r="153" spans="1:23" x14ac:dyDescent="0.15">
      <c r="A153" s="1">
        <v>1969</v>
      </c>
      <c r="B153" s="8">
        <f>(K27*($E27/365))+(K28*($E28/365))</f>
        <v>100</v>
      </c>
      <c r="C153" s="8">
        <f>(L27*($E27/365))+(L28*($E28/365))</f>
        <v>0</v>
      </c>
      <c r="D153" s="8">
        <f>(M27*($E27/365))+(M28*($E28/365))</f>
        <v>0</v>
      </c>
      <c r="E153" s="48">
        <f t="shared" si="23"/>
        <v>100</v>
      </c>
      <c r="G153" s="1">
        <v>1969</v>
      </c>
      <c r="H153" s="809">
        <f>(O27/$R27*100*($E27/365))+(O28/$R28*100*($E28/365))</f>
        <v>100</v>
      </c>
      <c r="I153" s="809"/>
      <c r="J153" s="809">
        <f>(P27/$R27*100*($E27/365))+(P28/$R28*100*($E28/365))</f>
        <v>0</v>
      </c>
      <c r="K153" s="809"/>
      <c r="L153" s="809">
        <f>(Q27/$R27*100*($E27/365))+(Q28/$R28*100*($E28/365))</f>
        <v>0</v>
      </c>
      <c r="M153" s="809"/>
      <c r="N153" s="781">
        <f t="shared" si="24"/>
        <v>100</v>
      </c>
      <c r="O153" s="781"/>
      <c r="R153" s="1">
        <v>1969</v>
      </c>
      <c r="S153" s="8">
        <f>(O27*($E27/365))+(O28*($E28/365))</f>
        <v>57</v>
      </c>
      <c r="T153" s="8">
        <f>(P27*($E27/365))+(P28*($E28/365))</f>
        <v>0</v>
      </c>
      <c r="U153" s="8">
        <f>(Q27*($E27/365))+(Q28*($E28/365))</f>
        <v>0</v>
      </c>
      <c r="V153" s="12"/>
      <c r="W153" s="7">
        <f t="shared" si="25"/>
        <v>57</v>
      </c>
    </row>
    <row r="154" spans="1:23" x14ac:dyDescent="0.15">
      <c r="A154" s="1">
        <v>1970</v>
      </c>
      <c r="B154" s="8">
        <f>(K29*($E29/365))+(K30*($E30/365))</f>
        <v>100</v>
      </c>
      <c r="C154" s="8">
        <f>(L29*($E29/365))+(L30*($E30/365))</f>
        <v>0</v>
      </c>
      <c r="D154" s="8">
        <f>(M29*($E29/365))+(M30*($E30/365))</f>
        <v>0</v>
      </c>
      <c r="E154" s="48">
        <f t="shared" si="23"/>
        <v>100</v>
      </c>
      <c r="G154" s="1">
        <v>1970</v>
      </c>
      <c r="H154" s="809">
        <f>(O29/$R29*100*($E29/365))+(O30/$R30*100*($E30/365))</f>
        <v>100</v>
      </c>
      <c r="I154" s="809"/>
      <c r="J154" s="809">
        <f>(P29/$R29*100*($E29/365))+(P30/$R30*100*($E30/365))</f>
        <v>0</v>
      </c>
      <c r="K154" s="809"/>
      <c r="L154" s="809">
        <f>(Q29/$R29*100*($E29/365))+(Q30/$R30*100*($E30/365))</f>
        <v>0</v>
      </c>
      <c r="M154" s="809"/>
      <c r="N154" s="781">
        <f t="shared" si="24"/>
        <v>100</v>
      </c>
      <c r="O154" s="781"/>
      <c r="R154" s="1">
        <v>1970</v>
      </c>
      <c r="S154" s="8">
        <f>(O29*($E29/365))+(O30*($E30/365))</f>
        <v>59.218082191780823</v>
      </c>
      <c r="T154" s="8">
        <f>(P29*($E29/365))+(P30*($E30/365))</f>
        <v>0</v>
      </c>
      <c r="U154" s="8">
        <f>(Q29*($E29/365))+(Q30*($E30/365))</f>
        <v>0</v>
      </c>
      <c r="V154" s="12"/>
      <c r="W154" s="7">
        <f t="shared" si="25"/>
        <v>59.218082191780823</v>
      </c>
    </row>
    <row r="155" spans="1:23" x14ac:dyDescent="0.15">
      <c r="A155" s="1">
        <v>1971</v>
      </c>
      <c r="B155" s="8">
        <f>(K31*($E31/365))+(K32*($E32/365))</f>
        <v>100</v>
      </c>
      <c r="C155" s="8">
        <f>(L31*($E31/365))+(L32*($E32/365))</f>
        <v>0</v>
      </c>
      <c r="D155" s="8">
        <f>(M31*($E31/365))+(M32*($E32/365))</f>
        <v>0</v>
      </c>
      <c r="E155" s="48">
        <f t="shared" si="23"/>
        <v>100</v>
      </c>
      <c r="G155" s="1">
        <v>1971</v>
      </c>
      <c r="H155" s="809">
        <f>(O31/$R31*100*($E31/365))+(O32/$R32*100*($E32/365))</f>
        <v>100</v>
      </c>
      <c r="I155" s="809"/>
      <c r="J155" s="809">
        <f>(P31/$R31*100*($E31/365))+(P32/$R32*100*($E32/365))</f>
        <v>0</v>
      </c>
      <c r="K155" s="809"/>
      <c r="L155" s="809">
        <f>(Q31/$R31*100*($E31/365))+(Q32/$R32*100*($E32/365))</f>
        <v>0</v>
      </c>
      <c r="M155" s="809"/>
      <c r="N155" s="781">
        <f t="shared" si="24"/>
        <v>100</v>
      </c>
      <c r="O155" s="781"/>
      <c r="R155" s="1">
        <v>1971</v>
      </c>
      <c r="S155" s="8">
        <f>(O31*($E31/365))+(O32*($E32/365))</f>
        <v>59.3</v>
      </c>
      <c r="T155" s="8">
        <f>(P31*($E31/365))+(P32*($E32/365))</f>
        <v>0</v>
      </c>
      <c r="U155" s="8">
        <f>(Q31*($E31/365))+(Q32*($E32/365))</f>
        <v>0</v>
      </c>
      <c r="V155" s="12"/>
      <c r="W155" s="7">
        <f t="shared" si="25"/>
        <v>59.3</v>
      </c>
    </row>
    <row r="156" spans="1:23" x14ac:dyDescent="0.15">
      <c r="A156" s="1">
        <v>1972</v>
      </c>
      <c r="B156" s="8">
        <f>(K33*($E33/366))+(K34*($E34/366))+(K35*($E35/366))</f>
        <v>99.999999999999986</v>
      </c>
      <c r="C156" s="8">
        <f>(L33*($E33/366))+(L34*($E34/366))+(L35*($E35/366))</f>
        <v>0</v>
      </c>
      <c r="D156" s="8">
        <f>(M33*($E33/366))+(M34*($E34/366))+(M35*($E35/366))</f>
        <v>0</v>
      </c>
      <c r="E156" s="48">
        <f t="shared" si="23"/>
        <v>99.999999999999986</v>
      </c>
      <c r="G156" s="1">
        <v>1972</v>
      </c>
      <c r="H156" s="809">
        <f>(O33/$R33*100*($E33/366))+(O34/$R34*100*($E34/366))+(O35/$R35*100*($E35/366))</f>
        <v>99.999999999999986</v>
      </c>
      <c r="I156" s="809"/>
      <c r="J156" s="809">
        <f>(P33/$R33*100*($E33/366))+(P34/$R34*100*($E34/366))+(P35/$R35*100*($E35/366))</f>
        <v>0</v>
      </c>
      <c r="K156" s="809"/>
      <c r="L156" s="809">
        <f>(Q33/$R33*100*($E33/366))+(Q34/$R34*100*($E34/366))+(Q35/$R35*100*($E35/366))</f>
        <v>0</v>
      </c>
      <c r="M156" s="809"/>
      <c r="N156" s="781">
        <f t="shared" si="24"/>
        <v>99.999999999999986</v>
      </c>
      <c r="O156" s="781"/>
      <c r="R156" s="1">
        <v>1972</v>
      </c>
      <c r="S156" s="8">
        <f>(O33*($E33/366))+(O34*($E34/366))+(O35*($E35/366))</f>
        <v>59.187978142076503</v>
      </c>
      <c r="T156" s="8">
        <f>(P33*($E33/366))+(P34*($E34/366))+(P35*($E35/366))</f>
        <v>0</v>
      </c>
      <c r="U156" s="8">
        <f>(Q33*($E33/366))+(Q34*($E34/366))+(Q35*($E35/366))</f>
        <v>0</v>
      </c>
      <c r="V156" s="12"/>
      <c r="W156" s="7">
        <f t="shared" si="25"/>
        <v>59.187978142076503</v>
      </c>
    </row>
    <row r="157" spans="1:23" x14ac:dyDescent="0.15">
      <c r="A157" s="1">
        <v>1973</v>
      </c>
      <c r="B157" s="8">
        <f>(K36*($E36/365))+(K37*($E37/365))</f>
        <v>100</v>
      </c>
      <c r="C157" s="8">
        <f>(L36*($E36/365))+(L37*($E37/365))</f>
        <v>0</v>
      </c>
      <c r="D157" s="8">
        <f>(M36*($E36/365))+(M37*($E37/365))</f>
        <v>0</v>
      </c>
      <c r="E157" s="48">
        <f t="shared" si="23"/>
        <v>100</v>
      </c>
      <c r="G157" s="1">
        <v>1973</v>
      </c>
      <c r="H157" s="809">
        <f>(O36/$R36*100*($E36/365))+(O37/$R37*100*($E37/365))</f>
        <v>100</v>
      </c>
      <c r="I157" s="809"/>
      <c r="J157" s="809">
        <f>(P36/$R36*100*($E36/365))+(P37/$R37*100*($E37/365))</f>
        <v>0</v>
      </c>
      <c r="K157" s="809"/>
      <c r="L157" s="809">
        <f>(Q36/$R36*100*($E36/365))+(Q37/$R37*100*($E37/365))</f>
        <v>0</v>
      </c>
      <c r="M157" s="809"/>
      <c r="N157" s="781">
        <f t="shared" si="24"/>
        <v>100</v>
      </c>
      <c r="O157" s="781"/>
      <c r="P157" s="2"/>
      <c r="R157" s="1">
        <v>1973</v>
      </c>
      <c r="S157" s="8">
        <f>(O36*($E36/365))+(O37*($E37/365))</f>
        <v>55.2</v>
      </c>
      <c r="T157" s="8">
        <f>(P36*($E36/365))+(P37*($E37/365))</f>
        <v>0</v>
      </c>
      <c r="U157" s="8">
        <f>(Q36*($E36/365))+(Q37*($E37/365))</f>
        <v>0</v>
      </c>
      <c r="V157" s="12"/>
      <c r="W157" s="7">
        <f t="shared" si="25"/>
        <v>55.2</v>
      </c>
    </row>
    <row r="158" spans="1:23" x14ac:dyDescent="0.15">
      <c r="A158" s="1">
        <v>1974</v>
      </c>
      <c r="B158" s="8">
        <f>(K38*($E38/365))+(K39*($E39/365))</f>
        <v>100.00000000000001</v>
      </c>
      <c r="C158" s="8">
        <f>(L38*($E38/365))+(L39*($E39/365))</f>
        <v>0</v>
      </c>
      <c r="D158" s="8">
        <f>(M38*($E38/365))+(M39*($E39/365))</f>
        <v>0</v>
      </c>
      <c r="E158" s="48">
        <f t="shared" si="23"/>
        <v>100.00000000000001</v>
      </c>
      <c r="G158" s="1">
        <v>1974</v>
      </c>
      <c r="H158" s="809">
        <f>(O38/$R38*100*($E38/365))+(O39/$R39*100*($E39/365))</f>
        <v>100.00000000000001</v>
      </c>
      <c r="I158" s="809"/>
      <c r="J158" s="809">
        <f>(P38/$R38*100*($E38/365))+(P39/$R39*100*($E39/365))</f>
        <v>0</v>
      </c>
      <c r="K158" s="809"/>
      <c r="L158" s="809">
        <f>(Q38/$R38*100*($E38/365))+(Q39/$R39*100*($E39/365))</f>
        <v>0</v>
      </c>
      <c r="M158" s="809"/>
      <c r="N158" s="781">
        <f t="shared" si="24"/>
        <v>100.00000000000001</v>
      </c>
      <c r="O158" s="781"/>
      <c r="P158" s="2"/>
      <c r="R158" s="1">
        <v>1974</v>
      </c>
      <c r="S158" s="8">
        <f>(O38*($E38/365))+(O39*($E39/365))</f>
        <v>55.2</v>
      </c>
      <c r="T158" s="8">
        <f>(P38*($E38/365))+(P39*($E39/365))</f>
        <v>0</v>
      </c>
      <c r="U158" s="8">
        <f>(Q38*($E38/365))+(Q39*($E39/365))</f>
        <v>0</v>
      </c>
      <c r="V158" s="12"/>
      <c r="W158" s="7">
        <f t="shared" si="25"/>
        <v>55.2</v>
      </c>
    </row>
    <row r="159" spans="1:23" x14ac:dyDescent="0.15">
      <c r="A159" s="1">
        <v>1975</v>
      </c>
      <c r="B159" s="8">
        <f>(K40*($E40/365))+(K41*($E41/365))</f>
        <v>100</v>
      </c>
      <c r="C159" s="8">
        <f>(L40*($E40/365))+(L41*($E41/365))</f>
        <v>0</v>
      </c>
      <c r="D159" s="8">
        <f>(M40*($E40/365))+(M41*($E41/365))</f>
        <v>0</v>
      </c>
      <c r="E159" s="48">
        <f t="shared" si="23"/>
        <v>100</v>
      </c>
      <c r="G159" s="1">
        <v>1975</v>
      </c>
      <c r="H159" s="809">
        <f>(O40/$R40*100*($E40/365))+(O41/$R41*100*($E41/365))</f>
        <v>100</v>
      </c>
      <c r="I159" s="809"/>
      <c r="J159" s="809">
        <f>(P40/$R40*100*($E40/365))+(P41/$R41*100*($E41/365))</f>
        <v>0</v>
      </c>
      <c r="K159" s="809"/>
      <c r="L159" s="809">
        <f>(Q40/$R40*100*($E40/365))+(Q41/$R41*100*($E41/365))</f>
        <v>0</v>
      </c>
      <c r="M159" s="809"/>
      <c r="N159" s="781">
        <f t="shared" si="24"/>
        <v>100</v>
      </c>
      <c r="O159" s="781"/>
      <c r="P159" s="2"/>
      <c r="R159" s="1">
        <v>1975</v>
      </c>
      <c r="S159" s="8">
        <f>(O40*($E40/365))+(O41*($E41/365))</f>
        <v>55.2</v>
      </c>
      <c r="T159" s="8">
        <f>(P40*($E40/365))+(P41*($E41/365))</f>
        <v>0</v>
      </c>
      <c r="U159" s="8">
        <f>(Q40*($E40/365))+(Q41*($E41/365))</f>
        <v>0</v>
      </c>
      <c r="V159" s="12"/>
      <c r="W159" s="7">
        <f t="shared" si="25"/>
        <v>55.2</v>
      </c>
    </row>
    <row r="160" spans="1:23" x14ac:dyDescent="0.15">
      <c r="A160" s="1">
        <v>1976</v>
      </c>
      <c r="B160" s="8">
        <f>(K42*($E42/366))+(K43*($E43/366))</f>
        <v>100</v>
      </c>
      <c r="C160" s="8">
        <f>(L42*($E42/366))+(L43*($E43/366))</f>
        <v>0</v>
      </c>
      <c r="D160" s="8">
        <f>(M42*($E42/366))+(M43*($E43/366))</f>
        <v>0</v>
      </c>
      <c r="E160" s="48">
        <f t="shared" si="23"/>
        <v>100</v>
      </c>
      <c r="G160" s="1">
        <v>1976</v>
      </c>
      <c r="H160" s="809">
        <f>(O42/$R42*100*($E42/366))+(O43/$R43*100*($E43/366))</f>
        <v>100</v>
      </c>
      <c r="I160" s="809"/>
      <c r="J160" s="809">
        <f>(P42/$R42*100*($E42/366))+(P43/$R43*100*($E43/366))</f>
        <v>0</v>
      </c>
      <c r="K160" s="809"/>
      <c r="L160" s="809">
        <f>(Q42/$R42*100*($E42/366))+(Q43/$R43*100*($E43/366))</f>
        <v>0</v>
      </c>
      <c r="M160" s="809"/>
      <c r="N160" s="781">
        <f t="shared" si="24"/>
        <v>100</v>
      </c>
      <c r="O160" s="781"/>
      <c r="P160" s="2"/>
      <c r="R160" s="1">
        <v>1976</v>
      </c>
      <c r="S160" s="8">
        <f>(O42*($E42/366))+(O43*($E43/366))</f>
        <v>55.057923497267765</v>
      </c>
      <c r="T160" s="8">
        <f>(P42*($E42/366))+(P43*($E43/366))</f>
        <v>0</v>
      </c>
      <c r="U160" s="8">
        <f>(Q42*($E42/366))+(Q43*($E43/366))</f>
        <v>0</v>
      </c>
      <c r="V160" s="12"/>
      <c r="W160" s="7">
        <f t="shared" si="25"/>
        <v>55.057923497267765</v>
      </c>
    </row>
    <row r="161" spans="1:23" x14ac:dyDescent="0.15">
      <c r="A161" s="1">
        <v>1977</v>
      </c>
      <c r="B161" s="8">
        <f>(K44*($E44/365))+(K45*($E45/365))</f>
        <v>100</v>
      </c>
      <c r="C161" s="8">
        <f>(L44*($E44/365))+(L45*($E45/365))</f>
        <v>0</v>
      </c>
      <c r="D161" s="8">
        <f>(M44*($E44/365))+(M45*($E45/365))</f>
        <v>0</v>
      </c>
      <c r="E161" s="48">
        <f t="shared" si="23"/>
        <v>100</v>
      </c>
      <c r="G161" s="1">
        <v>1977</v>
      </c>
      <c r="H161" s="809">
        <f>(O44/$R44*100*($E44/365))+(O45/$R45*100*($E45/365))</f>
        <v>100</v>
      </c>
      <c r="I161" s="809"/>
      <c r="J161" s="809">
        <f>(P44/$R44*100*($E44/365))+(P45/$R45*100*($E45/365))</f>
        <v>0</v>
      </c>
      <c r="K161" s="809"/>
      <c r="L161" s="809">
        <f>(Q44/$R44*100*($E44/365))+(Q45/$R45*100*($E45/365))</f>
        <v>0</v>
      </c>
      <c r="M161" s="809"/>
      <c r="N161" s="781">
        <f t="shared" si="24"/>
        <v>100</v>
      </c>
      <c r="O161" s="781"/>
      <c r="P161" s="2"/>
      <c r="R161" s="1">
        <v>1977</v>
      </c>
      <c r="S161" s="8">
        <f>(O44*($E44/365))+(O45*($E45/365))</f>
        <v>48.7</v>
      </c>
      <c r="T161" s="8">
        <f>(P44*($E44/365))+(P45*($E45/365))</f>
        <v>0</v>
      </c>
      <c r="U161" s="8">
        <f>(Q44*($E44/365))+(Q45*($E45/365))</f>
        <v>0</v>
      </c>
      <c r="V161" s="12"/>
      <c r="W161" s="7">
        <f t="shared" si="25"/>
        <v>48.7</v>
      </c>
    </row>
    <row r="162" spans="1:23" x14ac:dyDescent="0.15">
      <c r="A162" s="1">
        <v>1978</v>
      </c>
      <c r="B162" s="8">
        <f>(K46*($E46/365))+(K47*($E47/365))</f>
        <v>100</v>
      </c>
      <c r="C162" s="8">
        <f>(L46*($E46/365))+(L47*($E47/365))</f>
        <v>0</v>
      </c>
      <c r="D162" s="8">
        <f>(M46*($E46/365))+(M47*($E47/365))</f>
        <v>0</v>
      </c>
      <c r="E162" s="48">
        <f t="shared" si="23"/>
        <v>100</v>
      </c>
      <c r="G162" s="1">
        <v>1978</v>
      </c>
      <c r="H162" s="809">
        <f>(O46/$R46*100*($E46/365))+(O47/$R47*100*($E47/365))</f>
        <v>100</v>
      </c>
      <c r="I162" s="809"/>
      <c r="J162" s="809">
        <f>(P46/$R46*100*($E46/365))+(P47/$R47*100*($E47/365))</f>
        <v>0</v>
      </c>
      <c r="K162" s="809"/>
      <c r="L162" s="809">
        <f>(Q46/$R46*100*($E46/365))+(Q47/$R47*100*($E47/365))</f>
        <v>0</v>
      </c>
      <c r="M162" s="809"/>
      <c r="N162" s="781">
        <f t="shared" si="24"/>
        <v>100</v>
      </c>
      <c r="O162" s="781"/>
      <c r="P162" s="2"/>
      <c r="R162" s="1">
        <v>1978</v>
      </c>
      <c r="S162" s="8">
        <f>(O46*($E46/365))+(O47*($E47/365))</f>
        <v>48.70000000000001</v>
      </c>
      <c r="T162" s="8">
        <f>(P46*($E46/365))+(P47*($E47/365))</f>
        <v>0</v>
      </c>
      <c r="U162" s="8">
        <f>(Q46*($E46/365))+(Q47*($E47/365))</f>
        <v>0</v>
      </c>
      <c r="V162" s="12"/>
      <c r="W162" s="7">
        <f t="shared" si="25"/>
        <v>48.70000000000001</v>
      </c>
    </row>
    <row r="163" spans="1:23" x14ac:dyDescent="0.15">
      <c r="A163" s="1">
        <v>1979</v>
      </c>
      <c r="B163" s="8">
        <f>(K48*($E48/365))+(K49*($E49/365))</f>
        <v>100.00000000000001</v>
      </c>
      <c r="C163" s="8">
        <f>(L48*($E48/365))+(L49*($E49/365))</f>
        <v>0</v>
      </c>
      <c r="D163" s="8">
        <f>(M48*($E48/365))+(M49*($E49/365))</f>
        <v>0</v>
      </c>
      <c r="E163" s="48">
        <f t="shared" si="23"/>
        <v>100.00000000000001</v>
      </c>
      <c r="G163" s="1">
        <v>1979</v>
      </c>
      <c r="H163" s="809">
        <f>(O48/$R48*100*($E48/365))+(O49/$R49*100*($E49/365))</f>
        <v>100.00000000000001</v>
      </c>
      <c r="I163" s="809"/>
      <c r="J163" s="809">
        <f>(P48/$R48*100*($E48/365))+(P49/$R49*100*($E49/365))</f>
        <v>0</v>
      </c>
      <c r="K163" s="809"/>
      <c r="L163" s="809">
        <f>(Q48/$R48*100*($E48/365))+(Q49/$R49*100*($E49/365))</f>
        <v>0</v>
      </c>
      <c r="M163" s="809"/>
      <c r="N163" s="781">
        <f t="shared" si="24"/>
        <v>100.00000000000001</v>
      </c>
      <c r="O163" s="781"/>
      <c r="R163" s="1">
        <v>1979</v>
      </c>
      <c r="S163" s="8">
        <f>(O48*($E48/365))+(O49*($E49/365))</f>
        <v>48.670410958904114</v>
      </c>
      <c r="T163" s="8">
        <f>(P48*($E48/365))+(P49*($E49/365))</f>
        <v>0</v>
      </c>
      <c r="U163" s="8">
        <f>(Q48*($E48/365))+(Q49*($E49/365))</f>
        <v>0</v>
      </c>
      <c r="V163" s="12"/>
      <c r="W163" s="7">
        <f t="shared" si="25"/>
        <v>48.670410958904114</v>
      </c>
    </row>
    <row r="164" spans="1:23" x14ac:dyDescent="0.15">
      <c r="A164" s="1">
        <v>1980</v>
      </c>
      <c r="B164" s="8">
        <f>(K50*($E50/366))+(K51*($E51/366))</f>
        <v>100</v>
      </c>
      <c r="C164" s="8">
        <f>(L50*($E50/366))+(L51*($E51/366))</f>
        <v>0</v>
      </c>
      <c r="D164" s="8">
        <f>(M50*($E50/366))+(M51*($E51/366))</f>
        <v>0</v>
      </c>
      <c r="E164" s="48">
        <f t="shared" si="23"/>
        <v>100</v>
      </c>
      <c r="G164" s="1">
        <v>1980</v>
      </c>
      <c r="H164" s="809">
        <f>(O50/$R50*100*($E50/366))+(O51/$R51*100*($E51/366))</f>
        <v>100</v>
      </c>
      <c r="I164" s="809"/>
      <c r="J164" s="809">
        <f>(P50/$R50*100*($E50/366))+(P51/$R51*100*($E51/366))</f>
        <v>0</v>
      </c>
      <c r="K164" s="809"/>
      <c r="L164" s="809">
        <f>(Q50/$R50*100*($E50/366))+(Q51/$R51*100*($E51/366))</f>
        <v>0</v>
      </c>
      <c r="M164" s="809"/>
      <c r="N164" s="781">
        <f t="shared" si="24"/>
        <v>100</v>
      </c>
      <c r="O164" s="781"/>
      <c r="R164" s="1">
        <v>1980</v>
      </c>
      <c r="S164" s="8">
        <f>(O50*($E50/366))+(O51*($E51/366))</f>
        <v>51.759016393442629</v>
      </c>
      <c r="T164" s="8">
        <f>(P50*($E50/366))+(P51*($E51/366))</f>
        <v>0</v>
      </c>
      <c r="U164" s="8">
        <f>(Q50*($E50/366))+(Q51*($E51/366))</f>
        <v>0</v>
      </c>
      <c r="V164" s="12"/>
      <c r="W164" s="7">
        <f t="shared" si="25"/>
        <v>51.759016393442629</v>
      </c>
    </row>
    <row r="165" spans="1:23" x14ac:dyDescent="0.15">
      <c r="A165" s="1">
        <v>1981</v>
      </c>
      <c r="B165" s="8">
        <f>(K52*($E52/365))+(K53*($E53/365))</f>
        <v>100</v>
      </c>
      <c r="C165" s="8">
        <f>(L52*($E52/365))+(L53*($E53/365))</f>
        <v>0</v>
      </c>
      <c r="D165" s="8">
        <f>(M52*($E52/365))+(M53*($E53/365))</f>
        <v>0</v>
      </c>
      <c r="E165" s="48">
        <f t="shared" si="23"/>
        <v>100</v>
      </c>
      <c r="G165" s="1">
        <v>1981</v>
      </c>
      <c r="H165" s="809">
        <f>(O52/$R52*100*($E52/365))+(O53/$R53*100*($E53/365))</f>
        <v>100</v>
      </c>
      <c r="I165" s="809"/>
      <c r="J165" s="809">
        <f>(P52/$R52*100*($E52/365))+(P53/$R53*100*($E53/365))</f>
        <v>0</v>
      </c>
      <c r="K165" s="809"/>
      <c r="L165" s="809">
        <f>(Q52/$R52*100*($E52/365))+(Q53/$R53*100*($E53/365))</f>
        <v>0</v>
      </c>
      <c r="M165" s="809"/>
      <c r="N165" s="781">
        <f t="shared" si="24"/>
        <v>100</v>
      </c>
      <c r="O165" s="781"/>
      <c r="R165" s="1">
        <v>1981</v>
      </c>
      <c r="S165" s="8">
        <f>(O52*($E52/365))+(O53*($E53/365))</f>
        <v>55.6</v>
      </c>
      <c r="T165" s="8">
        <f>(P52*($E52/365))+(P53*($E53/365))</f>
        <v>0</v>
      </c>
      <c r="U165" s="8">
        <f>(Q52*($E52/365))+(Q53*($E53/365))</f>
        <v>0</v>
      </c>
      <c r="V165" s="12"/>
      <c r="W165" s="7">
        <f t="shared" si="25"/>
        <v>55.6</v>
      </c>
    </row>
    <row r="166" spans="1:23" x14ac:dyDescent="0.15">
      <c r="A166" s="1">
        <v>1982</v>
      </c>
      <c r="B166" s="8">
        <f>(K54*($E54/365))+(K55*($E55/365))</f>
        <v>100</v>
      </c>
      <c r="C166" s="8">
        <f>(L54*($E54/365))+(L55*($E55/365))</f>
        <v>0</v>
      </c>
      <c r="D166" s="8">
        <f>(M54*($E54/365))+(M55*($E55/365))</f>
        <v>0</v>
      </c>
      <c r="E166" s="48">
        <f t="shared" si="23"/>
        <v>100</v>
      </c>
      <c r="G166" s="1">
        <v>1982</v>
      </c>
      <c r="H166" s="809">
        <f>(O54/$R54*100*($E54/365))+(O55/$R55*100*($E55/365))</f>
        <v>100</v>
      </c>
      <c r="I166" s="809"/>
      <c r="J166" s="809">
        <f>(P54/$R54*100*($E54/365))+(P55/$R55*100*($E55/365))</f>
        <v>0</v>
      </c>
      <c r="K166" s="809"/>
      <c r="L166" s="809">
        <f>(Q54/$R54*100*($E54/365))+(Q55/$R55*100*($E55/365))</f>
        <v>0</v>
      </c>
      <c r="M166" s="809"/>
      <c r="N166" s="781">
        <f t="shared" si="24"/>
        <v>100</v>
      </c>
      <c r="O166" s="781"/>
      <c r="R166" s="1">
        <v>1982</v>
      </c>
      <c r="S166" s="8">
        <f>(O54*($E54/365))+(O55*($E55/365))</f>
        <v>55.6</v>
      </c>
      <c r="T166" s="8">
        <f>(P54*($E54/365))+(P55*($E55/365))</f>
        <v>0</v>
      </c>
      <c r="U166" s="8">
        <f>(Q54*($E54/365))+(Q55*($E55/365))</f>
        <v>0</v>
      </c>
      <c r="V166" s="12"/>
      <c r="W166" s="7">
        <f t="shared" si="25"/>
        <v>55.6</v>
      </c>
    </row>
    <row r="167" spans="1:23" x14ac:dyDescent="0.15">
      <c r="A167" s="1">
        <v>1983</v>
      </c>
      <c r="B167" s="8">
        <f>(K56*($E56/365))+(K57*($E57/365))</f>
        <v>99.999999999999986</v>
      </c>
      <c r="C167" s="8">
        <f>(L56*($E56/365))+(L57*($E57/365))</f>
        <v>0</v>
      </c>
      <c r="D167" s="8">
        <f>(M56*($E56/365))+(M57*($E57/365))</f>
        <v>0</v>
      </c>
      <c r="E167" s="48">
        <f t="shared" si="23"/>
        <v>99.999999999999986</v>
      </c>
      <c r="G167" s="1">
        <v>1983</v>
      </c>
      <c r="H167" s="809">
        <f>(O56/$R56*100*($E56/365))+(O57/$R57*100*($E57/365))</f>
        <v>99.999999999999986</v>
      </c>
      <c r="I167" s="809"/>
      <c r="J167" s="809">
        <f>(P56/$R56*100*($E56/365))+(P57/$R57*100*($E57/365))</f>
        <v>0</v>
      </c>
      <c r="K167" s="809"/>
      <c r="L167" s="809">
        <f>(Q56/$R56*100*($E56/365))+(Q57/$R57*100*($E57/365))</f>
        <v>0</v>
      </c>
      <c r="M167" s="809"/>
      <c r="N167" s="781">
        <f t="shared" si="24"/>
        <v>99.999999999999986</v>
      </c>
      <c r="O167" s="781"/>
      <c r="R167" s="1">
        <v>1983</v>
      </c>
      <c r="S167" s="8">
        <f>(O56*($E56/365))+(O57*($E57/365))</f>
        <v>55.516164383561645</v>
      </c>
      <c r="T167" s="8">
        <f>(P56*($E56/365))+(P57*($E57/365))</f>
        <v>0</v>
      </c>
      <c r="U167" s="8">
        <f>(Q56*($E56/365))+(Q57*($E57/365))</f>
        <v>0</v>
      </c>
      <c r="V167" s="12"/>
      <c r="W167" s="7">
        <f t="shared" si="25"/>
        <v>55.516164383561645</v>
      </c>
    </row>
    <row r="168" spans="1:23" x14ac:dyDescent="0.15">
      <c r="A168" s="1">
        <v>1984</v>
      </c>
      <c r="B168" s="8">
        <f>(K58*($E58/366))+(K59*($E59/366))</f>
        <v>100</v>
      </c>
      <c r="C168" s="8">
        <f>(L58*($E58/366))+(L59*($E59/366))</f>
        <v>0</v>
      </c>
      <c r="D168" s="8">
        <f>(M58*($E58/366))+(M59*($E59/366))</f>
        <v>0</v>
      </c>
      <c r="E168" s="48">
        <f t="shared" si="23"/>
        <v>100</v>
      </c>
      <c r="G168" s="1">
        <v>1984</v>
      </c>
      <c r="H168" s="809">
        <f>(O58/$R58*100*($E58/366))+(O59/$R59*100*($E59/366))</f>
        <v>100</v>
      </c>
      <c r="I168" s="809"/>
      <c r="J168" s="809">
        <f>(P58/$R58*100*($E58/366))+(P59/$R59*100*($E59/366))</f>
        <v>0</v>
      </c>
      <c r="K168" s="809"/>
      <c r="L168" s="809">
        <f>(Q58/$R58*100*($E58/366))+(Q59/$R59*100*($E59/366))</f>
        <v>0</v>
      </c>
      <c r="M168" s="809"/>
      <c r="N168" s="781">
        <f t="shared" si="24"/>
        <v>100</v>
      </c>
      <c r="O168" s="781"/>
      <c r="R168" s="1">
        <v>1984</v>
      </c>
      <c r="S168" s="8">
        <f>(O58*($E58/366))+(O59*($E59/366))</f>
        <v>50.5</v>
      </c>
      <c r="T168" s="8">
        <f>(P58*($E58/366))+(P59*($E59/366))</f>
        <v>0</v>
      </c>
      <c r="U168" s="8">
        <f>(Q58*($E58/366))+(Q59*($E59/366))</f>
        <v>0</v>
      </c>
      <c r="V168" s="12"/>
      <c r="W168" s="7">
        <f t="shared" si="25"/>
        <v>50.5</v>
      </c>
    </row>
    <row r="169" spans="1:23" x14ac:dyDescent="0.15">
      <c r="A169" s="1">
        <v>1985</v>
      </c>
      <c r="B169" s="8">
        <f>(K60*($E60/365))+(K61*($E61/365))</f>
        <v>100</v>
      </c>
      <c r="C169" s="8">
        <f>(L60*($E60/365))+(L61*($E61/365))</f>
        <v>0</v>
      </c>
      <c r="D169" s="8">
        <f>(M60*($E60/365))+(M61*($E61/365))</f>
        <v>0</v>
      </c>
      <c r="E169" s="48">
        <f t="shared" si="23"/>
        <v>100</v>
      </c>
      <c r="G169" s="1">
        <v>1985</v>
      </c>
      <c r="H169" s="809">
        <f>(O60/$R60*100*($E60/365))+(O61/$R61*100*($E61/365))</f>
        <v>100</v>
      </c>
      <c r="I169" s="809"/>
      <c r="J169" s="809">
        <f>(P60/$R60*100*($E60/365))+(P61/$R61*100*($E61/365))</f>
        <v>0</v>
      </c>
      <c r="K169" s="809"/>
      <c r="L169" s="809">
        <f>(Q60/$R60*100*($E60/365))+(Q61/$R61*100*($E61/365))</f>
        <v>0</v>
      </c>
      <c r="M169" s="809"/>
      <c r="N169" s="781">
        <f t="shared" si="24"/>
        <v>100</v>
      </c>
      <c r="O169" s="781"/>
      <c r="R169" s="1">
        <v>1985</v>
      </c>
      <c r="S169" s="8">
        <f>(O60*($E60/365))+(O61*($E61/365))</f>
        <v>50.5</v>
      </c>
      <c r="T169" s="8">
        <f>(P60*($E60/365))+(P61*($E61/365))</f>
        <v>0</v>
      </c>
      <c r="U169" s="8">
        <f>(Q60*($E60/365))+(Q61*($E61/365))</f>
        <v>0</v>
      </c>
      <c r="V169" s="12"/>
      <c r="W169" s="7">
        <f t="shared" si="25"/>
        <v>50.5</v>
      </c>
    </row>
    <row r="170" spans="1:23" x14ac:dyDescent="0.15">
      <c r="A170" s="1">
        <v>1986</v>
      </c>
      <c r="B170" s="8">
        <f>(K62*($E62/365))+(K63*($E63/365))</f>
        <v>100</v>
      </c>
      <c r="C170" s="8">
        <f>(L62*($E62/365))+(L63*($E63/365))</f>
        <v>0</v>
      </c>
      <c r="D170" s="8">
        <f>(M62*($E62/365))+(M63*($E63/365))</f>
        <v>0</v>
      </c>
      <c r="E170" s="48">
        <f t="shared" si="23"/>
        <v>100</v>
      </c>
      <c r="G170" s="1">
        <v>1986</v>
      </c>
      <c r="H170" s="809">
        <f>(O62/$R62*100*($E62/365))+(O63/$R63*100*($E63/365))</f>
        <v>100</v>
      </c>
      <c r="I170" s="809"/>
      <c r="J170" s="809">
        <f>(P62/$R62*100*($E62/365))+(P63/$R63*100*($E63/365))</f>
        <v>0</v>
      </c>
      <c r="K170" s="809"/>
      <c r="L170" s="809">
        <f>(Q62/$R62*100*($E62/365))+(Q63/$R63*100*($E63/365))</f>
        <v>0</v>
      </c>
      <c r="M170" s="809"/>
      <c r="N170" s="781">
        <f t="shared" si="24"/>
        <v>100</v>
      </c>
      <c r="O170" s="781"/>
      <c r="R170" s="1">
        <v>1986</v>
      </c>
      <c r="S170" s="8">
        <f>(O62*($E62/365))+(O63*($E63/365))</f>
        <v>54.117260273972605</v>
      </c>
      <c r="T170" s="8">
        <f>(P62*($E62/365))+(P63*($E63/365))</f>
        <v>0</v>
      </c>
      <c r="U170" s="8">
        <f>(Q62*($E62/365))+(Q63*($E63/365))</f>
        <v>0</v>
      </c>
      <c r="V170" s="12"/>
      <c r="W170" s="7">
        <f t="shared" si="25"/>
        <v>54.117260273972605</v>
      </c>
    </row>
    <row r="171" spans="1:23" x14ac:dyDescent="0.15">
      <c r="A171" s="1">
        <v>1987</v>
      </c>
      <c r="B171" s="8">
        <f>(K64*($E64/365))+(K65*($E65/365))</f>
        <v>100</v>
      </c>
      <c r="C171" s="8">
        <f>(L64*($E64/365))+(L65*($E65/365))</f>
        <v>0</v>
      </c>
      <c r="D171" s="8">
        <f>(M64*($E64/365))+(M65*($E65/365))</f>
        <v>0</v>
      </c>
      <c r="E171" s="48">
        <f t="shared" si="23"/>
        <v>100</v>
      </c>
      <c r="G171" s="1">
        <v>1987</v>
      </c>
      <c r="H171" s="809">
        <f>(O64/$R64*100*($E64/365))+(O65/$R65*100*($E65/365))</f>
        <v>100</v>
      </c>
      <c r="I171" s="809"/>
      <c r="J171" s="809">
        <f>(P64/$R64*100*($E64/365))+(P65/$R65*100*($E65/365))</f>
        <v>0</v>
      </c>
      <c r="K171" s="809"/>
      <c r="L171" s="809">
        <f>(Q64/$R64*100*($E64/365))+(Q65/$R65*100*($E65/365))</f>
        <v>0</v>
      </c>
      <c r="M171" s="809"/>
      <c r="N171" s="781">
        <f t="shared" si="24"/>
        <v>100</v>
      </c>
      <c r="O171" s="781"/>
      <c r="R171" s="1">
        <v>1987</v>
      </c>
      <c r="S171" s="8">
        <f>(O64*($E64/365))+(O65*($E65/365))</f>
        <v>58.6</v>
      </c>
      <c r="T171" s="8">
        <f>(P64*($E64/365))+(P65*($E65/365))</f>
        <v>0</v>
      </c>
      <c r="U171" s="8">
        <f>(Q64*($E64/365))+(Q65*($E65/365))</f>
        <v>0</v>
      </c>
      <c r="V171" s="12"/>
      <c r="W171" s="7">
        <f t="shared" si="25"/>
        <v>58.6</v>
      </c>
    </row>
    <row r="172" spans="1:23" x14ac:dyDescent="0.15">
      <c r="A172" s="1">
        <v>1988</v>
      </c>
      <c r="B172" s="8">
        <f>(K66*($E66/366))+(K67*($E67/366))</f>
        <v>100</v>
      </c>
      <c r="C172" s="8">
        <f>(L66*($E66/366))+(L67*($E67/366))</f>
        <v>0</v>
      </c>
      <c r="D172" s="8">
        <f>(M66*($E66/366))+(M67*($E67/366))</f>
        <v>0</v>
      </c>
      <c r="E172" s="48">
        <f t="shared" si="23"/>
        <v>100</v>
      </c>
      <c r="G172" s="1">
        <v>1988</v>
      </c>
      <c r="H172" s="809">
        <f>(O66/$R66*100*($E66/366))+(O67/$R67*100*($E67/366))</f>
        <v>100</v>
      </c>
      <c r="I172" s="809"/>
      <c r="J172" s="809">
        <f>(P66/$R66*100*($E66/366))+(P67/$R67*100*($E67/366))</f>
        <v>0</v>
      </c>
      <c r="K172" s="809"/>
      <c r="L172" s="809">
        <f>(Q66/$R66*100*($E66/366))+(Q67/$R67*100*($E67/366))</f>
        <v>0</v>
      </c>
      <c r="M172" s="809"/>
      <c r="N172" s="781">
        <f t="shared" si="24"/>
        <v>100</v>
      </c>
      <c r="O172" s="781"/>
      <c r="R172" s="1">
        <v>1988</v>
      </c>
      <c r="S172" s="8">
        <f>(O66*($E66/366))+(O67*($E67/366))</f>
        <v>58.6</v>
      </c>
      <c r="T172" s="8">
        <f>(P66*($E66/366))+(P67*($E67/366))</f>
        <v>0</v>
      </c>
      <c r="U172" s="8">
        <f>(Q66*($E66/366))+(Q67*($E67/366))</f>
        <v>0</v>
      </c>
      <c r="V172" s="12"/>
      <c r="W172" s="7">
        <f t="shared" si="25"/>
        <v>58.6</v>
      </c>
    </row>
    <row r="173" spans="1:23" x14ac:dyDescent="0.15">
      <c r="A173" s="1">
        <v>1989</v>
      </c>
      <c r="B173" s="8">
        <f>(K68*($E68/365))+(K69*($E69/365))+(K70*($E70/365))</f>
        <v>100</v>
      </c>
      <c r="C173" s="8">
        <f>(L68*($E68/365))+(L69*($E69/365))+(L70*($E70/365))</f>
        <v>0</v>
      </c>
      <c r="D173" s="8">
        <f>(M68*($E68/365))+(M69*($E69/365))+(M70*($E70/365))</f>
        <v>0</v>
      </c>
      <c r="E173" s="48">
        <f t="shared" si="23"/>
        <v>100</v>
      </c>
      <c r="G173" s="1">
        <v>1989</v>
      </c>
      <c r="H173" s="809">
        <f>(O68/$R68*100*($E68/365))+(O69/$R69*100*($E69/365))+(O70/$R70*100*($E70/365))</f>
        <v>100</v>
      </c>
      <c r="I173" s="809"/>
      <c r="J173" s="809">
        <f>(P68/$R68*100*($E68/365))+(P69/$R69*100*($E69/365))+(P70/$R70*100*($E70/365))</f>
        <v>0</v>
      </c>
      <c r="K173" s="809"/>
      <c r="L173" s="809">
        <f>(Q68/$R68*100*($E68/365))+(Q69/$R69*100*($E69/365))+(Q70/$R70*100*($E70/365))</f>
        <v>0</v>
      </c>
      <c r="M173" s="809"/>
      <c r="N173" s="781">
        <f t="shared" si="24"/>
        <v>100</v>
      </c>
      <c r="O173" s="781"/>
      <c r="R173" s="1">
        <v>1989</v>
      </c>
      <c r="S173" s="8">
        <f>(O68*($E68/365))+(O69*($E69/365))+(O70*($E70/365))</f>
        <v>58.6</v>
      </c>
      <c r="T173" s="8">
        <f>(P68*($E68/365))+(P69*($E69/365))+(P70*($E70/365))</f>
        <v>0</v>
      </c>
      <c r="U173" s="8">
        <f>(Q68*($E68/365))+(Q69*($E69/365))+(Q70*($E70/365))</f>
        <v>0</v>
      </c>
      <c r="V173" s="12"/>
      <c r="W173" s="7">
        <f t="shared" si="25"/>
        <v>58.6</v>
      </c>
    </row>
    <row r="174" spans="1:23" x14ac:dyDescent="0.15">
      <c r="A174" s="1">
        <v>1990</v>
      </c>
      <c r="B174" s="8">
        <f>(K71*($E71/365))+(K72*($E72/365))</f>
        <v>100</v>
      </c>
      <c r="C174" s="8">
        <f>(L71*($E71/365))+(L72*($E72/365))</f>
        <v>0</v>
      </c>
      <c r="D174" s="8">
        <f>(M71*($E71/365))+(M72*($E72/365))</f>
        <v>0</v>
      </c>
      <c r="E174" s="48">
        <f t="shared" si="23"/>
        <v>100</v>
      </c>
      <c r="G174" s="1">
        <v>1990</v>
      </c>
      <c r="H174" s="809">
        <f>(O71/$R71*100*($E71/365))+(O72/$R72*100*($E72/365))</f>
        <v>100</v>
      </c>
      <c r="I174" s="809"/>
      <c r="J174" s="809">
        <f>(P71/$R71*100*($E71/365))+(P72/$R72*100*($E72/365))</f>
        <v>0</v>
      </c>
      <c r="K174" s="809"/>
      <c r="L174" s="809">
        <f>(Q71/$R71*100*($E71/365))+(Q72/$R72*100*($E72/365))</f>
        <v>0</v>
      </c>
      <c r="M174" s="809"/>
      <c r="N174" s="781">
        <f t="shared" si="24"/>
        <v>100</v>
      </c>
      <c r="O174" s="781"/>
      <c r="R174" s="1">
        <v>1990</v>
      </c>
      <c r="S174" s="8">
        <f>(O71*($E71/365))+(O72*($E72/365))</f>
        <v>54.478630136986304</v>
      </c>
      <c r="T174" s="8">
        <f>(P71*($E71/365))+(P72*($E72/365))</f>
        <v>0</v>
      </c>
      <c r="U174" s="8">
        <f>(Q71*($E71/365))+(Q72*($E72/365))</f>
        <v>0</v>
      </c>
      <c r="V174" s="12"/>
      <c r="W174" s="7">
        <f t="shared" si="25"/>
        <v>54.478630136986304</v>
      </c>
    </row>
    <row r="175" spans="1:23" x14ac:dyDescent="0.15">
      <c r="A175" s="1">
        <v>1991</v>
      </c>
      <c r="B175" s="8">
        <f>(K73*($E73/365))+(K74*($E74/365))</f>
        <v>100</v>
      </c>
      <c r="C175" s="8">
        <f>(L73*($E73/365))+(L74*($E74/365))</f>
        <v>0</v>
      </c>
      <c r="D175" s="8">
        <f>(M73*($E73/365))+(M74*($E74/365))</f>
        <v>0</v>
      </c>
      <c r="E175" s="48">
        <f t="shared" si="23"/>
        <v>100</v>
      </c>
      <c r="G175" s="1">
        <v>1991</v>
      </c>
      <c r="H175" s="809">
        <f>(O73/$R73*100*($E73/365))+(O74/$R74*100*($E74/365))</f>
        <v>100</v>
      </c>
      <c r="I175" s="809"/>
      <c r="J175" s="809">
        <f>(P73/$R73*100*($E73/365))+(P74/$R74*100*($E74/365))</f>
        <v>0</v>
      </c>
      <c r="K175" s="809"/>
      <c r="L175" s="809">
        <f>(Q73/$R73*100*($E73/365))+(Q74/$R74*100*($E74/365))</f>
        <v>0</v>
      </c>
      <c r="M175" s="809"/>
      <c r="N175" s="781">
        <f t="shared" si="24"/>
        <v>100</v>
      </c>
      <c r="O175" s="781"/>
      <c r="R175" s="1">
        <v>1991</v>
      </c>
      <c r="S175" s="8">
        <f>(O73*($E73/365))+(O74*($E74/365))</f>
        <v>53.7</v>
      </c>
      <c r="T175" s="8">
        <f>(P73*($E73/365))+(P74*($E74/365))</f>
        <v>0</v>
      </c>
      <c r="U175" s="8">
        <f>(Q73*($E73/365))+(Q74*($E74/365))</f>
        <v>0</v>
      </c>
      <c r="V175" s="12"/>
      <c r="W175" s="7">
        <f t="shared" si="25"/>
        <v>53.7</v>
      </c>
    </row>
    <row r="176" spans="1:23" x14ac:dyDescent="0.15">
      <c r="A176" s="1">
        <v>1992</v>
      </c>
      <c r="B176" s="8">
        <f>(K75*($E75/366))+(K76*($E76/366))</f>
        <v>100</v>
      </c>
      <c r="C176" s="8">
        <f>(L75*($E75/366))+(L76*($E76/366))</f>
        <v>0</v>
      </c>
      <c r="D176" s="8">
        <f>(M75*($E75/366))+(M76*($E76/366))</f>
        <v>0</v>
      </c>
      <c r="E176" s="48">
        <f t="shared" si="23"/>
        <v>100</v>
      </c>
      <c r="G176" s="1">
        <v>1992</v>
      </c>
      <c r="H176" s="809">
        <f>(O75/$R75*100*($E75/366))+(O76/$R76*100*($E76/366))</f>
        <v>100</v>
      </c>
      <c r="I176" s="809"/>
      <c r="J176" s="809">
        <f>(P75/$R75*100*($E75/366))+(P76/$R76*100*($E76/366))</f>
        <v>0</v>
      </c>
      <c r="K176" s="809"/>
      <c r="L176" s="809">
        <f>(Q75/$R75*100*($E75/366))+(Q76/$R76*100*($E76/366))</f>
        <v>0</v>
      </c>
      <c r="M176" s="809"/>
      <c r="N176" s="781">
        <f t="shared" si="24"/>
        <v>100</v>
      </c>
      <c r="O176" s="781"/>
      <c r="R176" s="1">
        <v>1992</v>
      </c>
      <c r="S176" s="8">
        <f>(O75*($E75/366))+(O76*($E76/366))</f>
        <v>53.7</v>
      </c>
      <c r="T176" s="8">
        <f>(P75*($E75/366))+(P76*($E76/366))</f>
        <v>0</v>
      </c>
      <c r="U176" s="8">
        <f>(Q75*($E75/366))+(Q76*($E76/366))</f>
        <v>0</v>
      </c>
      <c r="V176" s="12"/>
      <c r="W176" s="7">
        <f t="shared" si="25"/>
        <v>53.7</v>
      </c>
    </row>
    <row r="177" spans="1:23" x14ac:dyDescent="0.15">
      <c r="A177" s="1">
        <v>1993</v>
      </c>
      <c r="B177" s="8">
        <f>(K77*($E77/365))+(K78*($E78/365))</f>
        <v>73.515981735159812</v>
      </c>
      <c r="C177" s="8">
        <f>(L77*($E77/365))+(L78*($E78/365))</f>
        <v>7.5668623613829089</v>
      </c>
      <c r="D177" s="8">
        <f>(M77*($E77/365))+(M78*($E78/365))</f>
        <v>15.133724722765818</v>
      </c>
      <c r="E177" s="48">
        <f t="shared" si="23"/>
        <v>96.216568819308534</v>
      </c>
      <c r="G177" s="1">
        <v>1993</v>
      </c>
      <c r="H177" s="809">
        <f>(O77/$R77*100*($E77/365))+(O78/$R78*100*($E78/365))</f>
        <v>77.084354722422489</v>
      </c>
      <c r="I177" s="809"/>
      <c r="J177" s="809">
        <f>(P77/$R77*100*($E77/365))+(P78/$R78*100*($E78/365))</f>
        <v>8.3633741888968984</v>
      </c>
      <c r="K177" s="809"/>
      <c r="L177" s="809">
        <f>(Q77/$R77*100*($E77/365))+(Q78/$R78*100*($E78/365))</f>
        <v>14.552271088680607</v>
      </c>
      <c r="M177" s="809"/>
      <c r="N177" s="781">
        <f t="shared" si="24"/>
        <v>100</v>
      </c>
      <c r="O177" s="781"/>
      <c r="R177" s="1">
        <v>1993</v>
      </c>
      <c r="S177" s="8">
        <f>(O77*($E77/365))+(O78*($E78/365))</f>
        <v>40.352054794520548</v>
      </c>
      <c r="T177" s="8">
        <f>(P77*($E77/365))+(P78*($E78/365))</f>
        <v>3.9726027397260273</v>
      </c>
      <c r="U177" s="8">
        <f>(Q77*($E77/365))+(Q78*($E78/365))</f>
        <v>6.912328767123288</v>
      </c>
      <c r="V177" s="12"/>
      <c r="W177" s="7">
        <f t="shared" si="25"/>
        <v>51.236986301369868</v>
      </c>
    </row>
    <row r="178" spans="1:23" x14ac:dyDescent="0.15">
      <c r="A178" s="1">
        <v>1994</v>
      </c>
      <c r="B178" s="8">
        <f>(K79*($E79/365))+(K80*($E80/365))+(K81*($E81/365))</f>
        <v>55.107632093933461</v>
      </c>
      <c r="C178" s="8">
        <f>(L79*($E79/365))+(L80*($E80/365))+(L81*($E81/365))</f>
        <v>11.037181996086106</v>
      </c>
      <c r="D178" s="8">
        <f>(M79*($E79/365))+(M80*($E80/365))+(M81*($E81/365))</f>
        <v>28.336594911937379</v>
      </c>
      <c r="E178" s="48">
        <f t="shared" si="23"/>
        <v>94.481409001956948</v>
      </c>
      <c r="G178" s="1">
        <v>1994</v>
      </c>
      <c r="H178" s="809">
        <f>(O79/$R79*100*($E79/365))+(O80/$R80*100*($E80/365))+(O81/$R81*100*($E81/365))</f>
        <v>60.478497311966848</v>
      </c>
      <c r="I178" s="809"/>
      <c r="J178" s="809">
        <f>(P79/$R79*100*($E79/365))+(P80/$R80*100*($E80/365))+(P81/$R81*100*($E81/365))</f>
        <v>14.526419277989325</v>
      </c>
      <c r="K178" s="809"/>
      <c r="L178" s="809">
        <f>(Q79/$R79*100*($E79/365))+(Q80/$R80*100*($E80/365))+(Q81/$R81*100*($E81/365))</f>
        <v>24.995083410043833</v>
      </c>
      <c r="M178" s="809"/>
      <c r="N178" s="781">
        <f t="shared" si="24"/>
        <v>100</v>
      </c>
      <c r="O178" s="781"/>
      <c r="R178" s="1">
        <v>1994</v>
      </c>
      <c r="S178" s="8">
        <f>(O79*($E79/365))+(O80*($E80/365))+(O81*($E81/365))</f>
        <v>31.579452054794526</v>
      </c>
      <c r="T178" s="8">
        <f>(P79*($E79/365))+(P80*($E80/365))+(P81*($E81/365))</f>
        <v>6.1986301369863011</v>
      </c>
      <c r="U178" s="8">
        <f>(Q79*($E79/365))+(Q80*($E80/365))+(Q81*($E81/365))</f>
        <v>13.021917808219179</v>
      </c>
      <c r="V178" s="12"/>
      <c r="W178" s="7">
        <f t="shared" si="25"/>
        <v>50.800000000000004</v>
      </c>
    </row>
    <row r="179" spans="1:23" x14ac:dyDescent="0.15">
      <c r="A179" s="1">
        <v>1995</v>
      </c>
      <c r="B179" s="8">
        <f>(K82*($E82/365))+(K83*($E83/365))</f>
        <v>69.523809523809518</v>
      </c>
      <c r="C179" s="8">
        <f>(L82*($E82/365))+(L83*($E83/365))</f>
        <v>0</v>
      </c>
      <c r="D179" s="8">
        <f>(M82*($E82/365))+(M83*($E83/365))</f>
        <v>28.571428571428569</v>
      </c>
      <c r="E179" s="48">
        <f t="shared" si="23"/>
        <v>98.095238095238088</v>
      </c>
      <c r="G179" s="1">
        <v>1995</v>
      </c>
      <c r="H179" s="809">
        <f>(O83/$R83*100*($E83/365))+(O82/$R82*100*($E82/365))</f>
        <v>72.909698996655521</v>
      </c>
      <c r="I179" s="809"/>
      <c r="J179" s="809">
        <f>(P83/$R83*100*($E83/365))+(P82/$R82*100*($E82/365))</f>
        <v>4.1806020066889635</v>
      </c>
      <c r="K179" s="809"/>
      <c r="L179" s="809">
        <f>(Q83/$R83*100*($E83/365))+(Q82/$R82*100*($E82/365))</f>
        <v>22.909698996655518</v>
      </c>
      <c r="M179" s="809"/>
      <c r="N179" s="781">
        <f t="shared" si="24"/>
        <v>100</v>
      </c>
      <c r="O179" s="781"/>
      <c r="R179" s="1">
        <v>1995</v>
      </c>
      <c r="S179" s="8">
        <f>(O82*($E82/365))+(O83*($E83/365))</f>
        <v>43.6</v>
      </c>
      <c r="T179" s="8">
        <f>(P82*($E82/365))+(P83*($E83/365))</f>
        <v>2.5</v>
      </c>
      <c r="U179" s="8">
        <f>(Q82*($E82/365))+(Q83*($E83/365))</f>
        <v>13.7</v>
      </c>
      <c r="V179" s="12"/>
      <c r="W179" s="7">
        <f t="shared" si="25"/>
        <v>59.8</v>
      </c>
    </row>
    <row r="180" spans="1:23" x14ac:dyDescent="0.15">
      <c r="A180" s="1">
        <v>1996</v>
      </c>
      <c r="B180" s="8">
        <f>(K84*($E84/366))+(K85*($E85/366))+(K86*($E86/366))</f>
        <v>67.759562841530055</v>
      </c>
      <c r="C180" s="8">
        <f>(L84*($E84/366))+(L85*($E85/366))+(L86*($E86/366))</f>
        <v>0</v>
      </c>
      <c r="D180" s="8">
        <f>(M84*($E84/366))+(M85*($E85/366))+(M86*($E86/366))</f>
        <v>28.194119177725732</v>
      </c>
      <c r="E180" s="48">
        <f t="shared" si="23"/>
        <v>95.95368201925578</v>
      </c>
      <c r="G180" s="1">
        <v>1996</v>
      </c>
      <c r="H180" s="809">
        <f>(O84/$R84*100*($E84/366))+(O85/$R85*100*($E85/366))+(O86/$R86*100*($E86/366))</f>
        <v>76.980645868742812</v>
      </c>
      <c r="I180" s="809"/>
      <c r="J180" s="809">
        <f>(P84/$R84*100*($E84/366))+(P85/$R85*100*($E85/366))+(P86/$R86*100*($E86/366))</f>
        <v>3.5523694647001851</v>
      </c>
      <c r="K180" s="809"/>
      <c r="L180" s="809">
        <f>(Q84/$R84*100*($E84/366))+(Q85/$R85*100*($E85/366))+(Q86/$R86*100*($E86/366))</f>
        <v>19.466984666557014</v>
      </c>
      <c r="M180" s="809"/>
      <c r="N180" s="781">
        <f t="shared" si="24"/>
        <v>100.00000000000001</v>
      </c>
      <c r="O180" s="781"/>
      <c r="R180" s="1">
        <v>1996</v>
      </c>
      <c r="S180" s="8">
        <f>(O84*($E84/366))+(O85*($E85/366))+(O86*($E86/366))</f>
        <v>44.231147540983599</v>
      </c>
      <c r="T180" s="8">
        <f>(P84*($E84/366))+(P85*($E85/366))+(P86*($E86/366))</f>
        <v>2.1243169398907105</v>
      </c>
      <c r="U180" s="8">
        <f>(Q84*($E84/366))+(Q85*($E85/366))+(Q86*($E86/366))</f>
        <v>11.641256830601092</v>
      </c>
      <c r="V180" s="12"/>
      <c r="W180" s="7">
        <f t="shared" si="25"/>
        <v>57.996721311475405</v>
      </c>
    </row>
    <row r="181" spans="1:23" x14ac:dyDescent="0.15">
      <c r="A181" s="1">
        <v>1997</v>
      </c>
      <c r="B181" s="8">
        <f>(K88*($E88/365))+(K87*($E87/365))</f>
        <v>100</v>
      </c>
      <c r="C181" s="8">
        <f>(L88*($E88/365))+(L87*($E87/365))</f>
        <v>0</v>
      </c>
      <c r="D181" s="8">
        <f>(M88*($E88/365))+(M87*($E87/365))</f>
        <v>0</v>
      </c>
      <c r="E181" s="48">
        <f t="shared" si="23"/>
        <v>100</v>
      </c>
      <c r="G181" s="1">
        <v>1997</v>
      </c>
      <c r="H181" s="809">
        <f>(O87/$R87*100*($E87/365))+(O88/$R88*100*($E88/365))</f>
        <v>100</v>
      </c>
      <c r="I181" s="809"/>
      <c r="J181" s="809">
        <f>(P87/$R87*100*($E87/365))+(P88/$R88*100*($E88/365))</f>
        <v>0</v>
      </c>
      <c r="K181" s="809"/>
      <c r="L181" s="809">
        <f>(Q87/$R87*100*($E87/365))+(Q88/$R88*100*($E88/365))</f>
        <v>0</v>
      </c>
      <c r="M181" s="809"/>
      <c r="N181" s="781">
        <f t="shared" si="24"/>
        <v>100</v>
      </c>
      <c r="O181" s="781"/>
      <c r="R181" s="1">
        <v>1997</v>
      </c>
      <c r="S181" s="8">
        <f>(O88*($E88/365))+(O87*($E87/365))</f>
        <v>47.8</v>
      </c>
      <c r="T181" s="8">
        <f>(P88*($E88/365))+(P87*($E87/365))</f>
        <v>0</v>
      </c>
      <c r="U181" s="8">
        <f>(Q88*($E88/365))+(Q87*($E87/365))</f>
        <v>0</v>
      </c>
      <c r="V181" s="12"/>
      <c r="W181" s="7">
        <f t="shared" si="25"/>
        <v>47.8</v>
      </c>
    </row>
    <row r="182" spans="1:23" x14ac:dyDescent="0.15">
      <c r="A182" s="1">
        <v>1998</v>
      </c>
      <c r="B182" s="8">
        <f>(K90*($E90/365))+(K89*($E89/365))</f>
        <v>97.97782126549248</v>
      </c>
      <c r="C182" s="8">
        <f>(L90*($E90/365))+(L89*($E89/365))</f>
        <v>0</v>
      </c>
      <c r="D182" s="8">
        <f>(M90*($E90/365))+(M89*($E89/365))</f>
        <v>0</v>
      </c>
      <c r="E182" s="48">
        <f t="shared" si="23"/>
        <v>97.97782126549248</v>
      </c>
      <c r="G182" s="1">
        <v>1998</v>
      </c>
      <c r="H182" s="809">
        <f>(O90/$R90*100*($E90/365))+(O89/$R89*100*($E89/365))</f>
        <v>100</v>
      </c>
      <c r="I182" s="809"/>
      <c r="J182" s="809">
        <f>(P90/$R90*100*($E90/365))+(P89/$R89*100*($E89/365))</f>
        <v>0</v>
      </c>
      <c r="K182" s="809"/>
      <c r="L182" s="809">
        <f>(Q90/$R90*100*($E90/365))+(Q89/$R89*100*($E89/365))</f>
        <v>0</v>
      </c>
      <c r="M182" s="809"/>
      <c r="N182" s="781">
        <f t="shared" si="24"/>
        <v>100</v>
      </c>
      <c r="O182" s="781"/>
      <c r="R182" s="1">
        <v>1998</v>
      </c>
      <c r="S182" s="8">
        <f>(O90*($E90/365))+(O89*($E89/365))</f>
        <v>47.8</v>
      </c>
      <c r="T182" s="8">
        <f>(P90*($E90/365))+(P89*($E89/365))</f>
        <v>0</v>
      </c>
      <c r="U182" s="8">
        <f>(Q90*($E90/365))+(Q89*($E89/365))</f>
        <v>0</v>
      </c>
      <c r="V182" s="12"/>
      <c r="W182" s="7">
        <f t="shared" si="25"/>
        <v>47.8</v>
      </c>
    </row>
    <row r="183" spans="1:23" x14ac:dyDescent="0.15">
      <c r="A183" s="1">
        <v>1999</v>
      </c>
      <c r="B183" s="8">
        <f>(K92*($E92/365))+(K91*($E91/365))+(K93*($E93/365))</f>
        <v>94.446240676139411</v>
      </c>
      <c r="C183" s="8">
        <f>(L92*($E92/365))+(L91*($E91/365))+(L93*($E93/365))</f>
        <v>1.0482430017867779</v>
      </c>
      <c r="D183" s="8">
        <f>(M92*($E92/365))+(M91*($E91/365))+(M93*($E93/365))</f>
        <v>0</v>
      </c>
      <c r="E183" s="48">
        <f t="shared" si="23"/>
        <v>95.494483677926183</v>
      </c>
      <c r="G183" s="1">
        <v>1999</v>
      </c>
      <c r="H183" s="809">
        <f>(O91/$R91*100*($E91/365))+(O92/$R92*100*($E92/365))+(O93/$R93*100*($E93/365))</f>
        <v>96.200913242009136</v>
      </c>
      <c r="I183" s="809"/>
      <c r="J183" s="809">
        <f>(P91/$R91*100*($E91/365))+(P92/$R92*100*($E92/365))+(P93/$R93*100*($E93/365))</f>
        <v>3.7990867579908683</v>
      </c>
      <c r="K183" s="809"/>
      <c r="L183" s="809">
        <f>(Q91/$R91*100*($E91/365))+(Q92/$R92*100*($E92/365))+(Q93/$R93*100*($E93/365))</f>
        <v>0</v>
      </c>
      <c r="M183" s="809"/>
      <c r="N183" s="781">
        <f t="shared" si="24"/>
        <v>100</v>
      </c>
      <c r="O183" s="781"/>
      <c r="R183" s="1">
        <v>1999</v>
      </c>
      <c r="S183" s="8">
        <f>(O92*($E92/365))+(O91*($E91/365))+(O93*($E93/365))</f>
        <v>55.177534246575341</v>
      </c>
      <c r="T183" s="8">
        <f>(P92*($E92/365))+(P91*($E91/365))+(P93*($E93/365))</f>
        <v>2.5073972602739727</v>
      </c>
      <c r="U183" s="8">
        <f>(Q92*($E92/365))+(Q91*($E91/365))+(Q93*($E93/365))</f>
        <v>0</v>
      </c>
      <c r="V183" s="12"/>
      <c r="W183" s="7">
        <f t="shared" si="25"/>
        <v>57.684931506849317</v>
      </c>
    </row>
    <row r="184" spans="1:23" x14ac:dyDescent="0.15">
      <c r="A184" s="1">
        <v>2000</v>
      </c>
      <c r="B184" s="8">
        <f>(K96*($E96/366))+(K95*($E95/366))+(K94*($E94/366))</f>
        <v>89.154193395105722</v>
      </c>
      <c r="C184" s="8">
        <f>(L96*($E96/366))+(L95*($E95/366))+(L94*($E94/366))</f>
        <v>4.3478260869565215</v>
      </c>
      <c r="D184" s="8">
        <f>(M96*($E96/366))+(M95*($E95/366))+(M94*($E94/366))</f>
        <v>0</v>
      </c>
      <c r="E184" s="48">
        <f t="shared" si="23"/>
        <v>93.502019482062238</v>
      </c>
      <c r="G184" s="1">
        <v>2000</v>
      </c>
      <c r="H184" s="809">
        <f>(O94/$R94*100*($E94/366))+(O95/$R95*100*($E95/366))+(O96/$R96*100*($E96/366))</f>
        <v>86.345758469652267</v>
      </c>
      <c r="I184" s="809"/>
      <c r="J184" s="809">
        <f>(P94/$R94*100*($E94/366))+(P95/$R95*100*($E95/366))+(P96/$R96*100*($E96/366))</f>
        <v>13.654241530347726</v>
      </c>
      <c r="K184" s="809"/>
      <c r="L184" s="809">
        <f>(Q94/$R94*100*($E94/366))+(Q95/$R95*100*($E95/366))+(Q96/$R96*100*($E96/366))</f>
        <v>0</v>
      </c>
      <c r="M184" s="809"/>
      <c r="N184" s="781">
        <f t="shared" si="24"/>
        <v>100</v>
      </c>
      <c r="O184" s="781"/>
      <c r="R184" s="1">
        <v>2000</v>
      </c>
      <c r="S184" s="8">
        <f>(O96*($E96/366))+(O95*($E95/366))+(O94*($E94/366))</f>
        <v>52.830601092896174</v>
      </c>
      <c r="T184" s="8">
        <f>(P96*($E96/366))+(P95*($E95/366))+(P94*($E94/366))</f>
        <v>8.471311475409836</v>
      </c>
      <c r="U184" s="8">
        <f>(Q96*($E96/366))+(Q95*($E95/366))+(Q94*($E94/366))</f>
        <v>0</v>
      </c>
      <c r="V184" s="12"/>
      <c r="W184" s="7">
        <f>S184+T184+U184</f>
        <v>61.301912568306008</v>
      </c>
    </row>
    <row r="185" spans="1:23" x14ac:dyDescent="0.15">
      <c r="A185" s="1">
        <v>2001</v>
      </c>
      <c r="B185" s="8">
        <f>(K98*($E98/365))+(K97*($E97/365))</f>
        <v>80.669710806697111</v>
      </c>
      <c r="C185" s="8">
        <f>(L98*($E98/365))+(L97*($E97/365))</f>
        <v>5.1750380517503798</v>
      </c>
      <c r="D185" s="8">
        <f>(M98*($E98/365))+(M97*($E97/365))</f>
        <v>0</v>
      </c>
      <c r="E185" s="48">
        <f t="shared" si="23"/>
        <v>85.844748858447488</v>
      </c>
      <c r="G185" s="1">
        <v>2001</v>
      </c>
      <c r="H185" s="809">
        <f>(O97/$R97*100*($E97/365))+(O98/$R98*100*($E98/365))</f>
        <v>88.495575221238937</v>
      </c>
      <c r="I185" s="809"/>
      <c r="J185" s="809">
        <f>(P97/$R97*100*($E97/365))+(P98/$R98*100*($E98/365))</f>
        <v>11.504424778761061</v>
      </c>
      <c r="K185" s="809"/>
      <c r="L185" s="809">
        <f>(Q97/$R97*100*($E97/365))+(Q98/$R98*100*($E98/365))</f>
        <v>0</v>
      </c>
      <c r="M185" s="809"/>
      <c r="N185" s="781">
        <f t="shared" si="24"/>
        <v>100</v>
      </c>
      <c r="O185" s="781"/>
      <c r="R185" s="1">
        <v>2001</v>
      </c>
      <c r="S185" s="8">
        <f>(O98*($E98/365))+(O97*($E97/365))</f>
        <v>50</v>
      </c>
      <c r="T185" s="8">
        <f>(P98*($E98/365))+(P97*($E97/365))</f>
        <v>6.5</v>
      </c>
      <c r="U185" s="8">
        <f>(Q98*($E98/365))+(Q97*($E97/365))</f>
        <v>0</v>
      </c>
      <c r="V185" s="12"/>
      <c r="W185" s="7">
        <f t="shared" si="25"/>
        <v>56.5</v>
      </c>
    </row>
    <row r="186" spans="1:23" x14ac:dyDescent="0.15">
      <c r="A186" s="1">
        <v>2002</v>
      </c>
      <c r="B186" s="8">
        <f>(K100*($E100/365))+(K99*($E99/365))</f>
        <v>77.777777777777786</v>
      </c>
      <c r="C186" s="8">
        <f>(L100*($E100/365))+(L99*($E99/365))</f>
        <v>5.5555555555555554</v>
      </c>
      <c r="D186" s="8">
        <f>(M100*($E100/365))+(M99*($E99/365))</f>
        <v>0</v>
      </c>
      <c r="E186" s="48">
        <f t="shared" si="23"/>
        <v>83.333333333333343</v>
      </c>
      <c r="G186" s="1">
        <v>2002</v>
      </c>
      <c r="H186" s="809">
        <f>(O99/$R99*100*($E99/365))+(O100/$R100*100*($E100/365))</f>
        <v>88.495575221238937</v>
      </c>
      <c r="I186" s="809"/>
      <c r="J186" s="809">
        <f>(P99/$R99*100*($E99/365))+(P100/$R100*100*($E100/365))</f>
        <v>11.504424778761061</v>
      </c>
      <c r="K186" s="809"/>
      <c r="L186" s="809">
        <f>(Q99/$R99*100*($E99/365))+(Q100/$R100*100*($E100/365))</f>
        <v>0</v>
      </c>
      <c r="M186" s="809"/>
      <c r="N186" s="781">
        <f t="shared" si="24"/>
        <v>100</v>
      </c>
      <c r="O186" s="781"/>
      <c r="R186" s="1">
        <v>2002</v>
      </c>
      <c r="S186" s="8">
        <f>(O100*($E100/365))+(O99*($E99/365))</f>
        <v>50</v>
      </c>
      <c r="T186" s="8">
        <f>(P100*($E100/365))+(P99*($E99/365))</f>
        <v>6.5</v>
      </c>
      <c r="U186" s="8">
        <f>(Q100*($E100/365))+(Q99*($E99/365))</f>
        <v>0</v>
      </c>
      <c r="V186" s="12"/>
      <c r="W186" s="7">
        <f t="shared" si="25"/>
        <v>56.5</v>
      </c>
    </row>
    <row r="187" spans="1:23" x14ac:dyDescent="0.15">
      <c r="A187" s="1">
        <v>2003</v>
      </c>
      <c r="B187" s="8">
        <f>(K102*($E102/365))+(K101*($E101/365))</f>
        <v>77.777777777777786</v>
      </c>
      <c r="C187" s="8">
        <f>(L102*($E102/365))+(L101*($E101/365))</f>
        <v>5.5555555555555554</v>
      </c>
      <c r="D187" s="8">
        <f>(M102*($E102/365))+(M101*($E101/365))</f>
        <v>0</v>
      </c>
      <c r="E187" s="48">
        <f t="shared" si="23"/>
        <v>83.333333333333343</v>
      </c>
      <c r="G187" s="1">
        <v>2003</v>
      </c>
      <c r="H187" s="809">
        <f>(O101/$R101*100*($E101/365))+(O102/$R102*100*($E102/365))</f>
        <v>88.238260159539578</v>
      </c>
      <c r="I187" s="809"/>
      <c r="J187" s="809">
        <f>(P101/$R101*100*($E101/365))+(P102/$R102*100*($E102/365))</f>
        <v>11.761739840460415</v>
      </c>
      <c r="K187" s="809"/>
      <c r="L187" s="809">
        <f>(Q101/$R101*100*($E101/365))+(Q102/$R102*100*($E102/365))</f>
        <v>0</v>
      </c>
      <c r="M187" s="809"/>
      <c r="N187" s="781">
        <f t="shared" si="24"/>
        <v>100</v>
      </c>
      <c r="O187" s="781"/>
      <c r="R187" s="1">
        <v>2003</v>
      </c>
      <c r="S187" s="8">
        <f>(O102*($E102/365))+(O101*($E101/365))</f>
        <v>50</v>
      </c>
      <c r="T187" s="8">
        <f>(P102*($E102/365))+(P101*($E101/365))</f>
        <v>6.6660273972602733</v>
      </c>
      <c r="U187" s="8">
        <f>(Q102*($E102/365))+(Q101*($E101/365))</f>
        <v>0</v>
      </c>
      <c r="V187" s="12"/>
      <c r="W187" s="7">
        <f t="shared" si="25"/>
        <v>56.666027397260272</v>
      </c>
    </row>
    <row r="188" spans="1:23" x14ac:dyDescent="0.15">
      <c r="A188" s="1">
        <v>2004</v>
      </c>
      <c r="B188" s="8">
        <f>(K104*($E104/366))+(K103*($E103/366))</f>
        <v>82.149362477231335</v>
      </c>
      <c r="C188" s="8">
        <f>(L104*($E104/366))+(L103*($E103/366))</f>
        <v>5.5555555555555554</v>
      </c>
      <c r="D188" s="8">
        <f>(M104*($E104/366))+(M103*($E103/366))</f>
        <v>0</v>
      </c>
      <c r="E188" s="48">
        <f t="shared" si="23"/>
        <v>87.704918032786892</v>
      </c>
      <c r="G188" s="1">
        <v>2004</v>
      </c>
      <c r="H188" s="809">
        <f>(O103/$R103*100*($E103/366))+(O104/$R104*100*($E104/366))</f>
        <v>87.563056230503207</v>
      </c>
      <c r="I188" s="809"/>
      <c r="J188" s="809">
        <f>(P103/$R103*100*($E103/366))+(P104/$R104*100*($E104/366))</f>
        <v>12.436943769496787</v>
      </c>
      <c r="K188" s="809"/>
      <c r="L188" s="809">
        <f>(Q103/$R103*100*($E103/366))+(Q104/$R104*100*($E104/366))</f>
        <v>0</v>
      </c>
      <c r="M188" s="809"/>
      <c r="N188" s="781">
        <f t="shared" si="24"/>
        <v>100</v>
      </c>
      <c r="O188" s="781"/>
      <c r="R188" s="1">
        <v>2004</v>
      </c>
      <c r="S188" s="8">
        <f>(O104*($E104/366))+(O103*($E103/366))</f>
        <v>49.990163934426235</v>
      </c>
      <c r="T188" s="8">
        <f>(P104*($E104/366))+(P103*($E103/366))</f>
        <v>7.1</v>
      </c>
      <c r="U188" s="8">
        <f>(Q104*($E104/366))+(Q103*($E103/366))</f>
        <v>0</v>
      </c>
      <c r="V188" s="12"/>
      <c r="W188" s="7">
        <f t="shared" si="25"/>
        <v>57.090163934426236</v>
      </c>
    </row>
    <row r="189" spans="1:23" x14ac:dyDescent="0.15">
      <c r="A189" s="1">
        <v>2005</v>
      </c>
      <c r="B189" s="8">
        <f>(K106*($E106/365))+(K105*($E105/365))</f>
        <v>94.444444444444457</v>
      </c>
      <c r="C189" s="8">
        <f>(L106*($E106/365))+(L105*($E105/365))</f>
        <v>5.5555555555555554</v>
      </c>
      <c r="D189" s="8">
        <f>(M106*($E106/365))+(M105*($E105/365))</f>
        <v>0</v>
      </c>
      <c r="E189" s="48">
        <f t="shared" si="23"/>
        <v>100.00000000000001</v>
      </c>
      <c r="G189" s="1">
        <v>2005</v>
      </c>
      <c r="H189" s="809">
        <f>(O105/$R105*100*($E105/365))+(O106/$R106*100*($E106/365))</f>
        <v>87.949261067457201</v>
      </c>
      <c r="I189" s="809"/>
      <c r="J189" s="809">
        <f>(P105/$R105*100*($E105/365))+(P106/$R106*100*($E106/365))</f>
        <v>12.050738932542787</v>
      </c>
      <c r="K189" s="809"/>
      <c r="L189" s="809">
        <f>(Q105/$R105*100*($E105/365))+(Q106/$R106*100*($E106/365))</f>
        <v>0</v>
      </c>
      <c r="M189" s="809"/>
      <c r="N189" s="781">
        <f t="shared" si="24"/>
        <v>99.999999999999986</v>
      </c>
      <c r="O189" s="781"/>
      <c r="R189" s="1">
        <v>2005</v>
      </c>
      <c r="S189" s="8">
        <f>(O106*($E106/365))+(O105*($E105/365))</f>
        <v>51.489315068493148</v>
      </c>
      <c r="T189" s="8">
        <f>(P106*($E106/365))+(P105*($E105/365))</f>
        <v>6.9980821917808225</v>
      </c>
      <c r="U189" s="8">
        <f>(Q106*($E106/365))+(Q105*($E105/365))</f>
        <v>0</v>
      </c>
      <c r="V189" s="12"/>
      <c r="W189" s="7">
        <f t="shared" si="25"/>
        <v>58.487397260273973</v>
      </c>
    </row>
    <row r="190" spans="1:23" x14ac:dyDescent="0.15">
      <c r="A190" s="1">
        <v>2006</v>
      </c>
      <c r="B190" s="8">
        <f>(K108*($E108/365))+(K107*($E107/365))</f>
        <v>92.968036529680376</v>
      </c>
      <c r="C190" s="8">
        <f>(L108*($E108/365))+(L107*($E107/365))</f>
        <v>5.5555555555555554</v>
      </c>
      <c r="D190" s="8">
        <f>(M108*($E108/365))+(M107*($E107/365))</f>
        <v>0</v>
      </c>
      <c r="E190" s="48">
        <f t="shared" si="23"/>
        <v>98.523592085235933</v>
      </c>
      <c r="G190" s="1">
        <v>2006</v>
      </c>
      <c r="H190" s="809">
        <f>(O107/$R107*100*($E107/365))+(O108/$R108*100*($E108/365))</f>
        <v>90.469208211143695</v>
      </c>
      <c r="I190" s="809"/>
      <c r="J190" s="809">
        <f>(P107/$R107*100*($E107/365))+(P108/$R108*100*($E108/365))</f>
        <v>9.5307917888563054</v>
      </c>
      <c r="K190" s="809"/>
      <c r="L190" s="809">
        <f>(Q107/$R107*100*($E107/365))+(Q108/$R108*100*($E108/365))</f>
        <v>0</v>
      </c>
      <c r="M190" s="809"/>
      <c r="N190" s="781">
        <f t="shared" si="24"/>
        <v>100</v>
      </c>
      <c r="O190" s="781"/>
      <c r="R190" s="1">
        <v>2006</v>
      </c>
      <c r="S190" s="8">
        <f>(O108*($E108/365))+(O107*($E107/365))</f>
        <v>61.7</v>
      </c>
      <c r="T190" s="8">
        <f>(P108*($E108/365))+(P107*($E107/365))</f>
        <v>6.5</v>
      </c>
      <c r="U190" s="8">
        <f>(Q108*($E108/365))+(Q107*($E107/365))</f>
        <v>0</v>
      </c>
      <c r="V190" s="12"/>
      <c r="W190" s="7">
        <f t="shared" si="25"/>
        <v>68.2</v>
      </c>
    </row>
    <row r="191" spans="1:23" x14ac:dyDescent="0.15">
      <c r="A191" s="1">
        <v>2007</v>
      </c>
      <c r="B191" s="8">
        <f>(K110*($E110/365))+(K109*($E109/365))+(K111*($E111/365))</f>
        <v>86.955859969558603</v>
      </c>
      <c r="C191" s="8">
        <f>(L110*($E110/365))+(L109*($E109/365))+(L111*($E111/365))</f>
        <v>5.5555555555555554</v>
      </c>
      <c r="D191" s="8">
        <f>(M110*($E110/365))+(M109*($E109/365))+(M111*($E111/365))</f>
        <v>0</v>
      </c>
      <c r="E191" s="48">
        <f t="shared" si="23"/>
        <v>92.51141552511416</v>
      </c>
      <c r="G191" s="1">
        <v>2007</v>
      </c>
      <c r="H191" s="809">
        <f>(O109/$R109*100*($E109/365))+(O110/$R110*100*($E110/365))+(O111/$R111*100*($E111/365))</f>
        <v>90.469208211143695</v>
      </c>
      <c r="I191" s="809"/>
      <c r="J191" s="809">
        <f>(P109/$R109*100*($E109/365))+(P110/$R110*100*($E110/365))+(P111/$R111*100*($E111/365))</f>
        <v>9.5307917888563054</v>
      </c>
      <c r="K191" s="809"/>
      <c r="L191" s="809">
        <f>(Q109/$R109*100*($E109/365))+(Q110/$R110*100*($E110/365))+(Q111/$R111*100*($E111/365))</f>
        <v>0</v>
      </c>
      <c r="M191" s="809"/>
      <c r="N191" s="781">
        <f t="shared" si="24"/>
        <v>100</v>
      </c>
      <c r="O191" s="781"/>
      <c r="R191" s="1">
        <v>2007</v>
      </c>
      <c r="S191" s="8">
        <f>(O110*($E110/365))+(O109*($E109/365))+(O111*($E111/365))</f>
        <v>61.7</v>
      </c>
      <c r="T191" s="8">
        <f>(P110*($E110/365))+(P109*($E109/365))+(P111*($E111/365))</f>
        <v>6.5</v>
      </c>
      <c r="U191" s="8">
        <f>(Q110*($E110/365))+(Q109*($E109/365))+(Q111*($E111/365))</f>
        <v>0</v>
      </c>
      <c r="V191" s="12"/>
      <c r="W191" s="7">
        <f t="shared" si="25"/>
        <v>68.2</v>
      </c>
    </row>
    <row r="192" spans="1:23" x14ac:dyDescent="0.15">
      <c r="A192" s="1">
        <v>2008</v>
      </c>
      <c r="B192" s="8">
        <f>(K113*($E113/366))+(K112*($E112/366))+(K114*($E114/366))</f>
        <v>87.14329083181542</v>
      </c>
      <c r="C192" s="8">
        <f>(L113*($E113/366))+(L112*($E112/366))+(L114*($E114/366))</f>
        <v>5.5555555555555554</v>
      </c>
      <c r="D192" s="8">
        <f>(M113*($E113/366))+(M112*($E112/366))+(M114*($E114/366))</f>
        <v>0</v>
      </c>
      <c r="E192" s="48">
        <f t="shared" si="23"/>
        <v>92.698846387370978</v>
      </c>
      <c r="G192" s="1">
        <v>2008</v>
      </c>
      <c r="H192" s="809">
        <f>(O112/$R112*100*($E112/366))+(O113/$R113*100*($E113/366))+(O114/$R114*100*($E114/366))</f>
        <v>90.469208211143695</v>
      </c>
      <c r="I192" s="809"/>
      <c r="J192" s="809">
        <f>(P112/$R112*100*($E112/366))+(P113/$R113*100*($E113/366))+(P114/$R114*100*($E114/366))</f>
        <v>9.5307917888563054</v>
      </c>
      <c r="K192" s="809"/>
      <c r="L192" s="809">
        <f>(Q112/$R112*100*($E112/366))+(Q113/$R113*100*($E113/366))+(Q114/$R114*100*($E114/366))</f>
        <v>0</v>
      </c>
      <c r="M192" s="809"/>
      <c r="N192" s="781">
        <f t="shared" si="24"/>
        <v>100</v>
      </c>
      <c r="O192" s="781"/>
      <c r="R192" s="1">
        <v>2008</v>
      </c>
      <c r="S192" s="8">
        <f>(O113*($E113/366))+(O112*($E112/366))+(O114*($E114/366))</f>
        <v>61.7</v>
      </c>
      <c r="T192" s="8">
        <f>(P113*($E113/366))+(P112*($E112/366))+(P114*($E114/366))</f>
        <v>6.5</v>
      </c>
      <c r="U192" s="8">
        <f>(Q113*($E113/366))+(Q112*($E112/366))+(Q114*($E114/366))</f>
        <v>0</v>
      </c>
      <c r="V192" s="12"/>
      <c r="W192" s="7">
        <f t="shared" si="25"/>
        <v>68.2</v>
      </c>
    </row>
    <row r="193" spans="1:46" x14ac:dyDescent="0.15">
      <c r="A193" s="1">
        <v>2009</v>
      </c>
      <c r="B193" s="8">
        <f>(K115*($E115/365))+(K116*($E116/365))</f>
        <v>68.386605783866059</v>
      </c>
      <c r="C193" s="8">
        <f>(L115*($E115/365))+(L116*($E116/365))</f>
        <v>29.984779299847794</v>
      </c>
      <c r="D193" s="8">
        <f>(M115*($E115/365))+(M116*($E116/365))</f>
        <v>1.6286149162861492</v>
      </c>
      <c r="E193" s="48">
        <f t="shared" si="23"/>
        <v>100</v>
      </c>
      <c r="G193" s="1">
        <v>2009</v>
      </c>
      <c r="H193" s="809">
        <f>(O115/$R115*100*($E115/365))+(O116/$R116*100*($E116/365))</f>
        <v>64.213392596330394</v>
      </c>
      <c r="I193" s="809"/>
      <c r="J193" s="809">
        <f>(P115/$R115*100*($E115/365))+(P116/$R116*100*($E116/365))</f>
        <v>35.123370559933171</v>
      </c>
      <c r="K193" s="809"/>
      <c r="L193" s="809">
        <f>(Q115/$R115*100*($E115/365))+(Q116/$R116*100*($E116/365))</f>
        <v>0.66323684373644087</v>
      </c>
      <c r="M193" s="809"/>
      <c r="N193" s="781">
        <f t="shared" si="24"/>
        <v>100.00000000000001</v>
      </c>
      <c r="O193" s="781"/>
      <c r="R193" s="1">
        <v>2009</v>
      </c>
      <c r="S193" s="8">
        <f>(O115*($E115/365))+(O116*($E116/365))</f>
        <v>43.788493150684936</v>
      </c>
      <c r="T193" s="8">
        <f>(P115*($E115/365))+(P116*($E116/365))</f>
        <v>23.414794520547947</v>
      </c>
      <c r="U193" s="8">
        <f>(Q115*($E115/365))+(Q116*($E116/365))</f>
        <v>0.4397260273972603</v>
      </c>
      <c r="V193" s="12"/>
      <c r="W193" s="7">
        <f t="shared" si="25"/>
        <v>67.643013698630142</v>
      </c>
    </row>
    <row r="194" spans="1:46" x14ac:dyDescent="0.15">
      <c r="A194" s="1">
        <v>2010</v>
      </c>
      <c r="B194" s="8">
        <f>(K117*($E117/365))+(K118*($E118/365))+(K119*($E119/365))+(K120*($E120/365))</f>
        <v>5.5654042438893363</v>
      </c>
      <c r="C194" s="8">
        <f>(L117*($E117/365))+(L118*($E118/365))+(L119*($E119/365))+(L120*($E120/365))</f>
        <v>90.583758617602285</v>
      </c>
      <c r="D194" s="8">
        <f>(M117*($E117/365))+(M118*($E118/365))+(M119*($E119/365))+(M120*($E120/365))</f>
        <v>2.237442922374429</v>
      </c>
      <c r="E194" s="48">
        <f t="shared" si="23"/>
        <v>98.386605783866045</v>
      </c>
      <c r="G194" s="1">
        <v>2010</v>
      </c>
      <c r="H194" s="809">
        <f>(O117/$R117*100*($E117/365))+(O118/$R118*100*($E118/365))+(O119/$R119*100*($E119/365))+(O120/$R120*100*($E120/365))</f>
        <v>0.91748911249314147</v>
      </c>
      <c r="I194" s="809"/>
      <c r="J194" s="809">
        <f>(P117/$R117*100*($E117/365))+(P118/$R118*100*($E118/365))+(P119/$R119*100*($E119/365))+(P120/$R120*100*($E120/365))</f>
        <v>98.171335036766152</v>
      </c>
      <c r="K194" s="809"/>
      <c r="L194" s="809">
        <f>(Q117/$R117*100*($E117/365))+(Q118/$R118*100*($E118/365))+(Q119/$R119*100*($E119/365))+(Q120/$R120*100*($E120/365))</f>
        <v>0.91117585074071783</v>
      </c>
      <c r="M194" s="809"/>
      <c r="N194" s="781">
        <f t="shared" si="24"/>
        <v>100.00000000000001</v>
      </c>
      <c r="O194" s="781"/>
      <c r="R194" s="1">
        <v>2010</v>
      </c>
      <c r="S194" s="8">
        <f>(O117*($E117/365))+(O118*($E118/365))+(O119*($E119/365))+(O120*($E120/365))</f>
        <v>0.59999999999999987</v>
      </c>
      <c r="T194" s="8">
        <f>(P117*($E117/365))+(P118*($E118/365))+(P119*($E119/365))+(P120*($E120/365))</f>
        <v>64.2</v>
      </c>
      <c r="U194" s="8">
        <f>(Q117*($E117/365))+(Q118*($E118/365))+(Q119*($E119/365))+(Q120*($E120/365))</f>
        <v>0.60410958904109591</v>
      </c>
      <c r="V194" s="12"/>
      <c r="W194" s="7">
        <f t="shared" si="25"/>
        <v>65.404109589041099</v>
      </c>
    </row>
    <row r="195" spans="1:46" x14ac:dyDescent="0.15">
      <c r="A195" s="1">
        <v>2011</v>
      </c>
      <c r="B195" s="8">
        <f>(K121*($E121/365))+(K122*($E122/365))+(K123*($E123/365))</f>
        <v>5.5555555555555554</v>
      </c>
      <c r="C195" s="8">
        <f>(L121*($E121/365))+(L122*($E122/365))+(L123*($E123/365))</f>
        <v>87.214611872146122</v>
      </c>
      <c r="D195" s="8">
        <f>(M121*($E121/365))+(M122*($E122/365))+(M123*($E123/365))</f>
        <v>0</v>
      </c>
      <c r="E195" s="48">
        <f t="shared" si="23"/>
        <v>92.770167427701679</v>
      </c>
      <c r="G195" s="1">
        <v>2011</v>
      </c>
      <c r="H195" s="809">
        <f>(O121/$R121*100*($E121/365))+(O122/$R122*100*($E122/365))+(O123/$R123*100*($E123/365))</f>
        <v>0.92592592592592582</v>
      </c>
      <c r="I195" s="809"/>
      <c r="J195" s="809">
        <f>(P121/$R121*100*($E121/365))+(P122/$R122*100*($E122/365))+(P123/$R123*100*($E123/365))</f>
        <v>99.074074074074076</v>
      </c>
      <c r="K195" s="809"/>
      <c r="L195" s="809">
        <f>(Q121/$R121*100*($E121/365))+(Q122/$R122*100*($E122/365))+(Q123/$R123*100*($E123/365))</f>
        <v>0</v>
      </c>
      <c r="M195" s="809"/>
      <c r="N195" s="781">
        <f t="shared" si="24"/>
        <v>100</v>
      </c>
      <c r="O195" s="781"/>
      <c r="R195" s="1">
        <v>2011</v>
      </c>
      <c r="S195" s="8">
        <f>(O121*($E121/365))+(O122*($E122/365))+(O123*($E123/365))</f>
        <v>0.6</v>
      </c>
      <c r="T195" s="8">
        <f>(P121*($E121/365))+(P122*($E122/365))+(P123*($E123/365))</f>
        <v>64.2</v>
      </c>
      <c r="U195" s="8">
        <f>(Q121*($E121/365))+(Q122*($E122/365))+(Q123*($E123/365))</f>
        <v>0</v>
      </c>
      <c r="V195" s="12"/>
      <c r="W195" s="7">
        <f t="shared" si="25"/>
        <v>64.8</v>
      </c>
    </row>
    <row r="196" spans="1:46" x14ac:dyDescent="0.15">
      <c r="A196" s="1">
        <v>2012</v>
      </c>
      <c r="B196" s="8">
        <f>(K124*($E124/366))+(K125*($E125/366))+(K126*($E126/366))+(K127*($E127/366))+(K128*($E128/366))+(K129*($E129/366))</f>
        <v>6.4375419422874121</v>
      </c>
      <c r="C196" s="8">
        <f>(L124*($E124/366))+(L125*($E125/366))+(L126*($E126/366))+(L127*($E127/366))+(L128*($E128/366))+(L129*($E129/366))</f>
        <v>90.597737513181855</v>
      </c>
      <c r="D196" s="8">
        <f>(M124*($E124/366))+(M125*($E125/366))+(M126*($E126/366))+(M127*($E127/366))+(M128*($E128/366))+(M129*($E129/366))</f>
        <v>0</v>
      </c>
      <c r="E196" s="48">
        <f t="shared" si="23"/>
        <v>97.035279455469265</v>
      </c>
      <c r="G196" s="1">
        <v>2012</v>
      </c>
      <c r="H196" s="809">
        <f>(O124/$R124*100*($E124/366))+(O125/$R125*100*($E125/366))+(O126/$R126*100*($E126/366))+(O127/$R127*100*($E127/366))+(O128/$R128*100*($E128/366))+(O129/$R129*100*($E129/366))</f>
        <v>2.3929268017473442</v>
      </c>
      <c r="I196" s="809"/>
      <c r="J196" s="809">
        <f>(P124/$R124*100*($E124/366))+(P125/$R125*100*($E125/366))+(P126/$R126*100*($E126/366))+(P127/$R127*100*($E127/366))+(P128/$R128*100*($E128/366))+(P129/$R129*100*($E129/366))</f>
        <v>97.607073198252664</v>
      </c>
      <c r="K196" s="809"/>
      <c r="L196" s="809">
        <f>(Q124/$R124*100*($E124/366))+(Q125/$R125*100*($E125/366))+(Q126/$R126*100*($E126/366))+(Q127/$R127*100*($E127/366))+(Q128/$R128*100*($E128/366))+(Q129/$R129*100*($E129/366))</f>
        <v>0</v>
      </c>
      <c r="M196" s="809"/>
      <c r="N196" s="781">
        <f t="shared" si="24"/>
        <v>100.00000000000001</v>
      </c>
      <c r="O196" s="781"/>
      <c r="R196" s="1">
        <v>2012</v>
      </c>
      <c r="S196" s="8">
        <f>(O124*($E124/366))+(O125*($E125/366))+(O126*($E126/366))+(O127*($E127/366))+(O128*($E128/366))+(O129*($E129/366))</f>
        <v>1.5950819672131147</v>
      </c>
      <c r="T196" s="8">
        <f>(P124*($E124/366))+(P125*($E125/366))+(P126*($E126/366))+(P127*($E127/366))+(P128*($E128/366))+(P129*($E129/366))</f>
        <v>63.254098360655732</v>
      </c>
      <c r="U196" s="8">
        <f>(Q124*($E124/366))+(Q125*($E125/366))+(Q126*($E126/366))+(Q127*($E127/366))+(Q128*($E128/366))+(Q129*($E129/366))</f>
        <v>0</v>
      </c>
      <c r="V196" s="12"/>
      <c r="W196" s="7">
        <f t="shared" si="25"/>
        <v>64.849180327868851</v>
      </c>
    </row>
    <row r="197" spans="1:46" x14ac:dyDescent="0.15">
      <c r="A197" s="1">
        <v>2013</v>
      </c>
      <c r="B197" s="8">
        <f>(K130*($E130/365))+(K131*($E131/365))</f>
        <v>94.73684210526315</v>
      </c>
      <c r="C197" s="8">
        <f>(L130*($E130/365))+(L131*($E131/365))</f>
        <v>5.2631578947368416</v>
      </c>
      <c r="D197" s="8">
        <f>(M130*($E130/365))+(M131*($E131/365))</f>
        <v>0</v>
      </c>
      <c r="E197" s="304">
        <f t="shared" si="23"/>
        <v>99.999999999999986</v>
      </c>
      <c r="G197" s="1">
        <v>2013</v>
      </c>
      <c r="H197" s="809">
        <f>(O130/$R130*100*($E130/365))+(O131/$R131*100*($E131/365))</f>
        <v>90.412979351032448</v>
      </c>
      <c r="I197" s="809"/>
      <c r="J197" s="809">
        <f>(P130/$R130*100*($E130/365))+(P131/$R131*100*($E131/365))</f>
        <v>9.5870206489675525</v>
      </c>
      <c r="K197" s="809"/>
      <c r="L197" s="809">
        <f>(Q130/$R130*100*($E130/365))+(Q131/$R131*100*($E131/365))</f>
        <v>0</v>
      </c>
      <c r="M197" s="809"/>
      <c r="N197" s="781">
        <f>H197+J197+L197</f>
        <v>100</v>
      </c>
      <c r="O197" s="781"/>
      <c r="R197" s="1">
        <v>2013</v>
      </c>
      <c r="S197" s="8">
        <f>(O130*($E130/365))+(O131*($E131/365))</f>
        <v>61.3</v>
      </c>
      <c r="T197" s="8">
        <f>(P130*($E130/365))+(P131*($E131/365))</f>
        <v>6.5</v>
      </c>
      <c r="U197" s="8">
        <f>(Q130*($E130/365))+(Q131*($E131/365))</f>
        <v>0</v>
      </c>
      <c r="V197" s="12"/>
      <c r="W197" s="7">
        <f t="shared" si="25"/>
        <v>67.8</v>
      </c>
    </row>
    <row r="198" spans="1:46" x14ac:dyDescent="0.15">
      <c r="A198" s="1">
        <v>2014</v>
      </c>
      <c r="B198" s="8">
        <f>(K132*($E132/365))+(K133*($E133/365))</f>
        <v>94.73684210526315</v>
      </c>
      <c r="C198" s="8">
        <f>(L132*($E132/365))+(L133*($E133/365))</f>
        <v>5.2631578947368416</v>
      </c>
      <c r="D198" s="8">
        <f>(M132*($E132/365))+(M133*($E133/365))</f>
        <v>0</v>
      </c>
      <c r="E198" s="554">
        <f>B198+C198+D198</f>
        <v>99.999999999999986</v>
      </c>
      <c r="G198" s="1">
        <v>2014</v>
      </c>
      <c r="H198" s="809">
        <f>(O132/$R132*100*($E132/365))+(O133/$R133*100*($E133/365))</f>
        <v>90.386329508642049</v>
      </c>
      <c r="I198" s="809"/>
      <c r="J198" s="809">
        <f>(P132/$R132*100*($E132/365))+(P133/$R133*100*($E133/365))</f>
        <v>9.6136704913579454</v>
      </c>
      <c r="K198" s="809"/>
      <c r="L198" s="809">
        <f>(Q132/$R132*100*($E132/365))+(Q133/$R133*100*($E133/365))</f>
        <v>0</v>
      </c>
      <c r="M198" s="809"/>
      <c r="N198" s="781">
        <f>H198+J198+L198</f>
        <v>100</v>
      </c>
      <c r="O198" s="781"/>
      <c r="R198" s="1">
        <v>2014</v>
      </c>
      <c r="S198" s="8">
        <f>(O132*($E132/365))+(O133*($E133/365))</f>
        <v>61.295616438356156</v>
      </c>
      <c r="T198" s="8">
        <f>(P132*($E132/365))+(P133*($E133/365))</f>
        <v>6.5197260273972608</v>
      </c>
      <c r="U198" s="8">
        <f>(Q132*($E132/365))+(Q133*($E133/365))</f>
        <v>0</v>
      </c>
      <c r="V198" s="12"/>
      <c r="W198" s="7">
        <f>S198+T198+U198</f>
        <v>67.815342465753417</v>
      </c>
    </row>
    <row r="199" spans="1:46" s="745" customFormat="1" x14ac:dyDescent="0.15">
      <c r="A199" s="745">
        <v>2015</v>
      </c>
      <c r="B199" s="739">
        <f>(K134*($E134/365))+(K135*($E135/365))</f>
        <v>94.798846431146359</v>
      </c>
      <c r="C199" s="739">
        <f>(L134*($E134/365))+(L135*($E135/365))</f>
        <v>5.2011535688536403</v>
      </c>
      <c r="D199" s="739">
        <f>(M134*($E134/365))+(M135*($E135/365))</f>
        <v>0</v>
      </c>
      <c r="E199" s="740">
        <f>B199+C199+D199</f>
        <v>100</v>
      </c>
      <c r="G199" s="745">
        <v>2015</v>
      </c>
      <c r="H199" s="809">
        <f>(O134/$R134*100*($E134/365))+(O135/$R135*100*($E135/365))</f>
        <v>89.197080291970806</v>
      </c>
      <c r="I199" s="809"/>
      <c r="J199" s="809">
        <f>(P134/$R134*100*($E134/365))+(P135/$R135*100*($E135/365))</f>
        <v>10.802919708029197</v>
      </c>
      <c r="K199" s="809"/>
      <c r="L199" s="809">
        <f>(Q134/$R134*100*($E134/365))+(Q135/$R135*100*($E135/365))</f>
        <v>0</v>
      </c>
      <c r="M199" s="809"/>
      <c r="N199" s="781">
        <f>H199+J199+L199</f>
        <v>100</v>
      </c>
      <c r="O199" s="781"/>
      <c r="R199" s="745">
        <v>2015</v>
      </c>
      <c r="S199" s="739">
        <f>(O134*($E134/365))+(O135*($E135/365))</f>
        <v>61.099999999999994</v>
      </c>
      <c r="T199" s="739">
        <f>(P134*($E134/365))+(P135*($E135/365))</f>
        <v>7.4</v>
      </c>
      <c r="U199" s="739">
        <f>(Q134*($E134/365))+(Q135*($E135/365))</f>
        <v>0</v>
      </c>
      <c r="V199" s="12"/>
      <c r="W199" s="744">
        <f>S199+T199+U199</f>
        <v>68.5</v>
      </c>
      <c r="AT199" s="37"/>
    </row>
    <row r="200" spans="1:46" s="745" customFormat="1" x14ac:dyDescent="0.15">
      <c r="AT200" s="37"/>
    </row>
  </sheetData>
  <mergeCells count="384">
    <mergeCell ref="N172:O172"/>
    <mergeCell ref="N173:O173"/>
    <mergeCell ref="N174:O174"/>
    <mergeCell ref="H198:I198"/>
    <mergeCell ref="J198:K198"/>
    <mergeCell ref="L198:M198"/>
    <mergeCell ref="N198:O198"/>
    <mergeCell ref="N190:O190"/>
    <mergeCell ref="N191:O191"/>
    <mergeCell ref="N192:O192"/>
    <mergeCell ref="N181:O181"/>
    <mergeCell ref="N178:O178"/>
    <mergeCell ref="N179:O179"/>
    <mergeCell ref="L191:M191"/>
    <mergeCell ref="L192:M192"/>
    <mergeCell ref="L193:M193"/>
    <mergeCell ref="L194:M194"/>
    <mergeCell ref="L185:M185"/>
    <mergeCell ref="L186:M186"/>
    <mergeCell ref="L187:M187"/>
    <mergeCell ref="L188:M188"/>
    <mergeCell ref="L189:M189"/>
    <mergeCell ref="N180:O180"/>
    <mergeCell ref="L190:M190"/>
    <mergeCell ref="AT4:AW4"/>
    <mergeCell ref="AX4:BA4"/>
    <mergeCell ref="C95:D95"/>
    <mergeCell ref="H196:I196"/>
    <mergeCell ref="J196:K196"/>
    <mergeCell ref="L196:M196"/>
    <mergeCell ref="N196:O196"/>
    <mergeCell ref="C127:D127"/>
    <mergeCell ref="C128:D128"/>
    <mergeCell ref="C129:D129"/>
    <mergeCell ref="R140:W140"/>
    <mergeCell ref="H195:I195"/>
    <mergeCell ref="J195:K195"/>
    <mergeCell ref="L195:M195"/>
    <mergeCell ref="N195:O195"/>
    <mergeCell ref="N193:O193"/>
    <mergeCell ref="N194:O194"/>
    <mergeCell ref="N187:O187"/>
    <mergeCell ref="N188:O188"/>
    <mergeCell ref="N189:O189"/>
    <mergeCell ref="N186:O186"/>
    <mergeCell ref="N175:O175"/>
    <mergeCell ref="N176:O176"/>
    <mergeCell ref="N177:O177"/>
    <mergeCell ref="N182:O182"/>
    <mergeCell ref="N183:O183"/>
    <mergeCell ref="N184:O184"/>
    <mergeCell ref="N185:O185"/>
    <mergeCell ref="L178:M178"/>
    <mergeCell ref="L179:M179"/>
    <mergeCell ref="L180:M180"/>
    <mergeCell ref="L181:M181"/>
    <mergeCell ref="L182:M182"/>
    <mergeCell ref="L183:M183"/>
    <mergeCell ref="L172:M172"/>
    <mergeCell ref="L173:M173"/>
    <mergeCell ref="L174:M174"/>
    <mergeCell ref="L175:M175"/>
    <mergeCell ref="L176:M176"/>
    <mergeCell ref="L177:M177"/>
    <mergeCell ref="J187:K187"/>
    <mergeCell ref="J188:K188"/>
    <mergeCell ref="J189:K189"/>
    <mergeCell ref="J181:K181"/>
    <mergeCell ref="J182:K182"/>
    <mergeCell ref="J183:K183"/>
    <mergeCell ref="J184:K184"/>
    <mergeCell ref="J185:K185"/>
    <mergeCell ref="J186:K186"/>
    <mergeCell ref="J175:K175"/>
    <mergeCell ref="J176:K176"/>
    <mergeCell ref="L184:M184"/>
    <mergeCell ref="J172:K172"/>
    <mergeCell ref="J173:K173"/>
    <mergeCell ref="J174:K174"/>
    <mergeCell ref="J180:K180"/>
    <mergeCell ref="H190:I190"/>
    <mergeCell ref="H191:I191"/>
    <mergeCell ref="H192:I192"/>
    <mergeCell ref="H193:I193"/>
    <mergeCell ref="H194:I194"/>
    <mergeCell ref="H188:I188"/>
    <mergeCell ref="H189:I189"/>
    <mergeCell ref="J193:K193"/>
    <mergeCell ref="J194:K194"/>
    <mergeCell ref="J190:K190"/>
    <mergeCell ref="J191:K191"/>
    <mergeCell ref="J192:K192"/>
    <mergeCell ref="H184:I184"/>
    <mergeCell ref="H185:I185"/>
    <mergeCell ref="H186:I186"/>
    <mergeCell ref="H187:I187"/>
    <mergeCell ref="H178:I178"/>
    <mergeCell ref="H179:I179"/>
    <mergeCell ref="H180:I180"/>
    <mergeCell ref="H181:I181"/>
    <mergeCell ref="H182:I182"/>
    <mergeCell ref="H183:I183"/>
    <mergeCell ref="H172:I172"/>
    <mergeCell ref="H173:I173"/>
    <mergeCell ref="H174:I174"/>
    <mergeCell ref="H175:I175"/>
    <mergeCell ref="H176:I176"/>
    <mergeCell ref="H177:I177"/>
    <mergeCell ref="J177:K177"/>
    <mergeCell ref="J178:K178"/>
    <mergeCell ref="J179:K179"/>
    <mergeCell ref="H169:I169"/>
    <mergeCell ref="J169:K169"/>
    <mergeCell ref="L169:M169"/>
    <mergeCell ref="N169:O169"/>
    <mergeCell ref="H170:I170"/>
    <mergeCell ref="H171:I171"/>
    <mergeCell ref="N170:O170"/>
    <mergeCell ref="N171:O171"/>
    <mergeCell ref="H167:I167"/>
    <mergeCell ref="J167:K167"/>
    <mergeCell ref="L167:M167"/>
    <mergeCell ref="N167:O167"/>
    <mergeCell ref="H168:I168"/>
    <mergeCell ref="J168:K168"/>
    <mergeCell ref="L168:M168"/>
    <mergeCell ref="N168:O168"/>
    <mergeCell ref="J170:K170"/>
    <mergeCell ref="J171:K171"/>
    <mergeCell ref="L170:M170"/>
    <mergeCell ref="L171:M171"/>
    <mergeCell ref="H165:I165"/>
    <mergeCell ref="J165:K165"/>
    <mergeCell ref="L165:M165"/>
    <mergeCell ref="N165:O165"/>
    <mergeCell ref="H166:I166"/>
    <mergeCell ref="J166:K166"/>
    <mergeCell ref="L166:M166"/>
    <mergeCell ref="N166:O166"/>
    <mergeCell ref="H163:I163"/>
    <mergeCell ref="J163:K163"/>
    <mergeCell ref="L163:M163"/>
    <mergeCell ref="N163:O163"/>
    <mergeCell ref="H164:I164"/>
    <mergeCell ref="J164:K164"/>
    <mergeCell ref="L164:M164"/>
    <mergeCell ref="N164:O164"/>
    <mergeCell ref="H161:I161"/>
    <mergeCell ref="J161:K161"/>
    <mergeCell ref="L161:M161"/>
    <mergeCell ref="N161:O161"/>
    <mergeCell ref="H162:I162"/>
    <mergeCell ref="J162:K162"/>
    <mergeCell ref="L162:M162"/>
    <mergeCell ref="N162:O162"/>
    <mergeCell ref="H159:I159"/>
    <mergeCell ref="J159:K159"/>
    <mergeCell ref="L159:M159"/>
    <mergeCell ref="N159:O159"/>
    <mergeCell ref="H160:I160"/>
    <mergeCell ref="J160:K160"/>
    <mergeCell ref="L160:M160"/>
    <mergeCell ref="N160:O160"/>
    <mergeCell ref="H157:I157"/>
    <mergeCell ref="J157:K157"/>
    <mergeCell ref="L157:M157"/>
    <mergeCell ref="N157:O157"/>
    <mergeCell ref="H158:I158"/>
    <mergeCell ref="J158:K158"/>
    <mergeCell ref="L158:M158"/>
    <mergeCell ref="N158:O158"/>
    <mergeCell ref="H155:I155"/>
    <mergeCell ref="J155:K155"/>
    <mergeCell ref="L155:M155"/>
    <mergeCell ref="N155:O155"/>
    <mergeCell ref="H156:I156"/>
    <mergeCell ref="J156:K156"/>
    <mergeCell ref="L156:M156"/>
    <mergeCell ref="N156:O156"/>
    <mergeCell ref="H153:I153"/>
    <mergeCell ref="J153:K153"/>
    <mergeCell ref="L153:M153"/>
    <mergeCell ref="N153:O153"/>
    <mergeCell ref="H154:I154"/>
    <mergeCell ref="J154:K154"/>
    <mergeCell ref="L154:M154"/>
    <mergeCell ref="N154:O154"/>
    <mergeCell ref="H151:I151"/>
    <mergeCell ref="J151:K151"/>
    <mergeCell ref="L151:M151"/>
    <mergeCell ref="N151:O151"/>
    <mergeCell ref="H152:I152"/>
    <mergeCell ref="J152:K152"/>
    <mergeCell ref="L152:M152"/>
    <mergeCell ref="N152:O152"/>
    <mergeCell ref="H149:I149"/>
    <mergeCell ref="J149:K149"/>
    <mergeCell ref="L149:M149"/>
    <mergeCell ref="N149:O149"/>
    <mergeCell ref="H150:I150"/>
    <mergeCell ref="J150:K150"/>
    <mergeCell ref="L150:M150"/>
    <mergeCell ref="N150:O150"/>
    <mergeCell ref="H147:I147"/>
    <mergeCell ref="J147:K147"/>
    <mergeCell ref="L147:M147"/>
    <mergeCell ref="N147:O147"/>
    <mergeCell ref="H148:I148"/>
    <mergeCell ref="J148:K148"/>
    <mergeCell ref="L148:M148"/>
    <mergeCell ref="N148:O148"/>
    <mergeCell ref="G3:M3"/>
    <mergeCell ref="O3:Q3"/>
    <mergeCell ref="C9:D9"/>
    <mergeCell ref="C10:D10"/>
    <mergeCell ref="A4:A5"/>
    <mergeCell ref="B4:B5"/>
    <mergeCell ref="C4:D5"/>
    <mergeCell ref="E4:E5"/>
    <mergeCell ref="F4:F5"/>
    <mergeCell ref="G4:J4"/>
    <mergeCell ref="Z4:AC4"/>
    <mergeCell ref="AD4:AG4"/>
    <mergeCell ref="AH4:AK4"/>
    <mergeCell ref="AL4:AO4"/>
    <mergeCell ref="U4:U5"/>
    <mergeCell ref="V4:Y4"/>
    <mergeCell ref="C19:D19"/>
    <mergeCell ref="C20:D20"/>
    <mergeCell ref="AP4:AS4"/>
    <mergeCell ref="C8:D8"/>
    <mergeCell ref="K4:N4"/>
    <mergeCell ref="O4:R4"/>
    <mergeCell ref="S4:S5"/>
    <mergeCell ref="T4:T5"/>
    <mergeCell ref="C11:D11"/>
    <mergeCell ref="C12:D12"/>
    <mergeCell ref="C13:D13"/>
    <mergeCell ref="C14:D14"/>
    <mergeCell ref="C15:D15"/>
    <mergeCell ref="C16:D16"/>
    <mergeCell ref="C17:D17"/>
    <mergeCell ref="C18:D18"/>
    <mergeCell ref="C7:D7"/>
    <mergeCell ref="C6:D6"/>
    <mergeCell ref="C21:D21"/>
    <mergeCell ref="C22:D22"/>
    <mergeCell ref="C23:D23"/>
    <mergeCell ref="C24:D24"/>
    <mergeCell ref="C27:D27"/>
    <mergeCell ref="C28:D28"/>
    <mergeCell ref="C25:D25"/>
    <mergeCell ref="C26:D26"/>
    <mergeCell ref="C29:D29"/>
    <mergeCell ref="C30:D30"/>
    <mergeCell ref="C33:D33"/>
    <mergeCell ref="C34:D34"/>
    <mergeCell ref="C31:D31"/>
    <mergeCell ref="C32:D32"/>
    <mergeCell ref="C35:D35"/>
    <mergeCell ref="C36:D36"/>
    <mergeCell ref="C39:D39"/>
    <mergeCell ref="C40:D40"/>
    <mergeCell ref="C37:D37"/>
    <mergeCell ref="C38:D38"/>
    <mergeCell ref="C41:D41"/>
    <mergeCell ref="C42:D42"/>
    <mergeCell ref="C45:D45"/>
    <mergeCell ref="C46:D46"/>
    <mergeCell ref="C43:D43"/>
    <mergeCell ref="C44:D44"/>
    <mergeCell ref="C47:D47"/>
    <mergeCell ref="C48:D48"/>
    <mergeCell ref="C51:D51"/>
    <mergeCell ref="C52:D52"/>
    <mergeCell ref="C49:D49"/>
    <mergeCell ref="C50:D50"/>
    <mergeCell ref="C53:D53"/>
    <mergeCell ref="C54:D54"/>
    <mergeCell ref="C57:D57"/>
    <mergeCell ref="C58:D58"/>
    <mergeCell ref="C55:D55"/>
    <mergeCell ref="C56:D56"/>
    <mergeCell ref="C59:D59"/>
    <mergeCell ref="C60:D60"/>
    <mergeCell ref="C63:D63"/>
    <mergeCell ref="C64:D64"/>
    <mergeCell ref="C61:D61"/>
    <mergeCell ref="C62:D62"/>
    <mergeCell ref="C65:D65"/>
    <mergeCell ref="C66:D66"/>
    <mergeCell ref="C69:D69"/>
    <mergeCell ref="C70:D70"/>
    <mergeCell ref="C67:D67"/>
    <mergeCell ref="C68:D68"/>
    <mergeCell ref="C71:D71"/>
    <mergeCell ref="C72:D72"/>
    <mergeCell ref="C75:D75"/>
    <mergeCell ref="C76:D76"/>
    <mergeCell ref="C73:D73"/>
    <mergeCell ref="C74:D74"/>
    <mergeCell ref="C77:D77"/>
    <mergeCell ref="C78:D78"/>
    <mergeCell ref="C81:D81"/>
    <mergeCell ref="C82:D82"/>
    <mergeCell ref="C79:D79"/>
    <mergeCell ref="C80:D80"/>
    <mergeCell ref="C83:D83"/>
    <mergeCell ref="C84:D84"/>
    <mergeCell ref="C87:D87"/>
    <mergeCell ref="C88:D88"/>
    <mergeCell ref="C85:D85"/>
    <mergeCell ref="C86:D86"/>
    <mergeCell ref="C89:D89"/>
    <mergeCell ref="C90:D90"/>
    <mergeCell ref="C93:D93"/>
    <mergeCell ref="C94:D94"/>
    <mergeCell ref="C91:D91"/>
    <mergeCell ref="C92:D92"/>
    <mergeCell ref="C96:D96"/>
    <mergeCell ref="C97:D97"/>
    <mergeCell ref="C100:D100"/>
    <mergeCell ref="C101:D101"/>
    <mergeCell ref="C98:D98"/>
    <mergeCell ref="C99:D99"/>
    <mergeCell ref="C111:D111"/>
    <mergeCell ref="C102:D102"/>
    <mergeCell ref="C103:D103"/>
    <mergeCell ref="C106:D106"/>
    <mergeCell ref="C107:D107"/>
    <mergeCell ref="C104:D104"/>
    <mergeCell ref="C105:D105"/>
    <mergeCell ref="C114:D114"/>
    <mergeCell ref="C130:D130"/>
    <mergeCell ref="C115:D115"/>
    <mergeCell ref="C124:D124"/>
    <mergeCell ref="C125:D125"/>
    <mergeCell ref="C116:D116"/>
    <mergeCell ref="C117:D117"/>
    <mergeCell ref="C108:D108"/>
    <mergeCell ref="C109:D109"/>
    <mergeCell ref="C112:D112"/>
    <mergeCell ref="C113:D113"/>
    <mergeCell ref="C110:D110"/>
    <mergeCell ref="J144:K144"/>
    <mergeCell ref="L144:M144"/>
    <mergeCell ref="N144:O144"/>
    <mergeCell ref="H143:I143"/>
    <mergeCell ref="C126:D126"/>
    <mergeCell ref="C118:D118"/>
    <mergeCell ref="C119:D119"/>
    <mergeCell ref="C120:D120"/>
    <mergeCell ref="C121:D121"/>
    <mergeCell ref="C122:D122"/>
    <mergeCell ref="C123:D123"/>
    <mergeCell ref="J143:K143"/>
    <mergeCell ref="C133:D133"/>
    <mergeCell ref="C132:D132"/>
    <mergeCell ref="C134:D134"/>
    <mergeCell ref="C135:D135"/>
    <mergeCell ref="H199:I199"/>
    <mergeCell ref="J199:K199"/>
    <mergeCell ref="L199:M199"/>
    <mergeCell ref="N199:O199"/>
    <mergeCell ref="C131:D131"/>
    <mergeCell ref="H197:I197"/>
    <mergeCell ref="J197:K197"/>
    <mergeCell ref="L197:M197"/>
    <mergeCell ref="N197:O197"/>
    <mergeCell ref="L143:M143"/>
    <mergeCell ref="N143:O143"/>
    <mergeCell ref="H142:I142"/>
    <mergeCell ref="J142:K142"/>
    <mergeCell ref="H145:I145"/>
    <mergeCell ref="J145:K145"/>
    <mergeCell ref="L145:M145"/>
    <mergeCell ref="N145:O145"/>
    <mergeCell ref="H146:I146"/>
    <mergeCell ref="J146:K146"/>
    <mergeCell ref="L146:M146"/>
    <mergeCell ref="N146:O146"/>
    <mergeCell ref="L142:M142"/>
    <mergeCell ref="N142:O142"/>
    <mergeCell ref="H144:I144"/>
  </mergeCells>
  <phoneticPr fontId="0" type="noConversion"/>
  <pageMargins left="0.78740157499999996" right="0.78740157499999996" top="0.984251969" bottom="0.984251969" header="0.4921259845" footer="0.4921259845"/>
  <pageSetup paperSize="9"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84"/>
  <sheetViews>
    <sheetView tabSelected="1" zoomScale="120" zoomScaleNormal="120" workbookViewId="0">
      <pane xSplit="1" ySplit="5" topLeftCell="B98" activePane="bottomRight" state="frozen"/>
      <selection pane="topRight" activeCell="B1" sqref="B1"/>
      <selection pane="bottomLeft" activeCell="A5" sqref="A5"/>
      <selection pane="bottomRight" activeCell="A115" sqref="A115:XFD115"/>
    </sheetView>
  </sheetViews>
  <sheetFormatPr baseColWidth="10" defaultColWidth="10.7109375" defaultRowHeight="9" x14ac:dyDescent="0.15"/>
  <cols>
    <col min="1" max="1" width="5.85546875" style="2" customWidth="1"/>
    <col min="2" max="6" width="7.85546875" style="2" customWidth="1"/>
    <col min="7" max="18" width="4.5703125" style="2" customWidth="1"/>
    <col min="19" max="21" width="7.85546875" style="2" customWidth="1"/>
    <col min="22" max="53" width="5.7109375" style="2" customWidth="1"/>
    <col min="54" max="16384" width="10.7109375" style="2"/>
  </cols>
  <sheetData>
    <row r="1" spans="1:53" ht="15" customHeight="1" x14ac:dyDescent="0.2">
      <c r="B1" s="22" t="s">
        <v>14</v>
      </c>
    </row>
    <row r="2" spans="1:53" ht="15" customHeight="1" x14ac:dyDescent="0.2">
      <c r="B2" s="22" t="s">
        <v>15</v>
      </c>
    </row>
    <row r="3" spans="1:53" x14ac:dyDescent="0.15">
      <c r="G3" s="814"/>
      <c r="H3" s="814"/>
      <c r="I3" s="814"/>
      <c r="J3" s="814"/>
      <c r="K3" s="814"/>
      <c r="L3" s="814"/>
      <c r="M3" s="814"/>
      <c r="O3" s="814"/>
      <c r="P3" s="814"/>
      <c r="Q3" s="814"/>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2" t="s">
        <v>23</v>
      </c>
      <c r="AU5" s="351" t="s">
        <v>24</v>
      </c>
      <c r="AV5" s="351" t="s">
        <v>25</v>
      </c>
      <c r="AW5" s="353" t="s">
        <v>1217</v>
      </c>
      <c r="AX5" s="351" t="s">
        <v>23</v>
      </c>
      <c r="AY5" s="351" t="s">
        <v>24</v>
      </c>
      <c r="AZ5" s="351" t="s">
        <v>25</v>
      </c>
      <c r="BA5" s="354" t="s">
        <v>1217</v>
      </c>
    </row>
    <row r="6" spans="1:53" s="257" customFormat="1" x14ac:dyDescent="0.15">
      <c r="A6" s="263">
        <v>1959</v>
      </c>
      <c r="B6" s="264"/>
      <c r="C6" s="815" t="s">
        <v>1246</v>
      </c>
      <c r="D6" s="815"/>
      <c r="E6" s="257">
        <v>196</v>
      </c>
      <c r="G6" s="265"/>
      <c r="H6" s="257">
        <v>7</v>
      </c>
      <c r="I6" s="257">
        <v>5</v>
      </c>
      <c r="J6" s="266">
        <v>12</v>
      </c>
      <c r="K6" s="247">
        <f>G6/J6*100</f>
        <v>0</v>
      </c>
      <c r="L6" s="248">
        <f>H6/J6*100</f>
        <v>58.333333333333336</v>
      </c>
      <c r="M6" s="248">
        <f>I6/J6*100</f>
        <v>41.666666666666671</v>
      </c>
      <c r="N6" s="249">
        <f>K6+L6+M6</f>
        <v>100</v>
      </c>
      <c r="O6" s="248"/>
      <c r="P6" s="248">
        <v>49.7</v>
      </c>
      <c r="Q6" s="248">
        <v>44.8</v>
      </c>
      <c r="R6" s="267">
        <f>P6+Q6</f>
        <v>94.5</v>
      </c>
      <c r="S6" s="268">
        <v>2</v>
      </c>
      <c r="T6" s="252"/>
      <c r="U6" s="269"/>
      <c r="V6" s="257" t="s">
        <v>16</v>
      </c>
      <c r="W6" s="257" t="s">
        <v>17</v>
      </c>
      <c r="X6" s="257" t="s">
        <v>18</v>
      </c>
      <c r="Y6" s="257">
        <v>49.7</v>
      </c>
      <c r="Z6" s="256" t="s">
        <v>19</v>
      </c>
      <c r="AA6" s="257" t="s">
        <v>20</v>
      </c>
      <c r="AB6" s="257" t="s">
        <v>12</v>
      </c>
      <c r="AC6" s="258">
        <v>44.8</v>
      </c>
      <c r="AD6" s="256"/>
      <c r="AG6" s="258"/>
      <c r="AL6" s="256"/>
      <c r="AO6" s="258"/>
      <c r="AS6" s="289"/>
      <c r="AW6" s="289"/>
      <c r="BA6" s="259"/>
    </row>
    <row r="7" spans="1:53" s="257" customFormat="1" x14ac:dyDescent="0.15">
      <c r="A7" s="263">
        <v>1959</v>
      </c>
      <c r="B7" s="264">
        <v>21747</v>
      </c>
      <c r="C7" s="815" t="s">
        <v>28</v>
      </c>
      <c r="D7" s="815"/>
      <c r="E7" s="257">
        <f xml:space="preserve"> 365-E6</f>
        <v>169</v>
      </c>
      <c r="F7" s="257">
        <v>1</v>
      </c>
      <c r="G7" s="265"/>
      <c r="H7" s="257">
        <v>6</v>
      </c>
      <c r="I7" s="257">
        <v>6</v>
      </c>
      <c r="J7" s="266">
        <v>12</v>
      </c>
      <c r="K7" s="247">
        <f>G7/J7*100</f>
        <v>0</v>
      </c>
      <c r="L7" s="248">
        <f>H7/J7*100</f>
        <v>50</v>
      </c>
      <c r="M7" s="248">
        <f>I7/J7*100</f>
        <v>50</v>
      </c>
      <c r="N7" s="249">
        <f>SUM(K7:M7)</f>
        <v>100</v>
      </c>
      <c r="O7" s="248"/>
      <c r="P7" s="248">
        <v>47.9</v>
      </c>
      <c r="Q7" s="248">
        <v>47.3</v>
      </c>
      <c r="R7" s="267">
        <f>SUM(O7:Q7)</f>
        <v>95.199999999999989</v>
      </c>
      <c r="S7" s="268">
        <v>2</v>
      </c>
      <c r="T7" s="252">
        <v>21680</v>
      </c>
      <c r="U7" s="269">
        <v>21747</v>
      </c>
      <c r="V7" s="257" t="s">
        <v>16</v>
      </c>
      <c r="W7" s="257" t="s">
        <v>17</v>
      </c>
      <c r="X7" s="257" t="s">
        <v>18</v>
      </c>
      <c r="Y7" s="257">
        <v>47.9</v>
      </c>
      <c r="Z7" s="256" t="s">
        <v>19</v>
      </c>
      <c r="AA7" s="257" t="s">
        <v>20</v>
      </c>
      <c r="AB7" s="257" t="s">
        <v>12</v>
      </c>
      <c r="AC7" s="258">
        <v>47.3</v>
      </c>
      <c r="AD7" s="256"/>
      <c r="AG7" s="258"/>
      <c r="AL7" s="256"/>
      <c r="AO7" s="258"/>
      <c r="AS7" s="258"/>
      <c r="AW7" s="258"/>
      <c r="BA7" s="259"/>
    </row>
    <row r="8" spans="1:53" s="73" customFormat="1" x14ac:dyDescent="0.15">
      <c r="A8" s="102">
        <v>1960</v>
      </c>
      <c r="B8" s="88"/>
      <c r="C8" s="811" t="s">
        <v>28</v>
      </c>
      <c r="D8" s="811"/>
      <c r="E8" s="73">
        <v>308</v>
      </c>
      <c r="G8" s="123"/>
      <c r="H8" s="73">
        <v>6</v>
      </c>
      <c r="I8" s="73">
        <v>6</v>
      </c>
      <c r="J8" s="124">
        <v>12</v>
      </c>
      <c r="K8" s="91">
        <f>G8/J8*100</f>
        <v>0</v>
      </c>
      <c r="L8" s="92">
        <f>H8/J8*100</f>
        <v>50</v>
      </c>
      <c r="M8" s="92">
        <f>I8/J8*100</f>
        <v>50</v>
      </c>
      <c r="N8" s="93">
        <f>SUM(K8:M8)</f>
        <v>100</v>
      </c>
      <c r="O8" s="92"/>
      <c r="P8" s="92">
        <v>47.9</v>
      </c>
      <c r="Q8" s="92">
        <v>47.3</v>
      </c>
      <c r="R8" s="125">
        <f>SUM(O8:Q8)</f>
        <v>95.199999999999989</v>
      </c>
      <c r="S8" s="126">
        <v>2</v>
      </c>
      <c r="T8" s="85"/>
      <c r="U8" s="127"/>
      <c r="V8" s="73" t="s">
        <v>16</v>
      </c>
      <c r="W8" s="73" t="s">
        <v>17</v>
      </c>
      <c r="X8" s="73" t="s">
        <v>18</v>
      </c>
      <c r="Y8" s="73">
        <v>47.9</v>
      </c>
      <c r="Z8" s="82" t="s">
        <v>19</v>
      </c>
      <c r="AA8" s="73" t="s">
        <v>20</v>
      </c>
      <c r="AB8" s="73" t="s">
        <v>12</v>
      </c>
      <c r="AC8" s="83">
        <v>47.3</v>
      </c>
      <c r="AD8" s="82"/>
      <c r="AG8" s="83"/>
      <c r="AL8" s="82"/>
      <c r="AO8" s="83"/>
      <c r="AS8" s="83"/>
      <c r="AW8" s="83"/>
      <c r="BA8" s="84"/>
    </row>
    <row r="9" spans="1:53" s="73" customFormat="1" x14ac:dyDescent="0.15">
      <c r="A9" s="102">
        <v>1960</v>
      </c>
      <c r="B9" s="128">
        <v>22224</v>
      </c>
      <c r="C9" s="811" t="s">
        <v>28</v>
      </c>
      <c r="D9" s="811"/>
      <c r="E9" s="73">
        <v>58</v>
      </c>
      <c r="F9" s="129">
        <v>0</v>
      </c>
      <c r="G9" s="123"/>
      <c r="H9" s="73">
        <v>6</v>
      </c>
      <c r="I9" s="73">
        <v>6</v>
      </c>
      <c r="J9" s="124">
        <v>12</v>
      </c>
      <c r="K9" s="91">
        <f t="shared" ref="K9:K15" si="0">G9/J9*100</f>
        <v>0</v>
      </c>
      <c r="L9" s="92">
        <f t="shared" ref="L9:L15" si="1">H9/J9*100</f>
        <v>50</v>
      </c>
      <c r="M9" s="92">
        <f t="shared" ref="M9:M15" si="2">I9/J9*100</f>
        <v>50</v>
      </c>
      <c r="N9" s="93">
        <f t="shared" ref="N9:N72" si="3">SUM(K9:M9)</f>
        <v>100</v>
      </c>
      <c r="O9" s="92"/>
      <c r="P9" s="92">
        <v>47.9</v>
      </c>
      <c r="Q9" s="92">
        <v>47.3</v>
      </c>
      <c r="R9" s="125">
        <f t="shared" ref="R9:R72" si="4">SUM(O9:Q9)</f>
        <v>95.199999999999989</v>
      </c>
      <c r="S9" s="126">
        <v>2</v>
      </c>
      <c r="T9" s="85"/>
      <c r="U9" s="127"/>
      <c r="V9" s="73" t="s">
        <v>16</v>
      </c>
      <c r="W9" s="73" t="s">
        <v>17</v>
      </c>
      <c r="X9" s="73" t="s">
        <v>18</v>
      </c>
      <c r="Y9" s="73">
        <v>47.9</v>
      </c>
      <c r="Z9" s="82" t="s">
        <v>19</v>
      </c>
      <c r="AA9" s="73" t="s">
        <v>20</v>
      </c>
      <c r="AB9" s="73" t="s">
        <v>12</v>
      </c>
      <c r="AC9" s="83">
        <v>47.3</v>
      </c>
      <c r="AD9" s="82"/>
      <c r="AG9" s="83"/>
      <c r="AL9" s="82"/>
      <c r="AO9" s="83"/>
      <c r="AS9" s="83"/>
      <c r="AW9" s="83"/>
      <c r="BA9" s="84"/>
    </row>
    <row r="10" spans="1:53" s="73" customFormat="1" x14ac:dyDescent="0.15">
      <c r="A10" s="102">
        <v>1961</v>
      </c>
      <c r="B10" s="88"/>
      <c r="C10" s="811" t="s">
        <v>28</v>
      </c>
      <c r="D10" s="811"/>
      <c r="E10" s="73">
        <v>101</v>
      </c>
      <c r="F10" s="84"/>
      <c r="G10" s="123"/>
      <c r="H10" s="73">
        <v>6</v>
      </c>
      <c r="I10" s="73">
        <v>6</v>
      </c>
      <c r="J10" s="130">
        <v>12</v>
      </c>
      <c r="K10" s="91">
        <f t="shared" si="0"/>
        <v>0</v>
      </c>
      <c r="L10" s="92">
        <f t="shared" si="1"/>
        <v>50</v>
      </c>
      <c r="M10" s="92">
        <f t="shared" si="2"/>
        <v>50</v>
      </c>
      <c r="N10" s="93">
        <f t="shared" si="3"/>
        <v>100</v>
      </c>
      <c r="O10" s="92"/>
      <c r="P10" s="92">
        <v>47.9</v>
      </c>
      <c r="Q10" s="92">
        <v>47.3</v>
      </c>
      <c r="R10" s="125">
        <f t="shared" si="4"/>
        <v>95.199999999999989</v>
      </c>
      <c r="S10" s="126">
        <v>2</v>
      </c>
      <c r="T10" s="85"/>
      <c r="U10" s="127"/>
      <c r="V10" s="73" t="s">
        <v>16</v>
      </c>
      <c r="W10" s="73" t="s">
        <v>17</v>
      </c>
      <c r="X10" s="73" t="s">
        <v>18</v>
      </c>
      <c r="Y10" s="73">
        <v>47.9</v>
      </c>
      <c r="Z10" s="82" t="s">
        <v>19</v>
      </c>
      <c r="AA10" s="73" t="s">
        <v>20</v>
      </c>
      <c r="AB10" s="73" t="s">
        <v>12</v>
      </c>
      <c r="AC10" s="83">
        <v>47.3</v>
      </c>
      <c r="AD10" s="82"/>
      <c r="AG10" s="83"/>
      <c r="AL10" s="82"/>
      <c r="AO10" s="83"/>
      <c r="AS10" s="83"/>
      <c r="AW10" s="83"/>
      <c r="BA10" s="84"/>
    </row>
    <row r="11" spans="1:53" s="334" customFormat="1" x14ac:dyDescent="0.15">
      <c r="A11" s="386">
        <v>1961</v>
      </c>
      <c r="B11" s="380">
        <v>22383</v>
      </c>
      <c r="C11" s="812" t="s">
        <v>29</v>
      </c>
      <c r="D11" s="812"/>
      <c r="E11" s="334">
        <v>264</v>
      </c>
      <c r="F11" s="345">
        <v>3</v>
      </c>
      <c r="G11" s="419"/>
      <c r="H11" s="334">
        <v>6</v>
      </c>
      <c r="I11" s="334">
        <v>6</v>
      </c>
      <c r="J11" s="420">
        <v>12</v>
      </c>
      <c r="K11" s="383">
        <f t="shared" si="0"/>
        <v>0</v>
      </c>
      <c r="L11" s="384">
        <f t="shared" si="1"/>
        <v>50</v>
      </c>
      <c r="M11" s="384">
        <f t="shared" si="2"/>
        <v>50</v>
      </c>
      <c r="N11" s="385">
        <f t="shared" si="3"/>
        <v>100</v>
      </c>
      <c r="O11" s="384"/>
      <c r="P11" s="384">
        <v>47.9</v>
      </c>
      <c r="Q11" s="384">
        <v>47.3</v>
      </c>
      <c r="R11" s="421">
        <f t="shared" si="4"/>
        <v>95.199999999999989</v>
      </c>
      <c r="S11" s="396">
        <v>2</v>
      </c>
      <c r="T11" s="355"/>
      <c r="U11" s="422">
        <v>22383</v>
      </c>
      <c r="V11" s="334" t="s">
        <v>16</v>
      </c>
      <c r="W11" s="334" t="s">
        <v>17</v>
      </c>
      <c r="X11" s="334" t="s">
        <v>18</v>
      </c>
      <c r="Y11" s="334">
        <v>47.9</v>
      </c>
      <c r="Z11" s="343" t="s">
        <v>19</v>
      </c>
      <c r="AA11" s="334" t="s">
        <v>20</v>
      </c>
      <c r="AB11" s="334" t="s">
        <v>12</v>
      </c>
      <c r="AC11" s="344">
        <v>47.3</v>
      </c>
      <c r="AD11" s="343"/>
      <c r="AG11" s="344"/>
      <c r="AL11" s="343"/>
      <c r="AO11" s="344"/>
      <c r="AS11" s="344"/>
      <c r="AW11" s="344"/>
      <c r="BA11" s="345"/>
    </row>
    <row r="12" spans="1:53" s="334" customFormat="1" x14ac:dyDescent="0.15">
      <c r="A12" s="386">
        <v>1962</v>
      </c>
      <c r="B12" s="380"/>
      <c r="C12" s="812" t="s">
        <v>29</v>
      </c>
      <c r="D12" s="812"/>
      <c r="E12" s="334">
        <v>0</v>
      </c>
      <c r="F12" s="345"/>
      <c r="G12" s="419"/>
      <c r="H12" s="334">
        <v>6</v>
      </c>
      <c r="I12" s="334">
        <v>6</v>
      </c>
      <c r="J12" s="420">
        <v>12</v>
      </c>
      <c r="K12" s="383">
        <f t="shared" si="0"/>
        <v>0</v>
      </c>
      <c r="L12" s="384">
        <f t="shared" si="1"/>
        <v>50</v>
      </c>
      <c r="M12" s="384">
        <f t="shared" si="2"/>
        <v>50</v>
      </c>
      <c r="N12" s="385">
        <f t="shared" si="3"/>
        <v>100</v>
      </c>
      <c r="O12" s="384"/>
      <c r="P12" s="384">
        <v>47.9</v>
      </c>
      <c r="Q12" s="384">
        <v>47.3</v>
      </c>
      <c r="R12" s="421">
        <f t="shared" si="4"/>
        <v>95.199999999999989</v>
      </c>
      <c r="S12" s="396">
        <v>2</v>
      </c>
      <c r="T12" s="355"/>
      <c r="U12" s="422"/>
      <c r="V12" s="334" t="s">
        <v>16</v>
      </c>
      <c r="W12" s="334" t="s">
        <v>17</v>
      </c>
      <c r="X12" s="334" t="s">
        <v>18</v>
      </c>
      <c r="Y12" s="334">
        <v>47.9</v>
      </c>
      <c r="Z12" s="343" t="s">
        <v>19</v>
      </c>
      <c r="AA12" s="334" t="s">
        <v>20</v>
      </c>
      <c r="AB12" s="334" t="s">
        <v>12</v>
      </c>
      <c r="AC12" s="344">
        <v>47.3</v>
      </c>
      <c r="AD12" s="343"/>
      <c r="AG12" s="344"/>
      <c r="AL12" s="343"/>
      <c r="AO12" s="344"/>
      <c r="AS12" s="344"/>
      <c r="AW12" s="344"/>
      <c r="BA12" s="345"/>
    </row>
    <row r="13" spans="1:53" s="334" customFormat="1" x14ac:dyDescent="0.15">
      <c r="A13" s="386">
        <v>1962</v>
      </c>
      <c r="B13" s="380"/>
      <c r="C13" s="812" t="s">
        <v>29</v>
      </c>
      <c r="D13" s="812"/>
      <c r="E13" s="334">
        <v>365</v>
      </c>
      <c r="F13" s="345"/>
      <c r="G13" s="419"/>
      <c r="H13" s="334">
        <v>6</v>
      </c>
      <c r="I13" s="334">
        <v>6</v>
      </c>
      <c r="J13" s="420">
        <v>12</v>
      </c>
      <c r="K13" s="383">
        <f t="shared" si="0"/>
        <v>0</v>
      </c>
      <c r="L13" s="384">
        <f t="shared" si="1"/>
        <v>50</v>
      </c>
      <c r="M13" s="384">
        <f t="shared" si="2"/>
        <v>50</v>
      </c>
      <c r="N13" s="385">
        <f t="shared" si="3"/>
        <v>100</v>
      </c>
      <c r="O13" s="384"/>
      <c r="P13" s="384">
        <v>47.9</v>
      </c>
      <c r="Q13" s="384">
        <v>47.3</v>
      </c>
      <c r="R13" s="421">
        <f t="shared" si="4"/>
        <v>95.199999999999989</v>
      </c>
      <c r="S13" s="396">
        <v>2</v>
      </c>
      <c r="T13" s="355">
        <v>22968</v>
      </c>
      <c r="U13" s="422"/>
      <c r="V13" s="334" t="s">
        <v>16</v>
      </c>
      <c r="W13" s="334" t="s">
        <v>17</v>
      </c>
      <c r="X13" s="334" t="s">
        <v>18</v>
      </c>
      <c r="Y13" s="334">
        <v>47.9</v>
      </c>
      <c r="Z13" s="343" t="s">
        <v>19</v>
      </c>
      <c r="AA13" s="334" t="s">
        <v>20</v>
      </c>
      <c r="AB13" s="334" t="s">
        <v>12</v>
      </c>
      <c r="AC13" s="344">
        <v>47.3</v>
      </c>
      <c r="AD13" s="343"/>
      <c r="AG13" s="344"/>
      <c r="AL13" s="343"/>
      <c r="AO13" s="344"/>
      <c r="AS13" s="344"/>
      <c r="AW13" s="344"/>
      <c r="BA13" s="345"/>
    </row>
    <row r="14" spans="1:53" s="334" customFormat="1" x14ac:dyDescent="0.15">
      <c r="A14" s="386">
        <v>1962.6</v>
      </c>
      <c r="B14" s="380"/>
      <c r="C14" s="812" t="s">
        <v>29</v>
      </c>
      <c r="D14" s="812"/>
      <c r="E14" s="334">
        <v>82</v>
      </c>
      <c r="F14" s="345"/>
      <c r="G14" s="419"/>
      <c r="H14" s="334">
        <v>6</v>
      </c>
      <c r="I14" s="334">
        <v>6</v>
      </c>
      <c r="J14" s="420">
        <v>12</v>
      </c>
      <c r="K14" s="383">
        <f t="shared" si="0"/>
        <v>0</v>
      </c>
      <c r="L14" s="384">
        <f t="shared" si="1"/>
        <v>50</v>
      </c>
      <c r="M14" s="384">
        <f t="shared" si="2"/>
        <v>50</v>
      </c>
      <c r="N14" s="385">
        <f t="shared" si="3"/>
        <v>100</v>
      </c>
      <c r="O14" s="384"/>
      <c r="P14" s="384">
        <v>47.9</v>
      </c>
      <c r="Q14" s="384">
        <v>47.3</v>
      </c>
      <c r="R14" s="421">
        <f t="shared" si="4"/>
        <v>95.199999999999989</v>
      </c>
      <c r="S14" s="396">
        <v>2</v>
      </c>
      <c r="T14" s="355"/>
      <c r="U14" s="422"/>
      <c r="V14" s="334" t="s">
        <v>16</v>
      </c>
      <c r="W14" s="334" t="s">
        <v>17</v>
      </c>
      <c r="X14" s="334" t="s">
        <v>18</v>
      </c>
      <c r="Y14" s="334">
        <v>47.9</v>
      </c>
      <c r="Z14" s="343" t="s">
        <v>19</v>
      </c>
      <c r="AA14" s="334" t="s">
        <v>20</v>
      </c>
      <c r="AB14" s="334" t="s">
        <v>12</v>
      </c>
      <c r="AC14" s="344">
        <v>47.3</v>
      </c>
      <c r="AD14" s="343"/>
      <c r="AG14" s="344"/>
      <c r="AL14" s="343"/>
      <c r="AO14" s="344"/>
      <c r="AS14" s="344"/>
      <c r="AW14" s="344"/>
      <c r="BA14" s="345"/>
    </row>
    <row r="15" spans="1:53" s="73" customFormat="1" x14ac:dyDescent="0.15">
      <c r="A15" s="102">
        <v>1963.05714285714</v>
      </c>
      <c r="B15" s="88">
        <v>23094</v>
      </c>
      <c r="C15" s="811" t="s">
        <v>30</v>
      </c>
      <c r="D15" s="811"/>
      <c r="E15" s="73">
        <v>283</v>
      </c>
      <c r="F15" s="84">
        <v>1</v>
      </c>
      <c r="G15" s="123"/>
      <c r="H15" s="73">
        <v>6</v>
      </c>
      <c r="I15" s="73">
        <v>6</v>
      </c>
      <c r="J15" s="130">
        <v>12</v>
      </c>
      <c r="K15" s="91">
        <f t="shared" si="0"/>
        <v>0</v>
      </c>
      <c r="L15" s="92">
        <f t="shared" si="1"/>
        <v>50</v>
      </c>
      <c r="M15" s="92">
        <f t="shared" si="2"/>
        <v>50</v>
      </c>
      <c r="N15" s="93">
        <f t="shared" si="3"/>
        <v>100</v>
      </c>
      <c r="O15" s="92"/>
      <c r="P15" s="92">
        <v>49.1</v>
      </c>
      <c r="Q15" s="92">
        <v>46.1</v>
      </c>
      <c r="R15" s="125">
        <f t="shared" si="4"/>
        <v>95.2</v>
      </c>
      <c r="S15" s="126">
        <v>2</v>
      </c>
      <c r="T15" s="85"/>
      <c r="U15" s="127">
        <v>23094</v>
      </c>
      <c r="V15" s="73" t="s">
        <v>16</v>
      </c>
      <c r="W15" s="73" t="s">
        <v>17</v>
      </c>
      <c r="X15" s="73" t="s">
        <v>18</v>
      </c>
      <c r="Y15" s="73">
        <v>49.1</v>
      </c>
      <c r="Z15" s="82" t="s">
        <v>19</v>
      </c>
      <c r="AA15" s="73" t="s">
        <v>20</v>
      </c>
      <c r="AB15" s="73" t="s">
        <v>12</v>
      </c>
      <c r="AC15" s="83">
        <v>46.1</v>
      </c>
      <c r="AD15" s="82"/>
      <c r="AG15" s="83"/>
      <c r="AL15" s="82"/>
      <c r="AO15" s="83"/>
      <c r="AS15" s="83"/>
      <c r="AW15" s="83"/>
      <c r="BA15" s="84"/>
    </row>
    <row r="16" spans="1:53" s="73" customFormat="1" x14ac:dyDescent="0.15">
      <c r="A16" s="102">
        <v>1963.5142857142901</v>
      </c>
      <c r="B16" s="88"/>
      <c r="C16" s="811" t="s">
        <v>30</v>
      </c>
      <c r="D16" s="811"/>
      <c r="E16" s="73">
        <v>93</v>
      </c>
      <c r="F16" s="84"/>
      <c r="G16" s="123"/>
      <c r="H16" s="73">
        <v>6</v>
      </c>
      <c r="I16" s="73">
        <v>6</v>
      </c>
      <c r="J16" s="130">
        <v>12</v>
      </c>
      <c r="K16" s="91">
        <f>G16/J16*100</f>
        <v>0</v>
      </c>
      <c r="L16" s="92">
        <f>H16/J16*100</f>
        <v>50</v>
      </c>
      <c r="M16" s="92">
        <f>I16/J16*100</f>
        <v>50</v>
      </c>
      <c r="N16" s="93">
        <f t="shared" si="3"/>
        <v>100</v>
      </c>
      <c r="O16" s="92"/>
      <c r="P16" s="92">
        <v>49.1</v>
      </c>
      <c r="Q16" s="92">
        <v>46.1</v>
      </c>
      <c r="R16" s="125">
        <f t="shared" si="4"/>
        <v>95.2</v>
      </c>
      <c r="S16" s="126">
        <v>2</v>
      </c>
      <c r="T16" s="85"/>
      <c r="U16" s="127"/>
      <c r="V16" s="73" t="s">
        <v>16</v>
      </c>
      <c r="W16" s="73" t="s">
        <v>17</v>
      </c>
      <c r="X16" s="73" t="s">
        <v>18</v>
      </c>
      <c r="Y16" s="73">
        <v>49.1</v>
      </c>
      <c r="Z16" s="82" t="s">
        <v>19</v>
      </c>
      <c r="AA16" s="73" t="s">
        <v>20</v>
      </c>
      <c r="AB16" s="73" t="s">
        <v>12</v>
      </c>
      <c r="AC16" s="83">
        <v>46.1</v>
      </c>
      <c r="AD16" s="82"/>
      <c r="AG16" s="83"/>
      <c r="AL16" s="82"/>
      <c r="AO16" s="83"/>
      <c r="AS16" s="83"/>
      <c r="AW16" s="83"/>
      <c r="BA16" s="84"/>
    </row>
    <row r="17" spans="1:53" s="334" customFormat="1" x14ac:dyDescent="0.15">
      <c r="A17" s="386">
        <v>1963.9714285714299</v>
      </c>
      <c r="B17" s="380">
        <v>23470</v>
      </c>
      <c r="C17" s="785" t="s">
        <v>31</v>
      </c>
      <c r="D17" s="785"/>
      <c r="E17" s="334">
        <v>273</v>
      </c>
      <c r="F17" s="345">
        <v>2</v>
      </c>
      <c r="G17" s="419"/>
      <c r="H17" s="334">
        <v>6</v>
      </c>
      <c r="I17" s="334">
        <v>6</v>
      </c>
      <c r="J17" s="420">
        <v>12</v>
      </c>
      <c r="K17" s="383">
        <f t="shared" ref="K17:K23" si="5">G17/J17*100</f>
        <v>0</v>
      </c>
      <c r="L17" s="384">
        <f t="shared" ref="L17:L23" si="6">H17/J17*100</f>
        <v>50</v>
      </c>
      <c r="M17" s="384">
        <f t="shared" ref="M17:M23" si="7">I17/J17*100</f>
        <v>50</v>
      </c>
      <c r="N17" s="385">
        <f t="shared" si="3"/>
        <v>100</v>
      </c>
      <c r="O17" s="384"/>
      <c r="P17" s="384">
        <v>49.1</v>
      </c>
      <c r="Q17" s="384">
        <v>46.1</v>
      </c>
      <c r="R17" s="421">
        <f t="shared" si="4"/>
        <v>95.2</v>
      </c>
      <c r="S17" s="396">
        <v>2</v>
      </c>
      <c r="T17" s="355"/>
      <c r="U17" s="422">
        <v>23470</v>
      </c>
      <c r="V17" s="334" t="s">
        <v>16</v>
      </c>
      <c r="W17" s="334" t="s">
        <v>17</v>
      </c>
      <c r="X17" s="334" t="s">
        <v>18</v>
      </c>
      <c r="Y17" s="334">
        <v>49.1</v>
      </c>
      <c r="Z17" s="343" t="s">
        <v>19</v>
      </c>
      <c r="AA17" s="334" t="s">
        <v>20</v>
      </c>
      <c r="AB17" s="334" t="s">
        <v>12</v>
      </c>
      <c r="AC17" s="344">
        <v>46.1</v>
      </c>
      <c r="AD17" s="343"/>
      <c r="AG17" s="344"/>
      <c r="AL17" s="343"/>
      <c r="AO17" s="344"/>
      <c r="AS17" s="344"/>
      <c r="AW17" s="344"/>
      <c r="BA17" s="345"/>
    </row>
    <row r="18" spans="1:53" s="334" customFormat="1" x14ac:dyDescent="0.15">
      <c r="A18" s="386">
        <v>1965</v>
      </c>
      <c r="B18" s="380"/>
      <c r="C18" s="785" t="s">
        <v>31</v>
      </c>
      <c r="D18" s="785"/>
      <c r="E18" s="334">
        <v>295</v>
      </c>
      <c r="F18" s="345"/>
      <c r="G18" s="419"/>
      <c r="H18" s="334">
        <v>6</v>
      </c>
      <c r="I18" s="334">
        <v>6</v>
      </c>
      <c r="J18" s="420">
        <v>12</v>
      </c>
      <c r="K18" s="383">
        <f t="shared" si="5"/>
        <v>0</v>
      </c>
      <c r="L18" s="384">
        <f t="shared" si="6"/>
        <v>50</v>
      </c>
      <c r="M18" s="384">
        <f t="shared" si="7"/>
        <v>50</v>
      </c>
      <c r="N18" s="385">
        <f t="shared" si="3"/>
        <v>100</v>
      </c>
      <c r="O18" s="384"/>
      <c r="P18" s="384">
        <v>49.1</v>
      </c>
      <c r="Q18" s="384">
        <v>46.1</v>
      </c>
      <c r="R18" s="421">
        <f t="shared" si="4"/>
        <v>95.2</v>
      </c>
      <c r="S18" s="396">
        <v>2</v>
      </c>
      <c r="T18" s="355"/>
      <c r="U18" s="422"/>
      <c r="V18" s="334" t="s">
        <v>16</v>
      </c>
      <c r="W18" s="334" t="s">
        <v>17</v>
      </c>
      <c r="X18" s="334" t="s">
        <v>18</v>
      </c>
      <c r="Y18" s="334">
        <v>49.1</v>
      </c>
      <c r="Z18" s="343" t="s">
        <v>19</v>
      </c>
      <c r="AA18" s="334" t="s">
        <v>20</v>
      </c>
      <c r="AB18" s="334" t="s">
        <v>12</v>
      </c>
      <c r="AC18" s="344">
        <v>46.1</v>
      </c>
      <c r="AD18" s="343"/>
      <c r="AG18" s="344"/>
      <c r="AL18" s="343"/>
      <c r="AO18" s="344"/>
      <c r="AS18" s="344"/>
      <c r="AW18" s="344"/>
      <c r="BA18" s="345"/>
    </row>
    <row r="19" spans="1:53" s="334" customFormat="1" x14ac:dyDescent="0.15">
      <c r="A19" s="386">
        <v>1964.88571428572</v>
      </c>
      <c r="B19" s="423">
        <v>24038</v>
      </c>
      <c r="C19" s="785" t="s">
        <v>31</v>
      </c>
      <c r="D19" s="785"/>
      <c r="E19" s="334">
        <v>70</v>
      </c>
      <c r="F19" s="424">
        <v>0</v>
      </c>
      <c r="G19" s="419"/>
      <c r="H19" s="334">
        <v>6</v>
      </c>
      <c r="I19" s="334">
        <v>6</v>
      </c>
      <c r="J19" s="420">
        <v>12</v>
      </c>
      <c r="K19" s="383">
        <f t="shared" si="5"/>
        <v>0</v>
      </c>
      <c r="L19" s="384">
        <f t="shared" si="6"/>
        <v>50</v>
      </c>
      <c r="M19" s="384">
        <f t="shared" si="7"/>
        <v>50</v>
      </c>
      <c r="N19" s="385">
        <f t="shared" si="3"/>
        <v>100</v>
      </c>
      <c r="O19" s="384"/>
      <c r="P19" s="384">
        <v>49.1</v>
      </c>
      <c r="Q19" s="384">
        <v>46.1</v>
      </c>
      <c r="R19" s="421">
        <f t="shared" si="4"/>
        <v>95.2</v>
      </c>
      <c r="S19" s="396">
        <v>2</v>
      </c>
      <c r="T19" s="355"/>
      <c r="U19" s="422"/>
      <c r="V19" s="334" t="s">
        <v>16</v>
      </c>
      <c r="W19" s="334" t="s">
        <v>17</v>
      </c>
      <c r="X19" s="334" t="s">
        <v>18</v>
      </c>
      <c r="Y19" s="334">
        <v>49.1</v>
      </c>
      <c r="Z19" s="343" t="s">
        <v>19</v>
      </c>
      <c r="AA19" s="334" t="s">
        <v>20</v>
      </c>
      <c r="AB19" s="334" t="s">
        <v>12</v>
      </c>
      <c r="AC19" s="344">
        <v>46.1</v>
      </c>
      <c r="AD19" s="343"/>
      <c r="AG19" s="344"/>
      <c r="AL19" s="343"/>
      <c r="AO19" s="344"/>
      <c r="AS19" s="344"/>
      <c r="AW19" s="344"/>
      <c r="BA19" s="345"/>
    </row>
    <row r="20" spans="1:53" s="334" customFormat="1" x14ac:dyDescent="0.15">
      <c r="A20" s="386">
        <v>1966</v>
      </c>
      <c r="B20" s="380"/>
      <c r="C20" s="785" t="s">
        <v>31</v>
      </c>
      <c r="D20" s="785"/>
      <c r="E20" s="334">
        <v>108</v>
      </c>
      <c r="F20" s="345"/>
      <c r="G20" s="419"/>
      <c r="H20" s="334">
        <v>6</v>
      </c>
      <c r="I20" s="334">
        <v>6</v>
      </c>
      <c r="J20" s="420">
        <v>12</v>
      </c>
      <c r="K20" s="383">
        <f t="shared" si="5"/>
        <v>0</v>
      </c>
      <c r="L20" s="384">
        <f t="shared" si="6"/>
        <v>50</v>
      </c>
      <c r="M20" s="384">
        <f t="shared" si="7"/>
        <v>50</v>
      </c>
      <c r="N20" s="385">
        <f t="shared" si="3"/>
        <v>100</v>
      </c>
      <c r="O20" s="384"/>
      <c r="P20" s="384">
        <v>49.1</v>
      </c>
      <c r="Q20" s="384">
        <v>46.1</v>
      </c>
      <c r="R20" s="421">
        <f t="shared" si="4"/>
        <v>95.2</v>
      </c>
      <c r="S20" s="396">
        <v>2</v>
      </c>
      <c r="T20" s="355"/>
      <c r="U20" s="422"/>
      <c r="V20" s="334" t="s">
        <v>16</v>
      </c>
      <c r="W20" s="334" t="s">
        <v>17</v>
      </c>
      <c r="X20" s="334" t="s">
        <v>18</v>
      </c>
      <c r="Y20" s="334">
        <v>49.1</v>
      </c>
      <c r="Z20" s="343" t="s">
        <v>19</v>
      </c>
      <c r="AA20" s="334" t="s">
        <v>20</v>
      </c>
      <c r="AB20" s="334" t="s">
        <v>12</v>
      </c>
      <c r="AC20" s="344">
        <v>46.1</v>
      </c>
      <c r="AD20" s="343"/>
      <c r="AG20" s="344"/>
      <c r="AL20" s="343"/>
      <c r="AO20" s="344"/>
      <c r="AS20" s="344"/>
      <c r="AW20" s="344"/>
      <c r="BA20" s="345"/>
    </row>
    <row r="21" spans="1:53" s="73" customFormat="1" x14ac:dyDescent="0.15">
      <c r="A21" s="102">
        <v>1965.8</v>
      </c>
      <c r="B21" s="88">
        <v>24216</v>
      </c>
      <c r="C21" s="786" t="s">
        <v>32</v>
      </c>
      <c r="D21" s="786"/>
      <c r="E21" s="73">
        <v>257</v>
      </c>
      <c r="F21" s="84">
        <v>1</v>
      </c>
      <c r="G21" s="123"/>
      <c r="H21" s="73">
        <v>13</v>
      </c>
      <c r="J21" s="130">
        <v>13</v>
      </c>
      <c r="K21" s="91">
        <f t="shared" si="5"/>
        <v>0</v>
      </c>
      <c r="L21" s="92">
        <f t="shared" si="6"/>
        <v>100</v>
      </c>
      <c r="M21" s="92">
        <f t="shared" si="7"/>
        <v>0</v>
      </c>
      <c r="N21" s="93">
        <f t="shared" si="3"/>
        <v>100</v>
      </c>
      <c r="O21" s="92"/>
      <c r="P21" s="92">
        <v>51.5</v>
      </c>
      <c r="Q21" s="92"/>
      <c r="R21" s="125">
        <f t="shared" si="4"/>
        <v>51.5</v>
      </c>
      <c r="S21" s="126">
        <v>1</v>
      </c>
      <c r="T21" s="85">
        <v>24172</v>
      </c>
      <c r="U21" s="127">
        <v>24216</v>
      </c>
      <c r="V21" s="73" t="s">
        <v>16</v>
      </c>
      <c r="W21" s="73" t="s">
        <v>17</v>
      </c>
      <c r="X21" s="73" t="s">
        <v>18</v>
      </c>
      <c r="Y21" s="73">
        <v>51.5</v>
      </c>
      <c r="Z21" s="82"/>
      <c r="AC21" s="83"/>
      <c r="AD21" s="82"/>
      <c r="AG21" s="83"/>
      <c r="AL21" s="82"/>
      <c r="AO21" s="83"/>
      <c r="AS21" s="83"/>
      <c r="AW21" s="83"/>
      <c r="BA21" s="84"/>
    </row>
    <row r="22" spans="1:53" s="73" customFormat="1" x14ac:dyDescent="0.15">
      <c r="A22" s="102">
        <v>1967</v>
      </c>
      <c r="B22" s="88"/>
      <c r="C22" s="786" t="s">
        <v>32</v>
      </c>
      <c r="D22" s="786"/>
      <c r="E22" s="73">
        <v>0</v>
      </c>
      <c r="F22" s="84"/>
      <c r="G22" s="123"/>
      <c r="H22" s="73">
        <v>13</v>
      </c>
      <c r="J22" s="130">
        <v>13</v>
      </c>
      <c r="K22" s="91">
        <f t="shared" si="5"/>
        <v>0</v>
      </c>
      <c r="L22" s="92">
        <f t="shared" si="6"/>
        <v>100</v>
      </c>
      <c r="M22" s="92">
        <f t="shared" si="7"/>
        <v>0</v>
      </c>
      <c r="N22" s="93">
        <f t="shared" si="3"/>
        <v>100</v>
      </c>
      <c r="O22" s="92"/>
      <c r="P22" s="92">
        <v>51.5</v>
      </c>
      <c r="Q22" s="92"/>
      <c r="R22" s="125">
        <f t="shared" si="4"/>
        <v>51.5</v>
      </c>
      <c r="S22" s="126">
        <v>1</v>
      </c>
      <c r="T22" s="85"/>
      <c r="U22" s="127"/>
      <c r="V22" s="73" t="s">
        <v>16</v>
      </c>
      <c r="W22" s="73" t="s">
        <v>17</v>
      </c>
      <c r="X22" s="73" t="s">
        <v>18</v>
      </c>
      <c r="Y22" s="73">
        <v>51.5</v>
      </c>
      <c r="Z22" s="82"/>
      <c r="AC22" s="83"/>
      <c r="AD22" s="82"/>
      <c r="AG22" s="83"/>
      <c r="AL22" s="82"/>
      <c r="AO22" s="83"/>
      <c r="AS22" s="83"/>
      <c r="AW22" s="83"/>
      <c r="BA22" s="84"/>
    </row>
    <row r="23" spans="1:53" s="73" customFormat="1" x14ac:dyDescent="0.15">
      <c r="A23" s="102">
        <v>1966.7142857142901</v>
      </c>
      <c r="B23" s="88"/>
      <c r="C23" s="786" t="s">
        <v>32</v>
      </c>
      <c r="D23" s="786"/>
      <c r="E23" s="73">
        <v>365</v>
      </c>
      <c r="F23" s="84"/>
      <c r="G23" s="123"/>
      <c r="H23" s="73">
        <v>13</v>
      </c>
      <c r="J23" s="130">
        <v>13</v>
      </c>
      <c r="K23" s="91">
        <f t="shared" si="5"/>
        <v>0</v>
      </c>
      <c r="L23" s="92">
        <f t="shared" si="6"/>
        <v>100</v>
      </c>
      <c r="M23" s="92">
        <f t="shared" si="7"/>
        <v>0</v>
      </c>
      <c r="N23" s="93">
        <f t="shared" si="3"/>
        <v>100</v>
      </c>
      <c r="O23" s="92"/>
      <c r="P23" s="92">
        <v>51.5</v>
      </c>
      <c r="Q23" s="92"/>
      <c r="R23" s="125">
        <f t="shared" si="4"/>
        <v>51.5</v>
      </c>
      <c r="S23" s="126">
        <v>1</v>
      </c>
      <c r="T23" s="85"/>
      <c r="U23" s="127"/>
      <c r="V23" s="73" t="s">
        <v>16</v>
      </c>
      <c r="W23" s="73" t="s">
        <v>17</v>
      </c>
      <c r="X23" s="73" t="s">
        <v>18</v>
      </c>
      <c r="Y23" s="73">
        <v>51.5</v>
      </c>
      <c r="Z23" s="82"/>
      <c r="AC23" s="83"/>
      <c r="AD23" s="82"/>
      <c r="AG23" s="83"/>
      <c r="AL23" s="82"/>
      <c r="AO23" s="83"/>
      <c r="AS23" s="83"/>
      <c r="AW23" s="83"/>
      <c r="BA23" s="84"/>
    </row>
    <row r="24" spans="1:53" s="73" customFormat="1" x14ac:dyDescent="0.15">
      <c r="A24" s="102">
        <v>1968</v>
      </c>
      <c r="B24" s="88"/>
      <c r="C24" s="786" t="s">
        <v>32</v>
      </c>
      <c r="D24" s="786"/>
      <c r="E24" s="73">
        <v>0</v>
      </c>
      <c r="F24" s="84"/>
      <c r="G24" s="123"/>
      <c r="H24" s="73">
        <v>13</v>
      </c>
      <c r="J24" s="130">
        <v>13</v>
      </c>
      <c r="K24" s="91">
        <f>G24/J24*100</f>
        <v>0</v>
      </c>
      <c r="L24" s="92">
        <f>H24/J24*100</f>
        <v>100</v>
      </c>
      <c r="M24" s="92">
        <f>I24/J24*100</f>
        <v>0</v>
      </c>
      <c r="N24" s="93">
        <f t="shared" si="3"/>
        <v>100</v>
      </c>
      <c r="O24" s="92"/>
      <c r="P24" s="92">
        <v>51.5</v>
      </c>
      <c r="Q24" s="92"/>
      <c r="R24" s="125">
        <f t="shared" si="4"/>
        <v>51.5</v>
      </c>
      <c r="S24" s="126">
        <v>1</v>
      </c>
      <c r="T24" s="85"/>
      <c r="U24" s="127"/>
      <c r="V24" s="73" t="s">
        <v>16</v>
      </c>
      <c r="W24" s="73" t="s">
        <v>17</v>
      </c>
      <c r="X24" s="73" t="s">
        <v>18</v>
      </c>
      <c r="Y24" s="73">
        <v>51.5</v>
      </c>
      <c r="Z24" s="82"/>
      <c r="AC24" s="83"/>
      <c r="AD24" s="82"/>
      <c r="AG24" s="83"/>
      <c r="AL24" s="82"/>
      <c r="AO24" s="83"/>
      <c r="AS24" s="83"/>
      <c r="AW24" s="83"/>
      <c r="BA24" s="84"/>
    </row>
    <row r="25" spans="1:53" s="73" customFormat="1" x14ac:dyDescent="0.15">
      <c r="A25" s="102">
        <v>1967.62857142857</v>
      </c>
      <c r="B25" s="88"/>
      <c r="C25" s="786" t="s">
        <v>32</v>
      </c>
      <c r="D25" s="786"/>
      <c r="E25" s="73">
        <v>366</v>
      </c>
      <c r="F25" s="84"/>
      <c r="G25" s="123"/>
      <c r="H25" s="73">
        <v>13</v>
      </c>
      <c r="J25" s="130">
        <v>13</v>
      </c>
      <c r="K25" s="91">
        <f t="shared" ref="K25:K31" si="8">G25/J25*100</f>
        <v>0</v>
      </c>
      <c r="L25" s="92">
        <f t="shared" ref="L25:L31" si="9">H25/J25*100</f>
        <v>100</v>
      </c>
      <c r="M25" s="92">
        <f t="shared" ref="M25:M31" si="10">I25/J25*100</f>
        <v>0</v>
      </c>
      <c r="N25" s="93">
        <f t="shared" si="3"/>
        <v>100</v>
      </c>
      <c r="O25" s="92"/>
      <c r="P25" s="92">
        <v>51.5</v>
      </c>
      <c r="Q25" s="92"/>
      <c r="R25" s="125">
        <f t="shared" si="4"/>
        <v>51.5</v>
      </c>
      <c r="S25" s="126">
        <v>1</v>
      </c>
      <c r="T25" s="85"/>
      <c r="U25" s="127"/>
      <c r="V25" s="73" t="s">
        <v>16</v>
      </c>
      <c r="W25" s="73" t="s">
        <v>17</v>
      </c>
      <c r="X25" s="73" t="s">
        <v>18</v>
      </c>
      <c r="Y25" s="73">
        <v>51.5</v>
      </c>
      <c r="Z25" s="82"/>
      <c r="AC25" s="83"/>
      <c r="AD25" s="82"/>
      <c r="AG25" s="83"/>
      <c r="AL25" s="82"/>
      <c r="AO25" s="83"/>
      <c r="AS25" s="83"/>
      <c r="AW25" s="83"/>
      <c r="BA25" s="84"/>
    </row>
    <row r="26" spans="1:53" s="73" customFormat="1" x14ac:dyDescent="0.15">
      <c r="A26" s="102">
        <v>1969</v>
      </c>
      <c r="B26" s="88"/>
      <c r="C26" s="786" t="s">
        <v>32</v>
      </c>
      <c r="D26" s="786"/>
      <c r="E26" s="73">
        <v>0</v>
      </c>
      <c r="F26" s="84"/>
      <c r="G26" s="123"/>
      <c r="H26" s="73">
        <v>13</v>
      </c>
      <c r="J26" s="130">
        <v>13</v>
      </c>
      <c r="K26" s="91">
        <f t="shared" si="8"/>
        <v>0</v>
      </c>
      <c r="L26" s="92">
        <f t="shared" si="9"/>
        <v>100</v>
      </c>
      <c r="M26" s="92">
        <f t="shared" si="10"/>
        <v>0</v>
      </c>
      <c r="N26" s="93">
        <f t="shared" si="3"/>
        <v>100</v>
      </c>
      <c r="O26" s="92"/>
      <c r="P26" s="92">
        <v>51.5</v>
      </c>
      <c r="Q26" s="92"/>
      <c r="R26" s="125">
        <f t="shared" si="4"/>
        <v>51.5</v>
      </c>
      <c r="S26" s="126">
        <v>1</v>
      </c>
      <c r="T26" s="85"/>
      <c r="U26" s="127"/>
      <c r="V26" s="73" t="s">
        <v>16</v>
      </c>
      <c r="W26" s="73" t="s">
        <v>17</v>
      </c>
      <c r="X26" s="73" t="s">
        <v>18</v>
      </c>
      <c r="Y26" s="73">
        <v>51.5</v>
      </c>
      <c r="Z26" s="82"/>
      <c r="AC26" s="83"/>
      <c r="AD26" s="82"/>
      <c r="AG26" s="83"/>
      <c r="AL26" s="82"/>
      <c r="AO26" s="83"/>
      <c r="AS26" s="83"/>
      <c r="AW26" s="83"/>
      <c r="BA26" s="84"/>
    </row>
    <row r="27" spans="1:53" s="73" customFormat="1" x14ac:dyDescent="0.15">
      <c r="A27" s="102">
        <v>1968.5428571428599</v>
      </c>
      <c r="B27" s="88"/>
      <c r="C27" s="786" t="s">
        <v>32</v>
      </c>
      <c r="D27" s="786"/>
      <c r="E27" s="73">
        <v>365</v>
      </c>
      <c r="F27" s="84"/>
      <c r="G27" s="123"/>
      <c r="H27" s="73">
        <v>13</v>
      </c>
      <c r="J27" s="130">
        <v>13</v>
      </c>
      <c r="K27" s="91">
        <f t="shared" si="8"/>
        <v>0</v>
      </c>
      <c r="L27" s="92">
        <f t="shared" si="9"/>
        <v>100</v>
      </c>
      <c r="M27" s="92">
        <f t="shared" si="10"/>
        <v>0</v>
      </c>
      <c r="N27" s="93">
        <f t="shared" si="3"/>
        <v>100</v>
      </c>
      <c r="O27" s="92"/>
      <c r="P27" s="92">
        <v>51.5</v>
      </c>
      <c r="Q27" s="92"/>
      <c r="R27" s="125">
        <f t="shared" si="4"/>
        <v>51.5</v>
      </c>
      <c r="S27" s="126">
        <v>1</v>
      </c>
      <c r="T27" s="85"/>
      <c r="U27" s="127"/>
      <c r="V27" s="73" t="s">
        <v>16</v>
      </c>
      <c r="W27" s="73" t="s">
        <v>17</v>
      </c>
      <c r="X27" s="73" t="s">
        <v>18</v>
      </c>
      <c r="Y27" s="73">
        <v>51.5</v>
      </c>
      <c r="Z27" s="82"/>
      <c r="AC27" s="83"/>
      <c r="AD27" s="82"/>
      <c r="AG27" s="83"/>
      <c r="AL27" s="82"/>
      <c r="AO27" s="83"/>
      <c r="AS27" s="83"/>
      <c r="AW27" s="83"/>
      <c r="BA27" s="84"/>
    </row>
    <row r="28" spans="1:53" s="73" customFormat="1" x14ac:dyDescent="0.15">
      <c r="A28" s="102">
        <v>1970</v>
      </c>
      <c r="B28" s="88"/>
      <c r="C28" s="786" t="s">
        <v>32</v>
      </c>
      <c r="D28" s="786"/>
      <c r="E28" s="73">
        <v>111</v>
      </c>
      <c r="F28" s="84"/>
      <c r="G28" s="123"/>
      <c r="H28" s="73">
        <v>13</v>
      </c>
      <c r="J28" s="130">
        <v>13</v>
      </c>
      <c r="K28" s="91">
        <f t="shared" si="8"/>
        <v>0</v>
      </c>
      <c r="L28" s="92">
        <f t="shared" si="9"/>
        <v>100</v>
      </c>
      <c r="M28" s="92">
        <f t="shared" si="10"/>
        <v>0</v>
      </c>
      <c r="N28" s="93">
        <f t="shared" si="3"/>
        <v>100</v>
      </c>
      <c r="O28" s="92"/>
      <c r="P28" s="92">
        <v>51.5</v>
      </c>
      <c r="Q28" s="92"/>
      <c r="R28" s="125">
        <f t="shared" si="4"/>
        <v>51.5</v>
      </c>
      <c r="S28" s="126">
        <v>1</v>
      </c>
      <c r="T28" s="85"/>
      <c r="U28" s="127"/>
      <c r="V28" s="73" t="s">
        <v>16</v>
      </c>
      <c r="W28" s="73" t="s">
        <v>17</v>
      </c>
      <c r="X28" s="73" t="s">
        <v>18</v>
      </c>
      <c r="Y28" s="73">
        <v>51.5</v>
      </c>
      <c r="Z28" s="82"/>
      <c r="AC28" s="83"/>
      <c r="AD28" s="82"/>
      <c r="AG28" s="83"/>
      <c r="AL28" s="82"/>
      <c r="AO28" s="83"/>
      <c r="AS28" s="83"/>
      <c r="AW28" s="83"/>
      <c r="BA28" s="84"/>
    </row>
    <row r="29" spans="1:53" s="334" customFormat="1" x14ac:dyDescent="0.15">
      <c r="A29" s="386">
        <v>1970</v>
      </c>
      <c r="B29" s="380">
        <v>25680</v>
      </c>
      <c r="C29" s="785" t="s">
        <v>33</v>
      </c>
      <c r="D29" s="785"/>
      <c r="E29" s="334">
        <v>254</v>
      </c>
      <c r="F29" s="345">
        <v>1</v>
      </c>
      <c r="G29" s="419"/>
      <c r="I29" s="334">
        <v>12</v>
      </c>
      <c r="J29" s="420">
        <v>13</v>
      </c>
      <c r="K29" s="383">
        <f t="shared" si="8"/>
        <v>0</v>
      </c>
      <c r="L29" s="384">
        <f t="shared" si="9"/>
        <v>0</v>
      </c>
      <c r="M29" s="384">
        <f t="shared" si="10"/>
        <v>92.307692307692307</v>
      </c>
      <c r="N29" s="385">
        <f t="shared" si="3"/>
        <v>92.307692307692307</v>
      </c>
      <c r="O29" s="384"/>
      <c r="P29" s="384"/>
      <c r="Q29" s="384">
        <v>49.1</v>
      </c>
      <c r="R29" s="421">
        <f t="shared" si="4"/>
        <v>49.1</v>
      </c>
      <c r="S29" s="396">
        <v>4</v>
      </c>
      <c r="T29" s="355">
        <v>25628</v>
      </c>
      <c r="U29" s="422">
        <v>25680</v>
      </c>
      <c r="V29" s="334" t="s">
        <v>19</v>
      </c>
      <c r="W29" s="334" t="s">
        <v>20</v>
      </c>
      <c r="X29" s="334" t="s">
        <v>12</v>
      </c>
      <c r="Y29" s="334">
        <v>49.1</v>
      </c>
      <c r="Z29" s="343"/>
      <c r="AC29" s="344"/>
      <c r="AD29" s="343"/>
      <c r="AG29" s="344"/>
      <c r="AL29" s="343"/>
      <c r="AO29" s="344"/>
      <c r="AS29" s="344"/>
      <c r="AW29" s="344"/>
      <c r="BA29" s="345"/>
    </row>
    <row r="30" spans="1:53" s="334" customFormat="1" x14ac:dyDescent="0.15">
      <c r="A30" s="386">
        <v>1971</v>
      </c>
      <c r="B30" s="380"/>
      <c r="C30" s="785" t="s">
        <v>33</v>
      </c>
      <c r="D30" s="785"/>
      <c r="E30" s="334">
        <v>294</v>
      </c>
      <c r="F30" s="345"/>
      <c r="G30" s="386"/>
      <c r="H30" s="386"/>
      <c r="I30" s="386">
        <v>12</v>
      </c>
      <c r="J30" s="420">
        <v>13</v>
      </c>
      <c r="K30" s="383">
        <f t="shared" si="8"/>
        <v>0</v>
      </c>
      <c r="L30" s="384">
        <f t="shared" si="9"/>
        <v>0</v>
      </c>
      <c r="M30" s="384">
        <f t="shared" si="10"/>
        <v>92.307692307692307</v>
      </c>
      <c r="N30" s="385">
        <f t="shared" si="3"/>
        <v>92.307692307692307</v>
      </c>
      <c r="O30" s="384"/>
      <c r="P30" s="384"/>
      <c r="Q30" s="384">
        <v>49.1</v>
      </c>
      <c r="R30" s="421">
        <f t="shared" si="4"/>
        <v>49.1</v>
      </c>
      <c r="S30" s="396">
        <v>4</v>
      </c>
      <c r="T30" s="355"/>
      <c r="U30" s="422"/>
      <c r="V30" s="334" t="s">
        <v>19</v>
      </c>
      <c r="W30" s="334" t="s">
        <v>20</v>
      </c>
      <c r="X30" s="334" t="s">
        <v>12</v>
      </c>
      <c r="Y30" s="334">
        <v>49.1</v>
      </c>
      <c r="Z30" s="343"/>
      <c r="AC30" s="344"/>
      <c r="AD30" s="343"/>
      <c r="AG30" s="344"/>
      <c r="AL30" s="343"/>
      <c r="AO30" s="344"/>
      <c r="AS30" s="344"/>
      <c r="AW30" s="344"/>
      <c r="BA30" s="345"/>
    </row>
    <row r="31" spans="1:53" s="73" customFormat="1" x14ac:dyDescent="0.15">
      <c r="A31" s="102">
        <v>1971</v>
      </c>
      <c r="B31" s="88">
        <v>26228</v>
      </c>
      <c r="C31" s="786" t="s">
        <v>34</v>
      </c>
      <c r="D31" s="786"/>
      <c r="E31" s="73">
        <v>71</v>
      </c>
      <c r="F31" s="84">
        <v>1</v>
      </c>
      <c r="G31" s="123"/>
      <c r="H31" s="102"/>
      <c r="I31" s="102">
        <v>12</v>
      </c>
      <c r="J31" s="130">
        <v>14</v>
      </c>
      <c r="K31" s="91">
        <f t="shared" si="8"/>
        <v>0</v>
      </c>
      <c r="L31" s="92">
        <f t="shared" si="9"/>
        <v>0</v>
      </c>
      <c r="M31" s="92">
        <f t="shared" si="10"/>
        <v>85.714285714285708</v>
      </c>
      <c r="N31" s="93">
        <f t="shared" si="3"/>
        <v>85.714285714285708</v>
      </c>
      <c r="O31" s="92"/>
      <c r="P31" s="92"/>
      <c r="Q31" s="92">
        <v>50.8</v>
      </c>
      <c r="R31" s="125">
        <f t="shared" si="4"/>
        <v>50.8</v>
      </c>
      <c r="S31" s="126">
        <v>1</v>
      </c>
      <c r="T31" s="85">
        <v>26216</v>
      </c>
      <c r="U31" s="127">
        <v>26228</v>
      </c>
      <c r="V31" s="73" t="s">
        <v>19</v>
      </c>
      <c r="W31" s="73" t="s">
        <v>20</v>
      </c>
      <c r="X31" s="73" t="s">
        <v>12</v>
      </c>
      <c r="Y31" s="73">
        <v>50.8</v>
      </c>
      <c r="Z31" s="82"/>
      <c r="AC31" s="83"/>
      <c r="AD31" s="82"/>
      <c r="AG31" s="83"/>
      <c r="AL31" s="82"/>
      <c r="AO31" s="83"/>
      <c r="AS31" s="83"/>
      <c r="AW31" s="83"/>
      <c r="BA31" s="84"/>
    </row>
    <row r="32" spans="1:53" s="73" customFormat="1" x14ac:dyDescent="0.15">
      <c r="A32" s="102">
        <v>1972</v>
      </c>
      <c r="B32" s="88"/>
      <c r="C32" s="786" t="s">
        <v>34</v>
      </c>
      <c r="D32" s="786"/>
      <c r="E32" s="73">
        <v>0</v>
      </c>
      <c r="F32" s="84"/>
      <c r="G32" s="123"/>
      <c r="I32" s="102">
        <v>12</v>
      </c>
      <c r="J32" s="130">
        <v>14</v>
      </c>
      <c r="K32" s="91">
        <f>G32/J32*100</f>
        <v>0</v>
      </c>
      <c r="L32" s="92">
        <f>H32/J32*100</f>
        <v>0</v>
      </c>
      <c r="M32" s="92">
        <f>I32/J32*100</f>
        <v>85.714285714285708</v>
      </c>
      <c r="N32" s="93">
        <f t="shared" si="3"/>
        <v>85.714285714285708</v>
      </c>
      <c r="O32" s="92"/>
      <c r="P32" s="92"/>
      <c r="Q32" s="92">
        <v>50.8</v>
      </c>
      <c r="R32" s="125">
        <f t="shared" si="4"/>
        <v>50.8</v>
      </c>
      <c r="S32" s="126">
        <v>1</v>
      </c>
      <c r="T32" s="85"/>
      <c r="U32" s="127"/>
      <c r="V32" s="73" t="s">
        <v>19</v>
      </c>
      <c r="W32" s="73" t="s">
        <v>20</v>
      </c>
      <c r="X32" s="73" t="s">
        <v>12</v>
      </c>
      <c r="Y32" s="73">
        <v>50.8</v>
      </c>
      <c r="Z32" s="82"/>
      <c r="AC32" s="83"/>
      <c r="AD32" s="82"/>
      <c r="AG32" s="83"/>
      <c r="AL32" s="82"/>
      <c r="AO32" s="83"/>
      <c r="AS32" s="83"/>
      <c r="AW32" s="83"/>
      <c r="BA32" s="84"/>
    </row>
    <row r="33" spans="1:53" s="73" customFormat="1" x14ac:dyDescent="0.15">
      <c r="A33" s="102">
        <v>1972</v>
      </c>
      <c r="B33" s="88"/>
      <c r="C33" s="786" t="s">
        <v>34</v>
      </c>
      <c r="D33" s="786"/>
      <c r="E33" s="73">
        <v>366</v>
      </c>
      <c r="F33" s="84"/>
      <c r="G33" s="102"/>
      <c r="H33" s="102"/>
      <c r="I33" s="102">
        <v>12</v>
      </c>
      <c r="J33" s="130">
        <v>14</v>
      </c>
      <c r="K33" s="91">
        <f t="shared" ref="K33:K39" si="11">G33/J33*100</f>
        <v>0</v>
      </c>
      <c r="L33" s="92">
        <f t="shared" ref="L33:L39" si="12">H33/J33*100</f>
        <v>0</v>
      </c>
      <c r="M33" s="92">
        <f t="shared" ref="M33:M39" si="13">I33/J33*100</f>
        <v>85.714285714285708</v>
      </c>
      <c r="N33" s="93">
        <f t="shared" si="3"/>
        <v>85.714285714285708</v>
      </c>
      <c r="O33" s="92"/>
      <c r="P33" s="92"/>
      <c r="Q33" s="92">
        <v>50.8</v>
      </c>
      <c r="R33" s="125">
        <f t="shared" si="4"/>
        <v>50.8</v>
      </c>
      <c r="S33" s="126">
        <v>1</v>
      </c>
      <c r="T33" s="85"/>
      <c r="U33" s="127"/>
      <c r="V33" s="73" t="s">
        <v>19</v>
      </c>
      <c r="W33" s="73" t="s">
        <v>20</v>
      </c>
      <c r="X33" s="73" t="s">
        <v>12</v>
      </c>
      <c r="Y33" s="73">
        <v>50.8</v>
      </c>
      <c r="Z33" s="82"/>
      <c r="AC33" s="83"/>
      <c r="AD33" s="82"/>
      <c r="AG33" s="83"/>
      <c r="AL33" s="82"/>
      <c r="AO33" s="83"/>
      <c r="AS33" s="83"/>
      <c r="AW33" s="83"/>
      <c r="BA33" s="84"/>
    </row>
    <row r="34" spans="1:53" s="73" customFormat="1" x14ac:dyDescent="0.15">
      <c r="A34" s="102">
        <v>1973</v>
      </c>
      <c r="B34" s="88"/>
      <c r="C34" s="786" t="s">
        <v>34</v>
      </c>
      <c r="D34" s="786"/>
      <c r="E34" s="73">
        <v>0</v>
      </c>
      <c r="F34" s="84"/>
      <c r="G34" s="123"/>
      <c r="H34" s="102"/>
      <c r="I34" s="102">
        <v>12</v>
      </c>
      <c r="J34" s="130">
        <v>14</v>
      </c>
      <c r="K34" s="91">
        <f t="shared" si="11"/>
        <v>0</v>
      </c>
      <c r="L34" s="92">
        <f t="shared" si="12"/>
        <v>0</v>
      </c>
      <c r="M34" s="92">
        <f t="shared" si="13"/>
        <v>85.714285714285708</v>
      </c>
      <c r="N34" s="93">
        <f t="shared" si="3"/>
        <v>85.714285714285708</v>
      </c>
      <c r="O34" s="92"/>
      <c r="P34" s="92"/>
      <c r="Q34" s="92">
        <v>50.8</v>
      </c>
      <c r="R34" s="125">
        <f t="shared" si="4"/>
        <v>50.8</v>
      </c>
      <c r="S34" s="126">
        <v>1</v>
      </c>
      <c r="T34" s="85"/>
      <c r="U34" s="127"/>
      <c r="V34" s="73" t="s">
        <v>19</v>
      </c>
      <c r="W34" s="73" t="s">
        <v>20</v>
      </c>
      <c r="X34" s="73" t="s">
        <v>12</v>
      </c>
      <c r="Y34" s="73">
        <v>50.8</v>
      </c>
      <c r="Z34" s="82"/>
      <c r="AC34" s="83"/>
      <c r="AD34" s="82"/>
      <c r="AG34" s="83"/>
      <c r="AL34" s="82"/>
      <c r="AO34" s="83"/>
      <c r="AS34" s="83"/>
      <c r="AW34" s="83"/>
      <c r="BA34" s="84"/>
    </row>
    <row r="35" spans="1:53" s="73" customFormat="1" x14ac:dyDescent="0.15">
      <c r="A35" s="102">
        <v>1973</v>
      </c>
      <c r="B35" s="88"/>
      <c r="C35" s="786" t="s">
        <v>34</v>
      </c>
      <c r="D35" s="786"/>
      <c r="E35" s="73">
        <v>365</v>
      </c>
      <c r="F35" s="84"/>
      <c r="G35" s="123"/>
      <c r="I35" s="102">
        <v>12</v>
      </c>
      <c r="J35" s="130">
        <v>14</v>
      </c>
      <c r="K35" s="91">
        <f t="shared" si="11"/>
        <v>0</v>
      </c>
      <c r="L35" s="92">
        <f t="shared" si="12"/>
        <v>0</v>
      </c>
      <c r="M35" s="92">
        <f t="shared" si="13"/>
        <v>85.714285714285708</v>
      </c>
      <c r="N35" s="93">
        <f t="shared" si="3"/>
        <v>85.714285714285708</v>
      </c>
      <c r="O35" s="92"/>
      <c r="P35" s="92"/>
      <c r="Q35" s="92">
        <v>50.8</v>
      </c>
      <c r="R35" s="125">
        <f t="shared" si="4"/>
        <v>50.8</v>
      </c>
      <c r="S35" s="126">
        <v>1</v>
      </c>
      <c r="T35" s="85"/>
      <c r="U35" s="127"/>
      <c r="V35" s="73" t="s">
        <v>19</v>
      </c>
      <c r="W35" s="73" t="s">
        <v>20</v>
      </c>
      <c r="X35" s="73" t="s">
        <v>12</v>
      </c>
      <c r="Y35" s="73">
        <v>50.8</v>
      </c>
      <c r="Z35" s="82"/>
      <c r="AC35" s="83"/>
      <c r="AD35" s="82"/>
      <c r="AG35" s="83"/>
      <c r="AL35" s="82"/>
      <c r="AO35" s="83"/>
      <c r="AS35" s="83"/>
      <c r="AW35" s="83"/>
      <c r="BA35" s="84"/>
    </row>
    <row r="36" spans="1:53" s="73" customFormat="1" x14ac:dyDescent="0.15">
      <c r="A36" s="102">
        <v>1974</v>
      </c>
      <c r="B36" s="88"/>
      <c r="C36" s="786" t="s">
        <v>34</v>
      </c>
      <c r="D36" s="786"/>
      <c r="E36" s="73">
        <v>0</v>
      </c>
      <c r="F36" s="84"/>
      <c r="G36" s="102"/>
      <c r="H36" s="102"/>
      <c r="I36" s="102">
        <v>12</v>
      </c>
      <c r="J36" s="130">
        <v>14</v>
      </c>
      <c r="K36" s="91">
        <f t="shared" si="11"/>
        <v>0</v>
      </c>
      <c r="L36" s="92">
        <f t="shared" si="12"/>
        <v>0</v>
      </c>
      <c r="M36" s="92">
        <f t="shared" si="13"/>
        <v>85.714285714285708</v>
      </c>
      <c r="N36" s="93">
        <f t="shared" si="3"/>
        <v>85.714285714285708</v>
      </c>
      <c r="O36" s="92"/>
      <c r="P36" s="92"/>
      <c r="Q36" s="92">
        <v>50.8</v>
      </c>
      <c r="R36" s="125">
        <f t="shared" si="4"/>
        <v>50.8</v>
      </c>
      <c r="S36" s="126">
        <v>1</v>
      </c>
      <c r="T36" s="85"/>
      <c r="U36" s="127"/>
      <c r="V36" s="73" t="s">
        <v>19</v>
      </c>
      <c r="W36" s="73" t="s">
        <v>20</v>
      </c>
      <c r="X36" s="73" t="s">
        <v>12</v>
      </c>
      <c r="Y36" s="73">
        <v>50.8</v>
      </c>
      <c r="Z36" s="82"/>
      <c r="AC36" s="83"/>
      <c r="AD36" s="82"/>
      <c r="AG36" s="83"/>
      <c r="AL36" s="82"/>
      <c r="AO36" s="83"/>
      <c r="AS36" s="83"/>
      <c r="AW36" s="83"/>
      <c r="BA36" s="84"/>
    </row>
    <row r="37" spans="1:53" s="73" customFormat="1" x14ac:dyDescent="0.15">
      <c r="A37" s="102">
        <v>1974</v>
      </c>
      <c r="B37" s="88"/>
      <c r="C37" s="786" t="s">
        <v>34</v>
      </c>
      <c r="D37" s="786"/>
      <c r="E37" s="73">
        <v>365</v>
      </c>
      <c r="F37" s="84"/>
      <c r="G37" s="123"/>
      <c r="H37" s="102"/>
      <c r="I37" s="102">
        <v>12</v>
      </c>
      <c r="J37" s="130">
        <v>14</v>
      </c>
      <c r="K37" s="91">
        <f t="shared" si="11"/>
        <v>0</v>
      </c>
      <c r="L37" s="92">
        <f t="shared" si="12"/>
        <v>0</v>
      </c>
      <c r="M37" s="92">
        <f t="shared" si="13"/>
        <v>85.714285714285708</v>
      </c>
      <c r="N37" s="93">
        <f t="shared" si="3"/>
        <v>85.714285714285708</v>
      </c>
      <c r="O37" s="92"/>
      <c r="P37" s="92"/>
      <c r="Q37" s="92">
        <v>50.8</v>
      </c>
      <c r="R37" s="125">
        <f t="shared" si="4"/>
        <v>50.8</v>
      </c>
      <c r="S37" s="126">
        <v>1</v>
      </c>
      <c r="T37" s="85"/>
      <c r="U37" s="127"/>
      <c r="V37" s="73" t="s">
        <v>19</v>
      </c>
      <c r="W37" s="73" t="s">
        <v>20</v>
      </c>
      <c r="X37" s="73" t="s">
        <v>12</v>
      </c>
      <c r="Y37" s="73">
        <v>50.8</v>
      </c>
      <c r="Z37" s="82"/>
      <c r="AC37" s="83"/>
      <c r="AD37" s="82"/>
      <c r="AG37" s="83"/>
      <c r="AL37" s="82"/>
      <c r="AO37" s="83"/>
      <c r="AS37" s="83"/>
      <c r="AW37" s="83"/>
      <c r="BA37" s="84"/>
    </row>
    <row r="38" spans="1:53" s="73" customFormat="1" x14ac:dyDescent="0.15">
      <c r="A38" s="102">
        <v>1975</v>
      </c>
      <c r="B38" s="88"/>
      <c r="C38" s="786" t="s">
        <v>34</v>
      </c>
      <c r="D38" s="786"/>
      <c r="E38" s="73">
        <v>301</v>
      </c>
      <c r="F38" s="84"/>
      <c r="G38" s="123"/>
      <c r="I38" s="102">
        <v>12</v>
      </c>
      <c r="J38" s="130">
        <v>14</v>
      </c>
      <c r="K38" s="91">
        <f t="shared" si="11"/>
        <v>0</v>
      </c>
      <c r="L38" s="92">
        <f t="shared" si="12"/>
        <v>0</v>
      </c>
      <c r="M38" s="92">
        <f t="shared" si="13"/>
        <v>85.714285714285708</v>
      </c>
      <c r="N38" s="93">
        <f t="shared" si="3"/>
        <v>85.714285714285708</v>
      </c>
      <c r="O38" s="92"/>
      <c r="P38" s="92"/>
      <c r="Q38" s="92">
        <v>50.8</v>
      </c>
      <c r="R38" s="125">
        <f t="shared" si="4"/>
        <v>50.8</v>
      </c>
      <c r="S38" s="126">
        <v>1</v>
      </c>
      <c r="T38" s="85"/>
      <c r="U38" s="127"/>
      <c r="V38" s="73" t="s">
        <v>19</v>
      </c>
      <c r="W38" s="73" t="s">
        <v>20</v>
      </c>
      <c r="X38" s="73" t="s">
        <v>12</v>
      </c>
      <c r="Y38" s="73">
        <v>50.8</v>
      </c>
      <c r="Z38" s="82"/>
      <c r="AC38" s="83"/>
      <c r="AD38" s="82"/>
      <c r="AG38" s="83"/>
      <c r="AL38" s="82"/>
      <c r="AO38" s="83"/>
      <c r="AS38" s="83"/>
      <c r="AW38" s="83"/>
      <c r="BA38" s="84"/>
    </row>
    <row r="39" spans="1:53" s="334" customFormat="1" x14ac:dyDescent="0.15">
      <c r="A39" s="386">
        <v>1975</v>
      </c>
      <c r="B39" s="380">
        <v>27696</v>
      </c>
      <c r="C39" s="785" t="s">
        <v>35</v>
      </c>
      <c r="D39" s="785"/>
      <c r="E39" s="334">
        <v>64</v>
      </c>
      <c r="F39" s="345">
        <v>1</v>
      </c>
      <c r="G39" s="386"/>
      <c r="H39" s="386"/>
      <c r="I39" s="386">
        <v>12</v>
      </c>
      <c r="J39" s="420">
        <v>14</v>
      </c>
      <c r="K39" s="383">
        <f t="shared" si="11"/>
        <v>0</v>
      </c>
      <c r="L39" s="384">
        <f t="shared" si="12"/>
        <v>0</v>
      </c>
      <c r="M39" s="384">
        <f t="shared" si="13"/>
        <v>85.714285714285708</v>
      </c>
      <c r="N39" s="385">
        <f t="shared" si="3"/>
        <v>85.714285714285708</v>
      </c>
      <c r="O39" s="384"/>
      <c r="P39" s="384"/>
      <c r="Q39" s="384">
        <v>50.8</v>
      </c>
      <c r="R39" s="421">
        <f t="shared" si="4"/>
        <v>50.8</v>
      </c>
      <c r="S39" s="396">
        <v>1</v>
      </c>
      <c r="T39" s="355">
        <v>27672</v>
      </c>
      <c r="U39" s="422">
        <v>27696</v>
      </c>
      <c r="V39" s="334" t="s">
        <v>19</v>
      </c>
      <c r="W39" s="334" t="s">
        <v>20</v>
      </c>
      <c r="X39" s="334" t="s">
        <v>12</v>
      </c>
      <c r="Y39" s="334">
        <v>50.8</v>
      </c>
      <c r="Z39" s="343"/>
      <c r="AC39" s="344"/>
      <c r="AD39" s="343"/>
      <c r="AG39" s="344"/>
      <c r="AL39" s="343"/>
      <c r="AO39" s="344"/>
      <c r="AS39" s="344"/>
      <c r="AW39" s="344"/>
      <c r="BA39" s="345"/>
    </row>
    <row r="40" spans="1:53" s="334" customFormat="1" x14ac:dyDescent="0.15">
      <c r="A40" s="386">
        <v>1976</v>
      </c>
      <c r="B40" s="380"/>
      <c r="C40" s="785" t="s">
        <v>35</v>
      </c>
      <c r="D40" s="785"/>
      <c r="E40" s="334">
        <v>0</v>
      </c>
      <c r="F40" s="345"/>
      <c r="G40" s="419"/>
      <c r="H40" s="386"/>
      <c r="I40" s="386">
        <v>12</v>
      </c>
      <c r="J40" s="420">
        <v>14</v>
      </c>
      <c r="K40" s="383">
        <f>G40/J40*100</f>
        <v>0</v>
      </c>
      <c r="L40" s="384">
        <f>H40/J40*100</f>
        <v>0</v>
      </c>
      <c r="M40" s="384">
        <f>I40/J40*100</f>
        <v>85.714285714285708</v>
      </c>
      <c r="N40" s="385">
        <f t="shared" si="3"/>
        <v>85.714285714285708</v>
      </c>
      <c r="O40" s="384"/>
      <c r="P40" s="384"/>
      <c r="Q40" s="384">
        <v>50.8</v>
      </c>
      <c r="R40" s="421">
        <f t="shared" si="4"/>
        <v>50.8</v>
      </c>
      <c r="S40" s="396">
        <v>1</v>
      </c>
      <c r="T40" s="355"/>
      <c r="U40" s="422"/>
      <c r="V40" s="334" t="s">
        <v>19</v>
      </c>
      <c r="W40" s="334" t="s">
        <v>20</v>
      </c>
      <c r="X40" s="334" t="s">
        <v>12</v>
      </c>
      <c r="Y40" s="334">
        <v>50.8</v>
      </c>
      <c r="Z40" s="343"/>
      <c r="AC40" s="344"/>
      <c r="AD40" s="343"/>
      <c r="AG40" s="344"/>
      <c r="AL40" s="343"/>
      <c r="AO40" s="344"/>
      <c r="AS40" s="344"/>
      <c r="AW40" s="344"/>
      <c r="BA40" s="345"/>
    </row>
    <row r="41" spans="1:53" s="334" customFormat="1" x14ac:dyDescent="0.15">
      <c r="A41" s="386">
        <v>1976</v>
      </c>
      <c r="B41" s="380"/>
      <c r="C41" s="785" t="s">
        <v>35</v>
      </c>
      <c r="D41" s="785"/>
      <c r="E41" s="334">
        <v>366</v>
      </c>
      <c r="F41" s="345"/>
      <c r="G41" s="419"/>
      <c r="I41" s="386">
        <v>12</v>
      </c>
      <c r="J41" s="420">
        <v>14</v>
      </c>
      <c r="K41" s="383">
        <f t="shared" ref="K41:K47" si="14">G41/J41*100</f>
        <v>0</v>
      </c>
      <c r="L41" s="384">
        <f t="shared" ref="L41:L47" si="15">H41/J41*100</f>
        <v>0</v>
      </c>
      <c r="M41" s="384">
        <f t="shared" ref="M41:M47" si="16">I41/J41*100</f>
        <v>85.714285714285708</v>
      </c>
      <c r="N41" s="385">
        <f t="shared" si="3"/>
        <v>85.714285714285708</v>
      </c>
      <c r="O41" s="384"/>
      <c r="P41" s="384"/>
      <c r="Q41" s="384">
        <v>50.8</v>
      </c>
      <c r="R41" s="421">
        <f t="shared" si="4"/>
        <v>50.8</v>
      </c>
      <c r="S41" s="396">
        <v>1</v>
      </c>
      <c r="T41" s="355"/>
      <c r="U41" s="422"/>
      <c r="V41" s="334" t="s">
        <v>19</v>
      </c>
      <c r="W41" s="334" t="s">
        <v>20</v>
      </c>
      <c r="X41" s="334" t="s">
        <v>12</v>
      </c>
      <c r="Y41" s="334">
        <v>50.8</v>
      </c>
      <c r="Z41" s="343"/>
      <c r="AC41" s="344"/>
      <c r="AD41" s="343"/>
      <c r="AG41" s="344"/>
      <c r="AL41" s="343"/>
      <c r="AO41" s="344"/>
      <c r="AS41" s="344"/>
      <c r="AW41" s="344"/>
      <c r="BA41" s="345"/>
    </row>
    <row r="42" spans="1:53" s="334" customFormat="1" x14ac:dyDescent="0.15">
      <c r="A42" s="386">
        <v>1977</v>
      </c>
      <c r="B42" s="380"/>
      <c r="C42" s="785" t="s">
        <v>35</v>
      </c>
      <c r="D42" s="785"/>
      <c r="E42" s="334">
        <v>0</v>
      </c>
      <c r="F42" s="345"/>
      <c r="G42" s="386"/>
      <c r="H42" s="386"/>
      <c r="I42" s="386">
        <v>12</v>
      </c>
      <c r="J42" s="420">
        <v>14</v>
      </c>
      <c r="K42" s="383">
        <f t="shared" si="14"/>
        <v>0</v>
      </c>
      <c r="L42" s="384">
        <f t="shared" si="15"/>
        <v>0</v>
      </c>
      <c r="M42" s="384">
        <f t="shared" si="16"/>
        <v>85.714285714285708</v>
      </c>
      <c r="N42" s="385">
        <f t="shared" si="3"/>
        <v>85.714285714285708</v>
      </c>
      <c r="O42" s="384"/>
      <c r="P42" s="384"/>
      <c r="Q42" s="384">
        <v>50.8</v>
      </c>
      <c r="R42" s="421">
        <f t="shared" si="4"/>
        <v>50.8</v>
      </c>
      <c r="S42" s="396">
        <v>1</v>
      </c>
      <c r="T42" s="355"/>
      <c r="U42" s="422"/>
      <c r="V42" s="334" t="s">
        <v>19</v>
      </c>
      <c r="W42" s="334" t="s">
        <v>20</v>
      </c>
      <c r="X42" s="334" t="s">
        <v>12</v>
      </c>
      <c r="Y42" s="334">
        <v>50.8</v>
      </c>
      <c r="Z42" s="343"/>
      <c r="AC42" s="344"/>
      <c r="AD42" s="343"/>
      <c r="AG42" s="344"/>
      <c r="AL42" s="343"/>
      <c r="AO42" s="344"/>
      <c r="AS42" s="344"/>
      <c r="AW42" s="344"/>
      <c r="BA42" s="345"/>
    </row>
    <row r="43" spans="1:53" s="334" customFormat="1" x14ac:dyDescent="0.15">
      <c r="A43" s="386">
        <v>1977</v>
      </c>
      <c r="B43" s="380"/>
      <c r="C43" s="785" t="s">
        <v>35</v>
      </c>
      <c r="D43" s="785"/>
      <c r="E43" s="334">
        <v>365</v>
      </c>
      <c r="F43" s="345"/>
      <c r="G43" s="419"/>
      <c r="H43" s="386"/>
      <c r="I43" s="386">
        <v>12</v>
      </c>
      <c r="J43" s="420">
        <v>14</v>
      </c>
      <c r="K43" s="383">
        <f t="shared" si="14"/>
        <v>0</v>
      </c>
      <c r="L43" s="384">
        <f t="shared" si="15"/>
        <v>0</v>
      </c>
      <c r="M43" s="384">
        <f t="shared" si="16"/>
        <v>85.714285714285708</v>
      </c>
      <c r="N43" s="385">
        <f t="shared" si="3"/>
        <v>85.714285714285708</v>
      </c>
      <c r="O43" s="384"/>
      <c r="P43" s="384"/>
      <c r="Q43" s="384">
        <v>50.8</v>
      </c>
      <c r="R43" s="421">
        <f t="shared" si="4"/>
        <v>50.8</v>
      </c>
      <c r="S43" s="396">
        <v>1</v>
      </c>
      <c r="T43" s="355"/>
      <c r="U43" s="422"/>
      <c r="V43" s="334" t="s">
        <v>19</v>
      </c>
      <c r="W43" s="334" t="s">
        <v>20</v>
      </c>
      <c r="X43" s="334" t="s">
        <v>12</v>
      </c>
      <c r="Y43" s="334">
        <v>50.8</v>
      </c>
      <c r="Z43" s="343"/>
      <c r="AC43" s="344"/>
      <c r="AD43" s="343"/>
      <c r="AG43" s="344"/>
      <c r="AL43" s="343"/>
      <c r="AO43" s="344"/>
      <c r="AS43" s="344"/>
      <c r="AW43" s="344"/>
      <c r="BA43" s="345"/>
    </row>
    <row r="44" spans="1:53" s="334" customFormat="1" x14ac:dyDescent="0.15">
      <c r="A44" s="386">
        <v>1978</v>
      </c>
      <c r="B44" s="380"/>
      <c r="C44" s="785" t="s">
        <v>35</v>
      </c>
      <c r="D44" s="785"/>
      <c r="E44" s="334">
        <v>0</v>
      </c>
      <c r="F44" s="345"/>
      <c r="G44" s="419"/>
      <c r="I44" s="386">
        <v>12</v>
      </c>
      <c r="J44" s="420">
        <v>14</v>
      </c>
      <c r="K44" s="383">
        <f t="shared" si="14"/>
        <v>0</v>
      </c>
      <c r="L44" s="384">
        <f t="shared" si="15"/>
        <v>0</v>
      </c>
      <c r="M44" s="384">
        <f t="shared" si="16"/>
        <v>85.714285714285708</v>
      </c>
      <c r="N44" s="385">
        <f t="shared" si="3"/>
        <v>85.714285714285708</v>
      </c>
      <c r="O44" s="384"/>
      <c r="P44" s="384"/>
      <c r="Q44" s="384">
        <v>50.8</v>
      </c>
      <c r="R44" s="421">
        <f t="shared" si="4"/>
        <v>50.8</v>
      </c>
      <c r="S44" s="396">
        <v>1</v>
      </c>
      <c r="T44" s="355"/>
      <c r="U44" s="422"/>
      <c r="V44" s="334" t="s">
        <v>19</v>
      </c>
      <c r="W44" s="334" t="s">
        <v>20</v>
      </c>
      <c r="X44" s="334" t="s">
        <v>12</v>
      </c>
      <c r="Y44" s="334">
        <v>50.8</v>
      </c>
      <c r="Z44" s="343"/>
      <c r="AC44" s="344"/>
      <c r="AD44" s="343"/>
      <c r="AG44" s="344"/>
      <c r="AL44" s="343"/>
      <c r="AO44" s="344"/>
      <c r="AS44" s="344"/>
      <c r="AW44" s="344"/>
      <c r="BA44" s="345"/>
    </row>
    <row r="45" spans="1:53" s="334" customFormat="1" x14ac:dyDescent="0.15">
      <c r="A45" s="386">
        <v>1978</v>
      </c>
      <c r="B45" s="380"/>
      <c r="C45" s="785" t="s">
        <v>35</v>
      </c>
      <c r="D45" s="785"/>
      <c r="E45" s="334">
        <v>365</v>
      </c>
      <c r="F45" s="345"/>
      <c r="G45" s="386"/>
      <c r="H45" s="386"/>
      <c r="I45" s="386">
        <v>12</v>
      </c>
      <c r="J45" s="420">
        <v>14</v>
      </c>
      <c r="K45" s="383">
        <f t="shared" si="14"/>
        <v>0</v>
      </c>
      <c r="L45" s="384">
        <f t="shared" si="15"/>
        <v>0</v>
      </c>
      <c r="M45" s="384">
        <f t="shared" si="16"/>
        <v>85.714285714285708</v>
      </c>
      <c r="N45" s="385">
        <f t="shared" si="3"/>
        <v>85.714285714285708</v>
      </c>
      <c r="O45" s="384"/>
      <c r="P45" s="384"/>
      <c r="Q45" s="384">
        <v>50.8</v>
      </c>
      <c r="R45" s="421">
        <f t="shared" si="4"/>
        <v>50.8</v>
      </c>
      <c r="S45" s="396">
        <v>1</v>
      </c>
      <c r="T45" s="355"/>
      <c r="U45" s="422"/>
      <c r="V45" s="334" t="s">
        <v>19</v>
      </c>
      <c r="W45" s="334" t="s">
        <v>20</v>
      </c>
      <c r="X45" s="334" t="s">
        <v>12</v>
      </c>
      <c r="Y45" s="334">
        <v>50.8</v>
      </c>
      <c r="Z45" s="343"/>
      <c r="AC45" s="344"/>
      <c r="AD45" s="343"/>
      <c r="AG45" s="344"/>
      <c r="AL45" s="343"/>
      <c r="AO45" s="344"/>
      <c r="AS45" s="344"/>
      <c r="AW45" s="344"/>
      <c r="BA45" s="345"/>
    </row>
    <row r="46" spans="1:53" s="334" customFormat="1" x14ac:dyDescent="0.15">
      <c r="A46" s="386">
        <v>1979</v>
      </c>
      <c r="B46" s="380"/>
      <c r="C46" s="785" t="s">
        <v>35</v>
      </c>
      <c r="D46" s="785"/>
      <c r="E46" s="334">
        <v>129</v>
      </c>
      <c r="F46" s="345"/>
      <c r="G46" s="419"/>
      <c r="H46" s="386"/>
      <c r="I46" s="386">
        <v>12</v>
      </c>
      <c r="J46" s="420">
        <v>14</v>
      </c>
      <c r="K46" s="383">
        <f t="shared" si="14"/>
        <v>0</v>
      </c>
      <c r="L46" s="384">
        <f t="shared" si="15"/>
        <v>0</v>
      </c>
      <c r="M46" s="384">
        <f t="shared" si="16"/>
        <v>85.714285714285708</v>
      </c>
      <c r="N46" s="385">
        <f t="shared" si="3"/>
        <v>85.714285714285708</v>
      </c>
      <c r="O46" s="384"/>
      <c r="P46" s="384"/>
      <c r="Q46" s="384">
        <v>50.8</v>
      </c>
      <c r="R46" s="421">
        <f t="shared" si="4"/>
        <v>50.8</v>
      </c>
      <c r="S46" s="396">
        <v>1</v>
      </c>
      <c r="T46" s="355"/>
      <c r="U46" s="422"/>
      <c r="V46" s="334" t="s">
        <v>19</v>
      </c>
      <c r="W46" s="334" t="s">
        <v>20</v>
      </c>
      <c r="X46" s="334" t="s">
        <v>12</v>
      </c>
      <c r="Y46" s="334">
        <v>50.8</v>
      </c>
      <c r="Z46" s="343"/>
      <c r="AC46" s="344"/>
      <c r="AD46" s="343"/>
      <c r="AG46" s="344"/>
      <c r="AL46" s="343"/>
      <c r="AO46" s="344"/>
      <c r="AS46" s="344"/>
      <c r="AW46" s="344"/>
      <c r="BA46" s="345"/>
    </row>
    <row r="47" spans="1:53" s="73" customFormat="1" x14ac:dyDescent="0.15">
      <c r="A47" s="102">
        <v>1979</v>
      </c>
      <c r="B47" s="88">
        <v>28985</v>
      </c>
      <c r="C47" s="786" t="s">
        <v>36</v>
      </c>
      <c r="D47" s="786"/>
      <c r="E47" s="73">
        <v>236</v>
      </c>
      <c r="F47" s="84">
        <v>1</v>
      </c>
      <c r="G47" s="123"/>
      <c r="I47" s="102">
        <v>15</v>
      </c>
      <c r="J47" s="130">
        <v>15</v>
      </c>
      <c r="K47" s="91">
        <f t="shared" si="14"/>
        <v>0</v>
      </c>
      <c r="L47" s="92">
        <f t="shared" si="15"/>
        <v>0</v>
      </c>
      <c r="M47" s="92">
        <f t="shared" si="16"/>
        <v>100</v>
      </c>
      <c r="N47" s="93">
        <f t="shared" si="3"/>
        <v>100</v>
      </c>
      <c r="O47" s="92"/>
      <c r="P47" s="92"/>
      <c r="Q47" s="92">
        <v>51.9</v>
      </c>
      <c r="R47" s="125">
        <f t="shared" si="4"/>
        <v>51.9</v>
      </c>
      <c r="S47" s="126">
        <v>1</v>
      </c>
      <c r="T47" s="85">
        <v>29134</v>
      </c>
      <c r="U47" s="127">
        <v>28985</v>
      </c>
      <c r="V47" s="73" t="s">
        <v>19</v>
      </c>
      <c r="W47" s="73" t="s">
        <v>20</v>
      </c>
      <c r="X47" s="73" t="s">
        <v>12</v>
      </c>
      <c r="Y47" s="73">
        <v>51.9</v>
      </c>
      <c r="Z47" s="82"/>
      <c r="AC47" s="83"/>
      <c r="AD47" s="82"/>
      <c r="AG47" s="83"/>
      <c r="AL47" s="82"/>
      <c r="AO47" s="83"/>
      <c r="AS47" s="83"/>
      <c r="AW47" s="83"/>
      <c r="BA47" s="84"/>
    </row>
    <row r="48" spans="1:53" s="73" customFormat="1" x14ac:dyDescent="0.15">
      <c r="A48" s="102">
        <v>1980</v>
      </c>
      <c r="B48" s="88"/>
      <c r="C48" s="786" t="s">
        <v>36</v>
      </c>
      <c r="D48" s="786"/>
      <c r="E48" s="73">
        <v>0</v>
      </c>
      <c r="F48" s="84"/>
      <c r="G48" s="102"/>
      <c r="H48" s="102"/>
      <c r="I48" s="102">
        <v>15</v>
      </c>
      <c r="J48" s="130">
        <v>15</v>
      </c>
      <c r="K48" s="91">
        <f>G48/J48*100</f>
        <v>0</v>
      </c>
      <c r="L48" s="92">
        <f>H48/J48*100</f>
        <v>0</v>
      </c>
      <c r="M48" s="92">
        <f>I48/J48*100</f>
        <v>100</v>
      </c>
      <c r="N48" s="93">
        <f t="shared" si="3"/>
        <v>100</v>
      </c>
      <c r="O48" s="92"/>
      <c r="P48" s="92"/>
      <c r="Q48" s="92">
        <v>51.9</v>
      </c>
      <c r="R48" s="125">
        <f t="shared" si="4"/>
        <v>51.9</v>
      </c>
      <c r="S48" s="126">
        <v>1</v>
      </c>
      <c r="T48" s="85"/>
      <c r="U48" s="127"/>
      <c r="V48" s="73" t="s">
        <v>19</v>
      </c>
      <c r="W48" s="73" t="s">
        <v>20</v>
      </c>
      <c r="X48" s="73" t="s">
        <v>12</v>
      </c>
      <c r="Y48" s="73">
        <v>51.9</v>
      </c>
      <c r="Z48" s="82"/>
      <c r="AC48" s="83"/>
      <c r="AD48" s="82"/>
      <c r="AG48" s="83"/>
      <c r="AL48" s="82"/>
      <c r="AO48" s="83"/>
      <c r="AS48" s="83"/>
      <c r="AW48" s="83"/>
      <c r="BA48" s="84"/>
    </row>
    <row r="49" spans="1:53" s="73" customFormat="1" x14ac:dyDescent="0.15">
      <c r="A49" s="102">
        <v>1980</v>
      </c>
      <c r="B49" s="88"/>
      <c r="C49" s="786" t="s">
        <v>36</v>
      </c>
      <c r="D49" s="786"/>
      <c r="E49" s="73">
        <v>366</v>
      </c>
      <c r="F49" s="84"/>
      <c r="G49" s="123"/>
      <c r="H49" s="102"/>
      <c r="I49" s="102">
        <v>15</v>
      </c>
      <c r="J49" s="130">
        <v>15</v>
      </c>
      <c r="K49" s="91">
        <f t="shared" ref="K49:K55" si="17">G49/J49*100</f>
        <v>0</v>
      </c>
      <c r="L49" s="92">
        <f t="shared" ref="L49:L55" si="18">H49/J49*100</f>
        <v>0</v>
      </c>
      <c r="M49" s="92">
        <f t="shared" ref="M49:M55" si="19">I49/J49*100</f>
        <v>100</v>
      </c>
      <c r="N49" s="93">
        <f t="shared" si="3"/>
        <v>100</v>
      </c>
      <c r="O49" s="92"/>
      <c r="P49" s="92"/>
      <c r="Q49" s="92">
        <v>51.9</v>
      </c>
      <c r="R49" s="125">
        <f t="shared" si="4"/>
        <v>51.9</v>
      </c>
      <c r="S49" s="126">
        <v>1</v>
      </c>
      <c r="T49" s="85"/>
      <c r="U49" s="127"/>
      <c r="V49" s="73" t="s">
        <v>19</v>
      </c>
      <c r="W49" s="73" t="s">
        <v>20</v>
      </c>
      <c r="X49" s="73" t="s">
        <v>12</v>
      </c>
      <c r="Y49" s="73">
        <v>51.9</v>
      </c>
      <c r="Z49" s="82"/>
      <c r="AC49" s="83"/>
      <c r="AD49" s="82"/>
      <c r="AG49" s="83"/>
      <c r="AL49" s="82"/>
      <c r="AO49" s="83"/>
      <c r="AS49" s="83"/>
      <c r="AW49" s="83"/>
      <c r="BA49" s="84"/>
    </row>
    <row r="50" spans="1:53" s="73" customFormat="1" x14ac:dyDescent="0.15">
      <c r="A50" s="102">
        <v>1981</v>
      </c>
      <c r="B50" s="88"/>
      <c r="C50" s="786" t="s">
        <v>36</v>
      </c>
      <c r="D50" s="786"/>
      <c r="E50" s="73">
        <v>0</v>
      </c>
      <c r="F50" s="84"/>
      <c r="G50" s="123"/>
      <c r="I50" s="102">
        <v>15</v>
      </c>
      <c r="J50" s="130">
        <v>15</v>
      </c>
      <c r="K50" s="91">
        <f t="shared" si="17"/>
        <v>0</v>
      </c>
      <c r="L50" s="92">
        <f t="shared" si="18"/>
        <v>0</v>
      </c>
      <c r="M50" s="92">
        <f t="shared" si="19"/>
        <v>100</v>
      </c>
      <c r="N50" s="93">
        <f t="shared" si="3"/>
        <v>100</v>
      </c>
      <c r="O50" s="92"/>
      <c r="P50" s="92"/>
      <c r="Q50" s="92">
        <v>51.9</v>
      </c>
      <c r="R50" s="125">
        <f t="shared" si="4"/>
        <v>51.9</v>
      </c>
      <c r="S50" s="126">
        <v>1</v>
      </c>
      <c r="T50" s="85"/>
      <c r="U50" s="127"/>
      <c r="V50" s="73" t="s">
        <v>19</v>
      </c>
      <c r="W50" s="73" t="s">
        <v>20</v>
      </c>
      <c r="X50" s="73" t="s">
        <v>12</v>
      </c>
      <c r="Y50" s="73">
        <v>51.9</v>
      </c>
      <c r="Z50" s="82"/>
      <c r="AC50" s="83"/>
      <c r="AD50" s="82"/>
      <c r="AG50" s="83"/>
      <c r="AL50" s="82"/>
      <c r="AO50" s="83"/>
      <c r="AS50" s="83"/>
      <c r="AW50" s="83"/>
      <c r="BA50" s="84"/>
    </row>
    <row r="51" spans="1:53" s="73" customFormat="1" x14ac:dyDescent="0.15">
      <c r="A51" s="102">
        <v>1981</v>
      </c>
      <c r="B51" s="88"/>
      <c r="C51" s="786" t="s">
        <v>36</v>
      </c>
      <c r="D51" s="786"/>
      <c r="E51" s="73">
        <v>365</v>
      </c>
      <c r="F51" s="84"/>
      <c r="G51" s="102"/>
      <c r="H51" s="102"/>
      <c r="I51" s="102">
        <v>15</v>
      </c>
      <c r="J51" s="130">
        <v>15</v>
      </c>
      <c r="K51" s="91">
        <f t="shared" si="17"/>
        <v>0</v>
      </c>
      <c r="L51" s="92">
        <f t="shared" si="18"/>
        <v>0</v>
      </c>
      <c r="M51" s="92">
        <f t="shared" si="19"/>
        <v>100</v>
      </c>
      <c r="N51" s="93">
        <f t="shared" si="3"/>
        <v>100</v>
      </c>
      <c r="O51" s="92"/>
      <c r="P51" s="92"/>
      <c r="Q51" s="92">
        <v>51.9</v>
      </c>
      <c r="R51" s="125">
        <f t="shared" si="4"/>
        <v>51.9</v>
      </c>
      <c r="S51" s="126">
        <v>1</v>
      </c>
      <c r="T51" s="85"/>
      <c r="U51" s="127"/>
      <c r="V51" s="73" t="s">
        <v>19</v>
      </c>
      <c r="W51" s="73" t="s">
        <v>20</v>
      </c>
      <c r="X51" s="73" t="s">
        <v>12</v>
      </c>
      <c r="Y51" s="73">
        <v>51.9</v>
      </c>
      <c r="Z51" s="82"/>
      <c r="AC51" s="83"/>
      <c r="AD51" s="82"/>
      <c r="AG51" s="83"/>
      <c r="AL51" s="82"/>
      <c r="AO51" s="83"/>
      <c r="AS51" s="83"/>
      <c r="AW51" s="83"/>
      <c r="BA51" s="84"/>
    </row>
    <row r="52" spans="1:53" s="73" customFormat="1" x14ac:dyDescent="0.15">
      <c r="A52" s="102">
        <v>1982</v>
      </c>
      <c r="B52" s="88"/>
      <c r="C52" s="786" t="s">
        <v>36</v>
      </c>
      <c r="D52" s="786"/>
      <c r="E52" s="73">
        <v>0</v>
      </c>
      <c r="F52" s="84"/>
      <c r="G52" s="123"/>
      <c r="H52" s="102"/>
      <c r="I52" s="102">
        <v>15</v>
      </c>
      <c r="J52" s="130">
        <v>15</v>
      </c>
      <c r="K52" s="91">
        <f t="shared" si="17"/>
        <v>0</v>
      </c>
      <c r="L52" s="92">
        <f t="shared" si="18"/>
        <v>0</v>
      </c>
      <c r="M52" s="92">
        <f t="shared" si="19"/>
        <v>100</v>
      </c>
      <c r="N52" s="93">
        <f t="shared" si="3"/>
        <v>100</v>
      </c>
      <c r="O52" s="92"/>
      <c r="P52" s="92"/>
      <c r="Q52" s="92">
        <v>51.9</v>
      </c>
      <c r="R52" s="125">
        <f t="shared" si="4"/>
        <v>51.9</v>
      </c>
      <c r="S52" s="126">
        <v>1</v>
      </c>
      <c r="T52" s="85"/>
      <c r="U52" s="127"/>
      <c r="V52" s="73" t="s">
        <v>19</v>
      </c>
      <c r="W52" s="73" t="s">
        <v>20</v>
      </c>
      <c r="X52" s="73" t="s">
        <v>12</v>
      </c>
      <c r="Y52" s="73">
        <v>51.9</v>
      </c>
      <c r="Z52" s="82"/>
      <c r="AC52" s="83"/>
      <c r="AD52" s="82"/>
      <c r="AG52" s="83"/>
      <c r="AL52" s="82"/>
      <c r="AO52" s="83"/>
      <c r="AS52" s="83"/>
      <c r="AW52" s="83"/>
      <c r="BA52" s="84"/>
    </row>
    <row r="53" spans="1:53" s="73" customFormat="1" x14ac:dyDescent="0.15">
      <c r="A53" s="102">
        <v>1982</v>
      </c>
      <c r="B53" s="88"/>
      <c r="C53" s="786" t="s">
        <v>36</v>
      </c>
      <c r="D53" s="786"/>
      <c r="E53" s="73">
        <v>365</v>
      </c>
      <c r="F53" s="84"/>
      <c r="G53" s="123"/>
      <c r="I53" s="102">
        <v>15</v>
      </c>
      <c r="J53" s="130">
        <v>15</v>
      </c>
      <c r="K53" s="91">
        <f t="shared" si="17"/>
        <v>0</v>
      </c>
      <c r="L53" s="92">
        <f t="shared" si="18"/>
        <v>0</v>
      </c>
      <c r="M53" s="92">
        <f t="shared" si="19"/>
        <v>100</v>
      </c>
      <c r="N53" s="93">
        <f t="shared" si="3"/>
        <v>100</v>
      </c>
      <c r="O53" s="92"/>
      <c r="P53" s="92"/>
      <c r="Q53" s="92">
        <v>51.9</v>
      </c>
      <c r="R53" s="125">
        <f t="shared" si="4"/>
        <v>51.9</v>
      </c>
      <c r="S53" s="126">
        <v>1</v>
      </c>
      <c r="T53" s="85"/>
      <c r="U53" s="127"/>
      <c r="V53" s="73" t="s">
        <v>19</v>
      </c>
      <c r="W53" s="73" t="s">
        <v>20</v>
      </c>
      <c r="X53" s="73" t="s">
        <v>12</v>
      </c>
      <c r="Y53" s="73">
        <v>51.9</v>
      </c>
      <c r="Z53" s="82"/>
      <c r="AC53" s="83"/>
      <c r="AD53" s="82"/>
      <c r="AG53" s="83"/>
      <c r="AL53" s="82"/>
      <c r="AO53" s="83"/>
      <c r="AS53" s="83"/>
      <c r="AW53" s="83"/>
      <c r="BA53" s="84"/>
    </row>
    <row r="54" spans="1:53" s="73" customFormat="1" x14ac:dyDescent="0.15">
      <c r="A54" s="102">
        <v>1983</v>
      </c>
      <c r="B54" s="88"/>
      <c r="C54" s="786" t="s">
        <v>36</v>
      </c>
      <c r="D54" s="786"/>
      <c r="E54" s="73">
        <v>143</v>
      </c>
      <c r="F54" s="84"/>
      <c r="G54" s="102"/>
      <c r="H54" s="102"/>
      <c r="I54" s="102">
        <v>15</v>
      </c>
      <c r="J54" s="130">
        <v>15</v>
      </c>
      <c r="K54" s="91">
        <f t="shared" si="17"/>
        <v>0</v>
      </c>
      <c r="L54" s="92">
        <f t="shared" si="18"/>
        <v>0</v>
      </c>
      <c r="M54" s="92">
        <f t="shared" si="19"/>
        <v>100</v>
      </c>
      <c r="N54" s="93">
        <f t="shared" si="3"/>
        <v>100</v>
      </c>
      <c r="O54" s="92"/>
      <c r="P54" s="92"/>
      <c r="Q54" s="92">
        <v>51.9</v>
      </c>
      <c r="R54" s="125">
        <f t="shared" si="4"/>
        <v>51.9</v>
      </c>
      <c r="S54" s="126">
        <v>1</v>
      </c>
      <c r="T54" s="85"/>
      <c r="U54" s="127"/>
      <c r="V54" s="73" t="s">
        <v>19</v>
      </c>
      <c r="W54" s="73" t="s">
        <v>20</v>
      </c>
      <c r="X54" s="73" t="s">
        <v>12</v>
      </c>
      <c r="Y54" s="73">
        <v>51.9</v>
      </c>
      <c r="Z54" s="82"/>
      <c r="AC54" s="83"/>
      <c r="AD54" s="82"/>
      <c r="AG54" s="83"/>
      <c r="AL54" s="82"/>
      <c r="AO54" s="83"/>
      <c r="AS54" s="83"/>
      <c r="AW54" s="83"/>
      <c r="BA54" s="84"/>
    </row>
    <row r="55" spans="1:53" s="334" customFormat="1" x14ac:dyDescent="0.15">
      <c r="A55" s="386">
        <v>1983</v>
      </c>
      <c r="B55" s="380">
        <v>30460</v>
      </c>
      <c r="C55" s="816" t="s">
        <v>38</v>
      </c>
      <c r="D55" s="816"/>
      <c r="E55" s="334">
        <v>222</v>
      </c>
      <c r="F55" s="345">
        <v>1</v>
      </c>
      <c r="G55" s="386">
        <v>3</v>
      </c>
      <c r="H55" s="386"/>
      <c r="I55" s="386">
        <v>12</v>
      </c>
      <c r="J55" s="420">
        <v>15</v>
      </c>
      <c r="K55" s="383">
        <f t="shared" si="17"/>
        <v>20</v>
      </c>
      <c r="L55" s="384">
        <f t="shared" si="18"/>
        <v>0</v>
      </c>
      <c r="M55" s="384">
        <f t="shared" si="19"/>
        <v>80</v>
      </c>
      <c r="N55" s="385">
        <f t="shared" si="3"/>
        <v>100</v>
      </c>
      <c r="O55" s="384">
        <v>6.6</v>
      </c>
      <c r="P55" s="384"/>
      <c r="Q55" s="384">
        <v>49.2</v>
      </c>
      <c r="R55" s="421">
        <f t="shared" si="4"/>
        <v>55.800000000000004</v>
      </c>
      <c r="S55" s="396">
        <v>2</v>
      </c>
      <c r="T55" s="355">
        <v>30430</v>
      </c>
      <c r="U55" s="422">
        <v>30460</v>
      </c>
      <c r="V55" s="334" t="s">
        <v>19</v>
      </c>
      <c r="W55" s="334" t="s">
        <v>20</v>
      </c>
      <c r="X55" s="334" t="s">
        <v>12</v>
      </c>
      <c r="Y55" s="334">
        <v>49.2</v>
      </c>
      <c r="Z55" s="343" t="s">
        <v>21</v>
      </c>
      <c r="AA55" s="334" t="s">
        <v>22</v>
      </c>
      <c r="AB55" s="334" t="s">
        <v>11</v>
      </c>
      <c r="AC55" s="344">
        <v>6.6</v>
      </c>
      <c r="AD55" s="343"/>
      <c r="AG55" s="344"/>
      <c r="AL55" s="343"/>
      <c r="AO55" s="344"/>
      <c r="AS55" s="344"/>
      <c r="AW55" s="344"/>
      <c r="BA55" s="345"/>
    </row>
    <row r="56" spans="1:53" s="334" customFormat="1" x14ac:dyDescent="0.15">
      <c r="A56" s="386">
        <v>1984</v>
      </c>
      <c r="B56" s="380"/>
      <c r="C56" s="816" t="s">
        <v>38</v>
      </c>
      <c r="D56" s="816"/>
      <c r="E56" s="334">
        <v>0</v>
      </c>
      <c r="F56" s="345"/>
      <c r="G56" s="386">
        <v>3</v>
      </c>
      <c r="I56" s="386">
        <v>12</v>
      </c>
      <c r="J56" s="420">
        <v>15</v>
      </c>
      <c r="K56" s="383">
        <f>G56/J56*100</f>
        <v>20</v>
      </c>
      <c r="L56" s="384">
        <f>H56/J56*100</f>
        <v>0</v>
      </c>
      <c r="M56" s="384">
        <f>I56/J56*100</f>
        <v>80</v>
      </c>
      <c r="N56" s="385">
        <f t="shared" si="3"/>
        <v>100</v>
      </c>
      <c r="O56" s="384">
        <v>6.6</v>
      </c>
      <c r="P56" s="384"/>
      <c r="Q56" s="384">
        <v>49.2</v>
      </c>
      <c r="R56" s="421">
        <f t="shared" si="4"/>
        <v>55.800000000000004</v>
      </c>
      <c r="S56" s="396">
        <v>2</v>
      </c>
      <c r="T56" s="355"/>
      <c r="U56" s="422"/>
      <c r="V56" s="334" t="s">
        <v>19</v>
      </c>
      <c r="W56" s="334" t="s">
        <v>20</v>
      </c>
      <c r="X56" s="334" t="s">
        <v>12</v>
      </c>
      <c r="Y56" s="334">
        <v>49.2</v>
      </c>
      <c r="Z56" s="343" t="s">
        <v>21</v>
      </c>
      <c r="AA56" s="334" t="s">
        <v>22</v>
      </c>
      <c r="AB56" s="334" t="s">
        <v>11</v>
      </c>
      <c r="AC56" s="344">
        <v>6.6</v>
      </c>
      <c r="AD56" s="343"/>
      <c r="AG56" s="344"/>
      <c r="AL56" s="343"/>
      <c r="AO56" s="344"/>
      <c r="AS56" s="344"/>
      <c r="AW56" s="344"/>
      <c r="BA56" s="345"/>
    </row>
    <row r="57" spans="1:53" s="334" customFormat="1" x14ac:dyDescent="0.15">
      <c r="A57" s="386">
        <v>1984</v>
      </c>
      <c r="B57" s="380"/>
      <c r="C57" s="816" t="s">
        <v>38</v>
      </c>
      <c r="D57" s="816"/>
      <c r="E57" s="334">
        <v>366</v>
      </c>
      <c r="F57" s="345"/>
      <c r="G57" s="386">
        <v>3</v>
      </c>
      <c r="H57" s="386"/>
      <c r="I57" s="386">
        <v>12</v>
      </c>
      <c r="J57" s="420">
        <v>15</v>
      </c>
      <c r="K57" s="383">
        <f t="shared" ref="K57:K63" si="20">G57/J57*100</f>
        <v>20</v>
      </c>
      <c r="L57" s="384">
        <f t="shared" ref="L57:L63" si="21">H57/J57*100</f>
        <v>0</v>
      </c>
      <c r="M57" s="384">
        <f t="shared" ref="M57:M63" si="22">I57/J57*100</f>
        <v>80</v>
      </c>
      <c r="N57" s="385">
        <f t="shared" si="3"/>
        <v>100</v>
      </c>
      <c r="O57" s="384">
        <v>6.6</v>
      </c>
      <c r="P57" s="384"/>
      <c r="Q57" s="384">
        <v>49.2</v>
      </c>
      <c r="R57" s="421">
        <f t="shared" si="4"/>
        <v>55.800000000000004</v>
      </c>
      <c r="S57" s="396">
        <v>2</v>
      </c>
      <c r="T57" s="355"/>
      <c r="U57" s="422"/>
      <c r="V57" s="334" t="s">
        <v>19</v>
      </c>
      <c r="W57" s="334" t="s">
        <v>20</v>
      </c>
      <c r="X57" s="334" t="s">
        <v>12</v>
      </c>
      <c r="Y57" s="334">
        <v>49.2</v>
      </c>
      <c r="Z57" s="343" t="s">
        <v>21</v>
      </c>
      <c r="AA57" s="334" t="s">
        <v>22</v>
      </c>
      <c r="AB57" s="334" t="s">
        <v>11</v>
      </c>
      <c r="AC57" s="344">
        <v>6.6</v>
      </c>
      <c r="AD57" s="343"/>
      <c r="AG57" s="344"/>
      <c r="AL57" s="343"/>
      <c r="AO57" s="344"/>
      <c r="AS57" s="344"/>
      <c r="AW57" s="344"/>
      <c r="BA57" s="345"/>
    </row>
    <row r="58" spans="1:53" s="334" customFormat="1" x14ac:dyDescent="0.15">
      <c r="A58" s="386">
        <v>1985</v>
      </c>
      <c r="B58" s="380"/>
      <c r="C58" s="816" t="s">
        <v>38</v>
      </c>
      <c r="D58" s="816"/>
      <c r="E58" s="334">
        <v>0</v>
      </c>
      <c r="F58" s="345"/>
      <c r="G58" s="386">
        <v>3</v>
      </c>
      <c r="H58" s="386"/>
      <c r="I58" s="386">
        <v>12</v>
      </c>
      <c r="J58" s="420">
        <v>15</v>
      </c>
      <c r="K58" s="383">
        <f t="shared" si="20"/>
        <v>20</v>
      </c>
      <c r="L58" s="384">
        <f t="shared" si="21"/>
        <v>0</v>
      </c>
      <c r="M58" s="384">
        <f t="shared" si="22"/>
        <v>80</v>
      </c>
      <c r="N58" s="385">
        <f t="shared" si="3"/>
        <v>100</v>
      </c>
      <c r="O58" s="384">
        <v>6.6</v>
      </c>
      <c r="P58" s="384"/>
      <c r="Q58" s="384">
        <v>49.2</v>
      </c>
      <c r="R58" s="421">
        <f t="shared" si="4"/>
        <v>55.800000000000004</v>
      </c>
      <c r="S58" s="396">
        <v>2</v>
      </c>
      <c r="T58" s="355"/>
      <c r="U58" s="422"/>
      <c r="V58" s="334" t="s">
        <v>19</v>
      </c>
      <c r="W58" s="334" t="s">
        <v>20</v>
      </c>
      <c r="X58" s="334" t="s">
        <v>12</v>
      </c>
      <c r="Y58" s="334">
        <v>49.2</v>
      </c>
      <c r="Z58" s="343" t="s">
        <v>21</v>
      </c>
      <c r="AA58" s="334" t="s">
        <v>22</v>
      </c>
      <c r="AB58" s="334" t="s">
        <v>11</v>
      </c>
      <c r="AC58" s="344">
        <v>6.6</v>
      </c>
      <c r="AD58" s="343"/>
      <c r="AG58" s="344"/>
      <c r="AL58" s="343"/>
      <c r="AO58" s="344"/>
      <c r="AS58" s="344"/>
      <c r="AW58" s="344"/>
      <c r="BA58" s="345"/>
    </row>
    <row r="59" spans="1:53" s="334" customFormat="1" x14ac:dyDescent="0.15">
      <c r="A59" s="386">
        <v>1985</v>
      </c>
      <c r="B59" s="380"/>
      <c r="C59" s="816" t="s">
        <v>38</v>
      </c>
      <c r="D59" s="816"/>
      <c r="E59" s="334">
        <v>365</v>
      </c>
      <c r="F59" s="345"/>
      <c r="G59" s="386">
        <v>3</v>
      </c>
      <c r="I59" s="386">
        <v>12</v>
      </c>
      <c r="J59" s="420">
        <v>15</v>
      </c>
      <c r="K59" s="383">
        <f t="shared" si="20"/>
        <v>20</v>
      </c>
      <c r="L59" s="384">
        <f t="shared" si="21"/>
        <v>0</v>
      </c>
      <c r="M59" s="384">
        <f t="shared" si="22"/>
        <v>80</v>
      </c>
      <c r="N59" s="385">
        <f t="shared" si="3"/>
        <v>100</v>
      </c>
      <c r="O59" s="384">
        <v>6.6</v>
      </c>
      <c r="P59" s="384"/>
      <c r="Q59" s="384">
        <v>49.2</v>
      </c>
      <c r="R59" s="421">
        <f t="shared" si="4"/>
        <v>55.800000000000004</v>
      </c>
      <c r="S59" s="396">
        <v>2</v>
      </c>
      <c r="T59" s="355"/>
      <c r="U59" s="422"/>
      <c r="V59" s="334" t="s">
        <v>19</v>
      </c>
      <c r="W59" s="334" t="s">
        <v>20</v>
      </c>
      <c r="X59" s="334" t="s">
        <v>12</v>
      </c>
      <c r="Y59" s="334">
        <v>49.2</v>
      </c>
      <c r="Z59" s="343" t="s">
        <v>21</v>
      </c>
      <c r="AA59" s="334" t="s">
        <v>22</v>
      </c>
      <c r="AB59" s="334" t="s">
        <v>11</v>
      </c>
      <c r="AC59" s="344">
        <v>6.6</v>
      </c>
      <c r="AD59" s="343"/>
      <c r="AG59" s="344"/>
      <c r="AL59" s="343"/>
      <c r="AO59" s="344"/>
      <c r="AS59" s="344"/>
      <c r="AW59" s="344"/>
      <c r="BA59" s="345"/>
    </row>
    <row r="60" spans="1:53" s="334" customFormat="1" x14ac:dyDescent="0.15">
      <c r="A60" s="386">
        <v>1986</v>
      </c>
      <c r="B60" s="380"/>
      <c r="C60" s="816" t="s">
        <v>38</v>
      </c>
      <c r="D60" s="816"/>
      <c r="E60" s="334">
        <v>166</v>
      </c>
      <c r="F60" s="345"/>
      <c r="G60" s="386">
        <v>3</v>
      </c>
      <c r="H60" s="386"/>
      <c r="I60" s="386">
        <v>12</v>
      </c>
      <c r="J60" s="420">
        <v>15</v>
      </c>
      <c r="K60" s="383">
        <f t="shared" si="20"/>
        <v>20</v>
      </c>
      <c r="L60" s="384">
        <f t="shared" si="21"/>
        <v>0</v>
      </c>
      <c r="M60" s="384">
        <f t="shared" si="22"/>
        <v>80</v>
      </c>
      <c r="N60" s="385">
        <f t="shared" si="3"/>
        <v>100</v>
      </c>
      <c r="O60" s="384">
        <v>6.6</v>
      </c>
      <c r="P60" s="384"/>
      <c r="Q60" s="384">
        <v>49.2</v>
      </c>
      <c r="R60" s="421">
        <f t="shared" si="4"/>
        <v>55.800000000000004</v>
      </c>
      <c r="S60" s="396">
        <v>2</v>
      </c>
      <c r="T60" s="355"/>
      <c r="U60" s="422"/>
      <c r="V60" s="334" t="s">
        <v>19</v>
      </c>
      <c r="W60" s="334" t="s">
        <v>20</v>
      </c>
      <c r="X60" s="334" t="s">
        <v>12</v>
      </c>
      <c r="Y60" s="334">
        <v>49.2</v>
      </c>
      <c r="Z60" s="343" t="s">
        <v>21</v>
      </c>
      <c r="AA60" s="334" t="s">
        <v>22</v>
      </c>
      <c r="AB60" s="334" t="s">
        <v>11</v>
      </c>
      <c r="AC60" s="344">
        <v>6.6</v>
      </c>
      <c r="AD60" s="343"/>
      <c r="AG60" s="344"/>
      <c r="AL60" s="343"/>
      <c r="AO60" s="344"/>
      <c r="AS60" s="344"/>
      <c r="AW60" s="344"/>
      <c r="BA60" s="345"/>
    </row>
    <row r="61" spans="1:53" s="73" customFormat="1" x14ac:dyDescent="0.15">
      <c r="A61" s="102">
        <v>1986</v>
      </c>
      <c r="B61" s="88">
        <v>31579</v>
      </c>
      <c r="C61" s="817" t="s">
        <v>37</v>
      </c>
      <c r="D61" s="817"/>
      <c r="E61" s="73">
        <v>199</v>
      </c>
      <c r="F61" s="84">
        <v>2</v>
      </c>
      <c r="G61" s="102">
        <v>3</v>
      </c>
      <c r="H61" s="102"/>
      <c r="I61" s="102">
        <v>13</v>
      </c>
      <c r="J61" s="130">
        <v>16</v>
      </c>
      <c r="K61" s="91">
        <f t="shared" si="20"/>
        <v>18.75</v>
      </c>
      <c r="L61" s="92">
        <f t="shared" si="21"/>
        <v>0</v>
      </c>
      <c r="M61" s="92">
        <f t="shared" si="22"/>
        <v>81.25</v>
      </c>
      <c r="N61" s="93">
        <f t="shared" si="3"/>
        <v>100</v>
      </c>
      <c r="O61" s="92">
        <v>6.6</v>
      </c>
      <c r="P61" s="92"/>
      <c r="Q61" s="92">
        <v>49.2</v>
      </c>
      <c r="R61" s="125">
        <f t="shared" si="4"/>
        <v>55.800000000000004</v>
      </c>
      <c r="S61" s="126">
        <v>2</v>
      </c>
      <c r="T61" s="85"/>
      <c r="U61" s="127">
        <v>31579</v>
      </c>
      <c r="V61" s="73" t="s">
        <v>19</v>
      </c>
      <c r="W61" s="73" t="s">
        <v>20</v>
      </c>
      <c r="X61" s="73" t="s">
        <v>12</v>
      </c>
      <c r="Y61" s="73">
        <v>49.2</v>
      </c>
      <c r="Z61" s="82" t="s">
        <v>21</v>
      </c>
      <c r="AA61" s="73" t="s">
        <v>22</v>
      </c>
      <c r="AB61" s="73" t="s">
        <v>11</v>
      </c>
      <c r="AC61" s="83">
        <v>6.6</v>
      </c>
      <c r="AD61" s="82"/>
      <c r="AG61" s="83"/>
      <c r="AL61" s="82"/>
      <c r="AO61" s="83"/>
      <c r="AS61" s="83"/>
      <c r="AW61" s="83"/>
      <c r="BA61" s="84"/>
    </row>
    <row r="62" spans="1:53" s="73" customFormat="1" x14ac:dyDescent="0.15">
      <c r="A62" s="102">
        <v>1987</v>
      </c>
      <c r="B62" s="88"/>
      <c r="C62" s="817" t="s">
        <v>37</v>
      </c>
      <c r="D62" s="817"/>
      <c r="E62" s="73">
        <v>20</v>
      </c>
      <c r="F62" s="84"/>
      <c r="G62" s="102">
        <v>3</v>
      </c>
      <c r="I62" s="102">
        <v>13</v>
      </c>
      <c r="J62" s="130">
        <v>16</v>
      </c>
      <c r="K62" s="91">
        <f t="shared" si="20"/>
        <v>18.75</v>
      </c>
      <c r="L62" s="92">
        <f t="shared" si="21"/>
        <v>0</v>
      </c>
      <c r="M62" s="92">
        <f t="shared" si="22"/>
        <v>81.25</v>
      </c>
      <c r="N62" s="93">
        <f t="shared" si="3"/>
        <v>100</v>
      </c>
      <c r="O62" s="92">
        <v>6.6</v>
      </c>
      <c r="P62" s="92"/>
      <c r="Q62" s="92">
        <v>49.2</v>
      </c>
      <c r="R62" s="125">
        <f t="shared" si="4"/>
        <v>55.800000000000004</v>
      </c>
      <c r="S62" s="126">
        <v>2</v>
      </c>
      <c r="T62" s="85">
        <v>31739</v>
      </c>
      <c r="U62" s="127"/>
      <c r="V62" s="73" t="s">
        <v>19</v>
      </c>
      <c r="W62" s="73" t="s">
        <v>20</v>
      </c>
      <c r="X62" s="73" t="s">
        <v>12</v>
      </c>
      <c r="Y62" s="73">
        <v>49.2</v>
      </c>
      <c r="Z62" s="82" t="s">
        <v>21</v>
      </c>
      <c r="AA62" s="73" t="s">
        <v>22</v>
      </c>
      <c r="AB62" s="73" t="s">
        <v>11</v>
      </c>
      <c r="AC62" s="83">
        <v>6.6</v>
      </c>
      <c r="AD62" s="82"/>
      <c r="AG62" s="83"/>
      <c r="AL62" s="82"/>
      <c r="AO62" s="83"/>
      <c r="AS62" s="83"/>
      <c r="AW62" s="83"/>
      <c r="BA62" s="84"/>
    </row>
    <row r="63" spans="1:53" s="334" customFormat="1" x14ac:dyDescent="0.15">
      <c r="A63" s="386">
        <v>1987</v>
      </c>
      <c r="B63" s="380">
        <v>31798</v>
      </c>
      <c r="C63" s="816" t="s">
        <v>39</v>
      </c>
      <c r="D63" s="816"/>
      <c r="E63" s="334">
        <v>345</v>
      </c>
      <c r="F63" s="345">
        <v>1</v>
      </c>
      <c r="G63" s="386"/>
      <c r="H63" s="386">
        <v>7</v>
      </c>
      <c r="I63" s="386">
        <v>7</v>
      </c>
      <c r="J63" s="420">
        <v>15</v>
      </c>
      <c r="K63" s="383">
        <f t="shared" si="20"/>
        <v>0</v>
      </c>
      <c r="L63" s="384">
        <f t="shared" si="21"/>
        <v>46.666666666666664</v>
      </c>
      <c r="M63" s="384">
        <f t="shared" si="22"/>
        <v>46.666666666666664</v>
      </c>
      <c r="N63" s="385">
        <f t="shared" si="3"/>
        <v>93.333333333333329</v>
      </c>
      <c r="O63" s="384"/>
      <c r="P63" s="384">
        <v>42.1</v>
      </c>
      <c r="Q63" s="384">
        <v>43.7</v>
      </c>
      <c r="R63" s="421">
        <f t="shared" si="4"/>
        <v>85.800000000000011</v>
      </c>
      <c r="S63" s="396">
        <v>2</v>
      </c>
      <c r="T63" s="355"/>
      <c r="U63" s="422">
        <v>31798</v>
      </c>
      <c r="V63" s="334" t="s">
        <v>19</v>
      </c>
      <c r="W63" s="334" t="s">
        <v>20</v>
      </c>
      <c r="X63" s="334" t="s">
        <v>12</v>
      </c>
      <c r="Y63" s="334">
        <v>43.7</v>
      </c>
      <c r="Z63" s="343" t="s">
        <v>16</v>
      </c>
      <c r="AA63" s="334" t="s">
        <v>17</v>
      </c>
      <c r="AB63" s="334" t="s">
        <v>18</v>
      </c>
      <c r="AC63" s="344">
        <v>42.1</v>
      </c>
      <c r="AD63" s="343"/>
      <c r="AG63" s="344"/>
      <c r="AL63" s="343"/>
      <c r="AO63" s="344"/>
      <c r="AS63" s="344"/>
      <c r="AW63" s="344"/>
      <c r="BA63" s="345"/>
    </row>
    <row r="64" spans="1:53" s="334" customFormat="1" x14ac:dyDescent="0.15">
      <c r="A64" s="386">
        <v>1988</v>
      </c>
      <c r="B64" s="380"/>
      <c r="C64" s="816" t="s">
        <v>39</v>
      </c>
      <c r="D64" s="816"/>
      <c r="E64" s="334">
        <v>0</v>
      </c>
      <c r="F64" s="345"/>
      <c r="G64" s="386"/>
      <c r="H64" s="386">
        <v>7</v>
      </c>
      <c r="I64" s="386">
        <v>7</v>
      </c>
      <c r="J64" s="420">
        <v>15</v>
      </c>
      <c r="K64" s="383">
        <f>G64/J64*100</f>
        <v>0</v>
      </c>
      <c r="L64" s="384">
        <f>H64/J64*100</f>
        <v>46.666666666666664</v>
      </c>
      <c r="M64" s="384">
        <f>I64/J64*100</f>
        <v>46.666666666666664</v>
      </c>
      <c r="N64" s="385">
        <f t="shared" si="3"/>
        <v>93.333333333333329</v>
      </c>
      <c r="O64" s="384"/>
      <c r="P64" s="384">
        <v>42.1</v>
      </c>
      <c r="Q64" s="384">
        <v>43.7</v>
      </c>
      <c r="R64" s="421">
        <f t="shared" si="4"/>
        <v>85.800000000000011</v>
      </c>
      <c r="S64" s="396">
        <v>2</v>
      </c>
      <c r="T64" s="355"/>
      <c r="U64" s="422"/>
      <c r="V64" s="334" t="s">
        <v>19</v>
      </c>
      <c r="W64" s="334" t="s">
        <v>20</v>
      </c>
      <c r="X64" s="334" t="s">
        <v>12</v>
      </c>
      <c r="Y64" s="334">
        <v>43.7</v>
      </c>
      <c r="Z64" s="343" t="s">
        <v>16</v>
      </c>
      <c r="AA64" s="334" t="s">
        <v>17</v>
      </c>
      <c r="AB64" s="334" t="s">
        <v>18</v>
      </c>
      <c r="AC64" s="344">
        <v>42.1</v>
      </c>
      <c r="AD64" s="343"/>
      <c r="AG64" s="344"/>
      <c r="AL64" s="343"/>
      <c r="AO64" s="344"/>
      <c r="AS64" s="344"/>
      <c r="AW64" s="344"/>
      <c r="BA64" s="345"/>
    </row>
    <row r="65" spans="1:53" s="334" customFormat="1" x14ac:dyDescent="0.15">
      <c r="A65" s="386">
        <v>1988</v>
      </c>
      <c r="B65" s="380"/>
      <c r="C65" s="816" t="s">
        <v>39</v>
      </c>
      <c r="D65" s="816"/>
      <c r="E65" s="334">
        <v>366</v>
      </c>
      <c r="F65" s="345"/>
      <c r="G65" s="386"/>
      <c r="H65" s="386">
        <v>7</v>
      </c>
      <c r="I65" s="386">
        <v>7</v>
      </c>
      <c r="J65" s="420">
        <v>15</v>
      </c>
      <c r="K65" s="383">
        <f>G65/J65*100</f>
        <v>0</v>
      </c>
      <c r="L65" s="384">
        <f>H65/J65*100</f>
        <v>46.666666666666664</v>
      </c>
      <c r="M65" s="384">
        <f>I65/J65*100</f>
        <v>46.666666666666664</v>
      </c>
      <c r="N65" s="385">
        <f t="shared" si="3"/>
        <v>93.333333333333329</v>
      </c>
      <c r="O65" s="384"/>
      <c r="P65" s="384">
        <v>42.1</v>
      </c>
      <c r="Q65" s="384">
        <v>43.7</v>
      </c>
      <c r="R65" s="421">
        <f t="shared" si="4"/>
        <v>85.800000000000011</v>
      </c>
      <c r="S65" s="396">
        <v>2</v>
      </c>
      <c r="T65" s="355"/>
      <c r="U65" s="422"/>
      <c r="V65" s="334" t="s">
        <v>19</v>
      </c>
      <c r="W65" s="334" t="s">
        <v>20</v>
      </c>
      <c r="X65" s="334" t="s">
        <v>12</v>
      </c>
      <c r="Y65" s="334">
        <v>43.7</v>
      </c>
      <c r="Z65" s="343" t="s">
        <v>16</v>
      </c>
      <c r="AA65" s="334" t="s">
        <v>17</v>
      </c>
      <c r="AB65" s="334" t="s">
        <v>18</v>
      </c>
      <c r="AC65" s="344">
        <v>42.1</v>
      </c>
      <c r="AD65" s="343"/>
      <c r="AG65" s="344"/>
      <c r="AL65" s="343"/>
      <c r="AO65" s="344"/>
      <c r="AS65" s="344"/>
      <c r="AW65" s="344"/>
      <c r="BA65" s="345"/>
    </row>
    <row r="66" spans="1:53" s="334" customFormat="1" x14ac:dyDescent="0.15">
      <c r="A66" s="386">
        <v>1989</v>
      </c>
      <c r="B66" s="380"/>
      <c r="C66" s="816" t="s">
        <v>39</v>
      </c>
      <c r="D66" s="816"/>
      <c r="E66" s="334">
        <v>0</v>
      </c>
      <c r="F66" s="345"/>
      <c r="G66" s="386"/>
      <c r="H66" s="386">
        <v>7</v>
      </c>
      <c r="I66" s="386">
        <v>7</v>
      </c>
      <c r="J66" s="420">
        <v>15</v>
      </c>
      <c r="K66" s="383">
        <f>G66/J66*100</f>
        <v>0</v>
      </c>
      <c r="L66" s="384">
        <f>H66/J66*100</f>
        <v>46.666666666666664</v>
      </c>
      <c r="M66" s="384">
        <f>I66/J66*100</f>
        <v>46.666666666666664</v>
      </c>
      <c r="N66" s="385">
        <f t="shared" si="3"/>
        <v>93.333333333333329</v>
      </c>
      <c r="O66" s="384"/>
      <c r="P66" s="384">
        <v>42.1</v>
      </c>
      <c r="Q66" s="384">
        <v>43.7</v>
      </c>
      <c r="R66" s="421">
        <f t="shared" si="4"/>
        <v>85.800000000000011</v>
      </c>
      <c r="S66" s="396">
        <v>2</v>
      </c>
      <c r="T66" s="355"/>
      <c r="U66" s="422"/>
      <c r="V66" s="334" t="s">
        <v>19</v>
      </c>
      <c r="W66" s="334" t="s">
        <v>20</v>
      </c>
      <c r="X66" s="334" t="s">
        <v>12</v>
      </c>
      <c r="Y66" s="334">
        <v>43.7</v>
      </c>
      <c r="Z66" s="343" t="s">
        <v>16</v>
      </c>
      <c r="AA66" s="334" t="s">
        <v>17</v>
      </c>
      <c r="AB66" s="334" t="s">
        <v>18</v>
      </c>
      <c r="AC66" s="344">
        <v>42.1</v>
      </c>
      <c r="AD66" s="343"/>
      <c r="AG66" s="344"/>
      <c r="AL66" s="343"/>
      <c r="AO66" s="344"/>
      <c r="AS66" s="344"/>
      <c r="AW66" s="344"/>
      <c r="BA66" s="345"/>
    </row>
    <row r="67" spans="1:53" s="104" customFormat="1" x14ac:dyDescent="0.15">
      <c r="A67" s="201">
        <v>1989</v>
      </c>
      <c r="B67" s="407"/>
      <c r="C67" s="818" t="s">
        <v>39</v>
      </c>
      <c r="D67" s="818"/>
      <c r="E67" s="104">
        <v>365</v>
      </c>
      <c r="F67" s="107"/>
      <c r="G67" s="201"/>
      <c r="H67" s="201">
        <v>7</v>
      </c>
      <c r="I67" s="201">
        <v>7</v>
      </c>
      <c r="J67" s="425">
        <v>15</v>
      </c>
      <c r="K67" s="403">
        <f>G67/J67*100</f>
        <v>0</v>
      </c>
      <c r="L67" s="404">
        <f>H67/J67*100</f>
        <v>46.666666666666664</v>
      </c>
      <c r="M67" s="404">
        <f>I67/J67*100</f>
        <v>46.666666666666664</v>
      </c>
      <c r="N67" s="405">
        <f t="shared" si="3"/>
        <v>93.333333333333329</v>
      </c>
      <c r="O67" s="404"/>
      <c r="P67" s="404">
        <v>42.1</v>
      </c>
      <c r="Q67" s="404">
        <v>43.7</v>
      </c>
      <c r="R67" s="426">
        <f>SUM(O67:Q67)</f>
        <v>85.800000000000011</v>
      </c>
      <c r="S67" s="427">
        <v>2</v>
      </c>
      <c r="T67" s="407"/>
      <c r="U67" s="428"/>
      <c r="V67" s="104" t="s">
        <v>19</v>
      </c>
      <c r="W67" s="104" t="s">
        <v>20</v>
      </c>
      <c r="X67" s="104" t="s">
        <v>12</v>
      </c>
      <c r="Y67" s="104">
        <v>43.7</v>
      </c>
      <c r="Z67" s="105" t="s">
        <v>16</v>
      </c>
      <c r="AA67" s="104" t="s">
        <v>17</v>
      </c>
      <c r="AB67" s="104" t="s">
        <v>18</v>
      </c>
      <c r="AC67" s="106">
        <v>42.1</v>
      </c>
      <c r="AD67" s="105"/>
      <c r="AG67" s="106"/>
      <c r="AL67" s="105"/>
      <c r="AO67" s="106"/>
      <c r="AS67" s="106"/>
      <c r="AW67" s="106"/>
      <c r="BA67" s="107"/>
    </row>
    <row r="68" spans="1:53" s="334" customFormat="1" x14ac:dyDescent="0.15">
      <c r="A68" s="334">
        <v>1990</v>
      </c>
      <c r="B68" s="355"/>
      <c r="C68" s="812" t="s">
        <v>39</v>
      </c>
      <c r="D68" s="812"/>
      <c r="E68" s="334">
        <v>350</v>
      </c>
      <c r="F68" s="345"/>
      <c r="G68" s="388"/>
      <c r="H68" s="388">
        <v>7</v>
      </c>
      <c r="I68" s="388">
        <v>7</v>
      </c>
      <c r="J68" s="429">
        <v>15</v>
      </c>
      <c r="K68" s="383">
        <v>0</v>
      </c>
      <c r="L68" s="384">
        <v>46.7</v>
      </c>
      <c r="M68" s="384">
        <v>46.7</v>
      </c>
      <c r="N68" s="385">
        <f t="shared" si="3"/>
        <v>93.4</v>
      </c>
      <c r="O68" s="384"/>
      <c r="P68" s="384">
        <v>42.1</v>
      </c>
      <c r="Q68" s="384">
        <v>43.7</v>
      </c>
      <c r="R68" s="421">
        <f>SUM(O68:Q68)</f>
        <v>85.800000000000011</v>
      </c>
      <c r="S68" s="396">
        <v>2</v>
      </c>
      <c r="T68" s="355"/>
      <c r="U68" s="422"/>
      <c r="V68" s="334" t="s">
        <v>19</v>
      </c>
      <c r="W68" s="334" t="s">
        <v>20</v>
      </c>
      <c r="X68" s="334" t="s">
        <v>12</v>
      </c>
      <c r="Y68" s="334">
        <v>43.7</v>
      </c>
      <c r="Z68" s="343" t="s">
        <v>16</v>
      </c>
      <c r="AA68" s="334" t="s">
        <v>17</v>
      </c>
      <c r="AB68" s="334" t="s">
        <v>18</v>
      </c>
      <c r="AC68" s="344">
        <v>42.1</v>
      </c>
      <c r="AD68" s="343"/>
      <c r="AG68" s="344"/>
      <c r="AL68" s="343"/>
      <c r="AO68" s="344"/>
      <c r="AS68" s="344"/>
      <c r="AW68" s="344"/>
      <c r="BA68" s="345"/>
    </row>
    <row r="69" spans="1:53" s="73" customFormat="1" x14ac:dyDescent="0.15">
      <c r="A69" s="73">
        <v>1990</v>
      </c>
      <c r="B69" s="131">
        <v>33224</v>
      </c>
      <c r="C69" s="817" t="s">
        <v>40</v>
      </c>
      <c r="D69" s="817"/>
      <c r="E69" s="73">
        <v>15</v>
      </c>
      <c r="F69" s="84">
        <v>1</v>
      </c>
      <c r="G69" s="97"/>
      <c r="H69" s="97">
        <v>8</v>
      </c>
      <c r="I69" s="97">
        <v>8</v>
      </c>
      <c r="J69" s="132">
        <v>17</v>
      </c>
      <c r="K69" s="91">
        <f>G69/J69*100</f>
        <v>0</v>
      </c>
      <c r="L69" s="92">
        <f>H69/J69*100</f>
        <v>47.058823529411761</v>
      </c>
      <c r="M69" s="92">
        <f>I69/J69*100</f>
        <v>47.058823529411761</v>
      </c>
      <c r="N69" s="93">
        <f t="shared" si="3"/>
        <v>94.117647058823522</v>
      </c>
      <c r="O69" s="92"/>
      <c r="P69" s="92">
        <v>32.799999999999997</v>
      </c>
      <c r="Q69" s="92">
        <v>43.7</v>
      </c>
      <c r="R69" s="125">
        <f t="shared" si="4"/>
        <v>76.5</v>
      </c>
      <c r="S69" s="126">
        <v>2</v>
      </c>
      <c r="T69" s="85">
        <v>33153</v>
      </c>
      <c r="U69" s="127">
        <v>33224</v>
      </c>
      <c r="V69" s="73" t="s">
        <v>19</v>
      </c>
      <c r="W69" s="73" t="s">
        <v>20</v>
      </c>
      <c r="X69" s="73" t="s">
        <v>12</v>
      </c>
      <c r="Y69" s="73">
        <v>43.7</v>
      </c>
      <c r="Z69" s="82" t="s">
        <v>16</v>
      </c>
      <c r="AA69" s="73" t="s">
        <v>17</v>
      </c>
      <c r="AB69" s="73" t="s">
        <v>18</v>
      </c>
      <c r="AC69" s="83">
        <v>32.799999999999997</v>
      </c>
      <c r="AD69" s="82"/>
      <c r="AG69" s="83"/>
      <c r="AL69" s="82"/>
      <c r="AO69" s="83"/>
      <c r="AS69" s="83"/>
      <c r="AW69" s="83"/>
      <c r="BA69" s="84"/>
    </row>
    <row r="70" spans="1:53" s="73" customFormat="1" x14ac:dyDescent="0.15">
      <c r="A70" s="73">
        <v>1991</v>
      </c>
      <c r="B70" s="131"/>
      <c r="C70" s="817" t="s">
        <v>40</v>
      </c>
      <c r="D70" s="817"/>
      <c r="E70" s="73">
        <v>0</v>
      </c>
      <c r="F70" s="84"/>
      <c r="G70" s="97"/>
      <c r="H70" s="97">
        <v>8</v>
      </c>
      <c r="I70" s="97">
        <v>8</v>
      </c>
      <c r="J70" s="132">
        <v>17</v>
      </c>
      <c r="K70" s="91">
        <f>G70/J70*100</f>
        <v>0</v>
      </c>
      <c r="L70" s="92">
        <f>H70/J70*100</f>
        <v>47.058823529411761</v>
      </c>
      <c r="M70" s="92">
        <f>I70/J70*100</f>
        <v>47.058823529411761</v>
      </c>
      <c r="N70" s="93">
        <f t="shared" si="3"/>
        <v>94.117647058823522</v>
      </c>
      <c r="O70" s="92"/>
      <c r="P70" s="92">
        <v>32.799999999999997</v>
      </c>
      <c r="Q70" s="92">
        <v>43.7</v>
      </c>
      <c r="R70" s="125">
        <f t="shared" si="4"/>
        <v>76.5</v>
      </c>
      <c r="S70" s="126">
        <v>2</v>
      </c>
      <c r="T70" s="85"/>
      <c r="U70" s="127"/>
      <c r="V70" s="73" t="s">
        <v>19</v>
      </c>
      <c r="W70" s="73" t="s">
        <v>20</v>
      </c>
      <c r="X70" s="73" t="s">
        <v>12</v>
      </c>
      <c r="Y70" s="73">
        <v>43.7</v>
      </c>
      <c r="Z70" s="82" t="s">
        <v>16</v>
      </c>
      <c r="AA70" s="73" t="s">
        <v>17</v>
      </c>
      <c r="AB70" s="73" t="s">
        <v>18</v>
      </c>
      <c r="AC70" s="83">
        <v>32.799999999999997</v>
      </c>
      <c r="AD70" s="82"/>
      <c r="AG70" s="83"/>
      <c r="AL70" s="82"/>
      <c r="AO70" s="83"/>
      <c r="AS70" s="83"/>
      <c r="AW70" s="83"/>
      <c r="BA70" s="84"/>
    </row>
    <row r="71" spans="1:53" s="73" customFormat="1" x14ac:dyDescent="0.15">
      <c r="A71" s="73">
        <v>1991</v>
      </c>
      <c r="B71" s="131"/>
      <c r="C71" s="817" t="s">
        <v>40</v>
      </c>
      <c r="D71" s="817"/>
      <c r="E71" s="73">
        <v>365</v>
      </c>
      <c r="F71" s="84"/>
      <c r="G71" s="97"/>
      <c r="H71" s="97">
        <v>8</v>
      </c>
      <c r="I71" s="97">
        <v>8</v>
      </c>
      <c r="J71" s="132">
        <v>17</v>
      </c>
      <c r="K71" s="91">
        <f>G71/J71*100</f>
        <v>0</v>
      </c>
      <c r="L71" s="92">
        <f>H71/J71*100</f>
        <v>47.058823529411761</v>
      </c>
      <c r="M71" s="92">
        <f>I71/J71*100</f>
        <v>47.058823529411761</v>
      </c>
      <c r="N71" s="93">
        <f t="shared" si="3"/>
        <v>94.117647058823522</v>
      </c>
      <c r="O71" s="92"/>
      <c r="P71" s="92">
        <v>32.799999999999997</v>
      </c>
      <c r="Q71" s="92">
        <v>43.7</v>
      </c>
      <c r="R71" s="125">
        <f t="shared" si="4"/>
        <v>76.5</v>
      </c>
      <c r="S71" s="126">
        <v>2</v>
      </c>
      <c r="T71" s="85"/>
      <c r="U71" s="127"/>
      <c r="V71" s="73" t="s">
        <v>19</v>
      </c>
      <c r="W71" s="73" t="s">
        <v>20</v>
      </c>
      <c r="X71" s="73" t="s">
        <v>12</v>
      </c>
      <c r="Y71" s="73">
        <v>43.7</v>
      </c>
      <c r="Z71" s="82" t="s">
        <v>16</v>
      </c>
      <c r="AA71" s="73" t="s">
        <v>17</v>
      </c>
      <c r="AB71" s="73" t="s">
        <v>18</v>
      </c>
      <c r="AC71" s="83">
        <v>32.799999999999997</v>
      </c>
      <c r="AD71" s="82"/>
      <c r="AG71" s="83"/>
      <c r="AL71" s="82"/>
      <c r="AO71" s="83"/>
      <c r="AS71" s="83"/>
      <c r="AW71" s="83"/>
      <c r="BA71" s="84"/>
    </row>
    <row r="72" spans="1:53" s="73" customFormat="1" x14ac:dyDescent="0.15">
      <c r="A72" s="73">
        <v>1992</v>
      </c>
      <c r="B72" s="131"/>
      <c r="C72" s="817" t="s">
        <v>40</v>
      </c>
      <c r="D72" s="817"/>
      <c r="E72" s="73">
        <v>0</v>
      </c>
      <c r="F72" s="84"/>
      <c r="G72" s="97"/>
      <c r="H72" s="97">
        <v>7</v>
      </c>
      <c r="I72" s="97">
        <v>8</v>
      </c>
      <c r="J72" s="132">
        <v>16</v>
      </c>
      <c r="K72" s="91">
        <f>G72/J72*100</f>
        <v>0</v>
      </c>
      <c r="L72" s="92">
        <f>H72/J72*100</f>
        <v>43.75</v>
      </c>
      <c r="M72" s="92">
        <f>I72/J72*100</f>
        <v>50</v>
      </c>
      <c r="N72" s="93">
        <f t="shared" si="3"/>
        <v>93.75</v>
      </c>
      <c r="O72" s="92"/>
      <c r="P72" s="92">
        <v>32.799999999999997</v>
      </c>
      <c r="Q72" s="92">
        <v>43.7</v>
      </c>
      <c r="R72" s="125">
        <f t="shared" si="4"/>
        <v>76.5</v>
      </c>
      <c r="S72" s="126">
        <v>2</v>
      </c>
      <c r="T72" s="85"/>
      <c r="U72" s="127"/>
      <c r="V72" s="73" t="s">
        <v>19</v>
      </c>
      <c r="W72" s="73" t="s">
        <v>20</v>
      </c>
      <c r="X72" s="73" t="s">
        <v>12</v>
      </c>
      <c r="Y72" s="73">
        <v>43.7</v>
      </c>
      <c r="Z72" s="82" t="s">
        <v>16</v>
      </c>
      <c r="AA72" s="73" t="s">
        <v>17</v>
      </c>
      <c r="AB72" s="73" t="s">
        <v>18</v>
      </c>
      <c r="AC72" s="83">
        <v>32.799999999999997</v>
      </c>
      <c r="AD72" s="82"/>
      <c r="AG72" s="83"/>
      <c r="AL72" s="82"/>
      <c r="AO72" s="83"/>
      <c r="AS72" s="83"/>
      <c r="AW72" s="83"/>
      <c r="BA72" s="84"/>
    </row>
    <row r="73" spans="1:53" s="73" customFormat="1" x14ac:dyDescent="0.15">
      <c r="A73" s="73">
        <v>1992</v>
      </c>
      <c r="B73" s="131"/>
      <c r="C73" s="817" t="s">
        <v>40</v>
      </c>
      <c r="D73" s="817"/>
      <c r="E73" s="73">
        <v>366</v>
      </c>
      <c r="F73" s="84"/>
      <c r="G73" s="97"/>
      <c r="H73" s="97">
        <v>7</v>
      </c>
      <c r="I73" s="97">
        <v>8</v>
      </c>
      <c r="J73" s="132">
        <v>16</v>
      </c>
      <c r="K73" s="91">
        <f>G73/J73*100</f>
        <v>0</v>
      </c>
      <c r="L73" s="92">
        <f>H73/J73*100</f>
        <v>43.75</v>
      </c>
      <c r="M73" s="92">
        <f>I73/J73*100</f>
        <v>50</v>
      </c>
      <c r="N73" s="93">
        <f t="shared" ref="N73:N116" si="23">SUM(K73:M73)</f>
        <v>93.75</v>
      </c>
      <c r="O73" s="92"/>
      <c r="P73" s="92">
        <v>32.799999999999997</v>
      </c>
      <c r="Q73" s="92">
        <v>43.7</v>
      </c>
      <c r="R73" s="125">
        <f t="shared" ref="R73:R117" si="24">SUM(O73:Q73)</f>
        <v>76.5</v>
      </c>
      <c r="S73" s="126">
        <v>2</v>
      </c>
      <c r="T73" s="85"/>
      <c r="U73" s="127"/>
      <c r="V73" s="73" t="s">
        <v>19</v>
      </c>
      <c r="W73" s="73" t="s">
        <v>20</v>
      </c>
      <c r="X73" s="73" t="s">
        <v>12</v>
      </c>
      <c r="Y73" s="73">
        <v>43.7</v>
      </c>
      <c r="Z73" s="82" t="s">
        <v>16</v>
      </c>
      <c r="AA73" s="73" t="s">
        <v>17</v>
      </c>
      <c r="AB73" s="73" t="s">
        <v>18</v>
      </c>
      <c r="AC73" s="83">
        <v>32.799999999999997</v>
      </c>
      <c r="AD73" s="82"/>
      <c r="AG73" s="83"/>
      <c r="AL73" s="82"/>
      <c r="AO73" s="83"/>
      <c r="AS73" s="83"/>
      <c r="AW73" s="83"/>
      <c r="BA73" s="84"/>
    </row>
    <row r="74" spans="1:53" s="73" customFormat="1" x14ac:dyDescent="0.15">
      <c r="A74" s="73">
        <v>1993</v>
      </c>
      <c r="B74" s="131"/>
      <c r="C74" s="817" t="s">
        <v>40</v>
      </c>
      <c r="D74" s="817"/>
      <c r="E74" s="73">
        <v>0</v>
      </c>
      <c r="F74" s="84"/>
      <c r="G74" s="97"/>
      <c r="H74" s="97">
        <v>7</v>
      </c>
      <c r="I74" s="97">
        <v>8</v>
      </c>
      <c r="J74" s="132">
        <v>16</v>
      </c>
      <c r="K74" s="91">
        <f t="shared" ref="K74:K97" si="25">G74/J74*100</f>
        <v>0</v>
      </c>
      <c r="L74" s="92">
        <f t="shared" ref="L74:L97" si="26">H74/J74*100</f>
        <v>43.75</v>
      </c>
      <c r="M74" s="92">
        <f t="shared" ref="M74:M97" si="27">I74/J74*100</f>
        <v>50</v>
      </c>
      <c r="N74" s="93">
        <f t="shared" si="23"/>
        <v>93.75</v>
      </c>
      <c r="O74" s="92"/>
      <c r="P74" s="92">
        <v>32.799999999999997</v>
      </c>
      <c r="Q74" s="92">
        <v>43.7</v>
      </c>
      <c r="R74" s="125">
        <f t="shared" si="24"/>
        <v>76.5</v>
      </c>
      <c r="S74" s="126">
        <v>2</v>
      </c>
      <c r="T74" s="85"/>
      <c r="U74" s="127"/>
      <c r="V74" s="73" t="s">
        <v>19</v>
      </c>
      <c r="W74" s="73" t="s">
        <v>20</v>
      </c>
      <c r="X74" s="73" t="s">
        <v>12</v>
      </c>
      <c r="Y74" s="73">
        <v>43.7</v>
      </c>
      <c r="Z74" s="82" t="s">
        <v>16</v>
      </c>
      <c r="AA74" s="73" t="s">
        <v>17</v>
      </c>
      <c r="AB74" s="73" t="s">
        <v>18</v>
      </c>
      <c r="AC74" s="83">
        <v>32.799999999999997</v>
      </c>
      <c r="AD74" s="82"/>
      <c r="AG74" s="83"/>
      <c r="AL74" s="82"/>
      <c r="AO74" s="83"/>
      <c r="AS74" s="83"/>
      <c r="AW74" s="83"/>
      <c r="BA74" s="84"/>
    </row>
    <row r="75" spans="1:53" s="73" customFormat="1" x14ac:dyDescent="0.15">
      <c r="A75" s="73">
        <v>1993</v>
      </c>
      <c r="B75" s="131"/>
      <c r="C75" s="817" t="s">
        <v>40</v>
      </c>
      <c r="D75" s="817"/>
      <c r="E75" s="73">
        <v>365</v>
      </c>
      <c r="F75" s="84"/>
      <c r="G75" s="97"/>
      <c r="H75" s="97">
        <v>7</v>
      </c>
      <c r="I75" s="97">
        <v>8</v>
      </c>
      <c r="J75" s="132">
        <v>16</v>
      </c>
      <c r="K75" s="91">
        <f t="shared" si="25"/>
        <v>0</v>
      </c>
      <c r="L75" s="92">
        <f t="shared" si="26"/>
        <v>43.75</v>
      </c>
      <c r="M75" s="92">
        <f t="shared" si="27"/>
        <v>50</v>
      </c>
      <c r="N75" s="93">
        <f t="shared" si="23"/>
        <v>93.75</v>
      </c>
      <c r="O75" s="92"/>
      <c r="P75" s="92">
        <v>32.799999999999997</v>
      </c>
      <c r="Q75" s="92">
        <v>43.7</v>
      </c>
      <c r="R75" s="125">
        <f t="shared" si="24"/>
        <v>76.5</v>
      </c>
      <c r="S75" s="126">
        <v>2</v>
      </c>
      <c r="T75" s="85"/>
      <c r="U75" s="127"/>
      <c r="V75" s="73" t="s">
        <v>19</v>
      </c>
      <c r="W75" s="73" t="s">
        <v>20</v>
      </c>
      <c r="X75" s="73" t="s">
        <v>12</v>
      </c>
      <c r="Y75" s="73">
        <v>43.7</v>
      </c>
      <c r="Z75" s="82" t="s">
        <v>16</v>
      </c>
      <c r="AA75" s="73" t="s">
        <v>17</v>
      </c>
      <c r="AB75" s="73" t="s">
        <v>18</v>
      </c>
      <c r="AC75" s="83">
        <v>32.799999999999997</v>
      </c>
      <c r="AD75" s="82"/>
      <c r="AG75" s="83"/>
      <c r="AL75" s="82"/>
      <c r="AO75" s="83"/>
      <c r="AS75" s="83"/>
      <c r="AW75" s="83"/>
      <c r="BA75" s="84"/>
    </row>
    <row r="76" spans="1:53" s="73" customFormat="1" x14ac:dyDescent="0.15">
      <c r="A76" s="73">
        <v>1994</v>
      </c>
      <c r="B76" s="131"/>
      <c r="C76" s="817" t="s">
        <v>40</v>
      </c>
      <c r="D76" s="817"/>
      <c r="E76" s="73">
        <v>332</v>
      </c>
      <c r="F76" s="84"/>
      <c r="G76" s="97"/>
      <c r="H76" s="97">
        <v>7</v>
      </c>
      <c r="I76" s="97">
        <v>8</v>
      </c>
      <c r="J76" s="132">
        <v>16</v>
      </c>
      <c r="K76" s="91">
        <f t="shared" si="25"/>
        <v>0</v>
      </c>
      <c r="L76" s="92">
        <f t="shared" si="26"/>
        <v>43.75</v>
      </c>
      <c r="M76" s="92">
        <f t="shared" si="27"/>
        <v>50</v>
      </c>
      <c r="N76" s="93">
        <f t="shared" si="23"/>
        <v>93.75</v>
      </c>
      <c r="O76" s="92"/>
      <c r="P76" s="92">
        <v>32.799999999999997</v>
      </c>
      <c r="Q76" s="92">
        <v>43.7</v>
      </c>
      <c r="R76" s="125">
        <f t="shared" si="24"/>
        <v>76.5</v>
      </c>
      <c r="S76" s="126">
        <v>2</v>
      </c>
      <c r="T76" s="85"/>
      <c r="U76" s="127"/>
      <c r="V76" s="73" t="s">
        <v>19</v>
      </c>
      <c r="W76" s="73" t="s">
        <v>20</v>
      </c>
      <c r="X76" s="73" t="s">
        <v>12</v>
      </c>
      <c r="Y76" s="73">
        <v>43.7</v>
      </c>
      <c r="Z76" s="82" t="s">
        <v>16</v>
      </c>
      <c r="AA76" s="73" t="s">
        <v>17</v>
      </c>
      <c r="AB76" s="73" t="s">
        <v>18</v>
      </c>
      <c r="AC76" s="83">
        <v>32.799999999999997</v>
      </c>
      <c r="AD76" s="82"/>
      <c r="AG76" s="83"/>
      <c r="AL76" s="82"/>
      <c r="AO76" s="83"/>
      <c r="AS76" s="83"/>
      <c r="AW76" s="83"/>
      <c r="BA76" s="84"/>
    </row>
    <row r="77" spans="1:53" s="334" customFormat="1" x14ac:dyDescent="0.15">
      <c r="A77" s="334">
        <v>1994</v>
      </c>
      <c r="B77" s="430">
        <v>34667</v>
      </c>
      <c r="C77" s="816" t="s">
        <v>41</v>
      </c>
      <c r="D77" s="816"/>
      <c r="E77" s="334">
        <v>33</v>
      </c>
      <c r="F77" s="345">
        <v>1</v>
      </c>
      <c r="G77" s="388"/>
      <c r="H77" s="388">
        <v>7</v>
      </c>
      <c r="I77" s="388">
        <v>8</v>
      </c>
      <c r="J77" s="429">
        <v>16</v>
      </c>
      <c r="K77" s="383">
        <f t="shared" si="25"/>
        <v>0</v>
      </c>
      <c r="L77" s="384">
        <f t="shared" si="26"/>
        <v>43.75</v>
      </c>
      <c r="M77" s="384">
        <f t="shared" si="27"/>
        <v>50</v>
      </c>
      <c r="N77" s="385">
        <f t="shared" si="23"/>
        <v>93.75</v>
      </c>
      <c r="O77" s="384"/>
      <c r="P77" s="384">
        <v>28.4</v>
      </c>
      <c r="Q77" s="384">
        <v>35.5</v>
      </c>
      <c r="R77" s="421">
        <f t="shared" si="24"/>
        <v>63.9</v>
      </c>
      <c r="S77" s="396">
        <v>2</v>
      </c>
      <c r="T77" s="355">
        <v>34616</v>
      </c>
      <c r="U77" s="422">
        <v>34667</v>
      </c>
      <c r="V77" s="334" t="s">
        <v>19</v>
      </c>
      <c r="W77" s="334" t="s">
        <v>20</v>
      </c>
      <c r="X77" s="334" t="s">
        <v>12</v>
      </c>
      <c r="Y77" s="334">
        <v>35.5</v>
      </c>
      <c r="Z77" s="343" t="s">
        <v>16</v>
      </c>
      <c r="AA77" s="334" t="s">
        <v>17</v>
      </c>
      <c r="AB77" s="334" t="s">
        <v>18</v>
      </c>
      <c r="AC77" s="344">
        <v>28.4</v>
      </c>
      <c r="AD77" s="343"/>
      <c r="AG77" s="344"/>
      <c r="AL77" s="343"/>
      <c r="AO77" s="344"/>
      <c r="AS77" s="344"/>
      <c r="AW77" s="344"/>
      <c r="BA77" s="345"/>
    </row>
    <row r="78" spans="1:53" s="334" customFormat="1" x14ac:dyDescent="0.15">
      <c r="A78" s="334">
        <v>1995</v>
      </c>
      <c r="B78" s="430"/>
      <c r="C78" s="816" t="s">
        <v>41</v>
      </c>
      <c r="D78" s="816"/>
      <c r="E78" s="334">
        <v>0</v>
      </c>
      <c r="F78" s="345"/>
      <c r="G78" s="388"/>
      <c r="H78" s="388">
        <v>7</v>
      </c>
      <c r="I78" s="388">
        <v>8</v>
      </c>
      <c r="J78" s="429">
        <v>16</v>
      </c>
      <c r="K78" s="383">
        <f t="shared" si="25"/>
        <v>0</v>
      </c>
      <c r="L78" s="384">
        <f t="shared" si="26"/>
        <v>43.75</v>
      </c>
      <c r="M78" s="384">
        <f t="shared" si="27"/>
        <v>50</v>
      </c>
      <c r="N78" s="385">
        <f t="shared" si="23"/>
        <v>93.75</v>
      </c>
      <c r="O78" s="384"/>
      <c r="P78" s="384">
        <v>28.4</v>
      </c>
      <c r="Q78" s="384">
        <v>35.5</v>
      </c>
      <c r="R78" s="421">
        <f t="shared" si="24"/>
        <v>63.9</v>
      </c>
      <c r="S78" s="396">
        <v>2</v>
      </c>
      <c r="T78" s="355"/>
      <c r="U78" s="422"/>
      <c r="V78" s="334" t="s">
        <v>19</v>
      </c>
      <c r="W78" s="334" t="s">
        <v>20</v>
      </c>
      <c r="X78" s="334" t="s">
        <v>12</v>
      </c>
      <c r="Y78" s="334">
        <v>35.5</v>
      </c>
      <c r="Z78" s="343" t="s">
        <v>16</v>
      </c>
      <c r="AA78" s="334" t="s">
        <v>17</v>
      </c>
      <c r="AB78" s="334" t="s">
        <v>18</v>
      </c>
      <c r="AC78" s="344">
        <v>28.4</v>
      </c>
      <c r="AD78" s="343"/>
      <c r="AG78" s="344"/>
      <c r="AL78" s="343"/>
      <c r="AO78" s="344"/>
      <c r="AS78" s="344"/>
      <c r="AW78" s="344"/>
      <c r="BA78" s="345"/>
    </row>
    <row r="79" spans="1:53" s="334" customFormat="1" x14ac:dyDescent="0.15">
      <c r="A79" s="334">
        <v>1995</v>
      </c>
      <c r="B79" s="430"/>
      <c r="C79" s="816" t="s">
        <v>41</v>
      </c>
      <c r="D79" s="816"/>
      <c r="E79" s="334">
        <v>365</v>
      </c>
      <c r="F79" s="345"/>
      <c r="G79" s="388"/>
      <c r="H79" s="388">
        <v>7</v>
      </c>
      <c r="I79" s="388">
        <v>8</v>
      </c>
      <c r="J79" s="429">
        <v>16</v>
      </c>
      <c r="K79" s="383">
        <f t="shared" si="25"/>
        <v>0</v>
      </c>
      <c r="L79" s="384">
        <f t="shared" si="26"/>
        <v>43.75</v>
      </c>
      <c r="M79" s="384">
        <f t="shared" si="27"/>
        <v>50</v>
      </c>
      <c r="N79" s="385">
        <f t="shared" si="23"/>
        <v>93.75</v>
      </c>
      <c r="O79" s="384"/>
      <c r="P79" s="384">
        <v>28.4</v>
      </c>
      <c r="Q79" s="384">
        <v>35.5</v>
      </c>
      <c r="R79" s="421">
        <f t="shared" si="24"/>
        <v>63.9</v>
      </c>
      <c r="S79" s="396">
        <v>2</v>
      </c>
      <c r="T79" s="355">
        <v>35050</v>
      </c>
      <c r="U79" s="422"/>
      <c r="V79" s="334" t="s">
        <v>19</v>
      </c>
      <c r="W79" s="334" t="s">
        <v>20</v>
      </c>
      <c r="X79" s="334" t="s">
        <v>12</v>
      </c>
      <c r="Y79" s="334">
        <v>35.5</v>
      </c>
      <c r="Z79" s="343" t="s">
        <v>16</v>
      </c>
      <c r="AA79" s="334" t="s">
        <v>17</v>
      </c>
      <c r="AB79" s="334" t="s">
        <v>18</v>
      </c>
      <c r="AC79" s="344">
        <v>28.4</v>
      </c>
      <c r="AD79" s="343"/>
      <c r="AG79" s="344"/>
      <c r="AL79" s="343"/>
      <c r="AO79" s="344"/>
      <c r="AS79" s="344"/>
      <c r="AW79" s="344"/>
      <c r="BA79" s="345"/>
    </row>
    <row r="80" spans="1:53" s="334" customFormat="1" x14ac:dyDescent="0.15">
      <c r="A80" s="334">
        <v>1996</v>
      </c>
      <c r="B80" s="430"/>
      <c r="C80" s="816" t="s">
        <v>41</v>
      </c>
      <c r="D80" s="816"/>
      <c r="E80" s="334">
        <v>71</v>
      </c>
      <c r="F80" s="345"/>
      <c r="G80" s="388"/>
      <c r="H80" s="388">
        <v>7</v>
      </c>
      <c r="I80" s="388">
        <v>8</v>
      </c>
      <c r="J80" s="429">
        <v>16</v>
      </c>
      <c r="K80" s="383">
        <f t="shared" si="25"/>
        <v>0</v>
      </c>
      <c r="L80" s="384">
        <f t="shared" si="26"/>
        <v>43.75</v>
      </c>
      <c r="M80" s="384">
        <f t="shared" si="27"/>
        <v>50</v>
      </c>
      <c r="N80" s="385">
        <f t="shared" si="23"/>
        <v>93.75</v>
      </c>
      <c r="O80" s="384"/>
      <c r="P80" s="384">
        <v>28.4</v>
      </c>
      <c r="Q80" s="384">
        <v>35.5</v>
      </c>
      <c r="R80" s="421">
        <f t="shared" si="24"/>
        <v>63.9</v>
      </c>
      <c r="S80" s="396">
        <v>2</v>
      </c>
      <c r="T80" s="355"/>
      <c r="U80" s="422"/>
      <c r="V80" s="334" t="s">
        <v>19</v>
      </c>
      <c r="W80" s="334" t="s">
        <v>20</v>
      </c>
      <c r="X80" s="334" t="s">
        <v>12</v>
      </c>
      <c r="Y80" s="334">
        <v>35.5</v>
      </c>
      <c r="Z80" s="343" t="s">
        <v>16</v>
      </c>
      <c r="AA80" s="334" t="s">
        <v>17</v>
      </c>
      <c r="AB80" s="334" t="s">
        <v>18</v>
      </c>
      <c r="AC80" s="344">
        <v>28.4</v>
      </c>
      <c r="AD80" s="343"/>
      <c r="AG80" s="344"/>
      <c r="AL80" s="343"/>
      <c r="AO80" s="344"/>
      <c r="AS80" s="344"/>
      <c r="AW80" s="344"/>
      <c r="BA80" s="345"/>
    </row>
    <row r="81" spans="1:53" s="73" customFormat="1" x14ac:dyDescent="0.15">
      <c r="A81" s="73">
        <v>1996</v>
      </c>
      <c r="B81" s="131">
        <v>35136</v>
      </c>
      <c r="C81" s="817" t="s">
        <v>42</v>
      </c>
      <c r="D81" s="817"/>
      <c r="E81" s="73">
        <v>295</v>
      </c>
      <c r="F81" s="84">
        <v>1</v>
      </c>
      <c r="G81" s="97"/>
      <c r="H81" s="97">
        <v>6</v>
      </c>
      <c r="I81" s="97">
        <v>7</v>
      </c>
      <c r="J81" s="132">
        <v>14</v>
      </c>
      <c r="K81" s="91">
        <f t="shared" si="25"/>
        <v>0</v>
      </c>
      <c r="L81" s="92">
        <f t="shared" si="26"/>
        <v>42.857142857142854</v>
      </c>
      <c r="M81" s="92">
        <f t="shared" si="27"/>
        <v>50</v>
      </c>
      <c r="N81" s="93">
        <f t="shared" si="23"/>
        <v>92.857142857142861</v>
      </c>
      <c r="O81" s="92"/>
      <c r="P81" s="92">
        <v>28.4</v>
      </c>
      <c r="Q81" s="92">
        <v>38.799999999999997</v>
      </c>
      <c r="R81" s="125">
        <f t="shared" si="24"/>
        <v>67.199999999999989</v>
      </c>
      <c r="S81" s="126">
        <v>2</v>
      </c>
      <c r="T81" s="85"/>
      <c r="U81" s="127">
        <v>35136</v>
      </c>
      <c r="V81" s="73" t="s">
        <v>19</v>
      </c>
      <c r="W81" s="73" t="s">
        <v>20</v>
      </c>
      <c r="X81" s="73" t="s">
        <v>12</v>
      </c>
      <c r="Y81" s="73">
        <v>38.799999999999997</v>
      </c>
      <c r="Z81" s="82" t="s">
        <v>16</v>
      </c>
      <c r="AA81" s="73" t="s">
        <v>17</v>
      </c>
      <c r="AB81" s="73" t="s">
        <v>18</v>
      </c>
      <c r="AC81" s="83">
        <v>28.4</v>
      </c>
      <c r="AD81" s="82"/>
      <c r="AG81" s="83"/>
      <c r="AL81" s="82"/>
      <c r="AO81" s="83"/>
      <c r="AS81" s="83"/>
      <c r="AW81" s="83"/>
      <c r="BA81" s="84"/>
    </row>
    <row r="82" spans="1:53" s="73" customFormat="1" x14ac:dyDescent="0.15">
      <c r="A82" s="73">
        <v>1997</v>
      </c>
      <c r="B82" s="131"/>
      <c r="C82" s="817" t="s">
        <v>42</v>
      </c>
      <c r="D82" s="817"/>
      <c r="E82" s="73">
        <v>27</v>
      </c>
      <c r="F82" s="84"/>
      <c r="G82" s="97"/>
      <c r="H82" s="97">
        <v>6</v>
      </c>
      <c r="I82" s="97">
        <v>7</v>
      </c>
      <c r="J82" s="132">
        <v>14</v>
      </c>
      <c r="K82" s="91">
        <f t="shared" si="25"/>
        <v>0</v>
      </c>
      <c r="L82" s="92">
        <f t="shared" si="26"/>
        <v>42.857142857142854</v>
      </c>
      <c r="M82" s="92">
        <f t="shared" si="27"/>
        <v>50</v>
      </c>
      <c r="N82" s="93">
        <f t="shared" si="23"/>
        <v>92.857142857142861</v>
      </c>
      <c r="O82" s="92"/>
      <c r="P82" s="92">
        <v>28.4</v>
      </c>
      <c r="Q82" s="92">
        <v>38.799999999999997</v>
      </c>
      <c r="R82" s="125">
        <f t="shared" si="24"/>
        <v>67.199999999999989</v>
      </c>
      <c r="S82" s="126">
        <v>2</v>
      </c>
      <c r="T82" s="85"/>
      <c r="U82" s="127"/>
      <c r="V82" s="73" t="s">
        <v>19</v>
      </c>
      <c r="W82" s="73" t="s">
        <v>20</v>
      </c>
      <c r="X82" s="73" t="s">
        <v>12</v>
      </c>
      <c r="Y82" s="73">
        <v>38.799999999999997</v>
      </c>
      <c r="Z82" s="82" t="s">
        <v>16</v>
      </c>
      <c r="AA82" s="73" t="s">
        <v>17</v>
      </c>
      <c r="AB82" s="73" t="s">
        <v>18</v>
      </c>
      <c r="AC82" s="83">
        <v>28.4</v>
      </c>
      <c r="AD82" s="82"/>
      <c r="AG82" s="83"/>
      <c r="AL82" s="82"/>
      <c r="AO82" s="83"/>
      <c r="AS82" s="83"/>
      <c r="AW82" s="83"/>
      <c r="BA82" s="84"/>
    </row>
    <row r="83" spans="1:53" s="334" customFormat="1" x14ac:dyDescent="0.15">
      <c r="A83" s="334">
        <v>1997</v>
      </c>
      <c r="B83" s="430">
        <v>35458</v>
      </c>
      <c r="C83" s="812" t="s">
        <v>43</v>
      </c>
      <c r="D83" s="812"/>
      <c r="E83" s="334">
        <v>338</v>
      </c>
      <c r="F83" s="345">
        <v>2</v>
      </c>
      <c r="G83" s="388"/>
      <c r="H83" s="388">
        <v>6</v>
      </c>
      <c r="I83" s="388">
        <v>6</v>
      </c>
      <c r="J83" s="429">
        <v>13</v>
      </c>
      <c r="K83" s="383">
        <f t="shared" si="25"/>
        <v>0</v>
      </c>
      <c r="L83" s="384">
        <f t="shared" si="26"/>
        <v>46.153846153846153</v>
      </c>
      <c r="M83" s="384">
        <f t="shared" si="27"/>
        <v>46.153846153846153</v>
      </c>
      <c r="N83" s="385">
        <f t="shared" si="23"/>
        <v>92.307692307692307</v>
      </c>
      <c r="O83" s="384"/>
      <c r="P83" s="384">
        <v>28.4</v>
      </c>
      <c r="Q83" s="384">
        <v>38.799999999999997</v>
      </c>
      <c r="R83" s="421">
        <f t="shared" si="24"/>
        <v>67.199999999999989</v>
      </c>
      <c r="S83" s="396">
        <v>2</v>
      </c>
      <c r="T83" s="355"/>
      <c r="U83" s="422">
        <v>35458</v>
      </c>
      <c r="V83" s="334" t="s">
        <v>19</v>
      </c>
      <c r="W83" s="334" t="s">
        <v>20</v>
      </c>
      <c r="X83" s="334" t="s">
        <v>12</v>
      </c>
      <c r="Y83" s="334">
        <v>38.799999999999997</v>
      </c>
      <c r="Z83" s="343" t="s">
        <v>16</v>
      </c>
      <c r="AA83" s="334" t="s">
        <v>17</v>
      </c>
      <c r="AB83" s="334" t="s">
        <v>18</v>
      </c>
      <c r="AC83" s="344">
        <v>28.4</v>
      </c>
      <c r="AD83" s="343"/>
      <c r="AG83" s="344"/>
      <c r="AL83" s="343"/>
      <c r="AO83" s="344"/>
      <c r="AS83" s="344"/>
      <c r="AW83" s="344"/>
      <c r="BA83" s="345"/>
    </row>
    <row r="84" spans="1:53" s="334" customFormat="1" x14ac:dyDescent="0.15">
      <c r="A84" s="334">
        <v>1998</v>
      </c>
      <c r="B84" s="430"/>
      <c r="C84" s="812" t="s">
        <v>43</v>
      </c>
      <c r="D84" s="812"/>
      <c r="E84" s="334">
        <v>0</v>
      </c>
      <c r="F84" s="345"/>
      <c r="G84" s="388"/>
      <c r="H84" s="388">
        <v>6</v>
      </c>
      <c r="I84" s="388">
        <v>6</v>
      </c>
      <c r="J84" s="429">
        <v>13</v>
      </c>
      <c r="K84" s="383">
        <f t="shared" si="25"/>
        <v>0</v>
      </c>
      <c r="L84" s="384">
        <f t="shared" si="26"/>
        <v>46.153846153846153</v>
      </c>
      <c r="M84" s="384">
        <f t="shared" si="27"/>
        <v>46.153846153846153</v>
      </c>
      <c r="N84" s="385">
        <f t="shared" si="23"/>
        <v>92.307692307692307</v>
      </c>
      <c r="O84" s="384"/>
      <c r="P84" s="384">
        <v>28.4</v>
      </c>
      <c r="Q84" s="384">
        <v>38.799999999999997</v>
      </c>
      <c r="R84" s="421">
        <f t="shared" si="24"/>
        <v>67.199999999999989</v>
      </c>
      <c r="S84" s="396">
        <v>2</v>
      </c>
      <c r="T84" s="355"/>
      <c r="U84" s="422"/>
      <c r="V84" s="334" t="s">
        <v>19</v>
      </c>
      <c r="W84" s="334" t="s">
        <v>20</v>
      </c>
      <c r="X84" s="334" t="s">
        <v>12</v>
      </c>
      <c r="Y84" s="334">
        <v>38.799999999999997</v>
      </c>
      <c r="Z84" s="343" t="s">
        <v>16</v>
      </c>
      <c r="AA84" s="334" t="s">
        <v>17</v>
      </c>
      <c r="AB84" s="334" t="s">
        <v>18</v>
      </c>
      <c r="AC84" s="344">
        <v>28.4</v>
      </c>
      <c r="AD84" s="343"/>
      <c r="AG84" s="344"/>
      <c r="AL84" s="343"/>
      <c r="AO84" s="344"/>
      <c r="AS84" s="344"/>
      <c r="AW84" s="344"/>
      <c r="BA84" s="345"/>
    </row>
    <row r="85" spans="1:53" s="334" customFormat="1" x14ac:dyDescent="0.15">
      <c r="A85" s="334">
        <v>1998</v>
      </c>
      <c r="B85" s="430"/>
      <c r="C85" s="812" t="s">
        <v>43</v>
      </c>
      <c r="D85" s="812"/>
      <c r="E85" s="334">
        <v>365</v>
      </c>
      <c r="F85" s="345"/>
      <c r="G85" s="388"/>
      <c r="H85" s="388">
        <v>6</v>
      </c>
      <c r="I85" s="388">
        <v>6</v>
      </c>
      <c r="J85" s="429">
        <v>13</v>
      </c>
      <c r="K85" s="383">
        <f t="shared" si="25"/>
        <v>0</v>
      </c>
      <c r="L85" s="384">
        <f t="shared" si="26"/>
        <v>46.153846153846153</v>
      </c>
      <c r="M85" s="384">
        <f t="shared" si="27"/>
        <v>46.153846153846153</v>
      </c>
      <c r="N85" s="385">
        <f t="shared" si="23"/>
        <v>92.307692307692307</v>
      </c>
      <c r="O85" s="384"/>
      <c r="P85" s="384">
        <v>28.4</v>
      </c>
      <c r="Q85" s="384">
        <v>38.799999999999997</v>
      </c>
      <c r="R85" s="421">
        <f t="shared" si="24"/>
        <v>67.199999999999989</v>
      </c>
      <c r="S85" s="396">
        <v>2</v>
      </c>
      <c r="T85" s="355"/>
      <c r="U85" s="422"/>
      <c r="V85" s="334" t="s">
        <v>19</v>
      </c>
      <c r="W85" s="334" t="s">
        <v>20</v>
      </c>
      <c r="X85" s="334" t="s">
        <v>12</v>
      </c>
      <c r="Y85" s="334">
        <v>38.799999999999997</v>
      </c>
      <c r="Z85" s="343" t="s">
        <v>16</v>
      </c>
      <c r="AA85" s="334" t="s">
        <v>17</v>
      </c>
      <c r="AB85" s="334" t="s">
        <v>18</v>
      </c>
      <c r="AC85" s="344">
        <v>28.4</v>
      </c>
      <c r="AD85" s="343"/>
      <c r="AG85" s="344"/>
      <c r="AL85" s="343"/>
      <c r="AO85" s="344"/>
      <c r="AS85" s="344"/>
      <c r="AW85" s="344"/>
      <c r="BA85" s="345"/>
    </row>
    <row r="86" spans="1:53" s="334" customFormat="1" x14ac:dyDescent="0.15">
      <c r="A86" s="334">
        <v>1999</v>
      </c>
      <c r="B86" s="430"/>
      <c r="C86" s="812" t="s">
        <v>43</v>
      </c>
      <c r="D86" s="812"/>
      <c r="E86" s="334">
        <v>0</v>
      </c>
      <c r="F86" s="345"/>
      <c r="G86" s="388"/>
      <c r="H86" s="388">
        <v>6</v>
      </c>
      <c r="I86" s="388">
        <v>6</v>
      </c>
      <c r="J86" s="429">
        <v>13</v>
      </c>
      <c r="K86" s="383">
        <f t="shared" si="25"/>
        <v>0</v>
      </c>
      <c r="L86" s="384">
        <f t="shared" si="26"/>
        <v>46.153846153846153</v>
      </c>
      <c r="M86" s="384">
        <f t="shared" si="27"/>
        <v>46.153846153846153</v>
      </c>
      <c r="N86" s="385">
        <f t="shared" si="23"/>
        <v>92.307692307692307</v>
      </c>
      <c r="O86" s="384"/>
      <c r="P86" s="384">
        <v>28.4</v>
      </c>
      <c r="Q86" s="384">
        <v>38.799999999999997</v>
      </c>
      <c r="R86" s="421">
        <f t="shared" si="24"/>
        <v>67.199999999999989</v>
      </c>
      <c r="S86" s="396">
        <v>2</v>
      </c>
      <c r="T86" s="355"/>
      <c r="U86" s="422"/>
      <c r="V86" s="334" t="s">
        <v>19</v>
      </c>
      <c r="W86" s="334" t="s">
        <v>20</v>
      </c>
      <c r="X86" s="334" t="s">
        <v>12</v>
      </c>
      <c r="Y86" s="334">
        <v>38.799999999999997</v>
      </c>
      <c r="Z86" s="343" t="s">
        <v>16</v>
      </c>
      <c r="AA86" s="334" t="s">
        <v>17</v>
      </c>
      <c r="AB86" s="334" t="s">
        <v>18</v>
      </c>
      <c r="AC86" s="344">
        <v>28.4</v>
      </c>
      <c r="AD86" s="343"/>
      <c r="AG86" s="344"/>
      <c r="AL86" s="343"/>
      <c r="AO86" s="344"/>
      <c r="AS86" s="344"/>
      <c r="AW86" s="344"/>
      <c r="BA86" s="345"/>
    </row>
    <row r="87" spans="1:53" s="334" customFormat="1" x14ac:dyDescent="0.15">
      <c r="A87" s="334">
        <v>1999</v>
      </c>
      <c r="B87" s="430"/>
      <c r="C87" s="812" t="s">
        <v>43</v>
      </c>
      <c r="D87" s="812"/>
      <c r="E87" s="334">
        <v>365</v>
      </c>
      <c r="F87" s="345"/>
      <c r="G87" s="388"/>
      <c r="H87" s="388">
        <v>6</v>
      </c>
      <c r="I87" s="388">
        <v>6</v>
      </c>
      <c r="J87" s="429">
        <v>13</v>
      </c>
      <c r="K87" s="383">
        <f t="shared" si="25"/>
        <v>0</v>
      </c>
      <c r="L87" s="384">
        <f t="shared" si="26"/>
        <v>46.153846153846153</v>
      </c>
      <c r="M87" s="384">
        <f t="shared" si="27"/>
        <v>46.153846153846153</v>
      </c>
      <c r="N87" s="385">
        <f t="shared" si="23"/>
        <v>92.307692307692307</v>
      </c>
      <c r="O87" s="384"/>
      <c r="P87" s="384">
        <v>28.4</v>
      </c>
      <c r="Q87" s="384">
        <v>38.799999999999997</v>
      </c>
      <c r="R87" s="421">
        <f t="shared" si="24"/>
        <v>67.199999999999989</v>
      </c>
      <c r="S87" s="396">
        <v>2</v>
      </c>
      <c r="T87" s="355">
        <v>36436</v>
      </c>
      <c r="U87" s="422"/>
      <c r="V87" s="334" t="s">
        <v>19</v>
      </c>
      <c r="W87" s="334" t="s">
        <v>20</v>
      </c>
      <c r="X87" s="334" t="s">
        <v>12</v>
      </c>
      <c r="Y87" s="334">
        <v>38.799999999999997</v>
      </c>
      <c r="Z87" s="343" t="s">
        <v>16</v>
      </c>
      <c r="AA87" s="334" t="s">
        <v>17</v>
      </c>
      <c r="AB87" s="334" t="s">
        <v>18</v>
      </c>
      <c r="AC87" s="344">
        <v>28.4</v>
      </c>
      <c r="AD87" s="343"/>
      <c r="AG87" s="344"/>
      <c r="AL87" s="343"/>
      <c r="AO87" s="344"/>
      <c r="AS87" s="344"/>
      <c r="AW87" s="344"/>
      <c r="BA87" s="345"/>
    </row>
    <row r="88" spans="1:53" s="334" customFormat="1" x14ac:dyDescent="0.15">
      <c r="A88" s="334">
        <v>2000</v>
      </c>
      <c r="B88" s="430"/>
      <c r="C88" s="812" t="s">
        <v>43</v>
      </c>
      <c r="D88" s="812"/>
      <c r="E88" s="334">
        <v>34</v>
      </c>
      <c r="F88" s="345"/>
      <c r="G88" s="388"/>
      <c r="H88" s="388">
        <v>6</v>
      </c>
      <c r="I88" s="388">
        <v>6</v>
      </c>
      <c r="J88" s="429">
        <v>13</v>
      </c>
      <c r="K88" s="383">
        <f t="shared" si="25"/>
        <v>0</v>
      </c>
      <c r="L88" s="384">
        <f t="shared" si="26"/>
        <v>46.153846153846153</v>
      </c>
      <c r="M88" s="384">
        <f t="shared" si="27"/>
        <v>46.153846153846153</v>
      </c>
      <c r="N88" s="385">
        <f t="shared" si="23"/>
        <v>92.307692307692307</v>
      </c>
      <c r="O88" s="384"/>
      <c r="P88" s="384">
        <v>28.4</v>
      </c>
      <c r="Q88" s="384">
        <v>38.799999999999997</v>
      </c>
      <c r="R88" s="421">
        <f t="shared" si="24"/>
        <v>67.199999999999989</v>
      </c>
      <c r="S88" s="396">
        <v>2</v>
      </c>
      <c r="T88" s="355"/>
      <c r="U88" s="422"/>
      <c r="V88" s="334" t="s">
        <v>19</v>
      </c>
      <c r="W88" s="334" t="s">
        <v>20</v>
      </c>
      <c r="X88" s="334" t="s">
        <v>12</v>
      </c>
      <c r="Y88" s="334">
        <v>38.799999999999997</v>
      </c>
      <c r="Z88" s="343" t="s">
        <v>16</v>
      </c>
      <c r="AA88" s="334" t="s">
        <v>17</v>
      </c>
      <c r="AB88" s="334" t="s">
        <v>18</v>
      </c>
      <c r="AC88" s="344">
        <v>28.4</v>
      </c>
      <c r="AD88" s="343"/>
      <c r="AG88" s="344"/>
      <c r="AL88" s="343"/>
      <c r="AO88" s="344"/>
      <c r="AS88" s="344"/>
      <c r="AW88" s="344"/>
      <c r="BA88" s="345"/>
    </row>
    <row r="89" spans="1:53" s="73" customFormat="1" x14ac:dyDescent="0.15">
      <c r="A89" s="73">
        <v>2000</v>
      </c>
      <c r="B89" s="131">
        <v>36560</v>
      </c>
      <c r="C89" s="811" t="s">
        <v>44</v>
      </c>
      <c r="D89" s="811"/>
      <c r="E89" s="73">
        <v>332</v>
      </c>
      <c r="F89" s="84">
        <v>1</v>
      </c>
      <c r="G89" s="97">
        <v>6</v>
      </c>
      <c r="H89" s="97">
        <v>6</v>
      </c>
      <c r="I89" s="97"/>
      <c r="J89" s="132">
        <v>12</v>
      </c>
      <c r="K89" s="91">
        <f t="shared" si="25"/>
        <v>50</v>
      </c>
      <c r="L89" s="92">
        <f t="shared" si="26"/>
        <v>50</v>
      </c>
      <c r="M89" s="92">
        <f t="shared" si="27"/>
        <v>0</v>
      </c>
      <c r="N89" s="93">
        <f t="shared" si="23"/>
        <v>100</v>
      </c>
      <c r="O89" s="92">
        <v>28.4</v>
      </c>
      <c r="P89" s="92">
        <v>28.4</v>
      </c>
      <c r="Q89" s="92"/>
      <c r="R89" s="125">
        <f t="shared" si="24"/>
        <v>56.8</v>
      </c>
      <c r="S89" s="126">
        <v>2</v>
      </c>
      <c r="T89" s="85"/>
      <c r="U89" s="127">
        <v>36560</v>
      </c>
      <c r="V89" s="73" t="s">
        <v>16</v>
      </c>
      <c r="W89" s="73" t="s">
        <v>17</v>
      </c>
      <c r="X89" s="73" t="s">
        <v>18</v>
      </c>
      <c r="Y89" s="73">
        <v>28.4</v>
      </c>
      <c r="Z89" s="82" t="s">
        <v>21</v>
      </c>
      <c r="AA89" s="73" t="s">
        <v>27</v>
      </c>
      <c r="AB89" s="73" t="s">
        <v>11</v>
      </c>
      <c r="AC89" s="83">
        <v>28.4</v>
      </c>
      <c r="AD89" s="82"/>
      <c r="AG89" s="83"/>
      <c r="AL89" s="82"/>
      <c r="AO89" s="83"/>
      <c r="AS89" s="83"/>
      <c r="AW89" s="83"/>
      <c r="BA89" s="84"/>
    </row>
    <row r="90" spans="1:53" s="73" customFormat="1" x14ac:dyDescent="0.15">
      <c r="A90" s="73">
        <v>2001</v>
      </c>
      <c r="B90" s="131"/>
      <c r="C90" s="811" t="s">
        <v>44</v>
      </c>
      <c r="D90" s="811"/>
      <c r="E90" s="73">
        <v>0</v>
      </c>
      <c r="F90" s="84"/>
      <c r="G90" s="97">
        <v>6</v>
      </c>
      <c r="H90" s="97">
        <v>6</v>
      </c>
      <c r="I90" s="97"/>
      <c r="J90" s="132">
        <v>12</v>
      </c>
      <c r="K90" s="91">
        <f t="shared" si="25"/>
        <v>50</v>
      </c>
      <c r="L90" s="92">
        <f t="shared" si="26"/>
        <v>50</v>
      </c>
      <c r="M90" s="92">
        <f t="shared" si="27"/>
        <v>0</v>
      </c>
      <c r="N90" s="93">
        <f t="shared" si="23"/>
        <v>100</v>
      </c>
      <c r="O90" s="92">
        <v>28.4</v>
      </c>
      <c r="P90" s="92">
        <v>28.4</v>
      </c>
      <c r="Q90" s="92"/>
      <c r="R90" s="125">
        <f t="shared" si="24"/>
        <v>56.8</v>
      </c>
      <c r="S90" s="126">
        <v>2</v>
      </c>
      <c r="T90" s="85"/>
      <c r="U90" s="127"/>
      <c r="V90" s="73" t="s">
        <v>16</v>
      </c>
      <c r="W90" s="73" t="s">
        <v>17</v>
      </c>
      <c r="X90" s="73" t="s">
        <v>18</v>
      </c>
      <c r="Y90" s="73">
        <v>28.4</v>
      </c>
      <c r="Z90" s="82" t="s">
        <v>21</v>
      </c>
      <c r="AA90" s="73" t="s">
        <v>27</v>
      </c>
      <c r="AB90" s="73" t="s">
        <v>11</v>
      </c>
      <c r="AC90" s="83">
        <v>28.4</v>
      </c>
      <c r="AD90" s="82"/>
      <c r="AG90" s="83"/>
      <c r="AL90" s="82"/>
      <c r="AO90" s="83"/>
      <c r="AS90" s="83"/>
      <c r="AW90" s="83"/>
      <c r="BA90" s="84"/>
    </row>
    <row r="91" spans="1:53" s="73" customFormat="1" x14ac:dyDescent="0.15">
      <c r="A91" s="73">
        <v>2001</v>
      </c>
      <c r="B91" s="131"/>
      <c r="C91" s="811" t="s">
        <v>44</v>
      </c>
      <c r="D91" s="811"/>
      <c r="E91" s="73">
        <v>365</v>
      </c>
      <c r="F91" s="84"/>
      <c r="G91" s="97">
        <v>6</v>
      </c>
      <c r="H91" s="97">
        <v>6</v>
      </c>
      <c r="I91" s="97"/>
      <c r="J91" s="132">
        <v>12</v>
      </c>
      <c r="K91" s="91">
        <f t="shared" si="25"/>
        <v>50</v>
      </c>
      <c r="L91" s="92">
        <f t="shared" si="26"/>
        <v>50</v>
      </c>
      <c r="M91" s="92">
        <f t="shared" si="27"/>
        <v>0</v>
      </c>
      <c r="N91" s="93">
        <f t="shared" si="23"/>
        <v>100</v>
      </c>
      <c r="O91" s="92">
        <v>28.4</v>
      </c>
      <c r="P91" s="92">
        <v>28.4</v>
      </c>
      <c r="Q91" s="92"/>
      <c r="R91" s="125">
        <f t="shared" si="24"/>
        <v>56.8</v>
      </c>
      <c r="S91" s="126">
        <v>2</v>
      </c>
      <c r="T91" s="85"/>
      <c r="U91" s="127"/>
      <c r="V91" s="73" t="s">
        <v>16</v>
      </c>
      <c r="W91" s="73" t="s">
        <v>17</v>
      </c>
      <c r="X91" s="73" t="s">
        <v>18</v>
      </c>
      <c r="Y91" s="73">
        <v>28.4</v>
      </c>
      <c r="Z91" s="82" t="s">
        <v>21</v>
      </c>
      <c r="AA91" s="73" t="s">
        <v>27</v>
      </c>
      <c r="AB91" s="73" t="s">
        <v>11</v>
      </c>
      <c r="AC91" s="83">
        <v>28.4</v>
      </c>
      <c r="AD91" s="82"/>
      <c r="AG91" s="83"/>
      <c r="AL91" s="82"/>
      <c r="AO91" s="83"/>
      <c r="AS91" s="83"/>
      <c r="AW91" s="83"/>
      <c r="BA91" s="84"/>
    </row>
    <row r="92" spans="1:53" s="73" customFormat="1" x14ac:dyDescent="0.15">
      <c r="A92" s="73">
        <v>2002</v>
      </c>
      <c r="B92" s="131"/>
      <c r="C92" s="811" t="s">
        <v>44</v>
      </c>
      <c r="D92" s="811"/>
      <c r="E92" s="73">
        <v>0</v>
      </c>
      <c r="F92" s="84"/>
      <c r="G92" s="97">
        <v>6</v>
      </c>
      <c r="H92" s="97">
        <v>6</v>
      </c>
      <c r="I92" s="97"/>
      <c r="J92" s="132">
        <v>12</v>
      </c>
      <c r="K92" s="91">
        <f t="shared" si="25"/>
        <v>50</v>
      </c>
      <c r="L92" s="92">
        <f t="shared" si="26"/>
        <v>50</v>
      </c>
      <c r="M92" s="92">
        <f t="shared" si="27"/>
        <v>0</v>
      </c>
      <c r="N92" s="93">
        <f t="shared" si="23"/>
        <v>100</v>
      </c>
      <c r="O92" s="92">
        <v>28.4</v>
      </c>
      <c r="P92" s="92">
        <v>28.4</v>
      </c>
      <c r="Q92" s="92"/>
      <c r="R92" s="125">
        <f t="shared" si="24"/>
        <v>56.8</v>
      </c>
      <c r="S92" s="126">
        <v>2</v>
      </c>
      <c r="T92" s="85"/>
      <c r="U92" s="127"/>
      <c r="V92" s="73" t="s">
        <v>16</v>
      </c>
      <c r="W92" s="73" t="s">
        <v>17</v>
      </c>
      <c r="X92" s="73" t="s">
        <v>18</v>
      </c>
      <c r="Y92" s="73">
        <v>28.4</v>
      </c>
      <c r="Z92" s="82" t="s">
        <v>21</v>
      </c>
      <c r="AA92" s="73" t="s">
        <v>27</v>
      </c>
      <c r="AB92" s="73" t="s">
        <v>11</v>
      </c>
      <c r="AC92" s="83">
        <v>28.4</v>
      </c>
      <c r="AD92" s="82"/>
      <c r="AG92" s="83"/>
      <c r="AL92" s="82"/>
      <c r="AO92" s="83"/>
      <c r="AS92" s="83"/>
      <c r="AW92" s="83"/>
      <c r="BA92" s="84"/>
    </row>
    <row r="93" spans="1:53" s="73" customFormat="1" ht="9" customHeight="1" x14ac:dyDescent="0.15">
      <c r="A93" s="73">
        <v>2002</v>
      </c>
      <c r="B93" s="131"/>
      <c r="C93" s="811" t="s">
        <v>44</v>
      </c>
      <c r="D93" s="811"/>
      <c r="E93" s="73">
        <v>365</v>
      </c>
      <c r="F93" s="84"/>
      <c r="G93" s="97">
        <v>6</v>
      </c>
      <c r="H93" s="97">
        <v>6</v>
      </c>
      <c r="I93" s="97"/>
      <c r="J93" s="132">
        <v>12</v>
      </c>
      <c r="K93" s="91">
        <f t="shared" si="25"/>
        <v>50</v>
      </c>
      <c r="L93" s="92">
        <f t="shared" si="26"/>
        <v>50</v>
      </c>
      <c r="M93" s="92">
        <f t="shared" si="27"/>
        <v>0</v>
      </c>
      <c r="N93" s="93">
        <f t="shared" si="23"/>
        <v>100</v>
      </c>
      <c r="O93" s="92">
        <v>28.4</v>
      </c>
      <c r="P93" s="92">
        <v>28.4</v>
      </c>
      <c r="Q93" s="92"/>
      <c r="R93" s="125">
        <f t="shared" si="24"/>
        <v>56.8</v>
      </c>
      <c r="S93" s="126">
        <v>2</v>
      </c>
      <c r="T93" s="85">
        <v>37584</v>
      </c>
      <c r="U93" s="127"/>
      <c r="V93" s="73" t="s">
        <v>16</v>
      </c>
      <c r="W93" s="73" t="s">
        <v>17</v>
      </c>
      <c r="X93" s="73" t="s">
        <v>18</v>
      </c>
      <c r="Y93" s="73">
        <v>28.4</v>
      </c>
      <c r="Z93" s="82" t="s">
        <v>21</v>
      </c>
      <c r="AA93" s="73" t="s">
        <v>27</v>
      </c>
      <c r="AB93" s="73" t="s">
        <v>11</v>
      </c>
      <c r="AC93" s="83">
        <v>28.4</v>
      </c>
      <c r="AD93" s="82"/>
      <c r="AG93" s="83"/>
      <c r="AL93" s="82"/>
      <c r="AO93" s="83"/>
      <c r="AS93" s="83"/>
      <c r="AW93" s="83"/>
      <c r="BA93" s="84"/>
    </row>
    <row r="94" spans="1:53" s="73" customFormat="1" ht="9" customHeight="1" x14ac:dyDescent="0.15">
      <c r="A94" s="73">
        <v>2003</v>
      </c>
      <c r="B94" s="131"/>
      <c r="C94" s="811" t="s">
        <v>44</v>
      </c>
      <c r="D94" s="811"/>
      <c r="E94" s="73">
        <v>58</v>
      </c>
      <c r="F94" s="84"/>
      <c r="G94" s="97">
        <v>6</v>
      </c>
      <c r="H94" s="97">
        <v>6</v>
      </c>
      <c r="I94" s="97"/>
      <c r="J94" s="132">
        <v>12</v>
      </c>
      <c r="K94" s="91">
        <f t="shared" si="25"/>
        <v>50</v>
      </c>
      <c r="L94" s="92">
        <f t="shared" si="26"/>
        <v>50</v>
      </c>
      <c r="M94" s="92">
        <f t="shared" si="27"/>
        <v>0</v>
      </c>
      <c r="N94" s="93">
        <f t="shared" si="23"/>
        <v>100</v>
      </c>
      <c r="O94" s="92">
        <v>28.4</v>
      </c>
      <c r="P94" s="92">
        <v>28.4</v>
      </c>
      <c r="Q94" s="92"/>
      <c r="R94" s="125">
        <f t="shared" si="24"/>
        <v>56.8</v>
      </c>
      <c r="S94" s="126">
        <v>2</v>
      </c>
      <c r="T94" s="85"/>
      <c r="U94" s="127"/>
      <c r="V94" s="73" t="s">
        <v>16</v>
      </c>
      <c r="W94" s="73" t="s">
        <v>17</v>
      </c>
      <c r="X94" s="73" t="s">
        <v>18</v>
      </c>
      <c r="Y94" s="73">
        <v>28.4</v>
      </c>
      <c r="Z94" s="82" t="s">
        <v>21</v>
      </c>
      <c r="AA94" s="73" t="s">
        <v>27</v>
      </c>
      <c r="AB94" s="73" t="s">
        <v>11</v>
      </c>
      <c r="AC94" s="83">
        <v>28.4</v>
      </c>
      <c r="AD94" s="82"/>
      <c r="AG94" s="83"/>
      <c r="AL94" s="82"/>
      <c r="AO94" s="83"/>
      <c r="AS94" s="83"/>
      <c r="AW94" s="83"/>
      <c r="BA94" s="84"/>
    </row>
    <row r="95" spans="1:53" s="334" customFormat="1" ht="9" customHeight="1" x14ac:dyDescent="0.15">
      <c r="A95" s="334">
        <v>2003</v>
      </c>
      <c r="B95" s="430">
        <v>37680</v>
      </c>
      <c r="C95" s="812" t="s">
        <v>45</v>
      </c>
      <c r="D95" s="812"/>
      <c r="E95" s="334">
        <v>307</v>
      </c>
      <c r="F95" s="345">
        <v>1</v>
      </c>
      <c r="G95" s="388">
        <v>3</v>
      </c>
      <c r="H95" s="388">
        <v>8</v>
      </c>
      <c r="I95" s="388"/>
      <c r="J95" s="429">
        <v>12</v>
      </c>
      <c r="K95" s="383">
        <f t="shared" si="25"/>
        <v>25</v>
      </c>
      <c r="L95" s="384">
        <f t="shared" si="26"/>
        <v>66.666666666666657</v>
      </c>
      <c r="M95" s="384">
        <f t="shared" si="27"/>
        <v>0</v>
      </c>
      <c r="N95" s="385">
        <f t="shared" si="23"/>
        <v>91.666666666666657</v>
      </c>
      <c r="O95" s="384">
        <v>9.8000000000000007</v>
      </c>
      <c r="P95" s="384">
        <v>43.2</v>
      </c>
      <c r="Q95" s="384"/>
      <c r="R95" s="421">
        <f t="shared" si="24"/>
        <v>53</v>
      </c>
      <c r="S95" s="396">
        <v>2</v>
      </c>
      <c r="T95" s="355"/>
      <c r="U95" s="422">
        <v>37680</v>
      </c>
      <c r="V95" s="334" t="s">
        <v>16</v>
      </c>
      <c r="W95" s="334" t="s">
        <v>17</v>
      </c>
      <c r="X95" s="334" t="s">
        <v>18</v>
      </c>
      <c r="Y95" s="334">
        <v>43.2</v>
      </c>
      <c r="Z95" s="343" t="s">
        <v>21</v>
      </c>
      <c r="AA95" s="334" t="s">
        <v>27</v>
      </c>
      <c r="AB95" s="334" t="s">
        <v>11</v>
      </c>
      <c r="AC95" s="344">
        <v>9.8000000000000007</v>
      </c>
      <c r="AD95" s="343"/>
      <c r="AG95" s="344"/>
      <c r="AL95" s="343"/>
      <c r="AO95" s="344"/>
      <c r="AS95" s="344"/>
      <c r="AW95" s="344"/>
      <c r="BA95" s="345"/>
    </row>
    <row r="96" spans="1:53" s="334" customFormat="1" ht="9" customHeight="1" x14ac:dyDescent="0.15">
      <c r="A96" s="334">
        <v>2004</v>
      </c>
      <c r="B96" s="430"/>
      <c r="C96" s="812" t="s">
        <v>45</v>
      </c>
      <c r="D96" s="812"/>
      <c r="E96" s="334">
        <v>0</v>
      </c>
      <c r="F96" s="345"/>
      <c r="G96" s="388">
        <v>3</v>
      </c>
      <c r="H96" s="388">
        <v>8</v>
      </c>
      <c r="I96" s="388"/>
      <c r="J96" s="429">
        <v>12</v>
      </c>
      <c r="K96" s="383">
        <f t="shared" si="25"/>
        <v>25</v>
      </c>
      <c r="L96" s="384">
        <f t="shared" si="26"/>
        <v>66.666666666666657</v>
      </c>
      <c r="M96" s="384">
        <f t="shared" si="27"/>
        <v>0</v>
      </c>
      <c r="N96" s="385">
        <f t="shared" si="23"/>
        <v>91.666666666666657</v>
      </c>
      <c r="O96" s="384">
        <v>9.8000000000000007</v>
      </c>
      <c r="P96" s="384">
        <v>43.2</v>
      </c>
      <c r="Q96" s="384"/>
      <c r="R96" s="421">
        <f t="shared" si="24"/>
        <v>53</v>
      </c>
      <c r="S96" s="396">
        <v>2</v>
      </c>
      <c r="T96" s="355"/>
      <c r="U96" s="422"/>
      <c r="V96" s="334" t="s">
        <v>16</v>
      </c>
      <c r="W96" s="334" t="s">
        <v>17</v>
      </c>
      <c r="X96" s="334" t="s">
        <v>18</v>
      </c>
      <c r="Y96" s="334">
        <v>43.2</v>
      </c>
      <c r="Z96" s="343" t="s">
        <v>21</v>
      </c>
      <c r="AA96" s="334" t="s">
        <v>27</v>
      </c>
      <c r="AB96" s="334" t="s">
        <v>11</v>
      </c>
      <c r="AC96" s="344">
        <v>9.8000000000000007</v>
      </c>
      <c r="AD96" s="343"/>
      <c r="AG96" s="344"/>
      <c r="AL96" s="343"/>
      <c r="AO96" s="344"/>
      <c r="AS96" s="344"/>
      <c r="AW96" s="344"/>
      <c r="BA96" s="345"/>
    </row>
    <row r="97" spans="1:53" s="334" customFormat="1" ht="9" customHeight="1" x14ac:dyDescent="0.15">
      <c r="A97" s="334">
        <v>2004</v>
      </c>
      <c r="B97" s="430"/>
      <c r="C97" s="812" t="s">
        <v>45</v>
      </c>
      <c r="D97" s="812"/>
      <c r="E97" s="334">
        <v>366</v>
      </c>
      <c r="F97" s="345"/>
      <c r="G97" s="388">
        <v>3</v>
      </c>
      <c r="H97" s="388">
        <v>8</v>
      </c>
      <c r="I97" s="388"/>
      <c r="J97" s="429">
        <v>12</v>
      </c>
      <c r="K97" s="383">
        <f t="shared" si="25"/>
        <v>25</v>
      </c>
      <c r="L97" s="384">
        <f t="shared" si="26"/>
        <v>66.666666666666657</v>
      </c>
      <c r="M97" s="384">
        <f t="shared" si="27"/>
        <v>0</v>
      </c>
      <c r="N97" s="385">
        <f t="shared" si="23"/>
        <v>91.666666666666657</v>
      </c>
      <c r="O97" s="384">
        <v>9.8000000000000007</v>
      </c>
      <c r="P97" s="384">
        <v>43.2</v>
      </c>
      <c r="Q97" s="384"/>
      <c r="R97" s="421">
        <f t="shared" si="24"/>
        <v>53</v>
      </c>
      <c r="S97" s="396">
        <v>2</v>
      </c>
      <c r="T97" s="355"/>
      <c r="U97" s="422"/>
      <c r="V97" s="334" t="s">
        <v>16</v>
      </c>
      <c r="W97" s="334" t="s">
        <v>17</v>
      </c>
      <c r="X97" s="334" t="s">
        <v>18</v>
      </c>
      <c r="Y97" s="334">
        <v>43.2</v>
      </c>
      <c r="Z97" s="343" t="s">
        <v>21</v>
      </c>
      <c r="AA97" s="334" t="s">
        <v>27</v>
      </c>
      <c r="AB97" s="334" t="s">
        <v>11</v>
      </c>
      <c r="AC97" s="344">
        <v>9.8000000000000007</v>
      </c>
      <c r="AD97" s="343"/>
      <c r="AG97" s="344"/>
      <c r="AL97" s="343"/>
      <c r="AO97" s="344"/>
      <c r="AS97" s="344"/>
      <c r="AW97" s="344"/>
      <c r="BA97" s="345"/>
    </row>
    <row r="98" spans="1:53" s="417" customFormat="1" ht="9" customHeight="1" x14ac:dyDescent="0.15">
      <c r="A98" s="334">
        <v>2005</v>
      </c>
      <c r="B98" s="431"/>
      <c r="C98" s="812" t="s">
        <v>45</v>
      </c>
      <c r="D98" s="812"/>
      <c r="E98" s="334">
        <v>0</v>
      </c>
      <c r="F98" s="345"/>
      <c r="G98" s="388">
        <v>3</v>
      </c>
      <c r="H98" s="388">
        <v>8</v>
      </c>
      <c r="I98" s="388"/>
      <c r="J98" s="429">
        <v>12</v>
      </c>
      <c r="K98" s="383">
        <f t="shared" ref="K98:K111" si="28">G98/J98*100</f>
        <v>25</v>
      </c>
      <c r="L98" s="384">
        <f t="shared" ref="L98:L111" si="29">H98/J98*100</f>
        <v>66.666666666666657</v>
      </c>
      <c r="M98" s="384">
        <f t="shared" ref="M98:M111" si="30">I98/J98*100</f>
        <v>0</v>
      </c>
      <c r="N98" s="385">
        <f t="shared" si="23"/>
        <v>91.666666666666657</v>
      </c>
      <c r="O98" s="384">
        <v>9.8000000000000007</v>
      </c>
      <c r="P98" s="384">
        <v>43.2</v>
      </c>
      <c r="Q98" s="384"/>
      <c r="R98" s="421">
        <f t="shared" si="24"/>
        <v>53</v>
      </c>
      <c r="S98" s="396">
        <v>2</v>
      </c>
      <c r="T98" s="355"/>
      <c r="U98" s="422"/>
      <c r="V98" s="334" t="s">
        <v>16</v>
      </c>
      <c r="W98" s="334" t="s">
        <v>17</v>
      </c>
      <c r="X98" s="334" t="s">
        <v>18</v>
      </c>
      <c r="Y98" s="334">
        <v>43.2</v>
      </c>
      <c r="Z98" s="343" t="s">
        <v>21</v>
      </c>
      <c r="AA98" s="334" t="s">
        <v>27</v>
      </c>
      <c r="AB98" s="334" t="s">
        <v>11</v>
      </c>
      <c r="AC98" s="344">
        <v>9.8000000000000007</v>
      </c>
      <c r="AD98" s="432"/>
      <c r="AG98" s="433"/>
      <c r="AL98" s="432"/>
      <c r="AO98" s="433"/>
      <c r="AS98" s="433"/>
      <c r="AW98" s="433"/>
      <c r="BA98" s="418"/>
    </row>
    <row r="99" spans="1:53" s="417" customFormat="1" ht="9" customHeight="1" x14ac:dyDescent="0.15">
      <c r="A99" s="334">
        <v>2005</v>
      </c>
      <c r="B99" s="431"/>
      <c r="C99" s="812" t="s">
        <v>45</v>
      </c>
      <c r="D99" s="812"/>
      <c r="E99" s="334">
        <v>365</v>
      </c>
      <c r="F99" s="345"/>
      <c r="G99" s="388">
        <v>3</v>
      </c>
      <c r="H99" s="388">
        <v>8</v>
      </c>
      <c r="I99" s="388"/>
      <c r="J99" s="429">
        <v>12</v>
      </c>
      <c r="K99" s="383">
        <f t="shared" si="28"/>
        <v>25</v>
      </c>
      <c r="L99" s="384">
        <f t="shared" si="29"/>
        <v>66.666666666666657</v>
      </c>
      <c r="M99" s="384">
        <f t="shared" si="30"/>
        <v>0</v>
      </c>
      <c r="N99" s="385">
        <f t="shared" si="23"/>
        <v>91.666666666666657</v>
      </c>
      <c r="O99" s="384">
        <v>9.8000000000000007</v>
      </c>
      <c r="P99" s="384">
        <v>43.2</v>
      </c>
      <c r="Q99" s="384"/>
      <c r="R99" s="421">
        <f t="shared" si="24"/>
        <v>53</v>
      </c>
      <c r="S99" s="396">
        <v>2</v>
      </c>
      <c r="T99" s="355"/>
      <c r="U99" s="422"/>
      <c r="V99" s="334" t="s">
        <v>16</v>
      </c>
      <c r="W99" s="334" t="s">
        <v>17</v>
      </c>
      <c r="X99" s="334" t="s">
        <v>18</v>
      </c>
      <c r="Y99" s="334">
        <v>43.2</v>
      </c>
      <c r="Z99" s="343" t="s">
        <v>21</v>
      </c>
      <c r="AA99" s="334" t="s">
        <v>27</v>
      </c>
      <c r="AB99" s="334" t="s">
        <v>11</v>
      </c>
      <c r="AC99" s="344">
        <v>9.8000000000000007</v>
      </c>
      <c r="AD99" s="432"/>
      <c r="AG99" s="433"/>
      <c r="AL99" s="432"/>
      <c r="AO99" s="433"/>
      <c r="AS99" s="433"/>
      <c r="AW99" s="433"/>
      <c r="BA99" s="418"/>
    </row>
    <row r="100" spans="1:53" s="334" customFormat="1" ht="9" customHeight="1" x14ac:dyDescent="0.15">
      <c r="A100" s="334">
        <v>2006</v>
      </c>
      <c r="B100" s="361"/>
      <c r="C100" s="812" t="s">
        <v>45</v>
      </c>
      <c r="D100" s="812"/>
      <c r="E100" s="334">
        <v>0</v>
      </c>
      <c r="F100" s="345"/>
      <c r="G100" s="388">
        <v>3</v>
      </c>
      <c r="H100" s="388">
        <v>8</v>
      </c>
      <c r="I100" s="388"/>
      <c r="J100" s="429">
        <v>12</v>
      </c>
      <c r="K100" s="383">
        <f t="shared" si="28"/>
        <v>25</v>
      </c>
      <c r="L100" s="384">
        <f t="shared" si="29"/>
        <v>66.666666666666657</v>
      </c>
      <c r="M100" s="384">
        <f t="shared" si="30"/>
        <v>0</v>
      </c>
      <c r="N100" s="385">
        <f t="shared" si="23"/>
        <v>91.666666666666657</v>
      </c>
      <c r="O100" s="384">
        <v>9.8000000000000007</v>
      </c>
      <c r="P100" s="384">
        <v>43.2</v>
      </c>
      <c r="Q100" s="384"/>
      <c r="R100" s="421">
        <f t="shared" si="24"/>
        <v>53</v>
      </c>
      <c r="S100" s="396">
        <v>2</v>
      </c>
      <c r="T100" s="355"/>
      <c r="U100" s="422"/>
      <c r="V100" s="334" t="s">
        <v>16</v>
      </c>
      <c r="W100" s="334" t="s">
        <v>17</v>
      </c>
      <c r="X100" s="334" t="s">
        <v>18</v>
      </c>
      <c r="Y100" s="334">
        <v>43.2</v>
      </c>
      <c r="Z100" s="343" t="s">
        <v>21</v>
      </c>
      <c r="AA100" s="334" t="s">
        <v>27</v>
      </c>
      <c r="AB100" s="334" t="s">
        <v>11</v>
      </c>
      <c r="AC100" s="344">
        <v>9.8000000000000007</v>
      </c>
      <c r="AD100" s="343"/>
      <c r="AG100" s="344"/>
      <c r="AL100" s="343"/>
      <c r="AO100" s="344"/>
      <c r="AS100" s="344"/>
      <c r="AW100" s="344"/>
      <c r="BA100" s="345"/>
    </row>
    <row r="101" spans="1:53" s="334" customFormat="1" ht="9" customHeight="1" x14ac:dyDescent="0.15">
      <c r="A101" s="334">
        <v>2006</v>
      </c>
      <c r="B101" s="361"/>
      <c r="C101" s="812" t="s">
        <v>45</v>
      </c>
      <c r="D101" s="812"/>
      <c r="E101" s="334">
        <v>365</v>
      </c>
      <c r="F101" s="345"/>
      <c r="G101" s="388">
        <v>3</v>
      </c>
      <c r="H101" s="388">
        <v>8</v>
      </c>
      <c r="I101" s="388"/>
      <c r="J101" s="429">
        <v>12</v>
      </c>
      <c r="K101" s="383">
        <f t="shared" si="28"/>
        <v>25</v>
      </c>
      <c r="L101" s="384">
        <f t="shared" si="29"/>
        <v>66.666666666666657</v>
      </c>
      <c r="M101" s="384">
        <f t="shared" si="30"/>
        <v>0</v>
      </c>
      <c r="N101" s="385">
        <f t="shared" si="23"/>
        <v>91.666666666666657</v>
      </c>
      <c r="O101" s="384">
        <v>9.8000000000000007</v>
      </c>
      <c r="P101" s="384">
        <v>43.2</v>
      </c>
      <c r="Q101" s="384"/>
      <c r="R101" s="421">
        <f t="shared" si="24"/>
        <v>53</v>
      </c>
      <c r="S101" s="396">
        <v>2</v>
      </c>
      <c r="T101" s="355">
        <v>38991</v>
      </c>
      <c r="U101" s="422"/>
      <c r="V101" s="334" t="s">
        <v>16</v>
      </c>
      <c r="W101" s="334" t="s">
        <v>17</v>
      </c>
      <c r="X101" s="334" t="s">
        <v>18</v>
      </c>
      <c r="Y101" s="334">
        <v>43.2</v>
      </c>
      <c r="Z101" s="343" t="s">
        <v>21</v>
      </c>
      <c r="AA101" s="334" t="s">
        <v>27</v>
      </c>
      <c r="AB101" s="334" t="s">
        <v>11</v>
      </c>
      <c r="AC101" s="344">
        <v>9.8000000000000007</v>
      </c>
      <c r="AD101" s="343"/>
      <c r="AG101" s="344"/>
      <c r="AL101" s="343"/>
      <c r="AO101" s="344"/>
      <c r="AS101" s="344"/>
      <c r="AW101" s="344"/>
      <c r="BA101" s="345"/>
    </row>
    <row r="102" spans="1:53" s="334" customFormat="1" ht="9" customHeight="1" x14ac:dyDescent="0.15">
      <c r="A102" s="334">
        <v>2007</v>
      </c>
      <c r="B102" s="361"/>
      <c r="C102" s="812" t="s">
        <v>45</v>
      </c>
      <c r="D102" s="812"/>
      <c r="E102" s="334">
        <v>10</v>
      </c>
      <c r="F102" s="345"/>
      <c r="G102" s="388">
        <v>3</v>
      </c>
      <c r="H102" s="388">
        <v>8</v>
      </c>
      <c r="I102" s="388"/>
      <c r="J102" s="429">
        <v>12</v>
      </c>
      <c r="K102" s="383">
        <f t="shared" si="28"/>
        <v>25</v>
      </c>
      <c r="L102" s="384">
        <f t="shared" si="29"/>
        <v>66.666666666666657</v>
      </c>
      <c r="M102" s="384">
        <f t="shared" si="30"/>
        <v>0</v>
      </c>
      <c r="N102" s="385">
        <f t="shared" si="23"/>
        <v>91.666666666666657</v>
      </c>
      <c r="O102" s="384">
        <v>9.8000000000000007</v>
      </c>
      <c r="P102" s="384">
        <v>43.2</v>
      </c>
      <c r="Q102" s="384"/>
      <c r="R102" s="421">
        <f t="shared" si="24"/>
        <v>53</v>
      </c>
      <c r="S102" s="396">
        <v>2</v>
      </c>
      <c r="T102" s="355"/>
      <c r="U102" s="422"/>
      <c r="V102" s="334" t="s">
        <v>16</v>
      </c>
      <c r="W102" s="334" t="s">
        <v>17</v>
      </c>
      <c r="X102" s="334" t="s">
        <v>18</v>
      </c>
      <c r="Y102" s="334">
        <v>43.2</v>
      </c>
      <c r="Z102" s="343" t="s">
        <v>21</v>
      </c>
      <c r="AA102" s="334" t="s">
        <v>27</v>
      </c>
      <c r="AB102" s="334" t="s">
        <v>11</v>
      </c>
      <c r="AC102" s="344">
        <v>9.8000000000000007</v>
      </c>
      <c r="AD102" s="343"/>
      <c r="AG102" s="344"/>
      <c r="AL102" s="343"/>
      <c r="AO102" s="344"/>
      <c r="AS102" s="344"/>
      <c r="AW102" s="344"/>
      <c r="BA102" s="345"/>
    </row>
    <row r="103" spans="1:53" s="73" customFormat="1" ht="9" customHeight="1" x14ac:dyDescent="0.15">
      <c r="A103" s="73">
        <v>2007</v>
      </c>
      <c r="B103" s="131">
        <v>39093</v>
      </c>
      <c r="C103" s="811" t="s">
        <v>46</v>
      </c>
      <c r="D103" s="811"/>
      <c r="E103" s="73">
        <v>355</v>
      </c>
      <c r="F103" s="84">
        <v>1</v>
      </c>
      <c r="G103" s="97"/>
      <c r="H103" s="97">
        <v>7</v>
      </c>
      <c r="I103" s="97">
        <v>7</v>
      </c>
      <c r="J103" s="132">
        <v>14</v>
      </c>
      <c r="K103" s="91">
        <f t="shared" si="28"/>
        <v>0</v>
      </c>
      <c r="L103" s="92">
        <f t="shared" si="29"/>
        <v>50</v>
      </c>
      <c r="M103" s="92">
        <f t="shared" si="30"/>
        <v>50</v>
      </c>
      <c r="N103" s="93">
        <f t="shared" si="23"/>
        <v>100</v>
      </c>
      <c r="O103" s="92"/>
      <c r="P103" s="92">
        <v>36.1</v>
      </c>
      <c r="Q103" s="92">
        <v>37.200000000000003</v>
      </c>
      <c r="R103" s="125">
        <f t="shared" si="24"/>
        <v>73.300000000000011</v>
      </c>
      <c r="S103" s="126">
        <v>2</v>
      </c>
      <c r="T103" s="85"/>
      <c r="U103" s="127">
        <v>39093</v>
      </c>
      <c r="V103" s="73" t="s">
        <v>19</v>
      </c>
      <c r="W103" s="73" t="s">
        <v>20</v>
      </c>
      <c r="X103" s="73" t="s">
        <v>12</v>
      </c>
      <c r="Y103" s="73">
        <v>37.200000000000003</v>
      </c>
      <c r="Z103" s="82" t="s">
        <v>16</v>
      </c>
      <c r="AA103" s="73" t="s">
        <v>17</v>
      </c>
      <c r="AB103" s="73" t="s">
        <v>18</v>
      </c>
      <c r="AC103" s="83">
        <v>36.1</v>
      </c>
      <c r="AD103" s="82"/>
      <c r="AG103" s="83"/>
      <c r="AL103" s="82"/>
      <c r="AO103" s="83"/>
      <c r="AS103" s="83"/>
      <c r="AW103" s="83"/>
      <c r="BA103" s="84"/>
    </row>
    <row r="104" spans="1:53" s="297" customFormat="1" ht="9" customHeight="1" x14ac:dyDescent="0.15">
      <c r="A104" s="297">
        <v>2008</v>
      </c>
      <c r="B104" s="133"/>
      <c r="C104" s="811" t="s">
        <v>46</v>
      </c>
      <c r="D104" s="811"/>
      <c r="E104" s="297">
        <v>336</v>
      </c>
      <c r="F104" s="84"/>
      <c r="G104" s="97"/>
      <c r="H104" s="97">
        <v>7</v>
      </c>
      <c r="I104" s="97">
        <v>7</v>
      </c>
      <c r="J104" s="132">
        <v>14</v>
      </c>
      <c r="K104" s="91">
        <f t="shared" si="28"/>
        <v>0</v>
      </c>
      <c r="L104" s="92">
        <f t="shared" si="29"/>
        <v>50</v>
      </c>
      <c r="M104" s="92">
        <f t="shared" si="30"/>
        <v>50</v>
      </c>
      <c r="N104" s="93">
        <f t="shared" si="23"/>
        <v>100</v>
      </c>
      <c r="O104" s="92"/>
      <c r="P104" s="92">
        <v>36.1</v>
      </c>
      <c r="Q104" s="92">
        <v>37.200000000000003</v>
      </c>
      <c r="R104" s="125">
        <f t="shared" si="24"/>
        <v>73.300000000000011</v>
      </c>
      <c r="S104" s="126">
        <v>2</v>
      </c>
      <c r="T104" s="295"/>
      <c r="U104" s="127"/>
      <c r="V104" s="297" t="s">
        <v>19</v>
      </c>
      <c r="W104" s="297" t="s">
        <v>20</v>
      </c>
      <c r="X104" s="297" t="s">
        <v>12</v>
      </c>
      <c r="Y104" s="297">
        <v>37.200000000000003</v>
      </c>
      <c r="Z104" s="82" t="s">
        <v>16</v>
      </c>
      <c r="AA104" s="297" t="s">
        <v>17</v>
      </c>
      <c r="AB104" s="297" t="s">
        <v>18</v>
      </c>
      <c r="AC104" s="83">
        <v>36.1</v>
      </c>
      <c r="AD104" s="82"/>
      <c r="AG104" s="83"/>
      <c r="AL104" s="82"/>
      <c r="AO104" s="83"/>
      <c r="AS104" s="83"/>
      <c r="AW104" s="83"/>
      <c r="BA104" s="84"/>
    </row>
    <row r="105" spans="1:53" s="334" customFormat="1" ht="9" customHeight="1" x14ac:dyDescent="0.15">
      <c r="A105" s="334">
        <v>2008</v>
      </c>
      <c r="B105" s="430">
        <v>39784</v>
      </c>
      <c r="C105" s="812" t="s">
        <v>47</v>
      </c>
      <c r="D105" s="812"/>
      <c r="E105" s="334">
        <v>30</v>
      </c>
      <c r="F105" s="345">
        <v>1</v>
      </c>
      <c r="G105" s="388"/>
      <c r="H105" s="388">
        <v>7</v>
      </c>
      <c r="I105" s="388">
        <v>7</v>
      </c>
      <c r="J105" s="429">
        <v>14</v>
      </c>
      <c r="K105" s="383">
        <f t="shared" si="28"/>
        <v>0</v>
      </c>
      <c r="L105" s="384">
        <f t="shared" si="29"/>
        <v>50</v>
      </c>
      <c r="M105" s="384">
        <f t="shared" si="30"/>
        <v>50</v>
      </c>
      <c r="N105" s="385">
        <f t="shared" si="23"/>
        <v>100</v>
      </c>
      <c r="O105" s="384"/>
      <c r="P105" s="384">
        <v>27.9</v>
      </c>
      <c r="Q105" s="384">
        <v>31.1</v>
      </c>
      <c r="R105" s="421">
        <f t="shared" si="24"/>
        <v>59</v>
      </c>
      <c r="S105" s="396">
        <v>2</v>
      </c>
      <c r="T105" s="355">
        <v>39719</v>
      </c>
      <c r="U105" s="422">
        <v>39784</v>
      </c>
      <c r="V105" s="334" t="s">
        <v>19</v>
      </c>
      <c r="W105" s="334" t="s">
        <v>20</v>
      </c>
      <c r="X105" s="334" t="s">
        <v>12</v>
      </c>
      <c r="Y105" s="334">
        <v>31.1</v>
      </c>
      <c r="Z105" s="343" t="s">
        <v>16</v>
      </c>
      <c r="AA105" s="334" t="s">
        <v>17</v>
      </c>
      <c r="AB105" s="334" t="s">
        <v>18</v>
      </c>
      <c r="AC105" s="344">
        <v>27.9</v>
      </c>
      <c r="AD105" s="343"/>
      <c r="AG105" s="344"/>
      <c r="AL105" s="343"/>
      <c r="AO105" s="344"/>
      <c r="AS105" s="344"/>
      <c r="AW105" s="344"/>
      <c r="BA105" s="345"/>
    </row>
    <row r="106" spans="1:53" s="334" customFormat="1" ht="9" customHeight="1" x14ac:dyDescent="0.15">
      <c r="A106" s="334">
        <v>2009</v>
      </c>
      <c r="B106" s="355"/>
      <c r="C106" s="812" t="s">
        <v>47</v>
      </c>
      <c r="D106" s="812"/>
      <c r="E106" s="334">
        <v>0</v>
      </c>
      <c r="F106" s="345"/>
      <c r="G106" s="388"/>
      <c r="H106" s="388">
        <v>7</v>
      </c>
      <c r="I106" s="388">
        <v>7</v>
      </c>
      <c r="J106" s="429">
        <v>14</v>
      </c>
      <c r="K106" s="383">
        <f t="shared" si="28"/>
        <v>0</v>
      </c>
      <c r="L106" s="384">
        <f>H106/J106*100</f>
        <v>50</v>
      </c>
      <c r="M106" s="384">
        <f t="shared" si="30"/>
        <v>50</v>
      </c>
      <c r="N106" s="385">
        <f t="shared" si="23"/>
        <v>100</v>
      </c>
      <c r="O106" s="384"/>
      <c r="P106" s="384">
        <v>27.9</v>
      </c>
      <c r="Q106" s="384">
        <v>31.1</v>
      </c>
      <c r="R106" s="421">
        <f t="shared" si="24"/>
        <v>59</v>
      </c>
      <c r="S106" s="396">
        <v>2</v>
      </c>
      <c r="T106" s="355"/>
      <c r="U106" s="422"/>
      <c r="V106" s="334" t="s">
        <v>19</v>
      </c>
      <c r="W106" s="334" t="s">
        <v>20</v>
      </c>
      <c r="X106" s="334" t="s">
        <v>12</v>
      </c>
      <c r="Y106" s="334">
        <v>31.1</v>
      </c>
      <c r="Z106" s="343" t="s">
        <v>16</v>
      </c>
      <c r="AA106" s="334" t="s">
        <v>17</v>
      </c>
      <c r="AB106" s="334" t="s">
        <v>18</v>
      </c>
      <c r="AC106" s="344">
        <v>27.9</v>
      </c>
      <c r="AD106" s="343"/>
      <c r="AG106" s="344"/>
      <c r="AL106" s="343"/>
      <c r="AO106" s="344"/>
      <c r="AS106" s="344"/>
      <c r="AW106" s="344"/>
      <c r="BA106" s="345"/>
    </row>
    <row r="107" spans="1:53" s="334" customFormat="1" ht="9" customHeight="1" x14ac:dyDescent="0.15">
      <c r="A107" s="334">
        <v>2009</v>
      </c>
      <c r="B107" s="355"/>
      <c r="C107" s="812" t="s">
        <v>47</v>
      </c>
      <c r="D107" s="812"/>
      <c r="E107" s="334">
        <v>365</v>
      </c>
      <c r="F107" s="345"/>
      <c r="G107" s="388"/>
      <c r="H107" s="388">
        <v>7</v>
      </c>
      <c r="I107" s="388">
        <v>7</v>
      </c>
      <c r="J107" s="429">
        <v>14</v>
      </c>
      <c r="K107" s="383">
        <f t="shared" si="28"/>
        <v>0</v>
      </c>
      <c r="L107" s="384">
        <f t="shared" si="29"/>
        <v>50</v>
      </c>
      <c r="M107" s="384">
        <f t="shared" si="30"/>
        <v>50</v>
      </c>
      <c r="N107" s="385">
        <f t="shared" si="23"/>
        <v>100</v>
      </c>
      <c r="O107" s="384"/>
      <c r="P107" s="384">
        <v>27.9</v>
      </c>
      <c r="Q107" s="384">
        <v>31.1</v>
      </c>
      <c r="R107" s="421">
        <f t="shared" si="24"/>
        <v>59</v>
      </c>
      <c r="S107" s="396">
        <v>2</v>
      </c>
      <c r="T107" s="355"/>
      <c r="U107" s="422"/>
      <c r="V107" s="334" t="s">
        <v>19</v>
      </c>
      <c r="W107" s="334" t="s">
        <v>20</v>
      </c>
      <c r="X107" s="334" t="s">
        <v>12</v>
      </c>
      <c r="Y107" s="334">
        <v>31.1</v>
      </c>
      <c r="Z107" s="343" t="s">
        <v>16</v>
      </c>
      <c r="AA107" s="334" t="s">
        <v>17</v>
      </c>
      <c r="AB107" s="334" t="s">
        <v>18</v>
      </c>
      <c r="AC107" s="344">
        <v>27.9</v>
      </c>
      <c r="AD107" s="343"/>
      <c r="AG107" s="344"/>
      <c r="AL107" s="343"/>
      <c r="AO107" s="344"/>
      <c r="AS107" s="344"/>
      <c r="AW107" s="344"/>
      <c r="BA107" s="345"/>
    </row>
    <row r="108" spans="1:53" s="334" customFormat="1" ht="9" customHeight="1" x14ac:dyDescent="0.15">
      <c r="A108" s="334">
        <v>2010</v>
      </c>
      <c r="B108" s="355"/>
      <c r="C108" s="812" t="s">
        <v>47</v>
      </c>
      <c r="D108" s="812"/>
      <c r="E108" s="334">
        <v>0</v>
      </c>
      <c r="F108" s="345"/>
      <c r="G108" s="388"/>
      <c r="H108" s="388">
        <v>7</v>
      </c>
      <c r="I108" s="388">
        <v>7</v>
      </c>
      <c r="J108" s="429">
        <v>14</v>
      </c>
      <c r="K108" s="383">
        <f t="shared" si="28"/>
        <v>0</v>
      </c>
      <c r="L108" s="384">
        <f t="shared" si="29"/>
        <v>50</v>
      </c>
      <c r="M108" s="384">
        <f t="shared" si="30"/>
        <v>50</v>
      </c>
      <c r="N108" s="385">
        <f t="shared" si="23"/>
        <v>100</v>
      </c>
      <c r="O108" s="384"/>
      <c r="P108" s="384">
        <v>27.9</v>
      </c>
      <c r="Q108" s="384">
        <v>31.1</v>
      </c>
      <c r="R108" s="421">
        <f t="shared" si="24"/>
        <v>59</v>
      </c>
      <c r="S108" s="396">
        <v>2</v>
      </c>
      <c r="T108" s="355"/>
      <c r="U108" s="422"/>
      <c r="V108" s="334" t="s">
        <v>19</v>
      </c>
      <c r="W108" s="334" t="s">
        <v>20</v>
      </c>
      <c r="X108" s="334" t="s">
        <v>12</v>
      </c>
      <c r="Y108" s="334">
        <v>31.1</v>
      </c>
      <c r="Z108" s="343" t="s">
        <v>16</v>
      </c>
      <c r="AA108" s="334" t="s">
        <v>17</v>
      </c>
      <c r="AB108" s="334" t="s">
        <v>18</v>
      </c>
      <c r="AC108" s="344">
        <v>27.9</v>
      </c>
      <c r="AD108" s="343"/>
      <c r="AG108" s="344"/>
      <c r="AL108" s="343"/>
      <c r="AO108" s="344"/>
      <c r="AS108" s="344"/>
      <c r="AW108" s="344"/>
      <c r="BA108" s="345"/>
    </row>
    <row r="109" spans="1:53" s="334" customFormat="1" ht="9" customHeight="1" x14ac:dyDescent="0.15">
      <c r="A109" s="334">
        <v>2010</v>
      </c>
      <c r="B109" s="355"/>
      <c r="C109" s="812" t="s">
        <v>47</v>
      </c>
      <c r="D109" s="812"/>
      <c r="E109" s="334">
        <v>365</v>
      </c>
      <c r="F109" s="345"/>
      <c r="G109" s="388"/>
      <c r="H109" s="388">
        <v>7</v>
      </c>
      <c r="I109" s="388">
        <v>7</v>
      </c>
      <c r="J109" s="429">
        <v>14</v>
      </c>
      <c r="K109" s="383">
        <f t="shared" si="28"/>
        <v>0</v>
      </c>
      <c r="L109" s="384">
        <f t="shared" si="29"/>
        <v>50</v>
      </c>
      <c r="M109" s="384">
        <f t="shared" si="30"/>
        <v>50</v>
      </c>
      <c r="N109" s="385">
        <f t="shared" si="23"/>
        <v>100</v>
      </c>
      <c r="O109" s="384"/>
      <c r="P109" s="384">
        <v>27.9</v>
      </c>
      <c r="Q109" s="384">
        <v>31.1</v>
      </c>
      <c r="R109" s="421">
        <f t="shared" si="24"/>
        <v>59</v>
      </c>
      <c r="S109" s="396">
        <v>2</v>
      </c>
      <c r="T109" s="355"/>
      <c r="U109" s="422"/>
      <c r="V109" s="334" t="s">
        <v>19</v>
      </c>
      <c r="W109" s="334" t="s">
        <v>20</v>
      </c>
      <c r="X109" s="334" t="s">
        <v>12</v>
      </c>
      <c r="Y109" s="334">
        <v>31.1</v>
      </c>
      <c r="Z109" s="343" t="s">
        <v>16</v>
      </c>
      <c r="AA109" s="334" t="s">
        <v>17</v>
      </c>
      <c r="AB109" s="334" t="s">
        <v>18</v>
      </c>
      <c r="AC109" s="344">
        <v>27.9</v>
      </c>
      <c r="AD109" s="343"/>
      <c r="AG109" s="344"/>
      <c r="AL109" s="343"/>
      <c r="AO109" s="344"/>
      <c r="AS109" s="344"/>
      <c r="AW109" s="344"/>
      <c r="BA109" s="345"/>
    </row>
    <row r="110" spans="1:53" s="334" customFormat="1" ht="9" customHeight="1" x14ac:dyDescent="0.15">
      <c r="A110" s="334">
        <v>2011</v>
      </c>
      <c r="B110" s="355"/>
      <c r="C110" s="812" t="s">
        <v>47</v>
      </c>
      <c r="D110" s="812"/>
      <c r="E110" s="334">
        <v>0</v>
      </c>
      <c r="F110" s="345"/>
      <c r="G110" s="388"/>
      <c r="H110" s="388">
        <v>7</v>
      </c>
      <c r="I110" s="388">
        <v>7</v>
      </c>
      <c r="J110" s="429">
        <v>14</v>
      </c>
      <c r="K110" s="383">
        <f t="shared" si="28"/>
        <v>0</v>
      </c>
      <c r="L110" s="384">
        <f t="shared" si="29"/>
        <v>50</v>
      </c>
      <c r="M110" s="384">
        <f t="shared" si="30"/>
        <v>50</v>
      </c>
      <c r="N110" s="385">
        <f t="shared" si="23"/>
        <v>100</v>
      </c>
      <c r="O110" s="384"/>
      <c r="P110" s="384">
        <v>27.9</v>
      </c>
      <c r="Q110" s="384">
        <v>31.1</v>
      </c>
      <c r="R110" s="421">
        <f t="shared" si="24"/>
        <v>59</v>
      </c>
      <c r="S110" s="396">
        <v>2</v>
      </c>
      <c r="T110" s="355"/>
      <c r="U110" s="422"/>
      <c r="V110" s="334" t="s">
        <v>19</v>
      </c>
      <c r="W110" s="334" t="s">
        <v>20</v>
      </c>
      <c r="X110" s="334" t="s">
        <v>12</v>
      </c>
      <c r="Y110" s="334">
        <v>31.1</v>
      </c>
      <c r="Z110" s="343" t="s">
        <v>16</v>
      </c>
      <c r="AA110" s="334" t="s">
        <v>17</v>
      </c>
      <c r="AB110" s="334" t="s">
        <v>18</v>
      </c>
      <c r="AC110" s="344">
        <v>27.9</v>
      </c>
      <c r="AD110" s="343"/>
      <c r="AG110" s="344"/>
      <c r="AL110" s="343"/>
      <c r="AO110" s="344"/>
      <c r="AS110" s="344"/>
      <c r="AW110" s="344"/>
      <c r="BA110" s="345"/>
    </row>
    <row r="111" spans="1:53" s="334" customFormat="1" ht="9" customHeight="1" x14ac:dyDescent="0.15">
      <c r="A111" s="334">
        <v>2011</v>
      </c>
      <c r="B111" s="355"/>
      <c r="C111" s="812" t="s">
        <v>47</v>
      </c>
      <c r="D111" s="812"/>
      <c r="E111" s="388">
        <v>365</v>
      </c>
      <c r="F111" s="434"/>
      <c r="G111" s="388"/>
      <c r="H111" s="388">
        <v>7</v>
      </c>
      <c r="I111" s="388">
        <v>7</v>
      </c>
      <c r="J111" s="429">
        <v>14</v>
      </c>
      <c r="K111" s="383">
        <f t="shared" si="28"/>
        <v>0</v>
      </c>
      <c r="L111" s="384">
        <f t="shared" si="29"/>
        <v>50</v>
      </c>
      <c r="M111" s="384">
        <f t="shared" si="30"/>
        <v>50</v>
      </c>
      <c r="N111" s="385">
        <f t="shared" si="23"/>
        <v>100</v>
      </c>
      <c r="O111" s="384"/>
      <c r="P111" s="384">
        <v>27.9</v>
      </c>
      <c r="Q111" s="384">
        <v>31.1</v>
      </c>
      <c r="R111" s="421">
        <f t="shared" si="24"/>
        <v>59</v>
      </c>
      <c r="S111" s="396">
        <v>2</v>
      </c>
      <c r="T111" s="355"/>
      <c r="U111" s="422"/>
      <c r="V111" s="334" t="s">
        <v>19</v>
      </c>
      <c r="W111" s="334" t="s">
        <v>20</v>
      </c>
      <c r="X111" s="334" t="s">
        <v>12</v>
      </c>
      <c r="Y111" s="334">
        <v>31.1</v>
      </c>
      <c r="Z111" s="343" t="s">
        <v>16</v>
      </c>
      <c r="AA111" s="334" t="s">
        <v>17</v>
      </c>
      <c r="AB111" s="334" t="s">
        <v>18</v>
      </c>
      <c r="AC111" s="344">
        <v>27.9</v>
      </c>
      <c r="AD111" s="343"/>
      <c r="AG111" s="344"/>
      <c r="AL111" s="343"/>
      <c r="AO111" s="344"/>
      <c r="AS111" s="344"/>
      <c r="AW111" s="344"/>
      <c r="BA111" s="345"/>
    </row>
    <row r="112" spans="1:53" s="334" customFormat="1" ht="9" customHeight="1" x14ac:dyDescent="0.15">
      <c r="A112" s="334">
        <v>2012</v>
      </c>
      <c r="B112" s="355"/>
      <c r="C112" s="812" t="s">
        <v>47</v>
      </c>
      <c r="D112" s="812"/>
      <c r="E112" s="388">
        <v>0</v>
      </c>
      <c r="F112" s="434"/>
      <c r="G112" s="388"/>
      <c r="H112" s="388">
        <v>7</v>
      </c>
      <c r="I112" s="388">
        <v>7</v>
      </c>
      <c r="J112" s="429">
        <v>14</v>
      </c>
      <c r="K112" s="383">
        <f t="shared" ref="K112:K117" si="31">G112/J112*100</f>
        <v>0</v>
      </c>
      <c r="L112" s="384">
        <f t="shared" ref="L112:L117" si="32">H112/J112*100</f>
        <v>50</v>
      </c>
      <c r="M112" s="384">
        <f t="shared" ref="M112:M117" si="33">I112/J112*100</f>
        <v>50</v>
      </c>
      <c r="N112" s="385">
        <f t="shared" si="23"/>
        <v>100</v>
      </c>
      <c r="O112" s="384"/>
      <c r="P112" s="384">
        <v>27.9</v>
      </c>
      <c r="Q112" s="384">
        <v>31.1</v>
      </c>
      <c r="R112" s="421">
        <f t="shared" si="24"/>
        <v>59</v>
      </c>
      <c r="S112" s="396">
        <v>2</v>
      </c>
      <c r="T112" s="355"/>
      <c r="U112" s="422"/>
      <c r="V112" s="334" t="s">
        <v>19</v>
      </c>
      <c r="W112" s="334" t="s">
        <v>20</v>
      </c>
      <c r="X112" s="334" t="s">
        <v>12</v>
      </c>
      <c r="Y112" s="334">
        <v>31.1</v>
      </c>
      <c r="Z112" s="343" t="s">
        <v>16</v>
      </c>
      <c r="AA112" s="334" t="s">
        <v>17</v>
      </c>
      <c r="AB112" s="334" t="s">
        <v>18</v>
      </c>
      <c r="AC112" s="344">
        <v>27.9</v>
      </c>
      <c r="AD112" s="343"/>
      <c r="AG112" s="344"/>
      <c r="AL112" s="343"/>
      <c r="AO112" s="344"/>
      <c r="AS112" s="344"/>
      <c r="AW112" s="344"/>
      <c r="BA112" s="345"/>
    </row>
    <row r="113" spans="1:53" s="334" customFormat="1" ht="9" customHeight="1" x14ac:dyDescent="0.15">
      <c r="A113" s="334">
        <v>2012</v>
      </c>
      <c r="B113" s="355"/>
      <c r="C113" s="812" t="s">
        <v>47</v>
      </c>
      <c r="D113" s="812"/>
      <c r="E113" s="334">
        <v>366</v>
      </c>
      <c r="F113" s="345"/>
      <c r="G113" s="388"/>
      <c r="H113" s="388">
        <v>7</v>
      </c>
      <c r="I113" s="388">
        <v>7</v>
      </c>
      <c r="J113" s="429">
        <v>14</v>
      </c>
      <c r="K113" s="383">
        <f t="shared" si="31"/>
        <v>0</v>
      </c>
      <c r="L113" s="384">
        <f t="shared" si="32"/>
        <v>50</v>
      </c>
      <c r="M113" s="384">
        <f t="shared" si="33"/>
        <v>50</v>
      </c>
      <c r="N113" s="385">
        <f t="shared" si="23"/>
        <v>100</v>
      </c>
      <c r="O113" s="384"/>
      <c r="P113" s="384">
        <v>27.9</v>
      </c>
      <c r="Q113" s="384">
        <v>31.1</v>
      </c>
      <c r="R113" s="421">
        <f t="shared" si="24"/>
        <v>59</v>
      </c>
      <c r="S113" s="396">
        <v>2</v>
      </c>
      <c r="T113" s="355"/>
      <c r="U113" s="422"/>
      <c r="V113" s="334" t="s">
        <v>19</v>
      </c>
      <c r="W113" s="334" t="s">
        <v>20</v>
      </c>
      <c r="X113" s="334" t="s">
        <v>12</v>
      </c>
      <c r="Y113" s="334">
        <v>31.1</v>
      </c>
      <c r="Z113" s="343" t="s">
        <v>16</v>
      </c>
      <c r="AA113" s="334" t="s">
        <v>17</v>
      </c>
      <c r="AB113" s="334" t="s">
        <v>18</v>
      </c>
      <c r="AC113" s="344">
        <v>27.9</v>
      </c>
      <c r="AD113" s="343"/>
      <c r="AG113" s="344"/>
      <c r="AL113" s="343"/>
      <c r="AO113" s="344"/>
      <c r="AS113" s="344"/>
      <c r="AW113" s="344"/>
      <c r="BA113" s="345"/>
    </row>
    <row r="114" spans="1:53" s="334" customFormat="1" ht="9" customHeight="1" x14ac:dyDescent="0.15">
      <c r="A114" s="334">
        <v>2013</v>
      </c>
      <c r="B114" s="355"/>
      <c r="C114" s="812" t="s">
        <v>47</v>
      </c>
      <c r="D114" s="812"/>
      <c r="E114" s="334">
        <v>349</v>
      </c>
      <c r="F114" s="345"/>
      <c r="G114" s="388"/>
      <c r="H114" s="388">
        <v>7</v>
      </c>
      <c r="I114" s="388">
        <v>7</v>
      </c>
      <c r="J114" s="429">
        <v>14</v>
      </c>
      <c r="K114" s="383">
        <f t="shared" si="31"/>
        <v>0</v>
      </c>
      <c r="L114" s="384">
        <f t="shared" si="32"/>
        <v>50</v>
      </c>
      <c r="M114" s="384">
        <f t="shared" si="33"/>
        <v>50</v>
      </c>
      <c r="N114" s="385">
        <f t="shared" si="23"/>
        <v>100</v>
      </c>
      <c r="O114" s="384"/>
      <c r="P114" s="384">
        <v>27.9</v>
      </c>
      <c r="Q114" s="384">
        <v>31.1</v>
      </c>
      <c r="R114" s="421">
        <f t="shared" si="24"/>
        <v>59</v>
      </c>
      <c r="S114" s="396">
        <v>2</v>
      </c>
      <c r="T114" s="355"/>
      <c r="U114" s="422"/>
      <c r="V114" s="334" t="s">
        <v>19</v>
      </c>
      <c r="W114" s="334" t="s">
        <v>20</v>
      </c>
      <c r="X114" s="334" t="s">
        <v>12</v>
      </c>
      <c r="Y114" s="334">
        <v>31.1</v>
      </c>
      <c r="Z114" s="343" t="s">
        <v>16</v>
      </c>
      <c r="AA114" s="334" t="s">
        <v>17</v>
      </c>
      <c r="AB114" s="334" t="s">
        <v>18</v>
      </c>
      <c r="AC114" s="344">
        <v>27.9</v>
      </c>
      <c r="AD114" s="343"/>
      <c r="AG114" s="344"/>
      <c r="AL114" s="343"/>
      <c r="AO114" s="344"/>
      <c r="AS114" s="344"/>
      <c r="AW114" s="344"/>
      <c r="BA114" s="345"/>
    </row>
    <row r="115" spans="1:53" s="297" customFormat="1" ht="9" customHeight="1" x14ac:dyDescent="0.15">
      <c r="A115" s="297">
        <v>2013</v>
      </c>
      <c r="B115" s="133">
        <v>41624</v>
      </c>
      <c r="C115" s="811" t="s">
        <v>1258</v>
      </c>
      <c r="D115" s="811"/>
      <c r="E115" s="297">
        <f>365-E114</f>
        <v>16</v>
      </c>
      <c r="F115" s="84">
        <v>1</v>
      </c>
      <c r="G115" s="97"/>
      <c r="H115" s="97">
        <v>7</v>
      </c>
      <c r="I115" s="97">
        <v>7</v>
      </c>
      <c r="J115" s="132">
        <v>14</v>
      </c>
      <c r="K115" s="91">
        <f t="shared" si="31"/>
        <v>0</v>
      </c>
      <c r="L115" s="92">
        <f t="shared" si="32"/>
        <v>50</v>
      </c>
      <c r="M115" s="92">
        <f t="shared" si="33"/>
        <v>50</v>
      </c>
      <c r="N115" s="93">
        <f t="shared" si="23"/>
        <v>100</v>
      </c>
      <c r="O115" s="92"/>
      <c r="P115" s="92">
        <v>25.7</v>
      </c>
      <c r="Q115" s="92">
        <v>28.4</v>
      </c>
      <c r="R115" s="125">
        <f t="shared" si="24"/>
        <v>54.099999999999994</v>
      </c>
      <c r="S115" s="126">
        <v>2</v>
      </c>
      <c r="T115" s="295">
        <v>41546</v>
      </c>
      <c r="U115" s="127">
        <v>41624</v>
      </c>
      <c r="V115" s="297" t="s">
        <v>19</v>
      </c>
      <c r="W115" s="297" t="s">
        <v>20</v>
      </c>
      <c r="X115" s="297" t="s">
        <v>12</v>
      </c>
      <c r="Y115" s="297">
        <v>28.4</v>
      </c>
      <c r="Z115" s="82" t="s">
        <v>16</v>
      </c>
      <c r="AA115" s="297" t="s">
        <v>17</v>
      </c>
      <c r="AB115" s="297" t="s">
        <v>18</v>
      </c>
      <c r="AC115" s="83">
        <v>25.7</v>
      </c>
      <c r="AD115" s="82"/>
      <c r="AG115" s="83"/>
      <c r="AL115" s="82"/>
      <c r="AO115" s="83"/>
      <c r="AS115" s="83"/>
      <c r="AW115" s="83"/>
      <c r="BA115" s="84"/>
    </row>
    <row r="116" spans="1:53" s="514" customFormat="1" ht="9" customHeight="1" x14ac:dyDescent="0.15">
      <c r="A116" s="514">
        <v>2014</v>
      </c>
      <c r="B116" s="133"/>
      <c r="C116" s="811" t="s">
        <v>1258</v>
      </c>
      <c r="D116" s="811"/>
      <c r="E116" s="514">
        <v>0</v>
      </c>
      <c r="F116" s="474"/>
      <c r="G116" s="97"/>
      <c r="H116" s="97">
        <v>7</v>
      </c>
      <c r="I116" s="97">
        <v>7</v>
      </c>
      <c r="J116" s="132">
        <v>14</v>
      </c>
      <c r="K116" s="476">
        <f t="shared" si="31"/>
        <v>0</v>
      </c>
      <c r="L116" s="477">
        <f t="shared" si="32"/>
        <v>50</v>
      </c>
      <c r="M116" s="477">
        <f t="shared" si="33"/>
        <v>50</v>
      </c>
      <c r="N116" s="478">
        <f t="shared" si="23"/>
        <v>100</v>
      </c>
      <c r="O116" s="477"/>
      <c r="P116" s="477">
        <v>25.7</v>
      </c>
      <c r="Q116" s="477">
        <v>28.4</v>
      </c>
      <c r="R116" s="481">
        <f t="shared" si="24"/>
        <v>54.099999999999994</v>
      </c>
      <c r="S116" s="126">
        <v>2</v>
      </c>
      <c r="T116" s="510"/>
      <c r="U116" s="127"/>
      <c r="V116" s="514" t="s">
        <v>19</v>
      </c>
      <c r="W116" s="514" t="s">
        <v>20</v>
      </c>
      <c r="X116" s="514" t="s">
        <v>12</v>
      </c>
      <c r="Y116" s="514">
        <v>28.4</v>
      </c>
      <c r="Z116" s="472" t="s">
        <v>16</v>
      </c>
      <c r="AA116" s="514" t="s">
        <v>17</v>
      </c>
      <c r="AB116" s="514" t="s">
        <v>18</v>
      </c>
      <c r="AC116" s="473">
        <v>25.7</v>
      </c>
      <c r="AD116" s="472"/>
      <c r="AG116" s="473"/>
      <c r="AL116" s="472"/>
      <c r="AO116" s="473"/>
      <c r="AS116" s="473"/>
      <c r="AW116" s="473"/>
      <c r="BA116" s="474"/>
    </row>
    <row r="117" spans="1:53" s="514" customFormat="1" ht="9" customHeight="1" x14ac:dyDescent="0.15">
      <c r="A117" s="514">
        <v>2014</v>
      </c>
      <c r="B117" s="133"/>
      <c r="C117" s="811" t="s">
        <v>1258</v>
      </c>
      <c r="D117" s="811"/>
      <c r="E117" s="514">
        <v>365</v>
      </c>
      <c r="F117" s="474"/>
      <c r="G117" s="97"/>
      <c r="H117" s="97">
        <v>7</v>
      </c>
      <c r="I117" s="97">
        <v>7</v>
      </c>
      <c r="J117" s="132">
        <v>14</v>
      </c>
      <c r="K117" s="476">
        <f t="shared" si="31"/>
        <v>0</v>
      </c>
      <c r="L117" s="477">
        <f t="shared" si="32"/>
        <v>50</v>
      </c>
      <c r="M117" s="477">
        <f t="shared" si="33"/>
        <v>50</v>
      </c>
      <c r="N117" s="478">
        <f>SUM(K117:M117)</f>
        <v>100</v>
      </c>
      <c r="O117" s="477"/>
      <c r="P117" s="477">
        <v>25.7</v>
      </c>
      <c r="Q117" s="477">
        <v>28.4</v>
      </c>
      <c r="R117" s="481">
        <f t="shared" si="24"/>
        <v>54.099999999999994</v>
      </c>
      <c r="S117" s="126">
        <v>2</v>
      </c>
      <c r="T117" s="510"/>
      <c r="U117" s="127"/>
      <c r="V117" s="514" t="s">
        <v>19</v>
      </c>
      <c r="W117" s="514" t="s">
        <v>20</v>
      </c>
      <c r="X117" s="514" t="s">
        <v>12</v>
      </c>
      <c r="Y117" s="514">
        <v>28.4</v>
      </c>
      <c r="Z117" s="472" t="s">
        <v>16</v>
      </c>
      <c r="AA117" s="514" t="s">
        <v>17</v>
      </c>
      <c r="AB117" s="514" t="s">
        <v>18</v>
      </c>
      <c r="AC117" s="473">
        <v>25.7</v>
      </c>
      <c r="AD117" s="472"/>
      <c r="AG117" s="473"/>
      <c r="AL117" s="472"/>
      <c r="AO117" s="473"/>
      <c r="AS117" s="473"/>
      <c r="AW117" s="473"/>
      <c r="BA117" s="474"/>
    </row>
    <row r="118" spans="1:53" s="692" customFormat="1" ht="9" customHeight="1" x14ac:dyDescent="0.15">
      <c r="A118" s="692">
        <v>2015</v>
      </c>
      <c r="B118" s="133"/>
      <c r="C118" s="811" t="s">
        <v>1258</v>
      </c>
      <c r="D118" s="811"/>
      <c r="E118" s="692">
        <v>0</v>
      </c>
      <c r="F118" s="594"/>
      <c r="G118" s="97"/>
      <c r="H118" s="97">
        <v>7</v>
      </c>
      <c r="I118" s="97">
        <v>7</v>
      </c>
      <c r="J118" s="132">
        <v>14</v>
      </c>
      <c r="K118" s="596">
        <f t="shared" ref="K118:K119" si="34">G118/J118*100</f>
        <v>0</v>
      </c>
      <c r="L118" s="597">
        <f t="shared" ref="L118:L119" si="35">H118/J118*100</f>
        <v>50</v>
      </c>
      <c r="M118" s="597">
        <f t="shared" ref="M118:M119" si="36">I118/J118*100</f>
        <v>50</v>
      </c>
      <c r="N118" s="598">
        <f t="shared" ref="N118:N119" si="37">SUM(K118:M118)</f>
        <v>100</v>
      </c>
      <c r="O118" s="597"/>
      <c r="P118" s="597">
        <v>25.7</v>
      </c>
      <c r="Q118" s="597">
        <v>28.4</v>
      </c>
      <c r="R118" s="601">
        <f t="shared" ref="R118:R119" si="38">SUM(O118:Q118)</f>
        <v>54.099999999999994</v>
      </c>
      <c r="S118" s="126">
        <v>2</v>
      </c>
      <c r="T118" s="687"/>
      <c r="U118" s="127"/>
      <c r="V118" s="692" t="s">
        <v>19</v>
      </c>
      <c r="W118" s="692" t="s">
        <v>20</v>
      </c>
      <c r="X118" s="692" t="s">
        <v>12</v>
      </c>
      <c r="Y118" s="692">
        <v>28.4</v>
      </c>
      <c r="Z118" s="592" t="s">
        <v>16</v>
      </c>
      <c r="AA118" s="692" t="s">
        <v>17</v>
      </c>
      <c r="AB118" s="692" t="s">
        <v>18</v>
      </c>
      <c r="AC118" s="593">
        <v>25.7</v>
      </c>
      <c r="AD118" s="592"/>
      <c r="AG118" s="593"/>
      <c r="AL118" s="592"/>
      <c r="AO118" s="593"/>
      <c r="AS118" s="593"/>
      <c r="AW118" s="593"/>
      <c r="BA118" s="594"/>
    </row>
    <row r="119" spans="1:53" s="692" customFormat="1" ht="9" customHeight="1" x14ac:dyDescent="0.15">
      <c r="A119" s="692">
        <v>2015</v>
      </c>
      <c r="B119" s="133"/>
      <c r="C119" s="811" t="s">
        <v>1258</v>
      </c>
      <c r="D119" s="811"/>
      <c r="E119" s="692">
        <v>365</v>
      </c>
      <c r="F119" s="594"/>
      <c r="G119" s="97"/>
      <c r="H119" s="97">
        <v>7</v>
      </c>
      <c r="I119" s="97">
        <v>7</v>
      </c>
      <c r="J119" s="132">
        <v>14</v>
      </c>
      <c r="K119" s="596">
        <f t="shared" si="34"/>
        <v>0</v>
      </c>
      <c r="L119" s="597">
        <f t="shared" si="35"/>
        <v>50</v>
      </c>
      <c r="M119" s="597">
        <f t="shared" si="36"/>
        <v>50</v>
      </c>
      <c r="N119" s="598">
        <f t="shared" si="37"/>
        <v>100</v>
      </c>
      <c r="O119" s="597"/>
      <c r="P119" s="597">
        <v>25.7</v>
      </c>
      <c r="Q119" s="597">
        <v>28.4</v>
      </c>
      <c r="R119" s="601">
        <f t="shared" si="38"/>
        <v>54.099999999999994</v>
      </c>
      <c r="S119" s="126">
        <v>2</v>
      </c>
      <c r="T119" s="687"/>
      <c r="U119" s="127"/>
      <c r="V119" s="692" t="s">
        <v>19</v>
      </c>
      <c r="W119" s="692" t="s">
        <v>20</v>
      </c>
      <c r="X119" s="692" t="s">
        <v>12</v>
      </c>
      <c r="Y119" s="692">
        <v>28.4</v>
      </c>
      <c r="Z119" s="592" t="s">
        <v>16</v>
      </c>
      <c r="AA119" s="692" t="s">
        <v>17</v>
      </c>
      <c r="AB119" s="692" t="s">
        <v>18</v>
      </c>
      <c r="AC119" s="593">
        <v>25.7</v>
      </c>
      <c r="AD119" s="592"/>
      <c r="AG119" s="593"/>
      <c r="AL119" s="592"/>
      <c r="AO119" s="593"/>
      <c r="AS119" s="593"/>
      <c r="AW119" s="593"/>
      <c r="BA119" s="594"/>
    </row>
    <row r="120" spans="1:53" ht="9" customHeight="1" x14ac:dyDescent="0.15"/>
    <row r="121" spans="1:53" ht="9" customHeight="1" x14ac:dyDescent="0.15"/>
    <row r="122" spans="1:53" ht="18" customHeight="1" x14ac:dyDescent="0.2">
      <c r="B122" s="22" t="s">
        <v>1284</v>
      </c>
    </row>
    <row r="123" spans="1:53" ht="9" customHeight="1" x14ac:dyDescent="0.15"/>
    <row r="124" spans="1:53" s="364" customFormat="1" ht="9" customHeight="1" x14ac:dyDescent="0.15">
      <c r="A124" s="362"/>
      <c r="B124" s="363" t="s">
        <v>1235</v>
      </c>
      <c r="C124" s="363"/>
      <c r="D124" s="363"/>
      <c r="E124" s="363"/>
      <c r="F124" s="363"/>
      <c r="G124" s="363" t="s">
        <v>1236</v>
      </c>
      <c r="H124" s="363"/>
      <c r="I124" s="363"/>
      <c r="J124" s="363"/>
      <c r="K124" s="363"/>
      <c r="L124" s="363"/>
      <c r="M124" s="363"/>
      <c r="N124" s="363"/>
      <c r="R124" s="802" t="s">
        <v>1237</v>
      </c>
      <c r="S124" s="802"/>
      <c r="T124" s="802"/>
      <c r="U124" s="802"/>
      <c r="V124" s="802"/>
      <c r="W124" s="802"/>
      <c r="X124" s="365"/>
      <c r="Y124" s="365"/>
      <c r="AA124" s="365"/>
      <c r="AB124" s="365"/>
      <c r="AC124" s="365"/>
      <c r="AD124" s="365"/>
    </row>
    <row r="125" spans="1:53" s="369" customFormat="1" ht="9" customHeight="1" x14ac:dyDescent="0.15">
      <c r="A125" s="366"/>
      <c r="B125" s="367" t="s">
        <v>1239</v>
      </c>
      <c r="C125" s="368"/>
      <c r="D125" s="368"/>
      <c r="E125" s="368"/>
      <c r="F125" s="368"/>
      <c r="G125" s="367" t="s">
        <v>1238</v>
      </c>
      <c r="H125" s="368"/>
      <c r="I125" s="368"/>
      <c r="J125" s="368"/>
      <c r="K125" s="368"/>
      <c r="L125" s="368"/>
      <c r="M125" s="368"/>
      <c r="N125" s="368"/>
      <c r="R125" s="370" t="s">
        <v>1240</v>
      </c>
      <c r="S125" s="371"/>
      <c r="T125" s="372"/>
      <c r="U125" s="372"/>
      <c r="V125" s="372"/>
      <c r="W125" s="370" t="s">
        <v>1241</v>
      </c>
      <c r="X125" s="372"/>
      <c r="Y125" s="372"/>
      <c r="AA125" s="372"/>
      <c r="AB125" s="372"/>
      <c r="AC125" s="372"/>
      <c r="AD125" s="372"/>
    </row>
    <row r="126" spans="1:53" s="351" customFormat="1" ht="12" customHeight="1" x14ac:dyDescent="0.15">
      <c r="A126" s="373" t="s">
        <v>3</v>
      </c>
      <c r="B126" s="374" t="s">
        <v>8</v>
      </c>
      <c r="C126" s="374" t="s">
        <v>9</v>
      </c>
      <c r="D126" s="374" t="s">
        <v>10</v>
      </c>
      <c r="E126" s="375" t="s">
        <v>1215</v>
      </c>
      <c r="F126" s="374"/>
      <c r="G126" s="351" t="s">
        <v>3</v>
      </c>
      <c r="H126" s="803" t="s">
        <v>0</v>
      </c>
      <c r="I126" s="803"/>
      <c r="J126" s="803" t="s">
        <v>1</v>
      </c>
      <c r="K126" s="803"/>
      <c r="L126" s="803" t="s">
        <v>2</v>
      </c>
      <c r="M126" s="803"/>
      <c r="N126" s="804" t="s">
        <v>1215</v>
      </c>
      <c r="O126" s="804"/>
      <c r="P126" s="376"/>
      <c r="Q126" s="376"/>
      <c r="R126" s="377" t="s">
        <v>3</v>
      </c>
      <c r="S126" s="378" t="s">
        <v>136</v>
      </c>
      <c r="T126" s="376" t="s">
        <v>134</v>
      </c>
      <c r="U126" s="374" t="s">
        <v>135</v>
      </c>
      <c r="V126" s="376"/>
      <c r="W126" s="379" t="s">
        <v>26</v>
      </c>
    </row>
    <row r="127" spans="1:53" s="257" customFormat="1" ht="9" customHeight="1" x14ac:dyDescent="0.15">
      <c r="A127" s="257">
        <v>1959</v>
      </c>
      <c r="B127" s="260">
        <f>(K6*($E6/365)) + (K7*($E7/365))</f>
        <v>0</v>
      </c>
      <c r="C127" s="260">
        <f>(L6*($E6/365)) + (L7*($E7/365))</f>
        <v>54.474885844748862</v>
      </c>
      <c r="D127" s="260">
        <f>(M6*($E6/365)) + (M7*($E7/365))</f>
        <v>45.525114155251146</v>
      </c>
      <c r="E127" s="261">
        <f>B127+C127+D127</f>
        <v>100</v>
      </c>
      <c r="F127" s="270"/>
      <c r="G127" s="263">
        <v>1959</v>
      </c>
      <c r="H127" s="819">
        <f xml:space="preserve"> (O6/$R6*100*($E6/365))+ (O7/$R7*100*($E7/365))</f>
        <v>0</v>
      </c>
      <c r="I127" s="819"/>
      <c r="J127" s="819">
        <f xml:space="preserve"> (P6/$R6*100*($E6/365))+ (P7/$R7*100*($E7/365))</f>
        <v>51.538094385394956</v>
      </c>
      <c r="K127" s="819"/>
      <c r="L127" s="819">
        <f xml:space="preserve"> (Q6/$R6*100*($E6/365))+ (Q7/$R7*100*($E7/365))</f>
        <v>48.461905614605044</v>
      </c>
      <c r="M127" s="819"/>
      <c r="N127" s="813">
        <f>H127+J127+K127</f>
        <v>51.538094385394956</v>
      </c>
      <c r="O127" s="813"/>
      <c r="R127" s="263">
        <v>1959</v>
      </c>
      <c r="S127" s="260">
        <f>O6*($E6/365) + O7*($E7/365)</f>
        <v>0</v>
      </c>
      <c r="T127" s="260">
        <f>P6*($E6/365) + P7*($E7/365)</f>
        <v>48.866575342465751</v>
      </c>
      <c r="U127" s="260">
        <f>Q6*($E6/365) + Q7*($E7/365)</f>
        <v>45.957534246575335</v>
      </c>
      <c r="V127" s="271"/>
      <c r="W127" s="260">
        <f>S127+T127+U127</f>
        <v>94.824109589041086</v>
      </c>
    </row>
    <row r="128" spans="1:53" ht="9" customHeight="1" x14ac:dyDescent="0.15">
      <c r="A128" s="2">
        <v>1960</v>
      </c>
      <c r="B128" s="8">
        <f>(K8*($E8/366))+(K9*($E9/366))</f>
        <v>0</v>
      </c>
      <c r="C128" s="8">
        <f>(L8*($E8/366))+(L9*($E9/366))</f>
        <v>50.000000000000007</v>
      </c>
      <c r="D128" s="8">
        <f>(M8*($E8/366))+(M9*($E9/366))</f>
        <v>50.000000000000007</v>
      </c>
      <c r="E128" s="24">
        <f t="shared" ref="E128:E157" si="39">SUM(B128:D128)</f>
        <v>100.00000000000001</v>
      </c>
      <c r="F128" s="6"/>
      <c r="G128" s="20">
        <v>1960</v>
      </c>
      <c r="H128" s="809">
        <f>(O8*100*($E8/366)/($O8+$P8+$Q8))+(O9*100*($E9/366)/($O9+$P9+$Q9))</f>
        <v>0</v>
      </c>
      <c r="I128" s="809"/>
      <c r="J128" s="809">
        <f>(P8*100*($E8/366)/($O8+$P8+$Q8))+(P9*100*($E9/366)/($O9+$P9+$Q9))</f>
        <v>50.315126050420176</v>
      </c>
      <c r="K128" s="809"/>
      <c r="L128" s="809">
        <f>(Q8*100*($E8/366)/($O8+$P8+$Q8))+(Q9*100*($E9/366)/($O9+$P9+$Q9))</f>
        <v>49.684873949579845</v>
      </c>
      <c r="M128" s="809"/>
      <c r="N128" s="810">
        <f>SUM(H128:M128)</f>
        <v>100.00000000000003</v>
      </c>
      <c r="O128" s="810"/>
      <c r="R128" s="20">
        <v>1960</v>
      </c>
      <c r="S128" s="8">
        <f>O8*($E8/366) + O9*($E9/366)</f>
        <v>0</v>
      </c>
      <c r="T128" s="8">
        <f>P8*($E8/366) + P9*($E9/366)</f>
        <v>47.900000000000006</v>
      </c>
      <c r="U128" s="8">
        <f>Q8*($E8/366) + Q9*($E9/366)</f>
        <v>47.3</v>
      </c>
      <c r="V128" s="13"/>
      <c r="W128" s="8">
        <f>R8*($E8/366) + R9*($E9/366)</f>
        <v>95.199999999999989</v>
      </c>
    </row>
    <row r="129" spans="1:23" ht="9" customHeight="1" x14ac:dyDescent="0.15">
      <c r="A129" s="2">
        <v>1961</v>
      </c>
      <c r="B129" s="8">
        <f>(K10*($E10/365))+(K11*($E11/365))</f>
        <v>0</v>
      </c>
      <c r="C129" s="8">
        <f>(L10*($E10/365))+(L11*($E11/365))</f>
        <v>50</v>
      </c>
      <c r="D129" s="8">
        <f>(M10*($E10/365))+(M11*($E11/365))</f>
        <v>50</v>
      </c>
      <c r="E129" s="24">
        <f t="shared" si="39"/>
        <v>100</v>
      </c>
      <c r="F129" s="6"/>
      <c r="G129" s="20">
        <v>1961</v>
      </c>
      <c r="H129" s="809">
        <f>(O10*100*($E10/365)/($O10+$P10+$Q10))+(O11*100*($E11/365)/($O11+$P11+$Q11))</f>
        <v>0</v>
      </c>
      <c r="I129" s="809"/>
      <c r="J129" s="809">
        <f>(P10*100*($E10/365)/($O10+$P10+$Q10))+(P11*100*($E11/365)/($O11+$P11+$Q11))</f>
        <v>50.315126050420176</v>
      </c>
      <c r="K129" s="809"/>
      <c r="L129" s="809">
        <f>(Q10*100*($E10/365)/($O10+$P10+$Q10))+(Q11*100*($E11/365)/($O11+$P11+$Q11))</f>
        <v>49.684873949579838</v>
      </c>
      <c r="M129" s="809"/>
      <c r="N129" s="810">
        <f t="shared" ref="N129:N180" si="40">SUM(H129:M129)</f>
        <v>100.00000000000001</v>
      </c>
      <c r="O129" s="810"/>
      <c r="R129" s="20">
        <v>1961</v>
      </c>
      <c r="S129" s="8">
        <f>O10*($E10/365) + O11*($E11/365)</f>
        <v>0</v>
      </c>
      <c r="T129" s="8">
        <f>P10*($E10/365) + P11*($E11/365)</f>
        <v>47.9</v>
      </c>
      <c r="U129" s="8">
        <f>Q10*($E10/365) + Q11*($E11/365)</f>
        <v>47.3</v>
      </c>
      <c r="V129" s="13"/>
      <c r="W129" s="8">
        <f>R10*($E10/365) + R11*($E11/365)</f>
        <v>95.199999999999989</v>
      </c>
    </row>
    <row r="130" spans="1:23" ht="9" customHeight="1" x14ac:dyDescent="0.15">
      <c r="A130" s="2">
        <v>1962</v>
      </c>
      <c r="B130" s="8">
        <f>(K12*($E12/365))+(K13*($E13/365))</f>
        <v>0</v>
      </c>
      <c r="C130" s="8">
        <f>(L12*($E12/365))+(L13*($E13/365))</f>
        <v>50</v>
      </c>
      <c r="D130" s="8">
        <f>(M12*($E12/365))+(M13*($E13/365))</f>
        <v>50</v>
      </c>
      <c r="E130" s="24">
        <f t="shared" si="39"/>
        <v>100</v>
      </c>
      <c r="F130" s="6"/>
      <c r="G130" s="20">
        <v>1962</v>
      </c>
      <c r="H130" s="809">
        <f>(O12*100*($E12/365)/($O12+$P12+$Q12))+(O13*100*($E13/365)/($O13+$P13+$Q13))</f>
        <v>0</v>
      </c>
      <c r="I130" s="809"/>
      <c r="J130" s="809">
        <f>(P12*100*($E12/365)/($O12+$P12+$Q12))+(P13*100*($E13/365)/($O13+$P13+$Q13))</f>
        <v>50.315126050420176</v>
      </c>
      <c r="K130" s="809"/>
      <c r="L130" s="809">
        <f>(Q12*100*($E12/365)/($O12+$P12+$Q12))+(Q13*100*($E13/365)/($O13+$P13+$Q13))</f>
        <v>49.684873949579838</v>
      </c>
      <c r="M130" s="809"/>
      <c r="N130" s="810">
        <f t="shared" si="40"/>
        <v>100.00000000000001</v>
      </c>
      <c r="O130" s="810"/>
      <c r="R130" s="20">
        <v>1962</v>
      </c>
      <c r="S130" s="8">
        <f>O12*($E12/365) + O13*($E13/365)</f>
        <v>0</v>
      </c>
      <c r="T130" s="8">
        <f>P12*($E12/365) + P13*($E13/365)</f>
        <v>47.9</v>
      </c>
      <c r="U130" s="8">
        <f>Q12*($E12/365) + Q13*($E13/365)</f>
        <v>47.3</v>
      </c>
      <c r="V130" s="13"/>
      <c r="W130" s="8">
        <f>R12*($E12/365) + R13*($E13/365)</f>
        <v>95.199999999999989</v>
      </c>
    </row>
    <row r="131" spans="1:23" ht="9" customHeight="1" x14ac:dyDescent="0.15">
      <c r="A131" s="2">
        <v>1963</v>
      </c>
      <c r="B131" s="8">
        <f>(K14*($E14/365))+(K15*($E15/365))</f>
        <v>0</v>
      </c>
      <c r="C131" s="8">
        <f>(L14*($E14/365))+(L15*($E15/365))</f>
        <v>50</v>
      </c>
      <c r="D131" s="8">
        <f>(M14*($E14/365))+(M15*($E15/365))</f>
        <v>50</v>
      </c>
      <c r="E131" s="24">
        <f t="shared" si="39"/>
        <v>100</v>
      </c>
      <c r="F131" s="6"/>
      <c r="G131" s="20">
        <v>1963</v>
      </c>
      <c r="H131" s="809">
        <f>(O14*100*($E14/365)/($O14+$P14+$Q14))+(O15*100*($E15/365)/($O15+$P15+$Q15))</f>
        <v>0</v>
      </c>
      <c r="I131" s="809"/>
      <c r="J131" s="809">
        <f>(P14*100*($E14/365)/($O14+$P14+$Q14))+(P15*100*($E15/365)/($O15+$P15+$Q15))</f>
        <v>51.292448486243813</v>
      </c>
      <c r="K131" s="809"/>
      <c r="L131" s="809">
        <f>(Q14*100*($E14/365)/($O14+$P14+$Q14))+(Q15*100*($E15/365)/($O15+$P15+$Q15))</f>
        <v>48.707551513756194</v>
      </c>
      <c r="M131" s="809"/>
      <c r="N131" s="810">
        <f t="shared" si="40"/>
        <v>100</v>
      </c>
      <c r="O131" s="810"/>
      <c r="R131" s="20">
        <v>1963</v>
      </c>
      <c r="S131" s="8">
        <f>O14*($E14/365) + O15*($E15/365)</f>
        <v>0</v>
      </c>
      <c r="T131" s="8">
        <f>P14*($E14/365) + P15*($E15/365)</f>
        <v>48.83041095890411</v>
      </c>
      <c r="U131" s="8">
        <f>Q14*($E14/365) + Q15*($E15/365)</f>
        <v>46.369589041095892</v>
      </c>
      <c r="V131" s="13"/>
      <c r="W131" s="8">
        <f>R14*($E14/365) + R15*($E15/365)</f>
        <v>95.2</v>
      </c>
    </row>
    <row r="132" spans="1:23" ht="9" customHeight="1" x14ac:dyDescent="0.15">
      <c r="A132" s="2">
        <v>1964</v>
      </c>
      <c r="B132" s="8">
        <f>(K16*($E16/366))+(K17*($E17/366))</f>
        <v>0</v>
      </c>
      <c r="C132" s="8">
        <f>(L16*($E16/366))+(L17*($E17/366))</f>
        <v>50</v>
      </c>
      <c r="D132" s="8">
        <f>(M16*($E16/366))+(M17*($E17/366))</f>
        <v>50</v>
      </c>
      <c r="E132" s="24">
        <f t="shared" si="39"/>
        <v>100</v>
      </c>
      <c r="F132" s="6"/>
      <c r="G132" s="20">
        <v>1964</v>
      </c>
      <c r="H132" s="809">
        <f>(O16*100*($E16/366)/($O16+$P16+$Q16))+(O17*100*($E17/366)/($O17+$P17+$Q17))</f>
        <v>0</v>
      </c>
      <c r="I132" s="809"/>
      <c r="J132" s="809">
        <f>(P16*100*($E16/366)/($O16+$P16+$Q16))+(P17*100*($E17/366)/($O17+$P17+$Q17))</f>
        <v>51.575630252100837</v>
      </c>
      <c r="K132" s="809"/>
      <c r="L132" s="809">
        <f>(Q16*100*($E16/366)/($O16+$P16+$Q16))+(Q17*100*($E17/366)/($O17+$P17+$Q17))</f>
        <v>48.424369747899163</v>
      </c>
      <c r="M132" s="809"/>
      <c r="N132" s="810">
        <f t="shared" si="40"/>
        <v>100</v>
      </c>
      <c r="O132" s="810"/>
      <c r="R132" s="20">
        <v>1964</v>
      </c>
      <c r="S132" s="8">
        <f>O16*($E16/366) + O17*($E17/366)</f>
        <v>0</v>
      </c>
      <c r="T132" s="8">
        <f>P16*($E16/366) + P17*($E17/366)</f>
        <v>49.100000000000009</v>
      </c>
      <c r="U132" s="8">
        <f>Q16*($E16/366) + Q17*($E17/366)</f>
        <v>46.1</v>
      </c>
      <c r="V132" s="13"/>
      <c r="W132" s="8">
        <f>R16*($E16/366) + R17*($E17/366)</f>
        <v>95.200000000000017</v>
      </c>
    </row>
    <row r="133" spans="1:23" ht="9" customHeight="1" x14ac:dyDescent="0.15">
      <c r="A133" s="2">
        <v>1965</v>
      </c>
      <c r="B133" s="8">
        <f>(K18*($E18/365))+(K19*($E19/365))</f>
        <v>0</v>
      </c>
      <c r="C133" s="8">
        <f>(L18*($E18/365))+(L19*($E19/365))</f>
        <v>50</v>
      </c>
      <c r="D133" s="8">
        <f>(M18*($E18/365))+(M19*($E19/365))</f>
        <v>50</v>
      </c>
      <c r="E133" s="24">
        <f t="shared" si="39"/>
        <v>100</v>
      </c>
      <c r="F133" s="6"/>
      <c r="G133" s="20">
        <v>1965</v>
      </c>
      <c r="H133" s="809">
        <f>(O18*100*($E18/365)/($O18+$P18+$Q18))+(O19*100*($E19/365)/($O19+$P19+$Q19))</f>
        <v>0</v>
      </c>
      <c r="I133" s="809"/>
      <c r="J133" s="809">
        <f>(P18*100*($E18/365)/($O18+$P18+$Q18))+(P19*100*($E19/365)/($O19+$P19+$Q19))</f>
        <v>51.575630252100837</v>
      </c>
      <c r="K133" s="809"/>
      <c r="L133" s="809">
        <f>(Q18*100*($E18/365)/($O18+$P18+$Q18))+(Q19*100*($E19/365)/($O19+$P19+$Q19))</f>
        <v>48.424369747899163</v>
      </c>
      <c r="M133" s="809"/>
      <c r="N133" s="810">
        <f t="shared" si="40"/>
        <v>100</v>
      </c>
      <c r="O133" s="810"/>
      <c r="R133" s="20">
        <v>1965</v>
      </c>
      <c r="S133" s="8">
        <f>O18*($E18/365) + O19*($E19/365)</f>
        <v>0</v>
      </c>
      <c r="T133" s="8">
        <f>P18*($E18/365) + P19*($E19/365)</f>
        <v>49.1</v>
      </c>
      <c r="U133" s="8">
        <f>Q18*($E18/365) + Q19*($E19/365)</f>
        <v>46.099999999999994</v>
      </c>
      <c r="V133" s="13"/>
      <c r="W133" s="8">
        <f>R18*($E18/365) + R19*($E19/365)</f>
        <v>95.2</v>
      </c>
    </row>
    <row r="134" spans="1:23" ht="9" customHeight="1" x14ac:dyDescent="0.15">
      <c r="A134" s="2">
        <v>1966</v>
      </c>
      <c r="B134" s="8">
        <f>(K20*($E20/365))+(K21*($E21/365))</f>
        <v>0</v>
      </c>
      <c r="C134" s="8">
        <f>(L20*($E20/365))+(L21*($E21/365))</f>
        <v>85.205479452054803</v>
      </c>
      <c r="D134" s="8">
        <f>(M20*($E20/365))+(M21*($E21/365))</f>
        <v>14.794520547945206</v>
      </c>
      <c r="E134" s="24">
        <f t="shared" si="39"/>
        <v>100.00000000000001</v>
      </c>
      <c r="F134" s="6"/>
      <c r="G134" s="20">
        <v>1966</v>
      </c>
      <c r="H134" s="809">
        <f>(O20*100*($E20/365)/($O20+$P20+$Q20))+(O21*100*($E21/365)/($O21+$P21+$Q21))</f>
        <v>0</v>
      </c>
      <c r="I134" s="809"/>
      <c r="J134" s="809">
        <f>(P20*100*($E20/365)/($O20+$P20+$Q20))+(P21*100*($E21/365)/($O21+$P21+$Q21))</f>
        <v>85.671693334868195</v>
      </c>
      <c r="K134" s="809"/>
      <c r="L134" s="809">
        <f>(Q20*100*($E20/365)/($O20+$P20+$Q20))+(Q21*100*($E21/365)/($O21+$P21+$Q21))</f>
        <v>14.328306665131807</v>
      </c>
      <c r="M134" s="809"/>
      <c r="N134" s="810">
        <f t="shared" si="40"/>
        <v>100</v>
      </c>
      <c r="O134" s="810"/>
      <c r="R134" s="20">
        <v>1966</v>
      </c>
      <c r="S134" s="8">
        <f>O20*($E20/365) + O21*($E21/365)</f>
        <v>0</v>
      </c>
      <c r="T134" s="8">
        <f>P20*($E20/365) + P21*($E21/365)</f>
        <v>50.789863013698636</v>
      </c>
      <c r="U134" s="8">
        <f>Q20*($E20/365) + Q21*($E21/365)</f>
        <v>13.64054794520548</v>
      </c>
      <c r="V134" s="13"/>
      <c r="W134" s="8">
        <f>R20*($E20/365) + R21*($E21/365)</f>
        <v>64.430410958904105</v>
      </c>
    </row>
    <row r="135" spans="1:23" ht="9" customHeight="1" x14ac:dyDescent="0.15">
      <c r="A135" s="2">
        <v>1967</v>
      </c>
      <c r="B135" s="8">
        <f>(K22*($E22/365))+(K23*($E23/365))</f>
        <v>0</v>
      </c>
      <c r="C135" s="8">
        <f>(L22*($E22/365))+(L23*($E23/365))</f>
        <v>100</v>
      </c>
      <c r="D135" s="8">
        <f>(M22*($E22/365))+(M23*($E23/365))</f>
        <v>0</v>
      </c>
      <c r="E135" s="24">
        <f t="shared" si="39"/>
        <v>100</v>
      </c>
      <c r="F135" s="6"/>
      <c r="G135" s="20">
        <v>1967</v>
      </c>
      <c r="H135" s="809">
        <f>(O22*100*($E22/365)/($O22+$P22+$Q22))+(O23*100*($E23/365)/($O23+$P23+$Q23))</f>
        <v>0</v>
      </c>
      <c r="I135" s="809"/>
      <c r="J135" s="809">
        <f>(P22*100*($E22/365)/($O22+$P22+$Q22))+(P23*100*($E23/365)/($O23+$P23+$Q23))</f>
        <v>100</v>
      </c>
      <c r="K135" s="809"/>
      <c r="L135" s="809">
        <f>(Q22*100*($E22/365)/($O22+$P22+$Q22))+(Q23*100*($E23/365)/($O23+$P23+$Q23))</f>
        <v>0</v>
      </c>
      <c r="M135" s="809"/>
      <c r="N135" s="810">
        <f t="shared" si="40"/>
        <v>100</v>
      </c>
      <c r="O135" s="810"/>
      <c r="R135" s="20">
        <v>1967</v>
      </c>
      <c r="S135" s="8">
        <f>O22*($E22/365) + O23*($E23/365)</f>
        <v>0</v>
      </c>
      <c r="T135" s="8">
        <f>P22*($E22/365) + P23*($E23/365)</f>
        <v>51.5</v>
      </c>
      <c r="U135" s="8">
        <f>Q22*($E22/365) + Q23*($E23/365)</f>
        <v>0</v>
      </c>
      <c r="V135" s="13"/>
      <c r="W135" s="8">
        <f>R22*($E22/365) + R23*($E23/365)</f>
        <v>51.5</v>
      </c>
    </row>
    <row r="136" spans="1:23" ht="9" customHeight="1" x14ac:dyDescent="0.15">
      <c r="A136" s="2">
        <v>1968</v>
      </c>
      <c r="B136" s="8">
        <f>(K24*($E24/366))+(K25*($E25/366))</f>
        <v>0</v>
      </c>
      <c r="C136" s="8">
        <f>(L24*($E24/366))+(L25*($E25/366))</f>
        <v>100</v>
      </c>
      <c r="D136" s="8">
        <f>(M24*($E24/366))+(M25*($E25/366))</f>
        <v>0</v>
      </c>
      <c r="E136" s="24">
        <f t="shared" si="39"/>
        <v>100</v>
      </c>
      <c r="F136" s="6"/>
      <c r="G136" s="20">
        <v>1968</v>
      </c>
      <c r="H136" s="809">
        <f>(O24*100*($E24/366)/($O24+$P24+$Q24))+(O25*100*($E25/366)/($O25+$P25+$Q25))</f>
        <v>0</v>
      </c>
      <c r="I136" s="809"/>
      <c r="J136" s="809">
        <f>(P24*100*($E24/366)/($O24+$P24+$Q24))+(P25*100*($E25/366)/($O25+$P25+$Q25))</f>
        <v>100</v>
      </c>
      <c r="K136" s="809"/>
      <c r="L136" s="809">
        <f>(Q24*100*($E24/366)/($O24+$P24+$Q24))+(Q25*100*($E25/366)/($O25+$P25+$Q25))</f>
        <v>0</v>
      </c>
      <c r="M136" s="809"/>
      <c r="N136" s="810">
        <f t="shared" si="40"/>
        <v>100</v>
      </c>
      <c r="O136" s="810"/>
      <c r="R136" s="20">
        <v>1968</v>
      </c>
      <c r="S136" s="8">
        <f>O24*($E24/366) + O25*($E25/366)</f>
        <v>0</v>
      </c>
      <c r="T136" s="8">
        <f>P24*($E24/366) + P25*($E25/366)</f>
        <v>51.5</v>
      </c>
      <c r="U136" s="8">
        <f>Q24*($E24/366) + Q25*($E25/366)</f>
        <v>0</v>
      </c>
      <c r="V136" s="13"/>
      <c r="W136" s="8">
        <f>R24*($E24/366) + R25*($E25/366)</f>
        <v>51.5</v>
      </c>
    </row>
    <row r="137" spans="1:23" ht="9" customHeight="1" x14ac:dyDescent="0.15">
      <c r="A137" s="2">
        <v>1969</v>
      </c>
      <c r="B137" s="8">
        <f>(K26*($E26/365))+(K27*($E27/365))</f>
        <v>0</v>
      </c>
      <c r="C137" s="8">
        <f>(L26*($E26/365))+(L27*($E27/365))</f>
        <v>100</v>
      </c>
      <c r="D137" s="8">
        <f>(M26*($E26/365))+(M27*($E27/365))</f>
        <v>0</v>
      </c>
      <c r="E137" s="24">
        <f t="shared" si="39"/>
        <v>100</v>
      </c>
      <c r="F137" s="6"/>
      <c r="G137" s="20">
        <v>1969</v>
      </c>
      <c r="H137" s="809">
        <f>(O26*100*($E26/365)/($O26+$P26+$Q26))+(O27*100*($E27/365)/($O27+$P27+$Q27))</f>
        <v>0</v>
      </c>
      <c r="I137" s="809"/>
      <c r="J137" s="809">
        <f>(P26*100*($E26/365)/($O26+$P26+$Q26))+(P27*100*($E27/365)/($O27+$P27+$Q27))</f>
        <v>100</v>
      </c>
      <c r="K137" s="809"/>
      <c r="L137" s="809">
        <f>(Q26*100*($E26/365)/($O26+$P26+$Q26))+(Q27*100*($E27/365)/($O27+$P27+$Q27))</f>
        <v>0</v>
      </c>
      <c r="M137" s="809"/>
      <c r="N137" s="810">
        <f t="shared" si="40"/>
        <v>100</v>
      </c>
      <c r="O137" s="810"/>
      <c r="R137" s="20">
        <v>1969</v>
      </c>
      <c r="S137" s="8">
        <f>O26*($E26/365) + O27*($E27/365)</f>
        <v>0</v>
      </c>
      <c r="T137" s="8">
        <f>P26*($E26/365) + P27*($E27/365)</f>
        <v>51.5</v>
      </c>
      <c r="U137" s="8">
        <f>Q26*($E26/365) + Q27*($E27/365)</f>
        <v>0</v>
      </c>
      <c r="V137" s="13"/>
      <c r="W137" s="8">
        <f>R26*($E26/365) + R27*($E27/365)</f>
        <v>51.5</v>
      </c>
    </row>
    <row r="138" spans="1:23" ht="9" customHeight="1" x14ac:dyDescent="0.15">
      <c r="A138" s="2">
        <v>1970</v>
      </c>
      <c r="B138" s="8">
        <f>(K28*($E28/365))+(K29*($E29/365))</f>
        <v>0</v>
      </c>
      <c r="C138" s="8">
        <f>(L28*($E28/365))+(L29*($E29/365))</f>
        <v>30.410958904109592</v>
      </c>
      <c r="D138" s="8">
        <f>(M28*($E28/365))+(M29*($E29/365))</f>
        <v>64.236037934668076</v>
      </c>
      <c r="E138" s="24">
        <f t="shared" si="39"/>
        <v>94.646996838777667</v>
      </c>
      <c r="F138" s="6"/>
      <c r="G138" s="20">
        <v>1970</v>
      </c>
      <c r="H138" s="809">
        <f>(O28*100*($E28/365)/($O28+$P28+$Q28))+(O29*100*($E29/365)/($O29+$P29+$Q29))</f>
        <v>0</v>
      </c>
      <c r="I138" s="809"/>
      <c r="J138" s="809">
        <f>(P28*100*($E28/365)/($O28+$P28+$Q28))+(P29*100*($E29/365)/($O29+$P29+$Q29))</f>
        <v>30.410958904109592</v>
      </c>
      <c r="K138" s="809"/>
      <c r="L138" s="809">
        <f>(Q28*100*($E28/365)/($O28+$P28+$Q28))+(Q29*100*($E29/365)/($O29+$P29+$Q29))</f>
        <v>69.589041095890408</v>
      </c>
      <c r="M138" s="809"/>
      <c r="N138" s="810">
        <f t="shared" si="40"/>
        <v>100</v>
      </c>
      <c r="O138" s="810"/>
      <c r="R138" s="20">
        <v>1970</v>
      </c>
      <c r="S138" s="8">
        <f>O28*($E28/365) + O29*($E29/365)</f>
        <v>0</v>
      </c>
      <c r="T138" s="8">
        <f>P28*($E28/365) + P29*($E29/365)</f>
        <v>15.66164383561644</v>
      </c>
      <c r="U138" s="8">
        <f>Q28*($E28/365) + Q29*($E29/365)</f>
        <v>34.168219178082197</v>
      </c>
      <c r="V138" s="13"/>
      <c r="W138" s="8">
        <f>R28*($E28/365) + R29*($E29/365)</f>
        <v>49.829863013698635</v>
      </c>
    </row>
    <row r="139" spans="1:23" ht="9" customHeight="1" x14ac:dyDescent="0.15">
      <c r="A139" s="2">
        <v>1971</v>
      </c>
      <c r="B139" s="8">
        <f>(K30*($E30/365))+(K31*($E31/365))</f>
        <v>0</v>
      </c>
      <c r="C139" s="8">
        <f>(L30*($E30/365))+(L31*($E31/365))</f>
        <v>0</v>
      </c>
      <c r="D139" s="8">
        <f>(M30*($E30/365))+(M31*($E31/365))</f>
        <v>91.025139244317316</v>
      </c>
      <c r="E139" s="24">
        <f t="shared" si="39"/>
        <v>91.025139244317316</v>
      </c>
      <c r="F139" s="6"/>
      <c r="G139" s="20">
        <v>1971</v>
      </c>
      <c r="H139" s="809">
        <f>(O30*100*($E30/365)/($O30+$P30+$Q30))+(O31*100*($E31/365)/($O31+$P31+$Q31))</f>
        <v>0</v>
      </c>
      <c r="I139" s="809"/>
      <c r="J139" s="809">
        <f>(P30*100*($E30/365)/($O30+$P30+$Q30))+(P31*100*($E31/365)/($O31+$P31+$Q31))</f>
        <v>0</v>
      </c>
      <c r="K139" s="809"/>
      <c r="L139" s="809">
        <f>(Q30*100*($E30/365)/($O30+$P30+$Q30))+(Q31*100*($E31/365)/($O31+$P31+$Q31))</f>
        <v>100</v>
      </c>
      <c r="M139" s="809"/>
      <c r="N139" s="810">
        <f t="shared" si="40"/>
        <v>100</v>
      </c>
      <c r="O139" s="810"/>
      <c r="R139" s="20">
        <v>1971</v>
      </c>
      <c r="S139" s="8">
        <f>O30*($E30/365) + O31*($E31/365)</f>
        <v>0</v>
      </c>
      <c r="T139" s="8">
        <f>P30*($E30/365) + P31*($E31/365)</f>
        <v>0</v>
      </c>
      <c r="U139" s="8">
        <f>Q30*($E30/365) + Q31*($E31/365)</f>
        <v>49.430684931506853</v>
      </c>
      <c r="V139" s="13"/>
      <c r="W139" s="8">
        <f>R30*($E30/365) + R31*($E31/365)</f>
        <v>49.430684931506853</v>
      </c>
    </row>
    <row r="140" spans="1:23" ht="9" customHeight="1" x14ac:dyDescent="0.15">
      <c r="A140" s="2">
        <v>1972</v>
      </c>
      <c r="B140" s="8">
        <f>(K32*($E32/366))+(K33*($E33/366))</f>
        <v>0</v>
      </c>
      <c r="C140" s="8">
        <f>(L32*($E32/366))+(L33*($E33/366))</f>
        <v>0</v>
      </c>
      <c r="D140" s="8">
        <f>(M32*($E32/366))+(M33*($E33/366))</f>
        <v>85.714285714285708</v>
      </c>
      <c r="E140" s="24">
        <f t="shared" si="39"/>
        <v>85.714285714285708</v>
      </c>
      <c r="F140" s="6"/>
      <c r="G140" s="20">
        <v>1972</v>
      </c>
      <c r="H140" s="809">
        <f>(O32*100*($E32/366)/($O32+$P32+$Q32))+(O33*100*($E33/366)/($O33+$P33+$Q33))</f>
        <v>0</v>
      </c>
      <c r="I140" s="809"/>
      <c r="J140" s="809">
        <f>(P32*100*($E32/366)/($O32+$P32+$Q32))+(P33*100*($E33/366)/($O33+$P33+$Q33))</f>
        <v>0</v>
      </c>
      <c r="K140" s="809"/>
      <c r="L140" s="809">
        <f>(Q32*100*($E32/366)/($O32+$P32+$Q32))+(Q33*100*($E33/366)/($O33+$P33+$Q33))</f>
        <v>100</v>
      </c>
      <c r="M140" s="809"/>
      <c r="N140" s="810">
        <f t="shared" si="40"/>
        <v>100</v>
      </c>
      <c r="O140" s="810"/>
      <c r="R140" s="20">
        <v>1972</v>
      </c>
      <c r="S140" s="8">
        <f>O32*($E32/366) + O33*($E33/366)</f>
        <v>0</v>
      </c>
      <c r="T140" s="8">
        <f>P32*($E32/366) + P33*($E33/366)</f>
        <v>0</v>
      </c>
      <c r="U140" s="8">
        <f>Q32*($E32/366) + Q33*($E33/366)</f>
        <v>50.8</v>
      </c>
      <c r="V140" s="13"/>
      <c r="W140" s="8">
        <f>R32*($E32/366) + R33*($E33/366)</f>
        <v>50.8</v>
      </c>
    </row>
    <row r="141" spans="1:23" ht="9" customHeight="1" x14ac:dyDescent="0.15">
      <c r="A141" s="2">
        <v>1973</v>
      </c>
      <c r="B141" s="8">
        <f>(K34*($E34/365))+(K35*($E35/365))</f>
        <v>0</v>
      </c>
      <c r="C141" s="8">
        <f>(L34*($E34/365))+(L35*($E35/365))</f>
        <v>0</v>
      </c>
      <c r="D141" s="8">
        <f>(M34*($E34/365))+(M35*($E35/365))</f>
        <v>85.714285714285708</v>
      </c>
      <c r="E141" s="24">
        <f t="shared" si="39"/>
        <v>85.714285714285708</v>
      </c>
      <c r="F141" s="6"/>
      <c r="G141" s="20">
        <v>1973</v>
      </c>
      <c r="H141" s="809">
        <f>(O34*100*($E34/365)/($O34+$P34+$Q34))+(O35*100*($E35/365)/($O35+$P35+$Q35))</f>
        <v>0</v>
      </c>
      <c r="I141" s="809"/>
      <c r="J141" s="809">
        <f>(P34*100*($E34/365)/($O34+$P34+$Q34))+(P35*100*($E35/365)/($O35+$P35+$Q35))</f>
        <v>0</v>
      </c>
      <c r="K141" s="809"/>
      <c r="L141" s="809">
        <f>(Q34*100*($E34/365)/($O34+$P34+$Q34))+(Q35*100*($E35/365)/($O35+$P35+$Q35))</f>
        <v>100</v>
      </c>
      <c r="M141" s="809"/>
      <c r="N141" s="810">
        <f t="shared" si="40"/>
        <v>100</v>
      </c>
      <c r="O141" s="810"/>
      <c r="R141" s="20">
        <v>1973</v>
      </c>
      <c r="S141" s="8">
        <f>O34*($E34/365) + O35*($E35/365)</f>
        <v>0</v>
      </c>
      <c r="T141" s="8">
        <f>P34*($E34/365) + P35*($E35/365)</f>
        <v>0</v>
      </c>
      <c r="U141" s="8">
        <f>Q34*($E34/365) + Q35*($E35/365)</f>
        <v>50.8</v>
      </c>
      <c r="V141" s="13"/>
      <c r="W141" s="8">
        <f>R34*($E34/365) + R35*($E35/365)</f>
        <v>50.8</v>
      </c>
    </row>
    <row r="142" spans="1:23" ht="9" customHeight="1" x14ac:dyDescent="0.15">
      <c r="A142" s="2">
        <v>1974</v>
      </c>
      <c r="B142" s="8">
        <f>(K36*($E36/365))+(K37*($E37/365))</f>
        <v>0</v>
      </c>
      <c r="C142" s="8">
        <f>(L36*($E36/365))+(L37*($E37/365))</f>
        <v>0</v>
      </c>
      <c r="D142" s="8">
        <f>(M36*($E36/365))+(M37*($E37/365))</f>
        <v>85.714285714285708</v>
      </c>
      <c r="E142" s="24">
        <f t="shared" si="39"/>
        <v>85.714285714285708</v>
      </c>
      <c r="F142" s="6"/>
      <c r="G142" s="20">
        <v>1974</v>
      </c>
      <c r="H142" s="809">
        <f>(O36*100*($E36/365)/($O36+$P36+$Q36))+(O37*100*($E37/365)/($O37+$P37+$Q37))</f>
        <v>0</v>
      </c>
      <c r="I142" s="809"/>
      <c r="J142" s="809">
        <f>(P36*100*($E36/365)/($O36+$P36+$Q36))+(P37*100*($E37/365)/($O37+$P37+$Q37))</f>
        <v>0</v>
      </c>
      <c r="K142" s="809"/>
      <c r="L142" s="809">
        <f>(Q36*100*($E36/365)/($O36+$P36+$Q36))+(Q37*100*($E37/365)/($O37+$P37+$Q37))</f>
        <v>100</v>
      </c>
      <c r="M142" s="809"/>
      <c r="N142" s="810">
        <f t="shared" si="40"/>
        <v>100</v>
      </c>
      <c r="O142" s="810"/>
      <c r="R142" s="20">
        <v>1974</v>
      </c>
      <c r="S142" s="8">
        <f>O36*($E36/365) + O37*($E37/365)</f>
        <v>0</v>
      </c>
      <c r="T142" s="8">
        <f>P36*($E36/365) + P37*($E37/365)</f>
        <v>0</v>
      </c>
      <c r="U142" s="8">
        <f>Q36*($E36/365) + Q37*($E37/365)</f>
        <v>50.8</v>
      </c>
      <c r="V142" s="13"/>
      <c r="W142" s="8">
        <f>R36*($E36/365) + R37*($E37/365)</f>
        <v>50.8</v>
      </c>
    </row>
    <row r="143" spans="1:23" ht="9" customHeight="1" x14ac:dyDescent="0.15">
      <c r="A143" s="2">
        <v>1975</v>
      </c>
      <c r="B143" s="8">
        <f>(K38*($E38/365))+(K39*($E39/365))</f>
        <v>0</v>
      </c>
      <c r="C143" s="8">
        <f>(L38*($E38/365))+(L39*($E39/365))</f>
        <v>0</v>
      </c>
      <c r="D143" s="8">
        <f>(M38*($E38/365))+(M39*($E39/365))</f>
        <v>85.714285714285708</v>
      </c>
      <c r="E143" s="24">
        <f t="shared" si="39"/>
        <v>85.714285714285708</v>
      </c>
      <c r="F143" s="6"/>
      <c r="G143" s="20">
        <v>1975</v>
      </c>
      <c r="H143" s="809">
        <f>(O38*100*($E38/365)/($O38+$P38+$Q38))+(O39*100*($E39/365)/($O39+$P39+$Q39))</f>
        <v>0</v>
      </c>
      <c r="I143" s="809"/>
      <c r="J143" s="809">
        <f>(P38*100*($E38/365)/($O38+$P38+$Q38))+(P39*100*($E39/365)/($O39+$P39+$Q39))</f>
        <v>0</v>
      </c>
      <c r="K143" s="809"/>
      <c r="L143" s="809">
        <f>(Q38*100*($E38/365)/($O38+$P38+$Q38))+(Q39*100*($E39/365)/($O39+$P39+$Q39))</f>
        <v>100</v>
      </c>
      <c r="M143" s="809"/>
      <c r="N143" s="810">
        <f t="shared" si="40"/>
        <v>100</v>
      </c>
      <c r="O143" s="810"/>
      <c r="R143" s="20">
        <v>1975</v>
      </c>
      <c r="S143" s="8">
        <f>O38*($E38/365) + O39*($E39/365)</f>
        <v>0</v>
      </c>
      <c r="T143" s="8">
        <f>P38*($E38/365) + P39*($E39/365)</f>
        <v>0</v>
      </c>
      <c r="U143" s="8">
        <f>Q38*($E38/365) + Q39*($E39/365)</f>
        <v>50.800000000000004</v>
      </c>
      <c r="V143" s="13"/>
      <c r="W143" s="8">
        <f>R38*($E38/365) + R39*($E39/365)</f>
        <v>50.800000000000004</v>
      </c>
    </row>
    <row r="144" spans="1:23" ht="9" customHeight="1" x14ac:dyDescent="0.15">
      <c r="A144" s="2">
        <v>1976</v>
      </c>
      <c r="B144" s="8">
        <f>(K40*($E40/366))+(K41*($E41/366))</f>
        <v>0</v>
      </c>
      <c r="C144" s="8">
        <f>(L40*($E40/366))+(L41*($E41/366))</f>
        <v>0</v>
      </c>
      <c r="D144" s="8">
        <f>(M40*($E40/366))+(M41*($E41/366))</f>
        <v>85.714285714285708</v>
      </c>
      <c r="E144" s="24">
        <f t="shared" si="39"/>
        <v>85.714285714285708</v>
      </c>
      <c r="F144" s="6"/>
      <c r="G144" s="20">
        <v>1976</v>
      </c>
      <c r="H144" s="809">
        <f>(O40*100*($E40/366)/($O40+$P40+$Q40))+(O41*100*($E41/366)/($O41+$P41+$Q41))</f>
        <v>0</v>
      </c>
      <c r="I144" s="809"/>
      <c r="J144" s="809">
        <f>(P40*100*($E40/366)/($O40+$P40+$Q40))+(P41*100*($E41/366)/($O41+$P41+$Q41))</f>
        <v>0</v>
      </c>
      <c r="K144" s="809"/>
      <c r="L144" s="809">
        <f>(Q40*100*($E40/366)/($O40+$P40+$Q40))+(Q41*100*($E41/366)/($O41+$P41+$Q41))</f>
        <v>100</v>
      </c>
      <c r="M144" s="809"/>
      <c r="N144" s="810">
        <f t="shared" si="40"/>
        <v>100</v>
      </c>
      <c r="O144" s="810"/>
      <c r="R144" s="20">
        <v>1976</v>
      </c>
      <c r="S144" s="8">
        <f>O40*($E40/366) + O41*($E41/366)</f>
        <v>0</v>
      </c>
      <c r="T144" s="8">
        <f>P40*($E40/366) + P41*($E41/366)</f>
        <v>0</v>
      </c>
      <c r="U144" s="8">
        <f>Q40*($E40/366) + Q41*($E41/366)</f>
        <v>50.8</v>
      </c>
      <c r="V144" s="13"/>
      <c r="W144" s="8">
        <f>R40*($E40/366) + R41*($E41/366)</f>
        <v>50.8</v>
      </c>
    </row>
    <row r="145" spans="1:23" ht="9" customHeight="1" x14ac:dyDescent="0.15">
      <c r="A145" s="2">
        <v>1977</v>
      </c>
      <c r="B145" s="8">
        <f>(K42*($E42/365))+(K43*($E43/365))</f>
        <v>0</v>
      </c>
      <c r="C145" s="8">
        <f>(L42*($E42/365))+(L43*($E43/365))</f>
        <v>0</v>
      </c>
      <c r="D145" s="8">
        <f>(M42*($E42/365))+(M43*($E43/365))</f>
        <v>85.714285714285708</v>
      </c>
      <c r="E145" s="24">
        <f t="shared" si="39"/>
        <v>85.714285714285708</v>
      </c>
      <c r="F145" s="6"/>
      <c r="G145" s="20">
        <v>1977</v>
      </c>
      <c r="H145" s="809">
        <f>(O42*100*($E42/365)/($O42+$P42+$Q42))+(O43*100*($E43/365)/($O43+$P43+$Q43))</f>
        <v>0</v>
      </c>
      <c r="I145" s="809"/>
      <c r="J145" s="809">
        <f>(P42*100*($E42/365)/($O42+$P42+$Q42))+(P43*100*($E43/365)/($O43+$P43+$Q43))</f>
        <v>0</v>
      </c>
      <c r="K145" s="809"/>
      <c r="L145" s="809">
        <f>(Q42*100*($E42/365)/($O42+$P42+$Q42))+(Q43*100*($E43/365)/($O43+$P43+$Q43))</f>
        <v>100</v>
      </c>
      <c r="M145" s="809"/>
      <c r="N145" s="810">
        <f t="shared" si="40"/>
        <v>100</v>
      </c>
      <c r="O145" s="810"/>
      <c r="R145" s="20">
        <v>1977</v>
      </c>
      <c r="S145" s="8">
        <f>O42*($E42/365) + O43*($E43/365)</f>
        <v>0</v>
      </c>
      <c r="T145" s="8">
        <f>P42*($E42/365) + P43*($E43/365)</f>
        <v>0</v>
      </c>
      <c r="U145" s="8">
        <f>Q42*($E42/365) + Q43*($E43/365)</f>
        <v>50.8</v>
      </c>
      <c r="V145" s="13"/>
      <c r="W145" s="8">
        <f>R42*($E42/365) + R43*($E43/365)</f>
        <v>50.8</v>
      </c>
    </row>
    <row r="146" spans="1:23" ht="9" customHeight="1" x14ac:dyDescent="0.15">
      <c r="A146" s="2">
        <v>1978</v>
      </c>
      <c r="B146" s="8">
        <f>(K44*($E44/365))+(K45*($E45/365))</f>
        <v>0</v>
      </c>
      <c r="C146" s="8">
        <f>(L44*($E44/365))+(L45*($E45/365))</f>
        <v>0</v>
      </c>
      <c r="D146" s="8">
        <f>(M44*($E44/365))+(M45*($E45/365))</f>
        <v>85.714285714285708</v>
      </c>
      <c r="E146" s="24">
        <f t="shared" si="39"/>
        <v>85.714285714285708</v>
      </c>
      <c r="F146" s="6"/>
      <c r="G146" s="20">
        <v>1978</v>
      </c>
      <c r="H146" s="809">
        <f>(O44*100*($E44/365)/($O44+$P44+$Q44))+(O45*100*($E45/365)/($O45+$P45+$Q45))</f>
        <v>0</v>
      </c>
      <c r="I146" s="809"/>
      <c r="J146" s="809">
        <f>(P44*100*($E44/365)/($O44+$P44+$Q44))+(P45*100*($E45/365)/($O45+$P45+$Q45))</f>
        <v>0</v>
      </c>
      <c r="K146" s="809"/>
      <c r="L146" s="809">
        <f>(Q44*100*($E44/365)/($O44+$P44+$Q44))+(Q45*100*($E45/365)/($O45+$P45+$Q45))</f>
        <v>100</v>
      </c>
      <c r="M146" s="809"/>
      <c r="N146" s="810">
        <f t="shared" si="40"/>
        <v>100</v>
      </c>
      <c r="O146" s="810"/>
      <c r="R146" s="20">
        <v>1978</v>
      </c>
      <c r="S146" s="8">
        <f>O44*($E44/365) + O45*($E45/365)</f>
        <v>0</v>
      </c>
      <c r="T146" s="8">
        <f>P44*($E44/365) + P45*($E45/365)</f>
        <v>0</v>
      </c>
      <c r="U146" s="8">
        <f>Q44*($E44/365) + Q45*($E45/365)</f>
        <v>50.8</v>
      </c>
      <c r="V146" s="13"/>
      <c r="W146" s="8">
        <f>R44*($E44/365) + R45*($E45/365)</f>
        <v>50.8</v>
      </c>
    </row>
    <row r="147" spans="1:23" ht="9" customHeight="1" x14ac:dyDescent="0.15">
      <c r="A147" s="2">
        <v>1979</v>
      </c>
      <c r="B147" s="8">
        <f>(K46*($E46/365))+(K47*($E47/365))</f>
        <v>0</v>
      </c>
      <c r="C147" s="8">
        <f>(L46*($E46/365))+(L47*($E47/365))</f>
        <v>0</v>
      </c>
      <c r="D147" s="8">
        <f>(M46*($E46/365))+(M47*($E47/365))</f>
        <v>94.951076320939336</v>
      </c>
      <c r="E147" s="24">
        <f t="shared" si="39"/>
        <v>94.951076320939336</v>
      </c>
      <c r="F147" s="6"/>
      <c r="G147" s="20">
        <v>1979</v>
      </c>
      <c r="H147" s="809">
        <f>(O46*100*($E46/365)/($O46+$P46+$Q46))+(O47*100*($E47/365)/($O47+$P47+$Q47))</f>
        <v>0</v>
      </c>
      <c r="I147" s="809"/>
      <c r="J147" s="809">
        <f>(P46*100*($E46/365)/($O46+$P46+$Q46))+(P47*100*($E47/365)/($O47+$P47+$Q47))</f>
        <v>0</v>
      </c>
      <c r="K147" s="809"/>
      <c r="L147" s="809">
        <f>(Q46*100*($E46/365)/($O46+$P46+$Q46))+(Q47*100*($E47/365)/($O47+$P47+$Q47))</f>
        <v>100</v>
      </c>
      <c r="M147" s="809"/>
      <c r="N147" s="810">
        <f t="shared" si="40"/>
        <v>100</v>
      </c>
      <c r="O147" s="810"/>
      <c r="R147" s="20">
        <v>1979</v>
      </c>
      <c r="S147" s="8">
        <f>O46*($E46/365) + O47*($E47/365)</f>
        <v>0</v>
      </c>
      <c r="T147" s="8">
        <f>P46*($E46/365) + P47*($E47/365)</f>
        <v>0</v>
      </c>
      <c r="U147" s="8">
        <f>Q46*($E46/365) + Q47*($E47/365)</f>
        <v>51.511232876712327</v>
      </c>
      <c r="V147" s="13"/>
      <c r="W147" s="8">
        <f>R46*($E46/365) + R47*($E47/365)</f>
        <v>51.511232876712327</v>
      </c>
    </row>
    <row r="148" spans="1:23" ht="9" customHeight="1" x14ac:dyDescent="0.15">
      <c r="A148" s="2">
        <v>1980</v>
      </c>
      <c r="B148" s="8">
        <f>(K48*($E48/366))+(K49*($E49/366))</f>
        <v>0</v>
      </c>
      <c r="C148" s="8">
        <f>(L48*($E48/366))+(L49*($E49/366))</f>
        <v>0</v>
      </c>
      <c r="D148" s="8">
        <f>(M48*($E48/366))+(M49*($E49/366))</f>
        <v>100</v>
      </c>
      <c r="E148" s="24">
        <f t="shared" si="39"/>
        <v>100</v>
      </c>
      <c r="F148" s="6"/>
      <c r="G148" s="20">
        <v>1980</v>
      </c>
      <c r="H148" s="809">
        <f>(O48*100*($E48/366)/($O48+$P48+$Q48))+(O49*100*($E49/366)/($O49+$P49+$Q49))</f>
        <v>0</v>
      </c>
      <c r="I148" s="809"/>
      <c r="J148" s="809">
        <f>(P48*100*($E48/366)/($O48+$P48+$Q48))+(P49*100*($E49/366)/($O49+$P49+$Q49))</f>
        <v>0</v>
      </c>
      <c r="K148" s="809"/>
      <c r="L148" s="809">
        <f>(Q48*100*($E48/366)/($O48+$P48+$Q48))+(Q49*100*($E49/366)/($O49+$P49+$Q49))</f>
        <v>100</v>
      </c>
      <c r="M148" s="809"/>
      <c r="N148" s="810">
        <f t="shared" si="40"/>
        <v>100</v>
      </c>
      <c r="O148" s="810"/>
      <c r="R148" s="20">
        <v>1980</v>
      </c>
      <c r="S148" s="8">
        <f>O48*($E48/366) + O49*($E49/366)</f>
        <v>0</v>
      </c>
      <c r="T148" s="8">
        <f>P48*($E48/366) + P49*($E49/366)</f>
        <v>0</v>
      </c>
      <c r="U148" s="8">
        <f>Q48*($E48/366) + Q49*($E49/366)</f>
        <v>51.9</v>
      </c>
      <c r="V148" s="13"/>
      <c r="W148" s="8">
        <f>R48*($E48/366) + R49*($E49/366)</f>
        <v>51.9</v>
      </c>
    </row>
    <row r="149" spans="1:23" ht="9" customHeight="1" x14ac:dyDescent="0.15">
      <c r="A149" s="2">
        <v>1981</v>
      </c>
      <c r="B149" s="8">
        <f>(K50*($E50/365))+(K51*($E51/365))</f>
        <v>0</v>
      </c>
      <c r="C149" s="8">
        <f>(L50*($E50/365))+(L51*($E51/365))</f>
        <v>0</v>
      </c>
      <c r="D149" s="8">
        <f>(M50*($E50/365))+(M51*($E51/365))</f>
        <v>100</v>
      </c>
      <c r="E149" s="24">
        <f t="shared" si="39"/>
        <v>100</v>
      </c>
      <c r="F149" s="6"/>
      <c r="G149" s="20">
        <v>1981</v>
      </c>
      <c r="H149" s="809">
        <f>(O50*100*($E50/365)/($O50+$P50+$Q50))+(O51*100*($E51/365)/($O51+$P51+$Q51))</f>
        <v>0</v>
      </c>
      <c r="I149" s="809"/>
      <c r="J149" s="809">
        <f>(P50*100*($E50/365)/($O50+$P50+$Q50))+(P51*100*($E51/365)/($O51+$P51+$Q51))</f>
        <v>0</v>
      </c>
      <c r="K149" s="809"/>
      <c r="L149" s="809">
        <f>(Q50*100*($E50/365)/($O50+$P50+$Q50))+(Q51*100*($E51/365)/($O51+$P51+$Q51))</f>
        <v>100</v>
      </c>
      <c r="M149" s="809"/>
      <c r="N149" s="810">
        <f t="shared" si="40"/>
        <v>100</v>
      </c>
      <c r="O149" s="810"/>
      <c r="R149" s="20">
        <v>1981</v>
      </c>
      <c r="S149" s="8">
        <f>O50*($E50/365) + O51*($E51/365)</f>
        <v>0</v>
      </c>
      <c r="T149" s="8">
        <f>P50*($E50/365) + P51*($E51/365)</f>
        <v>0</v>
      </c>
      <c r="U149" s="8">
        <f>Q50*($E50/365) + Q51*($E51/365)</f>
        <v>51.9</v>
      </c>
      <c r="V149" s="13"/>
      <c r="W149" s="8">
        <f>R50*($E50/365) + R51*($E51/365)</f>
        <v>51.9</v>
      </c>
    </row>
    <row r="150" spans="1:23" ht="9" customHeight="1" x14ac:dyDescent="0.15">
      <c r="A150" s="2">
        <v>1982</v>
      </c>
      <c r="B150" s="8">
        <f>(K52*($E52/365))+(K53*($E53/365))</f>
        <v>0</v>
      </c>
      <c r="C150" s="8">
        <f>(L52*($E52/365))+(L53*($E53/365))</f>
        <v>0</v>
      </c>
      <c r="D150" s="8">
        <f>(M52*($E52/365))+(M53*($E53/365))</f>
        <v>100</v>
      </c>
      <c r="E150" s="24">
        <f t="shared" si="39"/>
        <v>100</v>
      </c>
      <c r="F150" s="6"/>
      <c r="G150" s="20">
        <v>1982</v>
      </c>
      <c r="H150" s="809">
        <f>(O52*100*($E52/365)/($O52+$P52+$Q52))+(O53*100*($E53/365)/($O53+$P53+$Q53))</f>
        <v>0</v>
      </c>
      <c r="I150" s="809"/>
      <c r="J150" s="809">
        <f>(P52*100*($E52/365)/($O52+$P52+$Q52))+(P53*100*($E53/365)/($O53+$P53+$Q53))</f>
        <v>0</v>
      </c>
      <c r="K150" s="809"/>
      <c r="L150" s="809">
        <f>(Q52*100*($E52/365)/($O52+$P52+$Q52))+(Q53*100*($E53/365)/($O53+$P53+$Q53))</f>
        <v>100</v>
      </c>
      <c r="M150" s="809"/>
      <c r="N150" s="810">
        <f t="shared" si="40"/>
        <v>100</v>
      </c>
      <c r="O150" s="810"/>
      <c r="R150" s="20">
        <v>1982</v>
      </c>
      <c r="S150" s="8">
        <f>O52*($E52/365) + O53*($E53/365)</f>
        <v>0</v>
      </c>
      <c r="T150" s="8">
        <f>P52*($E52/365) + P53*($E53/365)</f>
        <v>0</v>
      </c>
      <c r="U150" s="8">
        <f>Q52*($E52/365) + Q53*($E53/365)</f>
        <v>51.9</v>
      </c>
      <c r="V150" s="13"/>
      <c r="W150" s="8">
        <f>R52*($E52/365) + R53*($E53/365)</f>
        <v>51.9</v>
      </c>
    </row>
    <row r="151" spans="1:23" ht="9" customHeight="1" x14ac:dyDescent="0.15">
      <c r="A151" s="2">
        <v>1983</v>
      </c>
      <c r="B151" s="8">
        <f>(K54*($E54/365))+(K55*($E55/365))</f>
        <v>12.164383561643836</v>
      </c>
      <c r="C151" s="8">
        <f>(L54*($E54/365))+(L55*($E55/365))</f>
        <v>0</v>
      </c>
      <c r="D151" s="8">
        <f>(M54*($E54/365))+(M55*($E55/365))</f>
        <v>87.835616438356169</v>
      </c>
      <c r="E151" s="24">
        <f t="shared" si="39"/>
        <v>100</v>
      </c>
      <c r="F151" s="6"/>
      <c r="G151" s="20">
        <v>1983</v>
      </c>
      <c r="H151" s="809">
        <f>(O54*100*($E54/365)/($O54+$P54+$Q54))+(O55*100*($E55/365)/($O55+$P55+$Q55))</f>
        <v>7.1939902783915155</v>
      </c>
      <c r="I151" s="809"/>
      <c r="J151" s="809">
        <f>(P54*100*($E54/365)/($O54+$P54+$Q54))+(P55*100*($E55/365)/($O55+$P55+$Q55))</f>
        <v>0</v>
      </c>
      <c r="K151" s="809"/>
      <c r="L151" s="809">
        <f>(Q54*100*($E54/365)/($O54+$P54+$Q54))+(Q55*100*($E55/365)/($O55+$P55+$Q55))</f>
        <v>92.80600972160849</v>
      </c>
      <c r="M151" s="809"/>
      <c r="N151" s="810">
        <f t="shared" si="40"/>
        <v>100</v>
      </c>
      <c r="O151" s="810"/>
      <c r="R151" s="20">
        <v>1983</v>
      </c>
      <c r="S151" s="8">
        <f>O54*($E54/365) + O55*($E55/365)</f>
        <v>4.0142465753424661</v>
      </c>
      <c r="T151" s="8">
        <f>P54*($E54/365) + P55*($E55/365)</f>
        <v>0</v>
      </c>
      <c r="U151" s="8">
        <f>Q54*($E54/365) + Q55*($E55/365)</f>
        <v>50.257808219178088</v>
      </c>
      <c r="V151" s="13"/>
      <c r="W151" s="8">
        <f>R54*($E54/365) + R55*($E55/365)</f>
        <v>54.27205479452055</v>
      </c>
    </row>
    <row r="152" spans="1:23" ht="9" customHeight="1" x14ac:dyDescent="0.15">
      <c r="A152" s="2">
        <v>1984</v>
      </c>
      <c r="B152" s="8">
        <f>(K56*($E56/366))+(K57*($E57/366))</f>
        <v>20</v>
      </c>
      <c r="C152" s="8">
        <f>(L56*($E56/366))+(L57*($E57/366))</f>
        <v>0</v>
      </c>
      <c r="D152" s="8">
        <f>(M56*($E56/366))+(M57*($E57/366))</f>
        <v>80</v>
      </c>
      <c r="E152" s="24">
        <f t="shared" si="39"/>
        <v>100</v>
      </c>
      <c r="F152" s="6"/>
      <c r="G152" s="20">
        <v>1984</v>
      </c>
      <c r="H152" s="809">
        <f>(O56*100*($E56/366)/($O56+$P56+$Q56))+(O57*100*($E57/366)/($O57+$P57+$Q57))</f>
        <v>11.82795698924731</v>
      </c>
      <c r="I152" s="809"/>
      <c r="J152" s="809">
        <f>(P56*100*($E56/366)/($O56+$P56+$Q56))+(P57*100*($E57/366)/($O57+$P57+$Q57))</f>
        <v>0</v>
      </c>
      <c r="K152" s="809"/>
      <c r="L152" s="809">
        <f>(Q56*100*($E56/366)/($O56+$P56+$Q56))+(Q57*100*($E57/366)/($O57+$P57+$Q57))</f>
        <v>88.172043010752688</v>
      </c>
      <c r="M152" s="809"/>
      <c r="N152" s="810">
        <f t="shared" si="40"/>
        <v>100</v>
      </c>
      <c r="O152" s="810"/>
      <c r="R152" s="20">
        <v>1984</v>
      </c>
      <c r="S152" s="8">
        <f>O56*($E56/366) + O57*($E57/366)</f>
        <v>6.6</v>
      </c>
      <c r="T152" s="8">
        <f>P56*($E56/366) + P57*($E57/366)</f>
        <v>0</v>
      </c>
      <c r="U152" s="8">
        <f>Q56*($E56/366) + Q57*($E57/366)</f>
        <v>49.2</v>
      </c>
      <c r="V152" s="13"/>
      <c r="W152" s="8">
        <f>R56*($E56/366) + R57*($E57/366)</f>
        <v>55.800000000000004</v>
      </c>
    </row>
    <row r="153" spans="1:23" ht="9" customHeight="1" x14ac:dyDescent="0.15">
      <c r="A153" s="2">
        <v>1985</v>
      </c>
      <c r="B153" s="8">
        <f>(K58*($E58/365))+(K59*($E59/365))</f>
        <v>20</v>
      </c>
      <c r="C153" s="8">
        <f>(L58*($E58/365))+(L59*($E59/365))</f>
        <v>0</v>
      </c>
      <c r="D153" s="8">
        <f>(M58*($E58/365))+(M59*($E59/365))</f>
        <v>80</v>
      </c>
      <c r="E153" s="24">
        <f t="shared" si="39"/>
        <v>100</v>
      </c>
      <c r="F153" s="6"/>
      <c r="G153" s="20">
        <v>1985</v>
      </c>
      <c r="H153" s="809">
        <f>(O58*100*($E58/365)/($O58+$P58+$Q58))+(O59*100*($E59/365)/($O59+$P59+$Q59))</f>
        <v>11.82795698924731</v>
      </c>
      <c r="I153" s="809"/>
      <c r="J153" s="809">
        <f>(P58*100*($E58/365)/($O58+$P58+$Q58))+(P59*100*($E59/365)/($O59+$P59+$Q59))</f>
        <v>0</v>
      </c>
      <c r="K153" s="809"/>
      <c r="L153" s="809">
        <f>(Q58*100*($E58/365)/($O58+$P58+$Q58))+(Q59*100*($E59/365)/($O59+$P59+$Q59))</f>
        <v>88.172043010752688</v>
      </c>
      <c r="M153" s="809"/>
      <c r="N153" s="810">
        <f t="shared" si="40"/>
        <v>100</v>
      </c>
      <c r="O153" s="810"/>
      <c r="R153" s="20">
        <v>1985</v>
      </c>
      <c r="S153" s="8">
        <f>O58*($E58/365) + O59*($E59/365)</f>
        <v>6.6</v>
      </c>
      <c r="T153" s="8">
        <f>P58*($E58/365) + P59*($E59/365)</f>
        <v>0</v>
      </c>
      <c r="U153" s="8">
        <f>Q58*($E58/365) + Q59*($E59/365)</f>
        <v>49.2</v>
      </c>
      <c r="V153" s="13"/>
      <c r="W153" s="8">
        <f>R58*($E58/365) + R59*($E59/365)</f>
        <v>55.800000000000004</v>
      </c>
    </row>
    <row r="154" spans="1:23" ht="9" customHeight="1" x14ac:dyDescent="0.15">
      <c r="A154" s="2">
        <v>1986</v>
      </c>
      <c r="B154" s="8">
        <f>(K60*($E60/365))+(K61*($E61/365))</f>
        <v>19.31849315068493</v>
      </c>
      <c r="C154" s="8">
        <f>(L60*($E60/365))+(L61*($E61/365))</f>
        <v>0</v>
      </c>
      <c r="D154" s="8">
        <f>(M60*($E60/365))+(M61*($E61/365))</f>
        <v>80.68150684931507</v>
      </c>
      <c r="E154" s="24">
        <f t="shared" si="39"/>
        <v>100</v>
      </c>
      <c r="F154" s="6"/>
      <c r="G154" s="20">
        <v>1986</v>
      </c>
      <c r="H154" s="809">
        <f>(O60*100*($E60/365)/($O60+$P60+$Q60))+(O61*100*($E61/365)/($O61+$P61+$Q61))</f>
        <v>11.827956989247312</v>
      </c>
      <c r="I154" s="809"/>
      <c r="J154" s="809">
        <f>(P60*100*($E60/365)/($O60+$P60+$Q60))+(P61*100*($E61/365)/($O61+$P61+$Q61))</f>
        <v>0</v>
      </c>
      <c r="K154" s="809"/>
      <c r="L154" s="809">
        <f>(Q60*100*($E60/365)/($O60+$P60+$Q60))+(Q61*100*($E61/365)/($O61+$P61+$Q61))</f>
        <v>88.172043010752674</v>
      </c>
      <c r="M154" s="809"/>
      <c r="N154" s="810">
        <f t="shared" si="40"/>
        <v>99.999999999999986</v>
      </c>
      <c r="O154" s="810"/>
      <c r="R154" s="20">
        <v>1986</v>
      </c>
      <c r="S154" s="8">
        <f>O60*($E60/365) + O61*($E61/365)</f>
        <v>6.6</v>
      </c>
      <c r="T154" s="8">
        <f>P60*($E60/365) + P61*($E61/365)</f>
        <v>0</v>
      </c>
      <c r="U154" s="8">
        <f>Q60*($E60/365) + Q61*($E61/365)</f>
        <v>49.2</v>
      </c>
      <c r="V154" s="13"/>
      <c r="W154" s="8">
        <f>R60*($E60/365) + R61*($E61/365)</f>
        <v>55.800000000000004</v>
      </c>
    </row>
    <row r="155" spans="1:23" ht="9" customHeight="1" x14ac:dyDescent="0.15">
      <c r="A155" s="2">
        <v>1987</v>
      </c>
      <c r="B155" s="8">
        <f>(K62*($E62/365))+(K63*($E63/365))</f>
        <v>1.0273972602739725</v>
      </c>
      <c r="C155" s="8">
        <f>(L62*($E62/365))+(L63*($E63/365))</f>
        <v>44.109589041095887</v>
      </c>
      <c r="D155" s="8">
        <f>(M62*($E62/365))+(M63*($E63/365))</f>
        <v>48.561643835616437</v>
      </c>
      <c r="E155" s="24">
        <f t="shared" si="39"/>
        <v>93.698630136986296</v>
      </c>
      <c r="F155" s="6"/>
      <c r="G155" s="20">
        <v>1987</v>
      </c>
      <c r="H155" s="809">
        <f>(O62*100*($E62/365)/($O62+$P62+$Q62))+(O63*100*($E63/365)/($O63+$P63+$Q63))</f>
        <v>0.64810723228752376</v>
      </c>
      <c r="I155" s="809"/>
      <c r="J155" s="809">
        <f>(P62*100*($E62/365)/($O62+$P62+$Q62))+(P63*100*($E63/365)/($O63+$P63+$Q63))</f>
        <v>46.378963502251167</v>
      </c>
      <c r="K155" s="809"/>
      <c r="L155" s="809">
        <f>(Q62*100*($E62/365)/($O62+$P62+$Q62))+(Q63*100*($E63/365)/($O63+$P63+$Q63))</f>
        <v>52.972929265461303</v>
      </c>
      <c r="M155" s="809"/>
      <c r="N155" s="810">
        <f t="shared" si="40"/>
        <v>100</v>
      </c>
      <c r="O155" s="810"/>
      <c r="R155" s="20">
        <v>1987</v>
      </c>
      <c r="S155" s="8">
        <f>O62*($E62/365) + O63*($E63/365)</f>
        <v>0.36164383561643831</v>
      </c>
      <c r="T155" s="8">
        <f>P62*($E62/365) + P63*($E63/365)</f>
        <v>39.793150684931511</v>
      </c>
      <c r="U155" s="8">
        <f>Q62*($E62/365) + Q63*($E63/365)</f>
        <v>44.0013698630137</v>
      </c>
      <c r="V155" s="13"/>
      <c r="W155" s="8">
        <f>R62*($E62/365) + R63*($E63/365)</f>
        <v>84.156164383561659</v>
      </c>
    </row>
    <row r="156" spans="1:23" ht="9" customHeight="1" x14ac:dyDescent="0.15">
      <c r="A156" s="2">
        <v>1988</v>
      </c>
      <c r="B156" s="8">
        <f>(K64*($E64/366))+(K65*($E65/366))</f>
        <v>0</v>
      </c>
      <c r="C156" s="8">
        <f>(L64*($E64/366))+(L65*($E65/366))</f>
        <v>46.666666666666664</v>
      </c>
      <c r="D156" s="8">
        <f>(M64*($E64/366))+(M65*($E65/366))</f>
        <v>46.666666666666664</v>
      </c>
      <c r="E156" s="24">
        <f t="shared" si="39"/>
        <v>93.333333333333329</v>
      </c>
      <c r="F156" s="6"/>
      <c r="G156" s="20">
        <v>1988</v>
      </c>
      <c r="H156" s="809">
        <f>(O64*100*($E64/366)/($O64+$P64+$Q64))+(O65*100*($E65/366)/($O65+$P65+$Q65))</f>
        <v>0</v>
      </c>
      <c r="I156" s="809"/>
      <c r="J156" s="809">
        <f>(P64*100*($E64/366)/($O64+$P64+$Q64))+(P65*100*($E65/366)/($O65+$P65+$Q65))</f>
        <v>49.067599067599062</v>
      </c>
      <c r="K156" s="809"/>
      <c r="L156" s="809">
        <f>(Q64*100*($E64/366)/($O64+$P64+$Q64))+(Q65*100*($E65/366)/($O65+$P65+$Q65))</f>
        <v>50.932400932400924</v>
      </c>
      <c r="M156" s="809"/>
      <c r="N156" s="810">
        <f t="shared" si="40"/>
        <v>99.999999999999986</v>
      </c>
      <c r="O156" s="810"/>
      <c r="R156" s="20">
        <v>1988</v>
      </c>
      <c r="S156" s="8">
        <f>O64*($E64/366) + O65*($E65/366)</f>
        <v>0</v>
      </c>
      <c r="T156" s="8">
        <f>P64*($E64/366) + P65*($E65/366)</f>
        <v>42.1</v>
      </c>
      <c r="U156" s="8">
        <f>Q64*($E64/366) + Q65*($E65/366)</f>
        <v>43.7</v>
      </c>
      <c r="V156" s="13"/>
      <c r="W156" s="8">
        <f>R64*($E64/366) + R65*($E65/366)</f>
        <v>85.800000000000011</v>
      </c>
    </row>
    <row r="157" spans="1:23" s="4" customFormat="1" ht="9" customHeight="1" x14ac:dyDescent="0.15">
      <c r="A157" s="4">
        <v>1989</v>
      </c>
      <c r="B157" s="11">
        <f>(K66*($E66/365))+(K67*($E67/365))</f>
        <v>0</v>
      </c>
      <c r="C157" s="11">
        <f>(L65*($E65/365))+(L66*($E66/365))</f>
        <v>46.794520547945204</v>
      </c>
      <c r="D157" s="11">
        <f>(M65*($E65/365))+(M66*($E66/365))</f>
        <v>46.794520547945204</v>
      </c>
      <c r="E157" s="25">
        <f t="shared" si="39"/>
        <v>93.589041095890408</v>
      </c>
      <c r="F157" s="19"/>
      <c r="G157" s="21">
        <v>1989</v>
      </c>
      <c r="H157" s="820">
        <f>(O66*100*($E66/365)/($O66+$P66+$Q66))+(O67*100*($E67/365)/($O67+$P67+$Q67))</f>
        <v>0</v>
      </c>
      <c r="I157" s="820"/>
      <c r="J157" s="820">
        <f>(P66*100*($E66/365)/($O66+$P66+$Q66))+(P67*100*($E67/365)/($O67+$P67+$Q67))</f>
        <v>49.067599067599062</v>
      </c>
      <c r="K157" s="820"/>
      <c r="L157" s="820">
        <f>(Q66*100*($E66/365)/($O66+$P66+$Q66))+(Q67*100*($E67/365)/($O67+$P67+$Q67))</f>
        <v>50.932400932400924</v>
      </c>
      <c r="M157" s="820"/>
      <c r="N157" s="808">
        <f t="shared" si="40"/>
        <v>99.999999999999986</v>
      </c>
      <c r="O157" s="808"/>
      <c r="R157" s="21">
        <v>1989</v>
      </c>
      <c r="S157" s="11">
        <f>O66*($E66/365) + O67*($E67/365)</f>
        <v>0</v>
      </c>
      <c r="T157" s="11">
        <f>P66*($E66/365) + P67*($E67/365)</f>
        <v>42.1</v>
      </c>
      <c r="U157" s="11">
        <f>Q66*($E66/365) + Q67*($E67/365)</f>
        <v>43.7</v>
      </c>
      <c r="V157" s="27"/>
      <c r="W157" s="11">
        <f>R66*($E66/365) + R67*($E67/365)</f>
        <v>85.800000000000011</v>
      </c>
    </row>
    <row r="158" spans="1:23" ht="9" customHeight="1" x14ac:dyDescent="0.15">
      <c r="A158" s="2">
        <v>1990</v>
      </c>
      <c r="B158" s="8">
        <f>(K68*(E68/365))+(K69*(E69/365))</f>
        <v>0</v>
      </c>
      <c r="C158" s="8">
        <f>(L68*(E68/365))+(L69*(E69/365))</f>
        <v>46.714746172441579</v>
      </c>
      <c r="D158" s="8">
        <f>(M68*(E68/365))+(M69*(E69/365))</f>
        <v>46.714746172441579</v>
      </c>
      <c r="E158" s="24">
        <f t="shared" ref="E158:E182" si="41">SUM(B158:D158)</f>
        <v>93.429492344883158</v>
      </c>
      <c r="F158" s="6"/>
      <c r="G158" s="2">
        <v>1990</v>
      </c>
      <c r="H158" s="809">
        <f>(O68*100*(E68/365)/(O68+P68+Q68))+(O69*100*(E69/365)/(O69+P69+Q69))</f>
        <v>0</v>
      </c>
      <c r="I158" s="809"/>
      <c r="J158" s="809">
        <f>(P68*100*(E68/365)/(P68+Q68+O68))+(P69*100*(E69/365)/(P69+Q69+O69))</f>
        <v>48.813142270031868</v>
      </c>
      <c r="K158" s="809"/>
      <c r="L158" s="809">
        <f>(Q68*100*(E68/365)/(Q68+P68+O68))+(Q69*100*(E69/365)/(Q69+P69+O69))</f>
        <v>51.186857729968111</v>
      </c>
      <c r="M158" s="809"/>
      <c r="N158" s="810">
        <f t="shared" si="40"/>
        <v>99.999999999999972</v>
      </c>
      <c r="O158" s="810"/>
      <c r="R158" s="2">
        <v>1990</v>
      </c>
      <c r="S158" s="8">
        <f>O68*($E68/365) + O69*($E69/365)</f>
        <v>0</v>
      </c>
      <c r="T158" s="8">
        <f>P68*($E68/365) + P69*($E69/365)</f>
        <v>41.717808219178082</v>
      </c>
      <c r="U158" s="8">
        <f>Q68*($E68/365) + Q69*($E69/365)</f>
        <v>43.7</v>
      </c>
      <c r="V158" s="13"/>
      <c r="W158" s="8">
        <f>R68*($E68/365) + R69*($E69/365)</f>
        <v>85.417808219178085</v>
      </c>
    </row>
    <row r="159" spans="1:23" ht="9" customHeight="1" x14ac:dyDescent="0.15">
      <c r="A159" s="2">
        <v>1991</v>
      </c>
      <c r="B159" s="8">
        <f>(K70*(E70/365))+(K71*(E71/365))</f>
        <v>0</v>
      </c>
      <c r="C159" s="8">
        <f>(L70*(E70/365))+(L71*(E71/365))</f>
        <v>47.058823529411761</v>
      </c>
      <c r="D159" s="8">
        <f>(M70*(E70/365))+(M71*(E71/365))</f>
        <v>47.058823529411761</v>
      </c>
      <c r="E159" s="24">
        <f t="shared" si="41"/>
        <v>94.117647058823522</v>
      </c>
      <c r="F159" s="6"/>
      <c r="G159" s="2">
        <v>1991</v>
      </c>
      <c r="H159" s="809">
        <f>(O70*100*(E70/365)/(O70+P70+Q70))+(O71*100*(E71/365)/(O71+P71+Q71))</f>
        <v>0</v>
      </c>
      <c r="I159" s="809"/>
      <c r="J159" s="809">
        <f>(P70*100*(E70/365)/(P70+Q70+O70))+(P71*100*(E71/365)/(P71+Q71+O71))</f>
        <v>42.875816993464049</v>
      </c>
      <c r="K159" s="809"/>
      <c r="L159" s="809">
        <f>(Q70*100*(E70/365)/(Q70+P70+O70))+(Q71*100*(E71/365)/(Q71+P71+O71))</f>
        <v>57.124183006535951</v>
      </c>
      <c r="M159" s="809"/>
      <c r="N159" s="810">
        <f t="shared" si="40"/>
        <v>100</v>
      </c>
      <c r="O159" s="810"/>
      <c r="R159" s="2">
        <v>1991</v>
      </c>
      <c r="S159" s="8">
        <f>O70*($E70/365) + O71*($E71/365)</f>
        <v>0</v>
      </c>
      <c r="T159" s="8">
        <f>P70*($E70/365) + P71*($E71/365)</f>
        <v>32.799999999999997</v>
      </c>
      <c r="U159" s="8">
        <f>Q70*($E70/365) + Q71*($E71/365)</f>
        <v>43.7</v>
      </c>
      <c r="V159" s="13"/>
      <c r="W159" s="8">
        <f>R70*($E70/365) + R71*($E71/365)</f>
        <v>76.5</v>
      </c>
    </row>
    <row r="160" spans="1:23" ht="9" customHeight="1" x14ac:dyDescent="0.15">
      <c r="A160" s="2">
        <v>1992</v>
      </c>
      <c r="B160" s="8">
        <f>(K72*(E72/366))+(K73*(E73/366))</f>
        <v>0</v>
      </c>
      <c r="C160" s="8">
        <f>(L72*(E72/366))+(L73*(E73/366))</f>
        <v>43.75</v>
      </c>
      <c r="D160" s="8">
        <f>(M72*(E72/366))+(M73*(E73/366))</f>
        <v>50</v>
      </c>
      <c r="E160" s="24">
        <f t="shared" si="41"/>
        <v>93.75</v>
      </c>
      <c r="F160" s="6"/>
      <c r="G160" s="2">
        <v>1992</v>
      </c>
      <c r="H160" s="809">
        <f>(O72*100*(E72/366)/(O72+P72+Q72))+(O73*100*(E73/366)/(O73+P73+Q73))</f>
        <v>0</v>
      </c>
      <c r="I160" s="809"/>
      <c r="J160" s="809">
        <f>(P72*100*(E72/366)/(P72+Q72+O72))+(P73*100*(E73/366)/(P73+Q73+O73))</f>
        <v>42.875816993464049</v>
      </c>
      <c r="K160" s="809"/>
      <c r="L160" s="809">
        <f>(Q72*100*(E72/366)/(Q72+P72+O72))+(Q73*100*(E73/366)/(Q73+P73+O73))</f>
        <v>57.124183006535951</v>
      </c>
      <c r="M160" s="809"/>
      <c r="N160" s="810">
        <f t="shared" si="40"/>
        <v>100</v>
      </c>
      <c r="O160" s="810"/>
      <c r="R160" s="2">
        <v>1992</v>
      </c>
      <c r="S160" s="8">
        <f>O72*($E72/366) + O73*($E73/366)</f>
        <v>0</v>
      </c>
      <c r="T160" s="8">
        <f>P72*($E72/366) + P73*($E73/366)</f>
        <v>32.799999999999997</v>
      </c>
      <c r="U160" s="8">
        <f>Q72*($E72/366) + Q73*($E73/366)</f>
        <v>43.7</v>
      </c>
      <c r="V160" s="13"/>
      <c r="W160" s="8">
        <f>R72*($E72/366) + R73*($E73/366)</f>
        <v>76.5</v>
      </c>
    </row>
    <row r="161" spans="1:23" ht="9" customHeight="1" x14ac:dyDescent="0.15">
      <c r="A161" s="2">
        <v>1993</v>
      </c>
      <c r="B161" s="8">
        <f>(K74*(E74/365))+(K75*(E75/365))</f>
        <v>0</v>
      </c>
      <c r="C161" s="8">
        <f>(L74*(E74/365))+(L75*(E75/365))</f>
        <v>43.75</v>
      </c>
      <c r="D161" s="8">
        <f>(M74*(E74/365))+(M75*(E75/365))</f>
        <v>50</v>
      </c>
      <c r="E161" s="24">
        <f t="shared" si="41"/>
        <v>93.75</v>
      </c>
      <c r="F161" s="6"/>
      <c r="G161" s="2">
        <v>1993</v>
      </c>
      <c r="H161" s="809">
        <f>(O74*100*(E74/365)/(O74+P74+Q74))+(O75*100*(E75/365)/(O75+P75+Q75))</f>
        <v>0</v>
      </c>
      <c r="I161" s="809"/>
      <c r="J161" s="809">
        <f>(P74*100*(E74/365)/(P74+Q74+O74))+(P75*100*(E75/365)/(P75+Q75+O75))</f>
        <v>42.875816993464049</v>
      </c>
      <c r="K161" s="809"/>
      <c r="L161" s="809">
        <f>(Q74*100*(E74/365)/(Q74+P74+O74))+(Q75*100*(E75/365)/(Q75+P75+O75))</f>
        <v>57.124183006535951</v>
      </c>
      <c r="M161" s="809"/>
      <c r="N161" s="810">
        <f t="shared" si="40"/>
        <v>100</v>
      </c>
      <c r="O161" s="810"/>
      <c r="R161" s="2">
        <v>1993</v>
      </c>
      <c r="S161" s="8">
        <f>O74*($E74/365) + O75*($E75/365)</f>
        <v>0</v>
      </c>
      <c r="T161" s="8">
        <f>P74*($E74/365) + P75*($E75/365)</f>
        <v>32.799999999999997</v>
      </c>
      <c r="U161" s="8">
        <f>Q74*($E74/365) + Q75*($E75/365)</f>
        <v>43.7</v>
      </c>
      <c r="V161" s="13"/>
      <c r="W161" s="8">
        <f>R74*($E74/365) + R75*($E75/365)</f>
        <v>76.5</v>
      </c>
    </row>
    <row r="162" spans="1:23" ht="9" customHeight="1" x14ac:dyDescent="0.15">
      <c r="A162" s="2">
        <v>1994</v>
      </c>
      <c r="B162" s="8">
        <f>(K76*(E76/365))+(K77*(E77/365))</f>
        <v>0</v>
      </c>
      <c r="C162" s="8">
        <f>(L76*(E76/365))+(L77*(E77/365))</f>
        <v>43.75</v>
      </c>
      <c r="D162" s="8">
        <f>(M76*(E76/365))+(M77*(E77/365))</f>
        <v>50</v>
      </c>
      <c r="E162" s="24">
        <f t="shared" si="41"/>
        <v>93.75</v>
      </c>
      <c r="F162" s="6"/>
      <c r="G162" s="2">
        <v>1994</v>
      </c>
      <c r="H162" s="809">
        <f>(O76*100*(E76/365)/(O76+P76+Q76))+(O77*100*(E77/365)/(O77+P77+Q77))</f>
        <v>0</v>
      </c>
      <c r="I162" s="809"/>
      <c r="J162" s="809">
        <f>(P76*100*(E76/365)/(P76+Q76+O76))+(P77*100*(E77/365)/(P77+Q77+O77))</f>
        <v>43.017638105470496</v>
      </c>
      <c r="K162" s="809"/>
      <c r="L162" s="809">
        <f>(Q76*100*(E76/365)/(Q76+P76+O76))+(Q77*100*(E77/365)/(Q77+P77+O77))</f>
        <v>56.982361894529504</v>
      </c>
      <c r="M162" s="809"/>
      <c r="N162" s="810">
        <f t="shared" si="40"/>
        <v>100</v>
      </c>
      <c r="O162" s="810"/>
      <c r="R162" s="2">
        <v>1994</v>
      </c>
      <c r="S162" s="8">
        <f>O76*($E76/365) + O77*($E77/365)</f>
        <v>0</v>
      </c>
      <c r="T162" s="8">
        <f>P76*($E76/365) + P77*($E77/365)</f>
        <v>32.402191780821916</v>
      </c>
      <c r="U162" s="8">
        <f>Q76*($E76/365) + Q77*($E77/365)</f>
        <v>42.958630136986301</v>
      </c>
      <c r="V162" s="13"/>
      <c r="W162" s="8">
        <f>R76*($E76/365) + R77*($E77/365)</f>
        <v>75.360821917808224</v>
      </c>
    </row>
    <row r="163" spans="1:23" ht="9" customHeight="1" x14ac:dyDescent="0.15">
      <c r="A163" s="2">
        <v>1995</v>
      </c>
      <c r="B163" s="8">
        <f>(K78*(E78/365))+(K79*(E79/365))</f>
        <v>0</v>
      </c>
      <c r="C163" s="8">
        <f>(L78*(E78/365))+(L79*(E79/365))</f>
        <v>43.75</v>
      </c>
      <c r="D163" s="8">
        <f>(M78*(E78/365))+(M79*(E79/365))</f>
        <v>50</v>
      </c>
      <c r="E163" s="24">
        <f t="shared" si="41"/>
        <v>93.75</v>
      </c>
      <c r="F163" s="6"/>
      <c r="G163" s="2">
        <v>1995</v>
      </c>
      <c r="H163" s="809">
        <f>(O78*100*(E78/365)/(O78+P78+Q78))+(O79*100*(E79/365)/(O79+P79+Q79))</f>
        <v>0</v>
      </c>
      <c r="I163" s="809"/>
      <c r="J163" s="809">
        <f>(P78*100*(E78/365)/(P78+Q78+O78))+(P79*100*(E79/365)/(P79+Q79+O79))</f>
        <v>44.444444444444443</v>
      </c>
      <c r="K163" s="809"/>
      <c r="L163" s="809">
        <f>(Q78*100*(E78/365)/(Q78+P78+O78))+(Q79*100*(E79/365)/(Q79+P79+O79))</f>
        <v>55.555555555555557</v>
      </c>
      <c r="M163" s="809"/>
      <c r="N163" s="810">
        <f t="shared" si="40"/>
        <v>100</v>
      </c>
      <c r="O163" s="810"/>
      <c r="R163" s="2">
        <v>1995</v>
      </c>
      <c r="S163" s="8">
        <f>O78*($E78/365) + O79*($E79/365)</f>
        <v>0</v>
      </c>
      <c r="T163" s="8">
        <f>P78*($E78/365) + P79*($E79/365)</f>
        <v>28.4</v>
      </c>
      <c r="U163" s="8">
        <f>Q78*($E78/365) + Q79*($E79/365)</f>
        <v>35.5</v>
      </c>
      <c r="V163" s="13"/>
      <c r="W163" s="8">
        <f>R78*($E78/365) + R79*($E79/365)</f>
        <v>63.9</v>
      </c>
    </row>
    <row r="164" spans="1:23" ht="9" customHeight="1" x14ac:dyDescent="0.15">
      <c r="A164" s="2">
        <v>1996</v>
      </c>
      <c r="B164" s="8">
        <f>(K80*(E80/366))+(K81*(E81/366))</f>
        <v>0</v>
      </c>
      <c r="C164" s="8">
        <f>(L80*(E80/366))+(L81*(E81/366))</f>
        <v>43.030347384855574</v>
      </c>
      <c r="D164" s="8">
        <f>(M80*(E80/366))+(M81*(E81/366))</f>
        <v>50</v>
      </c>
      <c r="E164" s="24">
        <f t="shared" si="41"/>
        <v>93.030347384855574</v>
      </c>
      <c r="F164" s="6"/>
      <c r="G164" s="2">
        <v>1996</v>
      </c>
      <c r="H164" s="809">
        <f>(O80*100*(E80/366)/(O80+P80+Q80))+(O81*100*(E81/366)/(O81+P81+Q81))</f>
        <v>0</v>
      </c>
      <c r="I164" s="809"/>
      <c r="J164" s="809">
        <f>(P80*100*(E80/366)/(P80+Q80+O80))+(P81*100*(E81/366)/(P81+Q81+O81))</f>
        <v>42.685293607424761</v>
      </c>
      <c r="K164" s="809"/>
      <c r="L164" s="809">
        <f>(Q80*100*(E80/366)/(Q80+P80+O80))+(Q81*100*(E81/366)/(Q81+P81+O81))</f>
        <v>57.314706392575253</v>
      </c>
      <c r="M164" s="809"/>
      <c r="N164" s="810">
        <f t="shared" si="40"/>
        <v>100.00000000000001</v>
      </c>
      <c r="O164" s="810"/>
      <c r="R164" s="2">
        <v>1996</v>
      </c>
      <c r="S164" s="8">
        <f>O80*($E80/366) + O81*($E81/366)</f>
        <v>0</v>
      </c>
      <c r="T164" s="8">
        <f>P80*($E80/366) + P81*($E81/366)</f>
        <v>28.4</v>
      </c>
      <c r="U164" s="8">
        <f>Q80*($E80/366) + Q81*($E81/366)</f>
        <v>38.159836065573771</v>
      </c>
      <c r="V164" s="13"/>
      <c r="W164" s="8">
        <f>R80*($E80/366) + R81*($E81/366)</f>
        <v>66.559836065573762</v>
      </c>
    </row>
    <row r="165" spans="1:23" ht="9" customHeight="1" x14ac:dyDescent="0.15">
      <c r="A165" s="2">
        <v>1997</v>
      </c>
      <c r="B165" s="8">
        <f>(K82*(E82/365))+(K83*(E83/365))</f>
        <v>0</v>
      </c>
      <c r="C165" s="8">
        <f>(L82*(E82/365))+(L83*(E83/365))</f>
        <v>45.909980430528378</v>
      </c>
      <c r="D165" s="8">
        <f>(M82*(E82/365))+(M83*(E83/365))</f>
        <v>46.438356164383563</v>
      </c>
      <c r="E165" s="24">
        <f t="shared" si="41"/>
        <v>92.348336594911942</v>
      </c>
      <c r="F165" s="6"/>
      <c r="G165" s="2">
        <v>1997</v>
      </c>
      <c r="H165" s="809">
        <f>(O82*100*(E82/365)/(O82+P82+Q82))+(O83*100*(E83/365)/(O83+P83+Q83))</f>
        <v>0</v>
      </c>
      <c r="I165" s="809"/>
      <c r="J165" s="809">
        <f>(P82*100*(E82/365)/(P82+Q82+O82))+(P83*100*(E83/365)/(P83+Q83+O83))</f>
        <v>42.261904761904766</v>
      </c>
      <c r="K165" s="809"/>
      <c r="L165" s="809">
        <f>(Q82*100*(E82/365)/(Q82+P82+O82))+(Q83*100*(E83/365)/(Q83+P83+O83))</f>
        <v>57.738095238095234</v>
      </c>
      <c r="M165" s="809"/>
      <c r="N165" s="810">
        <f t="shared" si="40"/>
        <v>100</v>
      </c>
      <c r="O165" s="810"/>
      <c r="R165" s="2">
        <v>1997</v>
      </c>
      <c r="S165" s="8">
        <f>O82*($E82/365) + O83*($E83/365)</f>
        <v>0</v>
      </c>
      <c r="T165" s="8">
        <f>P82*($E82/365) + P83*($E83/365)</f>
        <v>28.4</v>
      </c>
      <c r="U165" s="8">
        <f>Q82*($E82/365) + Q83*($E83/365)</f>
        <v>38.799999999999997</v>
      </c>
      <c r="V165" s="13"/>
      <c r="W165" s="8">
        <f>R82*($E82/365) + R83*($E83/365)</f>
        <v>67.199999999999989</v>
      </c>
    </row>
    <row r="166" spans="1:23" ht="9" customHeight="1" x14ac:dyDescent="0.15">
      <c r="A166" s="2">
        <v>1998</v>
      </c>
      <c r="B166" s="8">
        <f>(K84*(E84/365))+(K85*(E85/365))</f>
        <v>0</v>
      </c>
      <c r="C166" s="8">
        <f>(L84*(E84/365))+(L85*(E85/365))</f>
        <v>46.153846153846153</v>
      </c>
      <c r="D166" s="8">
        <f>(M84*(E84/365))+(M85*(E85/365))</f>
        <v>46.153846153846153</v>
      </c>
      <c r="E166" s="24">
        <f t="shared" si="41"/>
        <v>92.307692307692307</v>
      </c>
      <c r="F166" s="6"/>
      <c r="G166" s="2">
        <v>1998</v>
      </c>
      <c r="H166" s="809">
        <f>(O84*100*(E84/365)/(O84+P84+Q84))+(O85*100*(E85/365)/(O85+P85+Q85))</f>
        <v>0</v>
      </c>
      <c r="I166" s="809"/>
      <c r="J166" s="809">
        <f>(P84*100*(E84/365)/(P84+Q84+O84))+(P85*100*(E85/365)/(P85+Q85+O85))</f>
        <v>42.261904761904766</v>
      </c>
      <c r="K166" s="809"/>
      <c r="L166" s="809">
        <f>(Q84*100*(E84/365)/(Q84+P84+O84))+(Q85*100*(E85/365)/(Q85+P85+O85))</f>
        <v>57.738095238095241</v>
      </c>
      <c r="M166" s="809"/>
      <c r="N166" s="810">
        <f t="shared" si="40"/>
        <v>100</v>
      </c>
      <c r="O166" s="810"/>
      <c r="R166" s="2">
        <v>1998</v>
      </c>
      <c r="S166" s="8">
        <f>O84*($E84/365) + O85*($E85/365)</f>
        <v>0</v>
      </c>
      <c r="T166" s="8">
        <f>P84*($E84/365) + P85*($E85/365)</f>
        <v>28.4</v>
      </c>
      <c r="U166" s="8">
        <f>Q84*($E84/365) + Q85*($E85/365)</f>
        <v>38.799999999999997</v>
      </c>
      <c r="V166" s="13"/>
      <c r="W166" s="8">
        <f>R84*($E84/365) + R85*($E85/365)</f>
        <v>67.199999999999989</v>
      </c>
    </row>
    <row r="167" spans="1:23" ht="9" customHeight="1" x14ac:dyDescent="0.15">
      <c r="A167" s="2">
        <v>1999</v>
      </c>
      <c r="B167" s="8">
        <f>(K86*(E86/365))+(K87*(E87/365))</f>
        <v>0</v>
      </c>
      <c r="C167" s="8">
        <f>(L86*(E86/365))+(L87*(E87/365))</f>
        <v>46.153846153846153</v>
      </c>
      <c r="D167" s="8">
        <f>(M86*(E86/365))+(M87*(E87/365))</f>
        <v>46.153846153846153</v>
      </c>
      <c r="E167" s="24">
        <f t="shared" si="41"/>
        <v>92.307692307692307</v>
      </c>
      <c r="F167" s="6"/>
      <c r="G167" s="2">
        <v>1999</v>
      </c>
      <c r="H167" s="809">
        <f>(O86*100*(E86/365)/(O86+P86+Q86))+(O87*100*(E87/365)/(O87+P87+Q87))</f>
        <v>0</v>
      </c>
      <c r="I167" s="809"/>
      <c r="J167" s="809">
        <f>(P86*100*(E86/365)/(P86+Q86+O86))+(P87*100*(E87/365)/(P87+Q87+O87))</f>
        <v>42.261904761904766</v>
      </c>
      <c r="K167" s="809"/>
      <c r="L167" s="809">
        <f>(Q86*100*(E86/365)/(Q86+P86+O86))+(Q87*100*(E87/365)/(Q87+P87+O87))</f>
        <v>57.738095238095241</v>
      </c>
      <c r="M167" s="809"/>
      <c r="N167" s="810">
        <f t="shared" si="40"/>
        <v>100</v>
      </c>
      <c r="O167" s="810"/>
      <c r="R167" s="2">
        <v>1999</v>
      </c>
      <c r="S167" s="8">
        <f>O86*($E86/365) + O87*($E87/365)</f>
        <v>0</v>
      </c>
      <c r="T167" s="8">
        <f>P86*($E86/365) + P87*($E87/365)</f>
        <v>28.4</v>
      </c>
      <c r="U167" s="8">
        <f>Q86*($E86/365) + Q87*($E87/365)</f>
        <v>38.799999999999997</v>
      </c>
      <c r="V167" s="13"/>
      <c r="W167" s="8">
        <f>R86*($E86/365) + R87*($E87/365)</f>
        <v>67.199999999999989</v>
      </c>
    </row>
    <row r="168" spans="1:23" ht="9" customHeight="1" x14ac:dyDescent="0.15">
      <c r="A168" s="2">
        <v>2000</v>
      </c>
      <c r="B168" s="8">
        <f>(K88*(E88/366))+(K89*(E89/366))</f>
        <v>45.355191256830601</v>
      </c>
      <c r="C168" s="8">
        <f>(L88*(E88/366))+(L89*(E89/366))</f>
        <v>49.642707019756202</v>
      </c>
      <c r="D168" s="8">
        <f>(M88*(E88/366))+(M89*(E89/366))</f>
        <v>4.2875157629255991</v>
      </c>
      <c r="E168" s="24">
        <f t="shared" si="41"/>
        <v>99.285414039512389</v>
      </c>
      <c r="F168" s="6"/>
      <c r="G168" s="2">
        <v>2000</v>
      </c>
      <c r="H168" s="809">
        <f>(O88*100*(E88/366)/(O88+P88+Q88))+(O89*100*(E89/366)/(O89+P89+Q89))</f>
        <v>45.355191256830608</v>
      </c>
      <c r="I168" s="809"/>
      <c r="J168" s="809">
        <f>(P88*100*(E88/366)/(P88+Q88+O88))+(P89*100*(E89/366)/(P89+Q89+O89))</f>
        <v>49.281160551652363</v>
      </c>
      <c r="K168" s="809"/>
      <c r="L168" s="809">
        <f>(Q88*100*(E88/366)/(Q88+P88+O88))+(Q89*100*(E89/366)/(Q89+P89+O89))</f>
        <v>5.3636481915170453</v>
      </c>
      <c r="M168" s="809"/>
      <c r="N168" s="810">
        <f t="shared" si="40"/>
        <v>100.00000000000001</v>
      </c>
      <c r="O168" s="810"/>
      <c r="R168" s="2">
        <v>2000</v>
      </c>
      <c r="S168" s="8">
        <f>O88*($E88/366) + O89*($E89/366)</f>
        <v>25.76174863387978</v>
      </c>
      <c r="T168" s="8">
        <f>P88*($E88/366) + P89*($E89/366)</f>
        <v>28.4</v>
      </c>
      <c r="U168" s="8">
        <f>Q88*($E88/366) + Q89*($E89/366)</f>
        <v>3.6043715846994537</v>
      </c>
      <c r="V168" s="13"/>
      <c r="W168" s="8">
        <f>R88*($E88/366) + R89*($E89/366)</f>
        <v>57.766120218579232</v>
      </c>
    </row>
    <row r="169" spans="1:23" ht="9" customHeight="1" x14ac:dyDescent="0.15">
      <c r="A169" s="2">
        <v>2001</v>
      </c>
      <c r="B169" s="8">
        <f>(K90*(E90/365))+(K91*(E91/365))</f>
        <v>50</v>
      </c>
      <c r="C169" s="8">
        <f>(L90*(E90/365))+(L91*(E91/365))</f>
        <v>50</v>
      </c>
      <c r="D169" s="8">
        <f>(M90*(E90/365))+(M91*(E91/365))</f>
        <v>0</v>
      </c>
      <c r="E169" s="24">
        <f t="shared" si="41"/>
        <v>100</v>
      </c>
      <c r="F169" s="6"/>
      <c r="G169" s="2">
        <v>2001</v>
      </c>
      <c r="H169" s="809">
        <f>(O90*100*(E90/365)/(O90+P90+Q90))+(O91*100*(E91/365)/(O91+P91+Q91))</f>
        <v>50</v>
      </c>
      <c r="I169" s="809"/>
      <c r="J169" s="809">
        <f>(P90*100*(E90/365)/(P90+Q90+O90))+(P91*100*(E91/365)/(P91+Q91+O91))</f>
        <v>50</v>
      </c>
      <c r="K169" s="809"/>
      <c r="L169" s="809">
        <f>(Q90*100*(E90/365)/(Q90+P90+O90))+(Q91*100*(E91/365)/(Q91+P91+O91))</f>
        <v>0</v>
      </c>
      <c r="M169" s="809"/>
      <c r="N169" s="810">
        <f t="shared" si="40"/>
        <v>100</v>
      </c>
      <c r="O169" s="810"/>
      <c r="R169" s="2">
        <v>2001</v>
      </c>
      <c r="S169" s="8">
        <f>O90*($E90/365) + O91*($E91/365)</f>
        <v>28.4</v>
      </c>
      <c r="T169" s="8">
        <f>P90*($E90/365) + P91*($E91/365)</f>
        <v>28.4</v>
      </c>
      <c r="U169" s="8">
        <f>Q90*($E90/365) + Q91*($E91/365)</f>
        <v>0</v>
      </c>
      <c r="V169" s="13"/>
      <c r="W169" s="8">
        <f>R90*($E90/365) + R91*($E91/365)</f>
        <v>56.8</v>
      </c>
    </row>
    <row r="170" spans="1:23" ht="9" customHeight="1" x14ac:dyDescent="0.15">
      <c r="A170" s="2">
        <v>2002</v>
      </c>
      <c r="B170" s="8">
        <f>(K92*(E92/365))+(K93*(E93/365))</f>
        <v>50</v>
      </c>
      <c r="C170" s="8">
        <f>(L92*(E92/365))+(L93*(E93/365))</f>
        <v>50</v>
      </c>
      <c r="D170" s="8">
        <f>(M92*(E92/365))+(M93*(E93/365))</f>
        <v>0</v>
      </c>
      <c r="E170" s="24">
        <f t="shared" si="41"/>
        <v>100</v>
      </c>
      <c r="F170" s="6"/>
      <c r="G170" s="2">
        <v>2002</v>
      </c>
      <c r="H170" s="809">
        <f>(O92*100*(E92/365)/(O92+P92+Q92))+(O93*100*(E93/365)/(O93+P93+Q93))</f>
        <v>50</v>
      </c>
      <c r="I170" s="809"/>
      <c r="J170" s="809">
        <f>(P92*100*(E92/365)/(P92+Q92+O92))+(P93*100*(E93/365)/(P93+Q93+O93))</f>
        <v>50</v>
      </c>
      <c r="K170" s="809"/>
      <c r="L170" s="809">
        <f>(Q92*100*(E92/365)/(Q92+P92+O92))+(Q93*100*(E93/365)/(Q93+P93+O93))</f>
        <v>0</v>
      </c>
      <c r="M170" s="809"/>
      <c r="N170" s="810">
        <f t="shared" si="40"/>
        <v>100</v>
      </c>
      <c r="O170" s="810"/>
      <c r="R170" s="2">
        <v>2002</v>
      </c>
      <c r="S170" s="8">
        <f>O92*($E92/365) + O93*($E93/365)</f>
        <v>28.4</v>
      </c>
      <c r="T170" s="8">
        <f>P92*($E92/365) + P93*($E93/365)</f>
        <v>28.4</v>
      </c>
      <c r="U170" s="8">
        <f>Q92*($E92/365) + Q93*($E93/365)</f>
        <v>0</v>
      </c>
      <c r="V170" s="13"/>
      <c r="W170" s="8">
        <f>R92*($E92/365) + R93*($E93/365)</f>
        <v>56.8</v>
      </c>
    </row>
    <row r="171" spans="1:23" ht="9" customHeight="1" x14ac:dyDescent="0.15">
      <c r="A171" s="2">
        <v>2003</v>
      </c>
      <c r="B171" s="8">
        <f>(K94*(E94/365))+(K95*(E95/365))</f>
        <v>28.972602739726028</v>
      </c>
      <c r="C171" s="8">
        <f>(L94*(E94/365))+(L95*(E95/365))</f>
        <v>64.018264840182638</v>
      </c>
      <c r="D171" s="8">
        <f>(M94*(E94/365))+(M95*(E95/365))</f>
        <v>0</v>
      </c>
      <c r="E171" s="24">
        <f t="shared" si="41"/>
        <v>92.990867579908667</v>
      </c>
      <c r="F171" s="6"/>
      <c r="G171" s="2">
        <v>2003</v>
      </c>
      <c r="H171" s="809">
        <f>(O94*100*(E94/365)/(O94+P94+Q94))+(O95*100*(E95/365)/(O95+P95+Q95))</f>
        <v>23.497544585164128</v>
      </c>
      <c r="I171" s="809"/>
      <c r="J171" s="809">
        <f>(P94*100*(E94/365)/(P94+Q94+O94))+(P95*100*(E95/365)/(P95+Q95+O95))</f>
        <v>76.502455414835879</v>
      </c>
      <c r="K171" s="809"/>
      <c r="L171" s="809">
        <f>(Q94*100*(E94/365)/(Q94+P94+O94))+(Q95*100*(E95/365)/(Q95+P95+O95))</f>
        <v>0</v>
      </c>
      <c r="M171" s="809"/>
      <c r="N171" s="810">
        <f t="shared" si="40"/>
        <v>100</v>
      </c>
      <c r="O171" s="810"/>
      <c r="R171" s="2">
        <v>2003</v>
      </c>
      <c r="S171" s="8">
        <f>O94*($E94/365) + O95*($E95/365)</f>
        <v>12.755616438356165</v>
      </c>
      <c r="T171" s="8">
        <f>P94*($E94/365) + P95*($E95/365)</f>
        <v>40.848219178082196</v>
      </c>
      <c r="U171" s="8">
        <f>Q94*($E94/365) + Q95*($E95/365)</f>
        <v>0</v>
      </c>
      <c r="V171" s="13"/>
      <c r="W171" s="8">
        <f>R94*($E94/365) + R95*($E95/365)</f>
        <v>53.60383561643836</v>
      </c>
    </row>
    <row r="172" spans="1:23" ht="9" customHeight="1" x14ac:dyDescent="0.15">
      <c r="A172" s="2">
        <v>2004</v>
      </c>
      <c r="B172" s="8">
        <f>(K96*(E96/366))+(K97*(E97/366))</f>
        <v>25</v>
      </c>
      <c r="C172" s="8">
        <f>(L96*(E96/366))+(L97*(E97/366))</f>
        <v>66.666666666666657</v>
      </c>
      <c r="D172" s="8">
        <f>(M96*(E96/366))+(M97*(E97/366))</f>
        <v>0</v>
      </c>
      <c r="E172" s="24">
        <f t="shared" si="41"/>
        <v>91.666666666666657</v>
      </c>
      <c r="F172" s="6"/>
      <c r="G172" s="2">
        <v>2004</v>
      </c>
      <c r="H172" s="809">
        <f>(O96*100*(E96/366)/(O96+P96+Q96))+(O97*100*(E97/366)/(O97+P97+Q97))</f>
        <v>18.490566037735853</v>
      </c>
      <c r="I172" s="809"/>
      <c r="J172" s="809">
        <f>(P96*100*(E96/366)/(P96+Q96+O96))+(P97*100*(E97/366)/(P97+Q97+O97))</f>
        <v>81.509433962264154</v>
      </c>
      <c r="K172" s="809"/>
      <c r="L172" s="809">
        <f>(Q96*100*(E96/366)/(Q96+P96+O96))+(Q97*100*(E97/366)/(Q97+P97+O97))</f>
        <v>0</v>
      </c>
      <c r="M172" s="809"/>
      <c r="N172" s="810">
        <f t="shared" si="40"/>
        <v>100</v>
      </c>
      <c r="O172" s="810"/>
      <c r="R172" s="2">
        <v>2004</v>
      </c>
      <c r="S172" s="8">
        <f>O96*($E96/366) + O97*($E97/366)</f>
        <v>9.8000000000000007</v>
      </c>
      <c r="T172" s="8">
        <f>P96*($E96/366) + P97*($E97/366)</f>
        <v>43.2</v>
      </c>
      <c r="U172" s="8">
        <f>Q96*($E96/366) + Q97*($E97/366)</f>
        <v>0</v>
      </c>
      <c r="V172" s="13"/>
      <c r="W172" s="8">
        <f>R96*($E96/366) + R97*($E97/366)</f>
        <v>53</v>
      </c>
    </row>
    <row r="173" spans="1:23" ht="9" customHeight="1" x14ac:dyDescent="0.15">
      <c r="A173" s="2">
        <v>2005</v>
      </c>
      <c r="B173" s="8">
        <f>(K98*(E98/365))+(K99*(E99/365))</f>
        <v>25</v>
      </c>
      <c r="C173" s="8">
        <f>(L98*(E98/365))+(L99*(E99/365))</f>
        <v>66.666666666666657</v>
      </c>
      <c r="D173" s="8">
        <f>(M98*(E98/365))+(M99*(E99/365))</f>
        <v>0</v>
      </c>
      <c r="E173" s="24">
        <f t="shared" si="41"/>
        <v>91.666666666666657</v>
      </c>
      <c r="F173" s="6"/>
      <c r="G173" s="2">
        <v>2005</v>
      </c>
      <c r="H173" s="809">
        <f>(O98*100*(E98/365)/(O98+P98+Q98))+(O99*100*(E99/365)/(O99+P99+Q99))</f>
        <v>18.490566037735853</v>
      </c>
      <c r="I173" s="809"/>
      <c r="J173" s="809">
        <f>(P98*100*(E98/365)/(P98+Q98+O98))+(P99*100*(E99/365)/(P99+Q99+O99))</f>
        <v>81.509433962264154</v>
      </c>
      <c r="K173" s="809"/>
      <c r="L173" s="809">
        <f>(Q98*100*(E98/365)/(Q98+P98+O98))+(Q99*100*(E99/365)/(Q99+P99+O99))</f>
        <v>0</v>
      </c>
      <c r="M173" s="809"/>
      <c r="N173" s="810">
        <f t="shared" si="40"/>
        <v>100</v>
      </c>
      <c r="O173" s="810"/>
      <c r="R173" s="2">
        <v>2005</v>
      </c>
      <c r="S173" s="8">
        <f>O98*($E98/365) + O99*($E99/365)</f>
        <v>9.8000000000000007</v>
      </c>
      <c r="T173" s="8">
        <f>P98*($E98/365) + P99*($E99/365)</f>
        <v>43.2</v>
      </c>
      <c r="U173" s="8">
        <f>Q98*($E98/365) + Q99*($E99/365)</f>
        <v>0</v>
      </c>
      <c r="V173" s="13"/>
      <c r="W173" s="8">
        <f>R98*($E98/365) + R99*($E99/365)</f>
        <v>53</v>
      </c>
    </row>
    <row r="174" spans="1:23" ht="9" customHeight="1" x14ac:dyDescent="0.15">
      <c r="A174" s="2">
        <v>2006</v>
      </c>
      <c r="B174" s="8">
        <f>(K100*(E100/365))+(K101*(E101/365))</f>
        <v>25</v>
      </c>
      <c r="C174" s="8">
        <f>(L100*(E100/365))+(L101*(E101/365))</f>
        <v>66.666666666666657</v>
      </c>
      <c r="D174" s="8">
        <f>(M100*(E100/365))+(M101*(E101/365))</f>
        <v>0</v>
      </c>
      <c r="E174" s="24">
        <f t="shared" si="41"/>
        <v>91.666666666666657</v>
      </c>
      <c r="F174" s="6"/>
      <c r="G174" s="2">
        <v>2006</v>
      </c>
      <c r="H174" s="809">
        <f>(O100*100*(E100/365)/(O100+P100+Q100))+(O101*100*(E101/365)/(O101+P101+Q101))</f>
        <v>18.490566037735853</v>
      </c>
      <c r="I174" s="809"/>
      <c r="J174" s="809">
        <f>(P100*100*(E100/365)/(P100+Q100+O100))+(P101*100*(E101/365)/(P101+Q101+O101))</f>
        <v>81.509433962264154</v>
      </c>
      <c r="K174" s="809"/>
      <c r="L174" s="809">
        <f>(Q100*100*(E100/365)/(Q100+P100+O100))+(Q101*100*(E101/365)/(Q101+P101+O101))</f>
        <v>0</v>
      </c>
      <c r="M174" s="809"/>
      <c r="N174" s="810">
        <f t="shared" si="40"/>
        <v>100</v>
      </c>
      <c r="O174" s="810"/>
      <c r="R174" s="2">
        <v>2006</v>
      </c>
      <c r="S174" s="8">
        <f>O100*($E100/365) + O101*($E101/365)</f>
        <v>9.8000000000000007</v>
      </c>
      <c r="T174" s="8">
        <f>P100*($E100/365) + P101*($E101/365)</f>
        <v>43.2</v>
      </c>
      <c r="U174" s="8">
        <f>Q100*($E100/365) + Q101*($E101/365)</f>
        <v>0</v>
      </c>
      <c r="V174" s="13"/>
      <c r="W174" s="8">
        <f>R100*($E100/365) + R101*($E101/365)</f>
        <v>53</v>
      </c>
    </row>
    <row r="175" spans="1:23" ht="9" customHeight="1" x14ac:dyDescent="0.15">
      <c r="A175" s="2">
        <v>2007</v>
      </c>
      <c r="B175" s="8">
        <f>(K102*(E102/365))+(K103*(E103/365))</f>
        <v>0.68493150684931503</v>
      </c>
      <c r="C175" s="8">
        <f>(L102*(E102/365))+(L103*(E103/365))</f>
        <v>50.456621004566216</v>
      </c>
      <c r="D175" s="8">
        <f>(M102*(E102/365))+(M103*(E103/365))</f>
        <v>48.630136986301373</v>
      </c>
      <c r="E175" s="24">
        <f t="shared" si="41"/>
        <v>99.771689497716906</v>
      </c>
      <c r="F175" s="6"/>
      <c r="G175" s="2">
        <v>2007</v>
      </c>
      <c r="H175" s="809">
        <f>(O102*100*(E102/365)/(O102+P102+Q102))+(O103*100*(E103/365)/(O103+P103+Q103))</f>
        <v>0.50659085034892737</v>
      </c>
      <c r="I175" s="809"/>
      <c r="J175" s="809">
        <f>(P102*100*(E102/365)/(P102+Q102+O102))+(P103*100*(E103/365)/(P103+Q103+O103))</f>
        <v>50.133488388657589</v>
      </c>
      <c r="K175" s="809"/>
      <c r="L175" s="809">
        <f>(Q102*100*(E102/365)/(Q102+P102+O102))+(Q103*100*(E103/365)/(Q103+P103+O103))</f>
        <v>49.359920760993475</v>
      </c>
      <c r="M175" s="809"/>
      <c r="N175" s="810">
        <f t="shared" si="40"/>
        <v>100</v>
      </c>
      <c r="O175" s="810"/>
      <c r="R175" s="2">
        <v>2007</v>
      </c>
      <c r="S175" s="8">
        <f>O102*($E102/365) + O103*($E103/365)</f>
        <v>0.26849315068493151</v>
      </c>
      <c r="T175" s="8">
        <f>P102*($E102/365) + P103*($E103/365)</f>
        <v>36.294520547945204</v>
      </c>
      <c r="U175" s="8">
        <f>Q102*($E102/365) + Q103*($E103/365)</f>
        <v>36.180821917808224</v>
      </c>
      <c r="V175" s="13"/>
      <c r="W175" s="8">
        <f>R102*($E102/365) + R103*($E103/365)</f>
        <v>72.743835616438375</v>
      </c>
    </row>
    <row r="176" spans="1:23" ht="9" customHeight="1" x14ac:dyDescent="0.15">
      <c r="A176" s="2">
        <v>2008</v>
      </c>
      <c r="B176" s="8">
        <f>(K104*(E104/366))+(K105*(E105/366))</f>
        <v>0</v>
      </c>
      <c r="C176" s="8">
        <f>(L104*(E104/366))+(L105*(E105/366))</f>
        <v>50</v>
      </c>
      <c r="D176" s="8">
        <f>(M104*(E104/366))+(M105*(E105/366))</f>
        <v>50</v>
      </c>
      <c r="E176" s="24">
        <f t="shared" si="41"/>
        <v>100</v>
      </c>
      <c r="F176" s="6"/>
      <c r="G176" s="2">
        <v>2008</v>
      </c>
      <c r="H176" s="809">
        <f>(O104*100*(E104/366)/(O104+P104+Q104))+(O105*100*(E105/366)/(O105+P105+Q105))</f>
        <v>0</v>
      </c>
      <c r="I176" s="809"/>
      <c r="J176" s="809">
        <f>(P104*100*(E104/366)/(O104+P104+Q104))+(P105*100*(E105/366)/(O105+P105+Q105))</f>
        <v>49.088878334022603</v>
      </c>
      <c r="K176" s="809"/>
      <c r="L176" s="809">
        <f>(Q104*100*(E104/366)/(O104+P104+Q104))+(Q105*100*(E105/366)/(O105+P105+Q105))</f>
        <v>50.911121665977397</v>
      </c>
      <c r="M176" s="809"/>
      <c r="N176" s="810">
        <f t="shared" si="40"/>
        <v>100</v>
      </c>
      <c r="O176" s="810"/>
      <c r="R176" s="2">
        <v>2008</v>
      </c>
      <c r="S176" s="8">
        <f>O104*($E104/366) + O105*($E105/366)</f>
        <v>0</v>
      </c>
      <c r="T176" s="8">
        <f>P104*($E104/366) + P105*($E105/366)</f>
        <v>35.427868852459014</v>
      </c>
      <c r="U176" s="8">
        <f>Q104*($E104/366) + Q105*($E105/366)</f>
        <v>36.700000000000003</v>
      </c>
      <c r="V176" s="13"/>
      <c r="W176" s="8">
        <f>R104*($E104/366) + R105*($E105/366)</f>
        <v>72.127868852459031</v>
      </c>
    </row>
    <row r="177" spans="1:24" ht="9" customHeight="1" x14ac:dyDescent="0.15">
      <c r="A177" s="2">
        <v>2009</v>
      </c>
      <c r="B177" s="8">
        <f>(K106*(E106/365))+(K107*(E107/365))</f>
        <v>0</v>
      </c>
      <c r="C177" s="8">
        <f>(L106*(E106/365))+(L107*(E107/365))</f>
        <v>50</v>
      </c>
      <c r="D177" s="8">
        <f>(M106*(E106/365))+(M107*(E107/365))</f>
        <v>50</v>
      </c>
      <c r="E177" s="24">
        <f t="shared" si="41"/>
        <v>100</v>
      </c>
      <c r="F177" s="6"/>
      <c r="G177" s="2">
        <v>2009</v>
      </c>
      <c r="H177" s="809">
        <f>(O106*100*(E106/365)/(O106+P106+Q106))+(O107*100*(E107/365)/(O107+P107+Q107))</f>
        <v>0</v>
      </c>
      <c r="I177" s="809"/>
      <c r="J177" s="809">
        <f>(P106*100*(E106/365)/(O106+P106+Q106))+(P107*100*(E107/365)/(O107+P107+Q107))</f>
        <v>47.288135593220339</v>
      </c>
      <c r="K177" s="809"/>
      <c r="L177" s="809">
        <f>(Q106*100*(E106/365)/(O106+P106+Q106))+(Q107*100*(E107/365)/(O107+P107+Q107))</f>
        <v>52.711864406779661</v>
      </c>
      <c r="M177" s="809"/>
      <c r="N177" s="810">
        <f t="shared" si="40"/>
        <v>100</v>
      </c>
      <c r="O177" s="810"/>
      <c r="R177" s="2">
        <v>2009</v>
      </c>
      <c r="S177" s="8">
        <f>O106*($E106/365) + O107*($E107/365)</f>
        <v>0</v>
      </c>
      <c r="T177" s="8">
        <f>P106*($E106/365) + P107*($E107/365)</f>
        <v>27.9</v>
      </c>
      <c r="U177" s="8">
        <f>Q106*($E106/365) + Q107*($E107/365)</f>
        <v>31.1</v>
      </c>
      <c r="V177" s="13"/>
      <c r="W177" s="8">
        <f>R106*($E106/365) + R107*($E107/365)</f>
        <v>59</v>
      </c>
    </row>
    <row r="178" spans="1:24" ht="9" customHeight="1" x14ac:dyDescent="0.15">
      <c r="A178" s="2">
        <v>2010</v>
      </c>
      <c r="B178" s="8">
        <f>(K108*($E108/365))+(K109*($E109/365))</f>
        <v>0</v>
      </c>
      <c r="C178" s="8">
        <f>(L108*($E108/365))+(L109*($E109/365))</f>
        <v>50</v>
      </c>
      <c r="D178" s="8">
        <f>(M108*($E108/365))+(M109*($E109/365))</f>
        <v>50</v>
      </c>
      <c r="E178" s="24">
        <f t="shared" si="41"/>
        <v>100</v>
      </c>
      <c r="F178" s="6"/>
      <c r="G178" s="2">
        <v>2010</v>
      </c>
      <c r="H178" s="809">
        <f>(O108*100*($E108/365)/($O108+$P108+$Q108))+(O109*100*($E109/365)/($O109+$P109+$Q109))</f>
        <v>0</v>
      </c>
      <c r="I178" s="809"/>
      <c r="J178" s="809">
        <f>(P108*100*($E108/365)/($O108+$P108+$Q108))+(P109*100*($E109/365)/($O109+$P109+$Q109))</f>
        <v>47.288135593220339</v>
      </c>
      <c r="K178" s="809"/>
      <c r="L178" s="809">
        <f>(Q108*100*($E108/365)/($O108+$P108+$Q108))+(Q109*100*($E109/365)/($O109+$P109+$Q109))</f>
        <v>52.711864406779661</v>
      </c>
      <c r="M178" s="809"/>
      <c r="N178" s="810">
        <f t="shared" si="40"/>
        <v>100</v>
      </c>
      <c r="O178" s="810"/>
      <c r="R178" s="2">
        <v>2010</v>
      </c>
      <c r="S178" s="8">
        <f>O108*($E108/365) + O109*($E109/365)</f>
        <v>0</v>
      </c>
      <c r="T178" s="8">
        <f>P108*($E108/365) + P109*($E109/365)</f>
        <v>27.9</v>
      </c>
      <c r="U178" s="8">
        <f>Q108*($E108/365) + Q109*($E109/365)</f>
        <v>31.1</v>
      </c>
      <c r="V178" s="13"/>
      <c r="W178" s="8">
        <f>R108*($E108/365) + R109*($E109/365)</f>
        <v>59</v>
      </c>
    </row>
    <row r="179" spans="1:24" ht="9" customHeight="1" x14ac:dyDescent="0.15">
      <c r="A179" s="2">
        <v>2011</v>
      </c>
      <c r="B179" s="8">
        <f>(K110*($E110/365))+(K111*($E111/365))</f>
        <v>0</v>
      </c>
      <c r="C179" s="8">
        <f>(L110*($E110/365))+(L111*($E111/365))</f>
        <v>50</v>
      </c>
      <c r="D179" s="8">
        <f>(M110*($E110/365))+(M111*($E111/365))</f>
        <v>50</v>
      </c>
      <c r="E179" s="24">
        <f t="shared" si="41"/>
        <v>100</v>
      </c>
      <c r="F179" s="6"/>
      <c r="G179" s="2">
        <v>2011</v>
      </c>
      <c r="H179" s="809">
        <f>(O110*100*($E110/365)/($O110+$P110+$Q110))+(O111*100*($E111/365)/($O111+$P111+$Q111))</f>
        <v>0</v>
      </c>
      <c r="I179" s="809"/>
      <c r="J179" s="809">
        <f>(P110*100*($E110/365)/($O110+$P110+$Q110))+(P111*100*($E111/365)/($O111+$P111+$Q111))</f>
        <v>47.288135593220339</v>
      </c>
      <c r="K179" s="809"/>
      <c r="L179" s="809">
        <f>(Q110*100*($E110/365)/($O110+$P110+$Q110))+(Q111*100*($E111/365)/($O111+$P111+$Q111))</f>
        <v>52.711864406779661</v>
      </c>
      <c r="M179" s="809"/>
      <c r="N179" s="810">
        <f t="shared" si="40"/>
        <v>100</v>
      </c>
      <c r="O179" s="810"/>
      <c r="R179" s="2">
        <v>2011</v>
      </c>
      <c r="S179" s="8">
        <f>O110*($E110/365) + O111*($E111/365)</f>
        <v>0</v>
      </c>
      <c r="T179" s="8">
        <f>P110*($E110/365) + P111*($E111/365)</f>
        <v>27.9</v>
      </c>
      <c r="U179" s="8">
        <f>Q110*($E110/365) + Q111*($E111/365)</f>
        <v>31.1</v>
      </c>
      <c r="V179" s="13"/>
      <c r="W179" s="8">
        <f>R110*($E110/365) + R111*($E111/365)</f>
        <v>59</v>
      </c>
    </row>
    <row r="180" spans="1:24" ht="9" customHeight="1" x14ac:dyDescent="0.15">
      <c r="A180" s="2">
        <v>2012</v>
      </c>
      <c r="B180" s="8">
        <f>(K112*($E112/366))+(K113*($E113/366))</f>
        <v>0</v>
      </c>
      <c r="C180" s="8">
        <f>(L112*($E112/366))+(L113*($E113/366))</f>
        <v>50</v>
      </c>
      <c r="D180" s="8">
        <f>(M112*($E112/366))+(M113*($E113/366))</f>
        <v>50</v>
      </c>
      <c r="E180" s="24">
        <f t="shared" si="41"/>
        <v>100</v>
      </c>
      <c r="F180" s="6"/>
      <c r="G180" s="2">
        <v>2012</v>
      </c>
      <c r="H180" s="809">
        <f>(O112*100*($E112/366)/($O112+$P112+$Q112))+(O113*100*($E113/366)/($O113+$P113+$Q113))</f>
        <v>0</v>
      </c>
      <c r="I180" s="809"/>
      <c r="J180" s="809">
        <f>(P112*100*($E112/366)/($O112+$P112+$Q112))+(P113*100*($E113/366)/($O113+$P113+$Q113))</f>
        <v>47.288135593220339</v>
      </c>
      <c r="K180" s="809"/>
      <c r="L180" s="809">
        <f>(Q112*100*($E112/366)/($O112+$P112+$Q112))+(Q113*100*($E113/366)/($O113+$P113+$Q113))</f>
        <v>52.711864406779661</v>
      </c>
      <c r="M180" s="809"/>
      <c r="N180" s="810">
        <f t="shared" si="40"/>
        <v>100</v>
      </c>
      <c r="O180" s="810"/>
      <c r="R180" s="2">
        <v>2012</v>
      </c>
      <c r="S180" s="8">
        <f>O112*($E112/366) + O113*($E113/366)</f>
        <v>0</v>
      </c>
      <c r="T180" s="8">
        <f>P112*($E112/366) + P113*($E113/366)</f>
        <v>27.9</v>
      </c>
      <c r="U180" s="8">
        <f>Q112*($E112/366) + Q113*($E113/366)</f>
        <v>31.1</v>
      </c>
      <c r="V180" s="13"/>
      <c r="W180" s="8">
        <f>R112*($E112/366) + R113*($E113/366)</f>
        <v>59</v>
      </c>
    </row>
    <row r="181" spans="1:24" ht="9" customHeight="1" x14ac:dyDescent="0.15">
      <c r="A181" s="2">
        <v>2013</v>
      </c>
      <c r="B181" s="8">
        <f>(K114*($E114/365))+(K115*($E115/365))</f>
        <v>0</v>
      </c>
      <c r="C181" s="8">
        <f>(L114*($E114/365))+(L115*($E115/365))</f>
        <v>50</v>
      </c>
      <c r="D181" s="8">
        <f>(M114*($E114/365))+(M115*($E115/365))</f>
        <v>50</v>
      </c>
      <c r="E181" s="292">
        <f t="shared" si="41"/>
        <v>100</v>
      </c>
      <c r="G181" s="2">
        <v>2013</v>
      </c>
      <c r="H181" s="809">
        <f>(O114*100*($E114/365)/($O114+$P114+$Q114))+(O115*100*($E115/365)/($O115+$P115+$Q115))</f>
        <v>0</v>
      </c>
      <c r="I181" s="809"/>
      <c r="J181" s="809">
        <f>(P114*100*($E114/365)/($O114+$P114+$Q114))+(P115*100*($E115/365)/($O115+$P115+$Q115))</f>
        <v>47.297625367636485</v>
      </c>
      <c r="K181" s="809"/>
      <c r="L181" s="809">
        <f>(Q114*100*($E114/365)/($O114+$P114+$Q114))+(Q115*100*($E115/365)/($O115+$P115+$Q115))</f>
        <v>52.702374632363515</v>
      </c>
      <c r="M181" s="809"/>
      <c r="N181" s="810">
        <f>SUM(H181:M181)</f>
        <v>100</v>
      </c>
      <c r="O181" s="810"/>
      <c r="R181" s="2">
        <v>2013</v>
      </c>
      <c r="S181" s="8">
        <f>O114*($E114/365) + O115*($E115/365)</f>
        <v>0</v>
      </c>
      <c r="T181" s="8">
        <f>P114*($E114/365) + P115*($E115/365)</f>
        <v>27.803561643835614</v>
      </c>
      <c r="U181" s="8">
        <f>Q114*($E114/365) + Q115*($E115/365)</f>
        <v>30.981643835616438</v>
      </c>
      <c r="W181" s="8">
        <f>R114*($E114/365) + R115*($E115/365)</f>
        <v>58.785205479452053</v>
      </c>
      <c r="X181" s="6"/>
    </row>
    <row r="182" spans="1:24" ht="9" customHeight="1" x14ac:dyDescent="0.15">
      <c r="A182" s="2">
        <v>2014</v>
      </c>
      <c r="B182" s="8">
        <f>(K116*($E116/365))+(K117*($E117/365))</f>
        <v>0</v>
      </c>
      <c r="C182" s="8">
        <f>(L116*($E116/365))+(L117*($E117/365))</f>
        <v>50</v>
      </c>
      <c r="D182" s="8">
        <f>(M116*($E116/365))+(M117*($E117/365))</f>
        <v>50</v>
      </c>
      <c r="E182" s="512">
        <f t="shared" si="41"/>
        <v>100</v>
      </c>
      <c r="G182" s="2">
        <v>2014</v>
      </c>
      <c r="H182" s="809">
        <f>(O116*100*($E116/365)/($O116+$P116+$Q116))+(O117*100*($E117/365)/($O117+$P117+$Q117))</f>
        <v>0</v>
      </c>
      <c r="I182" s="809"/>
      <c r="J182" s="809">
        <f>(P116*100*($E116/365)/($O116+$P116+$Q116))+(P117*100*($E117/365)/($O117+$P117+$Q117))</f>
        <v>47.504621072088732</v>
      </c>
      <c r="K182" s="809"/>
      <c r="L182" s="809">
        <f>(Q116*100*($E116/365)/($O116+$P116+$Q116))+(Q117*100*($E117/365)/($O117+$P117+$Q117))</f>
        <v>52.495378927911283</v>
      </c>
      <c r="M182" s="809"/>
      <c r="N182" s="810">
        <f>SUM(H182:M182)</f>
        <v>100.00000000000001</v>
      </c>
      <c r="O182" s="810"/>
      <c r="R182" s="2">
        <v>2014</v>
      </c>
      <c r="S182" s="8">
        <f>O116*($E116/365) + O117*($E117/365)</f>
        <v>0</v>
      </c>
      <c r="T182" s="8">
        <f>P116*($E116/365) + P117*($E117/365)</f>
        <v>25.7</v>
      </c>
      <c r="U182" s="8">
        <f>Q116*($E116/365) + Q117*($E117/365)</f>
        <v>28.4</v>
      </c>
      <c r="W182" s="8">
        <f>R116*($E116/365) + R117*($E117/365)</f>
        <v>54.099999999999994</v>
      </c>
      <c r="X182" s="6"/>
    </row>
    <row r="183" spans="1:24" s="694" customFormat="1" ht="9" customHeight="1" x14ac:dyDescent="0.15">
      <c r="A183" s="694">
        <v>2015</v>
      </c>
      <c r="B183" s="690">
        <f>(K118*($E118/365))+(K119*($E119/365))</f>
        <v>0</v>
      </c>
      <c r="C183" s="690">
        <f>(L118*($E118/365))+(L119*($E119/365))</f>
        <v>50</v>
      </c>
      <c r="D183" s="690">
        <f>(M118*($E118/365))+(M119*($E119/365))</f>
        <v>50</v>
      </c>
      <c r="E183" s="691">
        <f>SUM(B183:D183)</f>
        <v>100</v>
      </c>
      <c r="G183" s="694">
        <v>2015</v>
      </c>
      <c r="H183" s="809">
        <f>(O118*100*($E118/365)/($O118+$P118+$Q118))+(O119*100*($E119/365)/($O119+$P119+$Q119))</f>
        <v>0</v>
      </c>
      <c r="I183" s="809"/>
      <c r="J183" s="809">
        <f>(P118*100*($E118/365)/($O118+$P118+$Q118))+(P119*100*($E119/365)/($O119+$P119+$Q119))</f>
        <v>47.504621072088732</v>
      </c>
      <c r="K183" s="809"/>
      <c r="L183" s="809">
        <f>(Q118*100*($E118/365)/($O118+$P118+$Q118))+(Q119*100*($E119/365)/($O119+$P119+$Q119))</f>
        <v>52.495378927911283</v>
      </c>
      <c r="M183" s="809"/>
      <c r="N183" s="810">
        <f>SUM(H183:M183)</f>
        <v>100.00000000000001</v>
      </c>
      <c r="O183" s="810"/>
      <c r="R183" s="694">
        <v>2015</v>
      </c>
      <c r="S183" s="690">
        <f>O118*($E118/365) + O119*($E119/365)</f>
        <v>0</v>
      </c>
      <c r="T183" s="690">
        <f>P118*($E118/365) + P119*($E119/365)</f>
        <v>25.7</v>
      </c>
      <c r="U183" s="690">
        <f>Q118*($E118/365) + Q119*($E119/365)</f>
        <v>28.4</v>
      </c>
      <c r="W183" s="690">
        <f>R118*($E118/365) + R119*($E119/365)</f>
        <v>54.099999999999994</v>
      </c>
      <c r="X183" s="6"/>
    </row>
    <row r="184" spans="1:24" s="694" customFormat="1" ht="9" customHeight="1" x14ac:dyDescent="0.15">
      <c r="X184" s="6"/>
    </row>
  </sheetData>
  <mergeCells count="368">
    <mergeCell ref="H183:I183"/>
    <mergeCell ref="J183:K183"/>
    <mergeCell ref="L183:M183"/>
    <mergeCell ref="N183:O183"/>
    <mergeCell ref="C118:D118"/>
    <mergeCell ref="C119:D119"/>
    <mergeCell ref="H182:I182"/>
    <mergeCell ref="J182:K182"/>
    <mergeCell ref="L182:M182"/>
    <mergeCell ref="N138:O138"/>
    <mergeCell ref="N139:O139"/>
    <mergeCell ref="L157:M157"/>
    <mergeCell ref="N147:O147"/>
    <mergeCell ref="N148:O148"/>
    <mergeCell ref="L147:M147"/>
    <mergeCell ref="L138:M138"/>
    <mergeCell ref="L145:M145"/>
    <mergeCell ref="L146:M146"/>
    <mergeCell ref="L148:M148"/>
    <mergeCell ref="L149:M149"/>
    <mergeCell ref="N129:O129"/>
    <mergeCell ref="N130:O130"/>
    <mergeCell ref="L151:M151"/>
    <mergeCell ref="L152:M152"/>
    <mergeCell ref="C116:D116"/>
    <mergeCell ref="C117:D117"/>
    <mergeCell ref="N182:O182"/>
    <mergeCell ref="N171:O171"/>
    <mergeCell ref="N172:O172"/>
    <mergeCell ref="N155:O155"/>
    <mergeCell ref="N131:O131"/>
    <mergeCell ref="N132:O132"/>
    <mergeCell ref="N141:O141"/>
    <mergeCell ref="N142:O142"/>
    <mergeCell ref="N143:O143"/>
    <mergeCell ref="N144:O144"/>
    <mergeCell ref="N133:O133"/>
    <mergeCell ref="N134:O134"/>
    <mergeCell ref="N135:O135"/>
    <mergeCell ref="N140:O140"/>
    <mergeCell ref="N173:O173"/>
    <mergeCell ref="N174:O174"/>
    <mergeCell ref="N169:O169"/>
    <mergeCell ref="N170:O170"/>
    <mergeCell ref="L158:M158"/>
    <mergeCell ref="L159:M159"/>
    <mergeCell ref="N136:O136"/>
    <mergeCell ref="N137:O137"/>
    <mergeCell ref="AT4:AW4"/>
    <mergeCell ref="AX4:BA4"/>
    <mergeCell ref="N179:O179"/>
    <mergeCell ref="N180:O180"/>
    <mergeCell ref="N167:O167"/>
    <mergeCell ref="N168:O168"/>
    <mergeCell ref="N175:O175"/>
    <mergeCell ref="N176:O176"/>
    <mergeCell ref="N177:O177"/>
    <mergeCell ref="N178:O178"/>
    <mergeCell ref="N156:O156"/>
    <mergeCell ref="N163:O163"/>
    <mergeCell ref="N164:O164"/>
    <mergeCell ref="N165:O165"/>
    <mergeCell ref="N166:O166"/>
    <mergeCell ref="N158:O158"/>
    <mergeCell ref="N145:O145"/>
    <mergeCell ref="N146:O146"/>
    <mergeCell ref="N151:O151"/>
    <mergeCell ref="N152:O152"/>
    <mergeCell ref="N153:O153"/>
    <mergeCell ref="N154:O154"/>
    <mergeCell ref="N149:O149"/>
    <mergeCell ref="N150:O150"/>
    <mergeCell ref="L153:M153"/>
    <mergeCell ref="L154:M154"/>
    <mergeCell ref="L155:M155"/>
    <mergeCell ref="L156:M156"/>
    <mergeCell ref="L150:M150"/>
    <mergeCell ref="L129:M129"/>
    <mergeCell ref="L130:M130"/>
    <mergeCell ref="L131:M131"/>
    <mergeCell ref="L132:M132"/>
    <mergeCell ref="L141:M141"/>
    <mergeCell ref="L142:M142"/>
    <mergeCell ref="L143:M143"/>
    <mergeCell ref="L144:M144"/>
    <mergeCell ref="L133:M133"/>
    <mergeCell ref="L134:M134"/>
    <mergeCell ref="L135:M135"/>
    <mergeCell ref="L136:M136"/>
    <mergeCell ref="L137:M137"/>
    <mergeCell ref="H168:I168"/>
    <mergeCell ref="H155:I155"/>
    <mergeCell ref="J147:K147"/>
    <mergeCell ref="H137:I137"/>
    <mergeCell ref="H138:I138"/>
    <mergeCell ref="H139:I139"/>
    <mergeCell ref="H140:I140"/>
    <mergeCell ref="R124:W124"/>
    <mergeCell ref="H128:I128"/>
    <mergeCell ref="H129:I129"/>
    <mergeCell ref="H130:I130"/>
    <mergeCell ref="H131:I131"/>
    <mergeCell ref="H136:I136"/>
    <mergeCell ref="J129:K129"/>
    <mergeCell ref="J130:K130"/>
    <mergeCell ref="J131:K131"/>
    <mergeCell ref="H132:I132"/>
    <mergeCell ref="H133:I133"/>
    <mergeCell ref="N159:O159"/>
    <mergeCell ref="N160:O160"/>
    <mergeCell ref="N161:O161"/>
    <mergeCell ref="N162:O162"/>
    <mergeCell ref="N157:O157"/>
    <mergeCell ref="N128:O128"/>
    <mergeCell ref="H154:I154"/>
    <mergeCell ref="H159:I159"/>
    <mergeCell ref="H160:I160"/>
    <mergeCell ref="H161:I161"/>
    <mergeCell ref="H162:I162"/>
    <mergeCell ref="H163:I163"/>
    <mergeCell ref="H164:I164"/>
    <mergeCell ref="H165:I165"/>
    <mergeCell ref="H167:I167"/>
    <mergeCell ref="J141:K141"/>
    <mergeCell ref="J142:K142"/>
    <mergeCell ref="J143:K143"/>
    <mergeCell ref="J144:K144"/>
    <mergeCell ref="J145:K145"/>
    <mergeCell ref="J146:K146"/>
    <mergeCell ref="H156:I156"/>
    <mergeCell ref="H157:I157"/>
    <mergeCell ref="H141:I141"/>
    <mergeCell ref="H142:I142"/>
    <mergeCell ref="H143:I143"/>
    <mergeCell ref="H144:I144"/>
    <mergeCell ref="H145:I145"/>
    <mergeCell ref="H146:I146"/>
    <mergeCell ref="J148:K148"/>
    <mergeCell ref="J149:K149"/>
    <mergeCell ref="J150:K150"/>
    <mergeCell ref="J151:K151"/>
    <mergeCell ref="J157:K157"/>
    <mergeCell ref="H147:I147"/>
    <mergeCell ref="H148:I148"/>
    <mergeCell ref="H149:I149"/>
    <mergeCell ref="H150:I150"/>
    <mergeCell ref="H151:I151"/>
    <mergeCell ref="H180:I180"/>
    <mergeCell ref="J152:K152"/>
    <mergeCell ref="J161:K161"/>
    <mergeCell ref="J162:K162"/>
    <mergeCell ref="J163:K163"/>
    <mergeCell ref="J164:K164"/>
    <mergeCell ref="J165:K165"/>
    <mergeCell ref="J166:K166"/>
    <mergeCell ref="J167:K167"/>
    <mergeCell ref="J168:K168"/>
    <mergeCell ref="J169:K169"/>
    <mergeCell ref="J170:K170"/>
    <mergeCell ref="J171:K171"/>
    <mergeCell ref="J172:K172"/>
    <mergeCell ref="J173:K173"/>
    <mergeCell ref="J174:K174"/>
    <mergeCell ref="H178:I178"/>
    <mergeCell ref="J153:K153"/>
    <mergeCell ref="J154:K154"/>
    <mergeCell ref="J155:K155"/>
    <mergeCell ref="J156:K156"/>
    <mergeCell ref="H166:I166"/>
    <mergeCell ref="H152:I152"/>
    <mergeCell ref="H153:I153"/>
    <mergeCell ref="J158:K158"/>
    <mergeCell ref="J159:K159"/>
    <mergeCell ref="H169:I169"/>
    <mergeCell ref="H158:I158"/>
    <mergeCell ref="L168:M168"/>
    <mergeCell ref="L169:M169"/>
    <mergeCell ref="J178:K178"/>
    <mergeCell ref="J179:K179"/>
    <mergeCell ref="J180:K180"/>
    <mergeCell ref="H173:I173"/>
    <mergeCell ref="J160:K160"/>
    <mergeCell ref="H170:I170"/>
    <mergeCell ref="H171:I171"/>
    <mergeCell ref="J175:K175"/>
    <mergeCell ref="J176:K176"/>
    <mergeCell ref="J177:K177"/>
    <mergeCell ref="H172:I172"/>
    <mergeCell ref="H174:I174"/>
    <mergeCell ref="H175:I175"/>
    <mergeCell ref="H176:I176"/>
    <mergeCell ref="H177:I177"/>
    <mergeCell ref="L166:M166"/>
    <mergeCell ref="L167:M167"/>
    <mergeCell ref="H179:I179"/>
    <mergeCell ref="G4:J4"/>
    <mergeCell ref="L126:M126"/>
    <mergeCell ref="L139:M139"/>
    <mergeCell ref="L140:M140"/>
    <mergeCell ref="H135:I135"/>
    <mergeCell ref="H127:I127"/>
    <mergeCell ref="J127:K127"/>
    <mergeCell ref="L127:M127"/>
    <mergeCell ref="J136:K136"/>
    <mergeCell ref="J137:K137"/>
    <mergeCell ref="H126:I126"/>
    <mergeCell ref="J132:K132"/>
    <mergeCell ref="J133:K133"/>
    <mergeCell ref="J134:K134"/>
    <mergeCell ref="J135:K135"/>
    <mergeCell ref="J138:K138"/>
    <mergeCell ref="J139:K139"/>
    <mergeCell ref="J140:K140"/>
    <mergeCell ref="H134:I134"/>
    <mergeCell ref="J128:K128"/>
    <mergeCell ref="L128:M128"/>
    <mergeCell ref="AD4:AG4"/>
    <mergeCell ref="AH4:AK4"/>
    <mergeCell ref="AL4:AO4"/>
    <mergeCell ref="AP4:AS4"/>
    <mergeCell ref="V4:Y4"/>
    <mergeCell ref="K4:N4"/>
    <mergeCell ref="O4:R4"/>
    <mergeCell ref="Z4:AC4"/>
    <mergeCell ref="C108:D108"/>
    <mergeCell ref="S4:S5"/>
    <mergeCell ref="T4:T5"/>
    <mergeCell ref="U4:U5"/>
    <mergeCell ref="C81:D81"/>
    <mergeCell ref="C82:D82"/>
    <mergeCell ref="C83:D83"/>
    <mergeCell ref="C72:D72"/>
    <mergeCell ref="C73:D73"/>
    <mergeCell ref="C74:D74"/>
    <mergeCell ref="C75:D75"/>
    <mergeCell ref="C76:D76"/>
    <mergeCell ref="C77:D77"/>
    <mergeCell ref="C66:D66"/>
    <mergeCell ref="C67:D67"/>
    <mergeCell ref="C68:D68"/>
    <mergeCell ref="A4:A5"/>
    <mergeCell ref="C4:D5"/>
    <mergeCell ref="B4:B5"/>
    <mergeCell ref="E4:E5"/>
    <mergeCell ref="F4:F5"/>
    <mergeCell ref="C109:D109"/>
    <mergeCell ref="C110:D110"/>
    <mergeCell ref="C111:D111"/>
    <mergeCell ref="C112:D112"/>
    <mergeCell ref="C90:D90"/>
    <mergeCell ref="C91:D91"/>
    <mergeCell ref="C92:D92"/>
    <mergeCell ref="C93:D93"/>
    <mergeCell ref="C94:D94"/>
    <mergeCell ref="C95:D95"/>
    <mergeCell ref="C84:D84"/>
    <mergeCell ref="C85:D85"/>
    <mergeCell ref="C86:D86"/>
    <mergeCell ref="C87:D87"/>
    <mergeCell ref="C88:D88"/>
    <mergeCell ref="C89:D89"/>
    <mergeCell ref="C78:D78"/>
    <mergeCell ref="C79:D79"/>
    <mergeCell ref="C80:D80"/>
    <mergeCell ref="C113:D113"/>
    <mergeCell ref="C102:D102"/>
    <mergeCell ref="C103:D103"/>
    <mergeCell ref="C104:D104"/>
    <mergeCell ref="C105:D105"/>
    <mergeCell ref="C106:D106"/>
    <mergeCell ref="C107:D107"/>
    <mergeCell ref="C96:D96"/>
    <mergeCell ref="C97:D97"/>
    <mergeCell ref="C98:D98"/>
    <mergeCell ref="C99:D99"/>
    <mergeCell ref="C100:D100"/>
    <mergeCell ref="C101:D101"/>
    <mergeCell ref="C69:D69"/>
    <mergeCell ref="C70:D70"/>
    <mergeCell ref="C71:D71"/>
    <mergeCell ref="C60:D60"/>
    <mergeCell ref="C61:D61"/>
    <mergeCell ref="C62:D62"/>
    <mergeCell ref="C63:D63"/>
    <mergeCell ref="C64:D64"/>
    <mergeCell ref="C65:D65"/>
    <mergeCell ref="C54:D54"/>
    <mergeCell ref="C55:D55"/>
    <mergeCell ref="C56:D56"/>
    <mergeCell ref="C57:D57"/>
    <mergeCell ref="C58:D58"/>
    <mergeCell ref="C59:D59"/>
    <mergeCell ref="C48:D48"/>
    <mergeCell ref="C49:D49"/>
    <mergeCell ref="C50:D50"/>
    <mergeCell ref="C51:D51"/>
    <mergeCell ref="C52:D52"/>
    <mergeCell ref="C53:D53"/>
    <mergeCell ref="C42:D42"/>
    <mergeCell ref="C43:D43"/>
    <mergeCell ref="C44:D44"/>
    <mergeCell ref="C45:D45"/>
    <mergeCell ref="C46:D46"/>
    <mergeCell ref="C47:D47"/>
    <mergeCell ref="C36:D36"/>
    <mergeCell ref="C37:D37"/>
    <mergeCell ref="C38:D38"/>
    <mergeCell ref="C39:D39"/>
    <mergeCell ref="C40:D40"/>
    <mergeCell ref="C41:D41"/>
    <mergeCell ref="C32:D32"/>
    <mergeCell ref="C33:D33"/>
    <mergeCell ref="C34:D34"/>
    <mergeCell ref="C35:D35"/>
    <mergeCell ref="C24:D24"/>
    <mergeCell ref="C25:D25"/>
    <mergeCell ref="C26:D26"/>
    <mergeCell ref="C27:D27"/>
    <mergeCell ref="C28:D28"/>
    <mergeCell ref="C29:D29"/>
    <mergeCell ref="G3:M3"/>
    <mergeCell ref="O3:Q3"/>
    <mergeCell ref="J126:K126"/>
    <mergeCell ref="N126:O126"/>
    <mergeCell ref="C8:D8"/>
    <mergeCell ref="C9:D9"/>
    <mergeCell ref="C10:D10"/>
    <mergeCell ref="C11:D11"/>
    <mergeCell ref="C7:D7"/>
    <mergeCell ref="C6:D6"/>
    <mergeCell ref="C18:D18"/>
    <mergeCell ref="C19:D19"/>
    <mergeCell ref="C20:D20"/>
    <mergeCell ref="C21:D21"/>
    <mergeCell ref="C22:D22"/>
    <mergeCell ref="C23:D23"/>
    <mergeCell ref="C12:D12"/>
    <mergeCell ref="C13:D13"/>
    <mergeCell ref="C14:D14"/>
    <mergeCell ref="C15:D15"/>
    <mergeCell ref="C16:D16"/>
    <mergeCell ref="C17:D17"/>
    <mergeCell ref="C30:D30"/>
    <mergeCell ref="C31:D31"/>
    <mergeCell ref="L181:M181"/>
    <mergeCell ref="N181:O181"/>
    <mergeCell ref="C115:D115"/>
    <mergeCell ref="C114:D114"/>
    <mergeCell ref="H181:I181"/>
    <mergeCell ref="J181:K181"/>
    <mergeCell ref="N127:O127"/>
    <mergeCell ref="L178:M178"/>
    <mergeCell ref="L179:M179"/>
    <mergeCell ref="L180:M180"/>
    <mergeCell ref="L170:M170"/>
    <mergeCell ref="L171:M171"/>
    <mergeCell ref="L160:M160"/>
    <mergeCell ref="L161:M161"/>
    <mergeCell ref="L162:M162"/>
    <mergeCell ref="L163:M163"/>
    <mergeCell ref="L164:M164"/>
    <mergeCell ref="L177:M177"/>
    <mergeCell ref="L165:M165"/>
    <mergeCell ref="L172:M172"/>
    <mergeCell ref="L173:M173"/>
    <mergeCell ref="L174:M174"/>
    <mergeCell ref="L175:M175"/>
    <mergeCell ref="L176:M176"/>
  </mergeCells>
  <phoneticPr fontId="0" type="noConversion"/>
  <pageMargins left="0.78740157480314965" right="0.78740157480314965" top="0.98425196850393704" bottom="0.98425196850393704" header="0.51181102362204722" footer="0.51181102362204722"/>
  <pageSetup paperSize="9" scale="60" orientation="landscape" r:id="rId1"/>
  <headerFooter alignWithMargins="0"/>
  <ignoredErrors>
    <ignoredError sqref="R68 N68" formulaRange="1"/>
  </ignoredErrors>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96"/>
  <sheetViews>
    <sheetView zoomScale="120" zoomScaleNormal="120" workbookViewId="0">
      <pane xSplit="1" ySplit="5" topLeftCell="J51" activePane="bottomRight" state="frozen"/>
      <selection pane="topRight" activeCell="B1" sqref="B1"/>
      <selection pane="bottomLeft" activeCell="A6" sqref="A6"/>
      <selection pane="bottomRight" activeCell="W92" sqref="W92"/>
    </sheetView>
  </sheetViews>
  <sheetFormatPr baseColWidth="10" defaultColWidth="10.7109375" defaultRowHeight="9" x14ac:dyDescent="0.15"/>
  <cols>
    <col min="1" max="1" width="5.85546875" style="1" customWidth="1"/>
    <col min="2" max="6" width="7.85546875" style="1" customWidth="1"/>
    <col min="7" max="18" width="4.5703125" style="1" customWidth="1"/>
    <col min="19" max="21" width="7.85546875" style="1" customWidth="1"/>
    <col min="22" max="53" width="5.7109375" style="1" customWidth="1"/>
    <col min="54" max="16384" width="10.7109375" style="1"/>
  </cols>
  <sheetData>
    <row r="1" spans="1:53" s="2" customFormat="1" ht="15" customHeight="1" x14ac:dyDescent="0.2">
      <c r="B1" s="22" t="s">
        <v>14</v>
      </c>
    </row>
    <row r="2" spans="1:53" s="2" customFormat="1" ht="15" customHeight="1" x14ac:dyDescent="0.2">
      <c r="B2" s="22" t="s">
        <v>142</v>
      </c>
    </row>
    <row r="3" spans="1:53" s="2" customFormat="1" x14ac:dyDescent="0.15">
      <c r="G3" s="814"/>
      <c r="H3" s="814"/>
      <c r="I3" s="814"/>
      <c r="J3" s="814"/>
      <c r="K3" s="814"/>
      <c r="L3" s="814"/>
      <c r="M3" s="814"/>
      <c r="O3" s="814"/>
      <c r="P3" s="814"/>
      <c r="Q3" s="814"/>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1" t="s">
        <v>23</v>
      </c>
      <c r="AU5" s="351" t="s">
        <v>24</v>
      </c>
      <c r="AV5" s="351" t="s">
        <v>25</v>
      </c>
      <c r="AW5" s="353" t="s">
        <v>1217</v>
      </c>
      <c r="AX5" s="351" t="s">
        <v>23</v>
      </c>
      <c r="AY5" s="351" t="s">
        <v>24</v>
      </c>
      <c r="AZ5" s="351" t="s">
        <v>25</v>
      </c>
      <c r="BA5" s="354" t="s">
        <v>1217</v>
      </c>
    </row>
    <row r="6" spans="1:53" s="73" customFormat="1" x14ac:dyDescent="0.15">
      <c r="A6" s="73">
        <v>1993</v>
      </c>
      <c r="C6" s="826" t="s">
        <v>1283</v>
      </c>
      <c r="D6" s="826"/>
      <c r="E6" s="73">
        <v>214</v>
      </c>
      <c r="G6" s="480"/>
      <c r="H6" s="560"/>
      <c r="I6" s="560"/>
      <c r="J6" s="482"/>
      <c r="K6" s="477"/>
      <c r="L6" s="477"/>
      <c r="M6" s="477"/>
      <c r="N6" s="481"/>
      <c r="O6" s="476"/>
      <c r="P6" s="477"/>
      <c r="Q6" s="477"/>
      <c r="R6" s="478"/>
      <c r="S6" s="560"/>
      <c r="T6" s="81"/>
      <c r="V6" s="82"/>
      <c r="Y6" s="83"/>
      <c r="AD6" s="82"/>
      <c r="AG6" s="83"/>
      <c r="AL6" s="82"/>
      <c r="AO6" s="83"/>
      <c r="AP6" s="82"/>
      <c r="AS6" s="83"/>
      <c r="AW6" s="83"/>
      <c r="BA6" s="84"/>
    </row>
    <row r="7" spans="1:53" s="334" customFormat="1" x14ac:dyDescent="0.15">
      <c r="A7" s="334">
        <v>1993</v>
      </c>
      <c r="B7" s="355">
        <v>34184</v>
      </c>
      <c r="C7" s="812" t="s">
        <v>1040</v>
      </c>
      <c r="D7" s="812"/>
      <c r="E7" s="334">
        <v>151</v>
      </c>
      <c r="F7" s="334" t="s">
        <v>348</v>
      </c>
      <c r="G7" s="497">
        <v>12</v>
      </c>
      <c r="H7" s="561"/>
      <c r="I7" s="561">
        <v>3</v>
      </c>
      <c r="J7" s="499">
        <v>15</v>
      </c>
      <c r="K7" s="495">
        <f t="shared" ref="K7:K47" si="0">G7/J7*100</f>
        <v>80</v>
      </c>
      <c r="L7" s="495">
        <f t="shared" ref="L7:L47" si="1">H7/J7*100</f>
        <v>0</v>
      </c>
      <c r="M7" s="495">
        <f t="shared" ref="M7:M47" si="2">I7/J7*100</f>
        <v>20</v>
      </c>
      <c r="N7" s="498">
        <f t="shared" ref="N7:N51" si="3">SUM(K7:M7)</f>
        <v>100</v>
      </c>
      <c r="O7" s="494">
        <v>36</v>
      </c>
      <c r="P7" s="495"/>
      <c r="Q7" s="495">
        <v>12</v>
      </c>
      <c r="R7" s="496">
        <f t="shared" ref="R7:R51" si="4">SUM(O7:Q7)</f>
        <v>48</v>
      </c>
      <c r="S7" s="561">
        <v>5</v>
      </c>
      <c r="T7" s="342">
        <v>34126</v>
      </c>
      <c r="U7" s="355">
        <v>34184</v>
      </c>
      <c r="V7" s="343" t="s">
        <v>1039</v>
      </c>
      <c r="W7" s="334" t="s">
        <v>22</v>
      </c>
      <c r="X7" s="334" t="s">
        <v>11</v>
      </c>
      <c r="Y7" s="344">
        <v>36</v>
      </c>
      <c r="Z7" s="334" t="s">
        <v>1041</v>
      </c>
      <c r="AA7" s="334" t="s">
        <v>886</v>
      </c>
      <c r="AB7" s="334" t="s">
        <v>12</v>
      </c>
      <c r="AC7" s="334">
        <v>12</v>
      </c>
      <c r="AD7" s="343"/>
      <c r="AG7" s="344"/>
      <c r="AL7" s="343"/>
      <c r="AO7" s="344"/>
      <c r="AP7" s="343"/>
      <c r="AS7" s="344"/>
      <c r="AW7" s="344"/>
      <c r="BA7" s="345"/>
    </row>
    <row r="8" spans="1:53" s="334" customFormat="1" x14ac:dyDescent="0.15">
      <c r="A8" s="334">
        <v>1994</v>
      </c>
      <c r="C8" s="812" t="s">
        <v>1040</v>
      </c>
      <c r="D8" s="812"/>
      <c r="E8" s="334">
        <v>257</v>
      </c>
      <c r="G8" s="497">
        <v>12</v>
      </c>
      <c r="H8" s="561"/>
      <c r="I8" s="561">
        <v>3</v>
      </c>
      <c r="J8" s="499">
        <v>15</v>
      </c>
      <c r="K8" s="495">
        <f t="shared" si="0"/>
        <v>80</v>
      </c>
      <c r="L8" s="495">
        <f t="shared" si="1"/>
        <v>0</v>
      </c>
      <c r="M8" s="495">
        <f t="shared" si="2"/>
        <v>20</v>
      </c>
      <c r="N8" s="498">
        <f t="shared" si="3"/>
        <v>100</v>
      </c>
      <c r="O8" s="494">
        <v>36</v>
      </c>
      <c r="P8" s="495"/>
      <c r="Q8" s="495">
        <v>12</v>
      </c>
      <c r="R8" s="496">
        <f t="shared" si="4"/>
        <v>48</v>
      </c>
      <c r="S8" s="561">
        <v>5</v>
      </c>
      <c r="T8" s="357"/>
      <c r="V8" s="343" t="s">
        <v>1039</v>
      </c>
      <c r="W8" s="334" t="s">
        <v>22</v>
      </c>
      <c r="X8" s="334" t="s">
        <v>11</v>
      </c>
      <c r="Y8" s="344">
        <v>36</v>
      </c>
      <c r="Z8" s="334" t="s">
        <v>1041</v>
      </c>
      <c r="AA8" s="334" t="s">
        <v>886</v>
      </c>
      <c r="AB8" s="334" t="s">
        <v>12</v>
      </c>
      <c r="AC8" s="334">
        <v>12</v>
      </c>
      <c r="AD8" s="343"/>
      <c r="AG8" s="344"/>
      <c r="AL8" s="343"/>
      <c r="AO8" s="344"/>
      <c r="AP8" s="343"/>
      <c r="AS8" s="344"/>
      <c r="AW8" s="344"/>
      <c r="BA8" s="345"/>
    </row>
    <row r="9" spans="1:53" s="73" customFormat="1" x14ac:dyDescent="0.15">
      <c r="A9" s="73">
        <v>1994</v>
      </c>
      <c r="B9" s="85">
        <v>34592</v>
      </c>
      <c r="C9" s="811" t="s">
        <v>1042</v>
      </c>
      <c r="D9" s="811"/>
      <c r="E9" s="73">
        <v>108</v>
      </c>
      <c r="F9" s="73">
        <v>4</v>
      </c>
      <c r="G9" s="480">
        <v>9</v>
      </c>
      <c r="H9" s="560"/>
      <c r="I9" s="560">
        <v>1</v>
      </c>
      <c r="J9" s="482">
        <v>14</v>
      </c>
      <c r="K9" s="477">
        <f t="shared" si="0"/>
        <v>64.285714285714292</v>
      </c>
      <c r="L9" s="477">
        <f t="shared" si="1"/>
        <v>0</v>
      </c>
      <c r="M9" s="477">
        <f t="shared" si="2"/>
        <v>7.1428571428571423</v>
      </c>
      <c r="N9" s="481">
        <f t="shared" si="3"/>
        <v>71.428571428571431</v>
      </c>
      <c r="O9" s="476">
        <v>36</v>
      </c>
      <c r="P9" s="477"/>
      <c r="Q9" s="477"/>
      <c r="R9" s="478">
        <f t="shared" si="4"/>
        <v>36</v>
      </c>
      <c r="S9" s="560">
        <v>5</v>
      </c>
      <c r="T9" s="81"/>
      <c r="U9" s="85">
        <v>34592</v>
      </c>
      <c r="V9" s="82" t="s">
        <v>1039</v>
      </c>
      <c r="W9" s="73" t="s">
        <v>22</v>
      </c>
      <c r="X9" s="73" t="s">
        <v>11</v>
      </c>
      <c r="Y9" s="83">
        <v>36</v>
      </c>
      <c r="Z9" s="73" t="s">
        <v>1043</v>
      </c>
      <c r="AA9" s="73" t="s">
        <v>340</v>
      </c>
      <c r="AB9" s="73" t="s">
        <v>12</v>
      </c>
      <c r="AC9" s="73">
        <v>0</v>
      </c>
      <c r="AD9" s="82"/>
      <c r="AG9" s="83"/>
      <c r="AL9" s="82"/>
      <c r="AO9" s="83"/>
      <c r="AP9" s="82"/>
      <c r="AS9" s="83"/>
      <c r="AW9" s="83"/>
      <c r="BA9" s="84"/>
    </row>
    <row r="10" spans="1:53" s="73" customFormat="1" x14ac:dyDescent="0.15">
      <c r="A10" s="73">
        <v>1995</v>
      </c>
      <c r="C10" s="811" t="s">
        <v>1042</v>
      </c>
      <c r="D10" s="811"/>
      <c r="E10" s="73">
        <v>354</v>
      </c>
      <c r="G10" s="480">
        <v>9</v>
      </c>
      <c r="H10" s="560"/>
      <c r="I10" s="560">
        <v>1</v>
      </c>
      <c r="J10" s="482">
        <v>14</v>
      </c>
      <c r="K10" s="477">
        <f t="shared" si="0"/>
        <v>64.285714285714292</v>
      </c>
      <c r="L10" s="477">
        <f t="shared" si="1"/>
        <v>0</v>
      </c>
      <c r="M10" s="477">
        <f t="shared" si="2"/>
        <v>7.1428571428571423</v>
      </c>
      <c r="N10" s="481">
        <f t="shared" si="3"/>
        <v>71.428571428571431</v>
      </c>
      <c r="O10" s="476">
        <v>36</v>
      </c>
      <c r="P10" s="477"/>
      <c r="Q10" s="477"/>
      <c r="R10" s="478">
        <f t="shared" si="4"/>
        <v>36</v>
      </c>
      <c r="S10" s="560">
        <v>5</v>
      </c>
      <c r="T10" s="81"/>
      <c r="V10" s="82" t="s">
        <v>1039</v>
      </c>
      <c r="W10" s="73" t="s">
        <v>22</v>
      </c>
      <c r="X10" s="73" t="s">
        <v>11</v>
      </c>
      <c r="Y10" s="83">
        <v>36</v>
      </c>
      <c r="Z10" s="73" t="s">
        <v>1043</v>
      </c>
      <c r="AA10" s="73" t="s">
        <v>340</v>
      </c>
      <c r="AB10" s="73" t="s">
        <v>12</v>
      </c>
      <c r="AC10" s="73">
        <v>0</v>
      </c>
      <c r="AD10" s="82"/>
      <c r="AG10" s="83"/>
      <c r="AL10" s="82"/>
      <c r="AO10" s="83"/>
      <c r="AP10" s="82"/>
      <c r="AS10" s="83"/>
      <c r="AW10" s="83"/>
      <c r="BA10" s="84"/>
    </row>
    <row r="11" spans="1:53" s="334" customFormat="1" x14ac:dyDescent="0.15">
      <c r="A11" s="334">
        <v>1995</v>
      </c>
      <c r="B11" s="355">
        <v>35054</v>
      </c>
      <c r="C11" s="812" t="s">
        <v>1134</v>
      </c>
      <c r="D11" s="812"/>
      <c r="E11" s="334">
        <v>11</v>
      </c>
      <c r="F11" s="334">
        <v>1</v>
      </c>
      <c r="G11" s="497">
        <v>9</v>
      </c>
      <c r="H11" s="561">
        <v>1</v>
      </c>
      <c r="I11" s="561">
        <v>5</v>
      </c>
      <c r="J11" s="499">
        <v>16</v>
      </c>
      <c r="K11" s="495">
        <f t="shared" si="0"/>
        <v>56.25</v>
      </c>
      <c r="L11" s="495">
        <f t="shared" si="1"/>
        <v>6.25</v>
      </c>
      <c r="M11" s="495">
        <f t="shared" si="2"/>
        <v>31.25</v>
      </c>
      <c r="N11" s="498">
        <f t="shared" si="3"/>
        <v>93.75</v>
      </c>
      <c r="O11" s="494">
        <v>39</v>
      </c>
      <c r="P11" s="495">
        <v>8</v>
      </c>
      <c r="Q11" s="495">
        <v>26</v>
      </c>
      <c r="R11" s="496">
        <f t="shared" si="4"/>
        <v>73</v>
      </c>
      <c r="S11" s="561">
        <v>3</v>
      </c>
      <c r="T11" s="342">
        <v>34973</v>
      </c>
      <c r="U11" s="355">
        <v>35045</v>
      </c>
      <c r="V11" s="343" t="s">
        <v>992</v>
      </c>
      <c r="W11" s="334" t="s">
        <v>20</v>
      </c>
      <c r="X11" s="334" t="s">
        <v>12</v>
      </c>
      <c r="Y11" s="344">
        <v>18</v>
      </c>
      <c r="Z11" s="343" t="s">
        <v>1039</v>
      </c>
      <c r="AA11" s="334" t="s">
        <v>22</v>
      </c>
      <c r="AB11" s="334" t="s">
        <v>11</v>
      </c>
      <c r="AC11" s="334">
        <v>17</v>
      </c>
      <c r="AD11" s="343" t="s">
        <v>1044</v>
      </c>
      <c r="AE11" s="334" t="s">
        <v>27</v>
      </c>
      <c r="AF11" s="334" t="s">
        <v>11</v>
      </c>
      <c r="AG11" s="344">
        <v>14</v>
      </c>
      <c r="AH11" s="334" t="s">
        <v>1045</v>
      </c>
      <c r="AI11" s="334" t="s">
        <v>307</v>
      </c>
      <c r="AJ11" s="334" t="s">
        <v>11</v>
      </c>
      <c r="AK11" s="334">
        <v>8</v>
      </c>
      <c r="AL11" s="343" t="s">
        <v>1137</v>
      </c>
      <c r="AM11" s="334" t="s">
        <v>116</v>
      </c>
      <c r="AN11" s="334" t="s">
        <v>12</v>
      </c>
      <c r="AO11" s="344">
        <v>8</v>
      </c>
      <c r="AP11" s="343" t="s">
        <v>1140</v>
      </c>
      <c r="AQ11" s="334" t="s">
        <v>74</v>
      </c>
      <c r="AR11" s="334" t="s">
        <v>18</v>
      </c>
      <c r="AS11" s="344">
        <v>8</v>
      </c>
      <c r="AW11" s="344"/>
      <c r="BA11" s="345"/>
    </row>
    <row r="12" spans="1:53" s="334" customFormat="1" x14ac:dyDescent="0.15">
      <c r="A12" s="334">
        <v>1996</v>
      </c>
      <c r="C12" s="812" t="s">
        <v>1134</v>
      </c>
      <c r="D12" s="812"/>
      <c r="E12" s="334">
        <v>0</v>
      </c>
      <c r="G12" s="497">
        <v>9</v>
      </c>
      <c r="H12" s="561">
        <v>1</v>
      </c>
      <c r="I12" s="561">
        <v>5</v>
      </c>
      <c r="J12" s="499">
        <v>16</v>
      </c>
      <c r="K12" s="495">
        <f t="shared" si="0"/>
        <v>56.25</v>
      </c>
      <c r="L12" s="495">
        <f t="shared" si="1"/>
        <v>6.25</v>
      </c>
      <c r="M12" s="495">
        <f t="shared" si="2"/>
        <v>31.25</v>
      </c>
      <c r="N12" s="498">
        <f t="shared" si="3"/>
        <v>93.75</v>
      </c>
      <c r="O12" s="494">
        <v>39</v>
      </c>
      <c r="P12" s="495">
        <v>8</v>
      </c>
      <c r="Q12" s="495">
        <v>26</v>
      </c>
      <c r="R12" s="496">
        <f t="shared" si="4"/>
        <v>73</v>
      </c>
      <c r="S12" s="561">
        <v>3</v>
      </c>
      <c r="T12" s="357"/>
      <c r="V12" s="343" t="s">
        <v>992</v>
      </c>
      <c r="W12" s="334" t="s">
        <v>20</v>
      </c>
      <c r="X12" s="334" t="s">
        <v>12</v>
      </c>
      <c r="Y12" s="344">
        <v>18</v>
      </c>
      <c r="Z12" s="343" t="s">
        <v>1039</v>
      </c>
      <c r="AA12" s="334" t="s">
        <v>22</v>
      </c>
      <c r="AB12" s="334" t="s">
        <v>11</v>
      </c>
      <c r="AC12" s="334">
        <v>17</v>
      </c>
      <c r="AD12" s="343" t="s">
        <v>1044</v>
      </c>
      <c r="AE12" s="334" t="s">
        <v>27</v>
      </c>
      <c r="AF12" s="334" t="s">
        <v>11</v>
      </c>
      <c r="AG12" s="344">
        <v>14</v>
      </c>
      <c r="AH12" s="334" t="s">
        <v>1045</v>
      </c>
      <c r="AI12" s="334" t="s">
        <v>307</v>
      </c>
      <c r="AJ12" s="334" t="s">
        <v>11</v>
      </c>
      <c r="AK12" s="334">
        <v>8</v>
      </c>
      <c r="AL12" s="343" t="s">
        <v>1137</v>
      </c>
      <c r="AM12" s="334" t="s">
        <v>116</v>
      </c>
      <c r="AN12" s="334" t="s">
        <v>12</v>
      </c>
      <c r="AO12" s="344">
        <v>8</v>
      </c>
      <c r="AP12" s="343" t="s">
        <v>1140</v>
      </c>
      <c r="AQ12" s="334" t="s">
        <v>74</v>
      </c>
      <c r="AR12" s="334" t="s">
        <v>18</v>
      </c>
      <c r="AS12" s="344">
        <v>8</v>
      </c>
      <c r="AW12" s="344"/>
      <c r="BA12" s="345"/>
    </row>
    <row r="13" spans="1:53" s="334" customFormat="1" x14ac:dyDescent="0.15">
      <c r="A13" s="334">
        <v>1996</v>
      </c>
      <c r="C13" s="812" t="s">
        <v>1134</v>
      </c>
      <c r="D13" s="812"/>
      <c r="E13" s="334">
        <v>366</v>
      </c>
      <c r="G13" s="497">
        <v>9</v>
      </c>
      <c r="H13" s="561">
        <v>1</v>
      </c>
      <c r="I13" s="561">
        <v>5</v>
      </c>
      <c r="J13" s="499">
        <v>16</v>
      </c>
      <c r="K13" s="495">
        <f t="shared" si="0"/>
        <v>56.25</v>
      </c>
      <c r="L13" s="495">
        <f t="shared" si="1"/>
        <v>6.25</v>
      </c>
      <c r="M13" s="495">
        <f t="shared" si="2"/>
        <v>31.25</v>
      </c>
      <c r="N13" s="498">
        <f t="shared" si="3"/>
        <v>93.75</v>
      </c>
      <c r="O13" s="494">
        <v>39</v>
      </c>
      <c r="P13" s="495">
        <v>8</v>
      </c>
      <c r="Q13" s="495">
        <v>26</v>
      </c>
      <c r="R13" s="496">
        <f t="shared" si="4"/>
        <v>73</v>
      </c>
      <c r="S13" s="561">
        <v>3</v>
      </c>
      <c r="T13" s="357"/>
      <c r="V13" s="343" t="s">
        <v>992</v>
      </c>
      <c r="W13" s="334" t="s">
        <v>20</v>
      </c>
      <c r="X13" s="334" t="s">
        <v>12</v>
      </c>
      <c r="Y13" s="344">
        <v>18</v>
      </c>
      <c r="Z13" s="343" t="s">
        <v>1039</v>
      </c>
      <c r="AA13" s="334" t="s">
        <v>22</v>
      </c>
      <c r="AB13" s="334" t="s">
        <v>11</v>
      </c>
      <c r="AC13" s="334">
        <v>17</v>
      </c>
      <c r="AD13" s="343" t="s">
        <v>1044</v>
      </c>
      <c r="AE13" s="334" t="s">
        <v>27</v>
      </c>
      <c r="AF13" s="334" t="s">
        <v>11</v>
      </c>
      <c r="AG13" s="344">
        <v>14</v>
      </c>
      <c r="AH13" s="334" t="s">
        <v>1045</v>
      </c>
      <c r="AI13" s="334" t="s">
        <v>307</v>
      </c>
      <c r="AJ13" s="334" t="s">
        <v>11</v>
      </c>
      <c r="AK13" s="334">
        <v>8</v>
      </c>
      <c r="AL13" s="343" t="s">
        <v>1137</v>
      </c>
      <c r="AM13" s="334" t="s">
        <v>116</v>
      </c>
      <c r="AN13" s="334" t="s">
        <v>12</v>
      </c>
      <c r="AO13" s="344">
        <v>8</v>
      </c>
      <c r="AP13" s="343" t="s">
        <v>1140</v>
      </c>
      <c r="AQ13" s="334" t="s">
        <v>74</v>
      </c>
      <c r="AR13" s="334" t="s">
        <v>18</v>
      </c>
      <c r="AS13" s="344">
        <v>8</v>
      </c>
      <c r="AW13" s="344"/>
      <c r="BA13" s="345"/>
    </row>
    <row r="14" spans="1:53" s="334" customFormat="1" x14ac:dyDescent="0.15">
      <c r="A14" s="334">
        <v>1997</v>
      </c>
      <c r="C14" s="812" t="s">
        <v>1134</v>
      </c>
      <c r="D14" s="812"/>
      <c r="E14" s="334">
        <v>43</v>
      </c>
      <c r="G14" s="497">
        <v>9</v>
      </c>
      <c r="H14" s="561">
        <v>1</v>
      </c>
      <c r="I14" s="561">
        <v>5</v>
      </c>
      <c r="J14" s="499">
        <v>16</v>
      </c>
      <c r="K14" s="495">
        <f t="shared" si="0"/>
        <v>56.25</v>
      </c>
      <c r="L14" s="495">
        <f t="shared" si="1"/>
        <v>6.25</v>
      </c>
      <c r="M14" s="495">
        <f t="shared" si="2"/>
        <v>31.25</v>
      </c>
      <c r="N14" s="498">
        <f t="shared" si="3"/>
        <v>93.75</v>
      </c>
      <c r="O14" s="494">
        <v>39</v>
      </c>
      <c r="P14" s="495">
        <v>8</v>
      </c>
      <c r="Q14" s="495">
        <v>26</v>
      </c>
      <c r="R14" s="496">
        <f t="shared" si="4"/>
        <v>73</v>
      </c>
      <c r="S14" s="561">
        <v>3</v>
      </c>
      <c r="T14" s="357"/>
      <c r="V14" s="343" t="s">
        <v>992</v>
      </c>
      <c r="W14" s="334" t="s">
        <v>20</v>
      </c>
      <c r="X14" s="334" t="s">
        <v>12</v>
      </c>
      <c r="Y14" s="344">
        <v>18</v>
      </c>
      <c r="Z14" s="343" t="s">
        <v>1039</v>
      </c>
      <c r="AA14" s="334" t="s">
        <v>22</v>
      </c>
      <c r="AB14" s="334" t="s">
        <v>11</v>
      </c>
      <c r="AC14" s="334">
        <v>17</v>
      </c>
      <c r="AD14" s="343" t="s">
        <v>1044</v>
      </c>
      <c r="AE14" s="334" t="s">
        <v>27</v>
      </c>
      <c r="AF14" s="334" t="s">
        <v>11</v>
      </c>
      <c r="AG14" s="344">
        <v>14</v>
      </c>
      <c r="AH14" s="334" t="s">
        <v>1045</v>
      </c>
      <c r="AI14" s="334" t="s">
        <v>307</v>
      </c>
      <c r="AJ14" s="334" t="s">
        <v>11</v>
      </c>
      <c r="AK14" s="334">
        <v>8</v>
      </c>
      <c r="AL14" s="343" t="s">
        <v>1137</v>
      </c>
      <c r="AM14" s="334" t="s">
        <v>116</v>
      </c>
      <c r="AN14" s="334" t="s">
        <v>12</v>
      </c>
      <c r="AO14" s="344">
        <v>8</v>
      </c>
      <c r="AP14" s="343" t="s">
        <v>1140</v>
      </c>
      <c r="AQ14" s="334" t="s">
        <v>74</v>
      </c>
      <c r="AR14" s="334" t="s">
        <v>18</v>
      </c>
      <c r="AS14" s="344">
        <v>8</v>
      </c>
      <c r="AW14" s="344"/>
      <c r="BA14" s="345"/>
    </row>
    <row r="15" spans="1:53" s="73" customFormat="1" x14ac:dyDescent="0.15">
      <c r="A15" s="73">
        <v>1997</v>
      </c>
      <c r="B15" s="85">
        <v>35474</v>
      </c>
      <c r="C15" s="811" t="s">
        <v>1135</v>
      </c>
      <c r="D15" s="811"/>
      <c r="E15" s="73">
        <v>175</v>
      </c>
      <c r="F15" s="73">
        <v>2</v>
      </c>
      <c r="G15" s="480">
        <v>11</v>
      </c>
      <c r="H15" s="560">
        <v>2</v>
      </c>
      <c r="I15" s="560">
        <v>4</v>
      </c>
      <c r="J15" s="482">
        <v>19</v>
      </c>
      <c r="K15" s="477">
        <f t="shared" si="0"/>
        <v>57.894736842105267</v>
      </c>
      <c r="L15" s="477">
        <f t="shared" si="1"/>
        <v>10.526315789473683</v>
      </c>
      <c r="M15" s="477">
        <f t="shared" si="2"/>
        <v>21.052631578947366</v>
      </c>
      <c r="N15" s="481">
        <f t="shared" si="3"/>
        <v>89.473684210526315</v>
      </c>
      <c r="O15" s="476">
        <v>39</v>
      </c>
      <c r="P15" s="477">
        <v>8</v>
      </c>
      <c r="Q15" s="477">
        <v>18</v>
      </c>
      <c r="R15" s="478">
        <f t="shared" si="4"/>
        <v>65</v>
      </c>
      <c r="S15" s="560">
        <v>3</v>
      </c>
      <c r="T15" s="81"/>
      <c r="U15" s="85">
        <v>35474</v>
      </c>
      <c r="V15" s="82" t="s">
        <v>992</v>
      </c>
      <c r="W15" s="73" t="s">
        <v>20</v>
      </c>
      <c r="X15" s="73" t="s">
        <v>12</v>
      </c>
      <c r="Y15" s="83">
        <v>18</v>
      </c>
      <c r="Z15" s="82" t="s">
        <v>1039</v>
      </c>
      <c r="AA15" s="73" t="s">
        <v>22</v>
      </c>
      <c r="AB15" s="73" t="s">
        <v>11</v>
      </c>
      <c r="AC15" s="73">
        <v>17</v>
      </c>
      <c r="AD15" s="82" t="s">
        <v>1044</v>
      </c>
      <c r="AE15" s="73" t="s">
        <v>27</v>
      </c>
      <c r="AF15" s="73" t="s">
        <v>11</v>
      </c>
      <c r="AG15" s="83">
        <v>14</v>
      </c>
      <c r="AH15" s="73" t="s">
        <v>1045</v>
      </c>
      <c r="AI15" s="73" t="s">
        <v>307</v>
      </c>
      <c r="AJ15" s="73" t="s">
        <v>11</v>
      </c>
      <c r="AK15" s="73">
        <v>8</v>
      </c>
      <c r="AL15" s="82" t="s">
        <v>1140</v>
      </c>
      <c r="AM15" s="73" t="s">
        <v>74</v>
      </c>
      <c r="AN15" s="73" t="s">
        <v>18</v>
      </c>
      <c r="AO15" s="83">
        <v>8</v>
      </c>
      <c r="AP15" s="82"/>
      <c r="AS15" s="83"/>
      <c r="AW15" s="83"/>
      <c r="BA15" s="84"/>
    </row>
    <row r="16" spans="1:53" s="334" customFormat="1" x14ac:dyDescent="0.15">
      <c r="A16" s="334">
        <v>1997</v>
      </c>
      <c r="B16" s="355">
        <v>35649</v>
      </c>
      <c r="C16" s="812" t="s">
        <v>1138</v>
      </c>
      <c r="D16" s="812"/>
      <c r="E16" s="334">
        <v>147</v>
      </c>
      <c r="F16" s="334">
        <v>2</v>
      </c>
      <c r="G16" s="497">
        <v>7</v>
      </c>
      <c r="H16" s="561">
        <v>3</v>
      </c>
      <c r="I16" s="561">
        <v>4</v>
      </c>
      <c r="J16" s="499">
        <v>14</v>
      </c>
      <c r="K16" s="495">
        <f t="shared" si="0"/>
        <v>50</v>
      </c>
      <c r="L16" s="495">
        <f t="shared" si="1"/>
        <v>21.428571428571427</v>
      </c>
      <c r="M16" s="495">
        <f t="shared" si="2"/>
        <v>28.571428571428569</v>
      </c>
      <c r="N16" s="498">
        <f t="shared" si="3"/>
        <v>100</v>
      </c>
      <c r="O16" s="494">
        <v>39</v>
      </c>
      <c r="P16" s="495">
        <v>8</v>
      </c>
      <c r="Q16" s="495">
        <v>18</v>
      </c>
      <c r="R16" s="496">
        <f t="shared" si="4"/>
        <v>65</v>
      </c>
      <c r="S16" s="561">
        <v>3</v>
      </c>
      <c r="T16" s="357"/>
      <c r="U16" s="355">
        <v>35649</v>
      </c>
      <c r="V16" s="343" t="s">
        <v>992</v>
      </c>
      <c r="W16" s="334" t="s">
        <v>20</v>
      </c>
      <c r="X16" s="334" t="s">
        <v>12</v>
      </c>
      <c r="Y16" s="344">
        <v>18</v>
      </c>
      <c r="Z16" s="343" t="s">
        <v>1039</v>
      </c>
      <c r="AA16" s="334" t="s">
        <v>22</v>
      </c>
      <c r="AB16" s="334" t="s">
        <v>11</v>
      </c>
      <c r="AC16" s="334">
        <v>17</v>
      </c>
      <c r="AD16" s="343" t="s">
        <v>1044</v>
      </c>
      <c r="AE16" s="334" t="s">
        <v>27</v>
      </c>
      <c r="AF16" s="334" t="s">
        <v>11</v>
      </c>
      <c r="AG16" s="344">
        <v>14</v>
      </c>
      <c r="AH16" s="334" t="s">
        <v>1045</v>
      </c>
      <c r="AI16" s="334" t="s">
        <v>307</v>
      </c>
      <c r="AJ16" s="334" t="s">
        <v>11</v>
      </c>
      <c r="AK16" s="334">
        <v>8</v>
      </c>
      <c r="AL16" s="343" t="s">
        <v>1140</v>
      </c>
      <c r="AM16" s="334" t="s">
        <v>74</v>
      </c>
      <c r="AN16" s="334" t="s">
        <v>18</v>
      </c>
      <c r="AO16" s="344">
        <v>8</v>
      </c>
      <c r="AP16" s="343"/>
      <c r="AS16" s="344"/>
      <c r="AW16" s="344"/>
      <c r="BA16" s="345"/>
    </row>
    <row r="17" spans="1:53" s="334" customFormat="1" x14ac:dyDescent="0.15">
      <c r="A17" s="334">
        <v>1998</v>
      </c>
      <c r="C17" s="812" t="s">
        <v>1138</v>
      </c>
      <c r="D17" s="812"/>
      <c r="E17" s="334">
        <v>97</v>
      </c>
      <c r="G17" s="497">
        <v>7</v>
      </c>
      <c r="H17" s="561">
        <v>3</v>
      </c>
      <c r="I17" s="561">
        <v>4</v>
      </c>
      <c r="J17" s="499">
        <v>14</v>
      </c>
      <c r="K17" s="495">
        <f t="shared" si="0"/>
        <v>50</v>
      </c>
      <c r="L17" s="495">
        <f t="shared" si="1"/>
        <v>21.428571428571427</v>
      </c>
      <c r="M17" s="495">
        <f t="shared" si="2"/>
        <v>28.571428571428569</v>
      </c>
      <c r="N17" s="498">
        <f t="shared" si="3"/>
        <v>100</v>
      </c>
      <c r="O17" s="494">
        <v>39</v>
      </c>
      <c r="P17" s="495">
        <v>8</v>
      </c>
      <c r="Q17" s="495">
        <v>18</v>
      </c>
      <c r="R17" s="496">
        <f t="shared" si="4"/>
        <v>65</v>
      </c>
      <c r="S17" s="561">
        <v>3</v>
      </c>
      <c r="T17" s="357"/>
      <c r="V17" s="343" t="s">
        <v>992</v>
      </c>
      <c r="W17" s="334" t="s">
        <v>20</v>
      </c>
      <c r="X17" s="334" t="s">
        <v>12</v>
      </c>
      <c r="Y17" s="344">
        <v>18</v>
      </c>
      <c r="Z17" s="343" t="s">
        <v>1039</v>
      </c>
      <c r="AA17" s="334" t="s">
        <v>22</v>
      </c>
      <c r="AB17" s="334" t="s">
        <v>11</v>
      </c>
      <c r="AC17" s="334">
        <v>17</v>
      </c>
      <c r="AD17" s="343" t="s">
        <v>1044</v>
      </c>
      <c r="AE17" s="334" t="s">
        <v>27</v>
      </c>
      <c r="AF17" s="334" t="s">
        <v>11</v>
      </c>
      <c r="AG17" s="344">
        <v>14</v>
      </c>
      <c r="AH17" s="334" t="s">
        <v>1045</v>
      </c>
      <c r="AI17" s="334" t="s">
        <v>307</v>
      </c>
      <c r="AJ17" s="334" t="s">
        <v>11</v>
      </c>
      <c r="AK17" s="334">
        <v>8</v>
      </c>
      <c r="AL17" s="343" t="s">
        <v>1140</v>
      </c>
      <c r="AM17" s="334" t="s">
        <v>74</v>
      </c>
      <c r="AN17" s="334" t="s">
        <v>18</v>
      </c>
      <c r="AO17" s="344">
        <v>8</v>
      </c>
      <c r="AP17" s="343"/>
      <c r="AS17" s="344"/>
      <c r="AW17" s="344"/>
      <c r="BA17" s="345"/>
    </row>
    <row r="18" spans="1:53" s="73" customFormat="1" x14ac:dyDescent="0.15">
      <c r="A18" s="73">
        <v>1998</v>
      </c>
      <c r="B18" s="85">
        <v>35893</v>
      </c>
      <c r="C18" s="811" t="s">
        <v>1139</v>
      </c>
      <c r="D18" s="811"/>
      <c r="E18" s="73">
        <v>232</v>
      </c>
      <c r="F18" s="73">
        <v>4</v>
      </c>
      <c r="G18" s="480">
        <v>9</v>
      </c>
      <c r="H18" s="560">
        <v>4</v>
      </c>
      <c r="I18" s="560"/>
      <c r="J18" s="482">
        <v>13</v>
      </c>
      <c r="K18" s="477">
        <f t="shared" si="0"/>
        <v>69.230769230769226</v>
      </c>
      <c r="L18" s="477">
        <f t="shared" si="1"/>
        <v>30.76923076923077</v>
      </c>
      <c r="M18" s="477">
        <f t="shared" ref="M18:M27" si="5">I18/J18*100</f>
        <v>0</v>
      </c>
      <c r="N18" s="481">
        <f t="shared" ref="N18:N27" si="6">SUM(K18:M18)</f>
        <v>100</v>
      </c>
      <c r="O18" s="476">
        <v>39</v>
      </c>
      <c r="P18" s="477">
        <v>8</v>
      </c>
      <c r="Q18" s="477"/>
      <c r="R18" s="478">
        <f t="shared" si="4"/>
        <v>47</v>
      </c>
      <c r="S18" s="560">
        <v>5</v>
      </c>
      <c r="T18" s="95"/>
      <c r="U18" s="85">
        <v>35893</v>
      </c>
      <c r="V18" s="82" t="s">
        <v>1039</v>
      </c>
      <c r="W18" s="73" t="s">
        <v>22</v>
      </c>
      <c r="X18" s="73" t="s">
        <v>11</v>
      </c>
      <c r="Y18" s="83">
        <v>17</v>
      </c>
      <c r="Z18" s="82" t="s">
        <v>1044</v>
      </c>
      <c r="AA18" s="73" t="s">
        <v>27</v>
      </c>
      <c r="AB18" s="73" t="s">
        <v>11</v>
      </c>
      <c r="AC18" s="83">
        <v>14</v>
      </c>
      <c r="AD18" s="82" t="s">
        <v>1045</v>
      </c>
      <c r="AE18" s="73" t="s">
        <v>307</v>
      </c>
      <c r="AF18" s="73" t="s">
        <v>11</v>
      </c>
      <c r="AG18" s="83">
        <v>8</v>
      </c>
      <c r="AH18" s="73" t="s">
        <v>1140</v>
      </c>
      <c r="AI18" s="73" t="s">
        <v>74</v>
      </c>
      <c r="AJ18" s="73" t="s">
        <v>18</v>
      </c>
      <c r="AK18" s="73">
        <v>8</v>
      </c>
      <c r="AL18" s="82"/>
      <c r="AO18" s="83"/>
      <c r="AP18" s="82"/>
      <c r="AS18" s="83"/>
      <c r="AW18" s="83"/>
      <c r="BA18" s="84"/>
    </row>
    <row r="19" spans="1:53" s="334" customFormat="1" x14ac:dyDescent="0.15">
      <c r="A19" s="334">
        <v>1998</v>
      </c>
      <c r="B19" s="355">
        <v>36125</v>
      </c>
      <c r="C19" s="812" t="s">
        <v>1141</v>
      </c>
      <c r="D19" s="812"/>
      <c r="E19" s="334">
        <v>36</v>
      </c>
      <c r="F19" s="334">
        <v>1</v>
      </c>
      <c r="G19" s="497">
        <v>13</v>
      </c>
      <c r="H19" s="561"/>
      <c r="I19" s="561">
        <v>2</v>
      </c>
      <c r="J19" s="499">
        <v>15</v>
      </c>
      <c r="K19" s="495">
        <f t="shared" ref="K19:K27" si="7">G19/J19*100</f>
        <v>86.666666666666671</v>
      </c>
      <c r="L19" s="495">
        <f t="shared" ref="L19:L27" si="8">H19/J19*100</f>
        <v>0</v>
      </c>
      <c r="M19" s="495">
        <f t="shared" si="5"/>
        <v>13.333333333333334</v>
      </c>
      <c r="N19" s="498">
        <f t="shared" si="6"/>
        <v>100</v>
      </c>
      <c r="O19" s="494">
        <v>41</v>
      </c>
      <c r="P19" s="495"/>
      <c r="Q19" s="495">
        <v>8</v>
      </c>
      <c r="R19" s="496">
        <f t="shared" si="4"/>
        <v>49</v>
      </c>
      <c r="S19" s="561">
        <v>5</v>
      </c>
      <c r="T19" s="342">
        <v>36071</v>
      </c>
      <c r="U19" s="355">
        <v>36125</v>
      </c>
      <c r="V19" s="343" t="s">
        <v>1039</v>
      </c>
      <c r="W19" s="334" t="s">
        <v>22</v>
      </c>
      <c r="X19" s="334" t="s">
        <v>11</v>
      </c>
      <c r="Y19" s="344">
        <v>21</v>
      </c>
      <c r="Z19" s="343" t="s">
        <v>1046</v>
      </c>
      <c r="AA19" s="334" t="s">
        <v>869</v>
      </c>
      <c r="AB19" s="334" t="s">
        <v>11</v>
      </c>
      <c r="AC19" s="344">
        <v>17</v>
      </c>
      <c r="AD19" s="334" t="s">
        <v>1047</v>
      </c>
      <c r="AE19" s="334" t="s">
        <v>1048</v>
      </c>
      <c r="AF19" s="334" t="s">
        <v>12</v>
      </c>
      <c r="AG19" s="344">
        <v>8</v>
      </c>
      <c r="AH19" s="452"/>
      <c r="AL19" s="343"/>
      <c r="AO19" s="344"/>
      <c r="AP19" s="343"/>
      <c r="AS19" s="344"/>
      <c r="AW19" s="344"/>
      <c r="BA19" s="345"/>
    </row>
    <row r="20" spans="1:53" s="334" customFormat="1" x14ac:dyDescent="0.15">
      <c r="A20" s="334">
        <v>1999</v>
      </c>
      <c r="C20" s="812" t="s">
        <v>1141</v>
      </c>
      <c r="D20" s="812"/>
      <c r="E20" s="334">
        <v>34</v>
      </c>
      <c r="G20" s="497">
        <v>13</v>
      </c>
      <c r="H20" s="561"/>
      <c r="I20" s="561">
        <v>2</v>
      </c>
      <c r="J20" s="499">
        <v>15</v>
      </c>
      <c r="K20" s="495">
        <f t="shared" si="7"/>
        <v>86.666666666666671</v>
      </c>
      <c r="L20" s="495">
        <f t="shared" si="8"/>
        <v>0</v>
      </c>
      <c r="M20" s="495">
        <f t="shared" si="5"/>
        <v>13.333333333333334</v>
      </c>
      <c r="N20" s="498">
        <f t="shared" si="6"/>
        <v>100</v>
      </c>
      <c r="O20" s="494">
        <v>41</v>
      </c>
      <c r="P20" s="495"/>
      <c r="Q20" s="495">
        <v>8</v>
      </c>
      <c r="R20" s="496">
        <f t="shared" si="4"/>
        <v>49</v>
      </c>
      <c r="S20" s="561">
        <v>5</v>
      </c>
      <c r="T20" s="357"/>
      <c r="V20" s="343" t="s">
        <v>1039</v>
      </c>
      <c r="W20" s="334" t="s">
        <v>22</v>
      </c>
      <c r="X20" s="334" t="s">
        <v>11</v>
      </c>
      <c r="Y20" s="344">
        <v>21</v>
      </c>
      <c r="Z20" s="334" t="s">
        <v>1046</v>
      </c>
      <c r="AA20" s="334" t="s">
        <v>869</v>
      </c>
      <c r="AB20" s="334" t="s">
        <v>11</v>
      </c>
      <c r="AC20" s="334">
        <v>17</v>
      </c>
      <c r="AD20" s="343" t="s">
        <v>1047</v>
      </c>
      <c r="AE20" s="334" t="s">
        <v>1048</v>
      </c>
      <c r="AF20" s="334" t="s">
        <v>12</v>
      </c>
      <c r="AG20" s="344">
        <v>8</v>
      </c>
      <c r="AL20" s="343"/>
      <c r="AO20" s="344"/>
      <c r="AP20" s="343"/>
      <c r="AS20" s="344"/>
      <c r="AW20" s="344"/>
      <c r="BA20" s="345"/>
    </row>
    <row r="21" spans="1:53" s="73" customFormat="1" x14ac:dyDescent="0.15">
      <c r="A21" s="73">
        <v>1999</v>
      </c>
      <c r="B21" s="85">
        <v>36195</v>
      </c>
      <c r="C21" s="811" t="s">
        <v>1142</v>
      </c>
      <c r="D21" s="811"/>
      <c r="E21" s="73">
        <v>162</v>
      </c>
      <c r="F21" s="73">
        <v>2</v>
      </c>
      <c r="G21" s="480">
        <v>12</v>
      </c>
      <c r="H21" s="560"/>
      <c r="I21" s="560">
        <v>3</v>
      </c>
      <c r="J21" s="482">
        <v>15</v>
      </c>
      <c r="K21" s="477">
        <f t="shared" si="7"/>
        <v>80</v>
      </c>
      <c r="L21" s="477">
        <f t="shared" si="8"/>
        <v>0</v>
      </c>
      <c r="M21" s="477">
        <f t="shared" si="5"/>
        <v>20</v>
      </c>
      <c r="N21" s="481">
        <f t="shared" si="6"/>
        <v>100</v>
      </c>
      <c r="O21" s="476">
        <v>41</v>
      </c>
      <c r="P21" s="477"/>
      <c r="Q21" s="477">
        <v>22</v>
      </c>
      <c r="R21" s="478">
        <f t="shared" si="4"/>
        <v>63</v>
      </c>
      <c r="S21" s="560">
        <v>3</v>
      </c>
      <c r="T21" s="81"/>
      <c r="U21" s="85">
        <v>36195</v>
      </c>
      <c r="V21" s="82" t="s">
        <v>1039</v>
      </c>
      <c r="W21" s="73" t="s">
        <v>22</v>
      </c>
      <c r="X21" s="73" t="s">
        <v>11</v>
      </c>
      <c r="Y21" s="83">
        <v>21</v>
      </c>
      <c r="Z21" s="82" t="s">
        <v>1046</v>
      </c>
      <c r="AA21" s="73" t="s">
        <v>869</v>
      </c>
      <c r="AB21" s="73" t="s">
        <v>11</v>
      </c>
      <c r="AC21" s="83">
        <v>17</v>
      </c>
      <c r="AD21" s="73" t="s">
        <v>1047</v>
      </c>
      <c r="AE21" s="73" t="s">
        <v>1048</v>
      </c>
      <c r="AF21" s="73" t="s">
        <v>12</v>
      </c>
      <c r="AG21" s="83">
        <v>8</v>
      </c>
      <c r="AH21" s="73" t="s">
        <v>1049</v>
      </c>
      <c r="AI21" s="73" t="s">
        <v>1050</v>
      </c>
      <c r="AJ21" s="73" t="s">
        <v>12</v>
      </c>
      <c r="AK21" s="73">
        <v>14</v>
      </c>
      <c r="AL21" s="82"/>
      <c r="AO21" s="83"/>
      <c r="AP21" s="82"/>
      <c r="AS21" s="83"/>
      <c r="AW21" s="83"/>
      <c r="BA21" s="84"/>
    </row>
    <row r="22" spans="1:53" s="334" customFormat="1" x14ac:dyDescent="0.15">
      <c r="A22" s="334">
        <v>1999</v>
      </c>
      <c r="B22" s="355">
        <v>36357</v>
      </c>
      <c r="C22" s="812" t="s">
        <v>1136</v>
      </c>
      <c r="D22" s="812"/>
      <c r="E22" s="334">
        <v>169</v>
      </c>
      <c r="F22" s="334">
        <v>2</v>
      </c>
      <c r="G22" s="497">
        <v>13</v>
      </c>
      <c r="H22" s="561"/>
      <c r="I22" s="561"/>
      <c r="J22" s="499">
        <v>13</v>
      </c>
      <c r="K22" s="495">
        <f t="shared" si="7"/>
        <v>100</v>
      </c>
      <c r="L22" s="495">
        <f t="shared" si="8"/>
        <v>0</v>
      </c>
      <c r="M22" s="495">
        <f t="shared" si="5"/>
        <v>0</v>
      </c>
      <c r="N22" s="498">
        <f t="shared" si="6"/>
        <v>100</v>
      </c>
      <c r="O22" s="494">
        <v>62</v>
      </c>
      <c r="P22" s="495"/>
      <c r="Q22" s="495"/>
      <c r="R22" s="496">
        <f t="shared" si="4"/>
        <v>62</v>
      </c>
      <c r="S22" s="561">
        <v>2</v>
      </c>
      <c r="T22" s="357"/>
      <c r="U22" s="355">
        <v>36357</v>
      </c>
      <c r="V22" s="343" t="s">
        <v>1051</v>
      </c>
      <c r="W22" s="334" t="s">
        <v>1069</v>
      </c>
      <c r="X22" s="334" t="s">
        <v>11</v>
      </c>
      <c r="Y22" s="344">
        <v>24</v>
      </c>
      <c r="Z22" s="343" t="s">
        <v>1039</v>
      </c>
      <c r="AA22" s="334" t="s">
        <v>22</v>
      </c>
      <c r="AB22" s="334" t="s">
        <v>11</v>
      </c>
      <c r="AC22" s="344">
        <v>21</v>
      </c>
      <c r="AD22" s="343" t="s">
        <v>1046</v>
      </c>
      <c r="AE22" s="334" t="s">
        <v>869</v>
      </c>
      <c r="AF22" s="334" t="s">
        <v>11</v>
      </c>
      <c r="AG22" s="344">
        <v>17</v>
      </c>
      <c r="AL22" s="343"/>
      <c r="AO22" s="344"/>
      <c r="AP22" s="343"/>
      <c r="AS22" s="344"/>
      <c r="AW22" s="344"/>
      <c r="BA22" s="345"/>
    </row>
    <row r="23" spans="1:53" s="334" customFormat="1" x14ac:dyDescent="0.15">
      <c r="A23" s="334">
        <v>2000</v>
      </c>
      <c r="C23" s="812" t="s">
        <v>1136</v>
      </c>
      <c r="D23" s="812"/>
      <c r="E23" s="334">
        <v>124</v>
      </c>
      <c r="G23" s="497">
        <v>13</v>
      </c>
      <c r="H23" s="561"/>
      <c r="I23" s="561"/>
      <c r="J23" s="499">
        <v>13</v>
      </c>
      <c r="K23" s="495">
        <f t="shared" si="7"/>
        <v>100</v>
      </c>
      <c r="L23" s="495">
        <f t="shared" si="8"/>
        <v>0</v>
      </c>
      <c r="M23" s="495">
        <f t="shared" si="5"/>
        <v>0</v>
      </c>
      <c r="N23" s="498">
        <f t="shared" si="6"/>
        <v>100</v>
      </c>
      <c r="O23" s="494">
        <v>62</v>
      </c>
      <c r="P23" s="495"/>
      <c r="Q23" s="495"/>
      <c r="R23" s="496">
        <f t="shared" si="4"/>
        <v>62</v>
      </c>
      <c r="S23" s="561">
        <v>2</v>
      </c>
      <c r="T23" s="357"/>
      <c r="V23" s="343" t="s">
        <v>1051</v>
      </c>
      <c r="W23" s="334" t="s">
        <v>1069</v>
      </c>
      <c r="X23" s="334" t="s">
        <v>11</v>
      </c>
      <c r="Y23" s="344">
        <v>24</v>
      </c>
      <c r="Z23" s="343" t="s">
        <v>1039</v>
      </c>
      <c r="AA23" s="334" t="s">
        <v>22</v>
      </c>
      <c r="AB23" s="334" t="s">
        <v>11</v>
      </c>
      <c r="AC23" s="334">
        <v>21</v>
      </c>
      <c r="AD23" s="343" t="s">
        <v>1046</v>
      </c>
      <c r="AE23" s="334" t="s">
        <v>869</v>
      </c>
      <c r="AF23" s="334" t="s">
        <v>11</v>
      </c>
      <c r="AG23" s="344">
        <v>17</v>
      </c>
      <c r="AL23" s="343"/>
      <c r="AO23" s="344"/>
      <c r="AP23" s="343"/>
      <c r="AS23" s="344"/>
      <c r="AW23" s="344"/>
      <c r="BA23" s="345"/>
    </row>
    <row r="24" spans="1:53" s="73" customFormat="1" x14ac:dyDescent="0.15">
      <c r="A24" s="73">
        <v>2000</v>
      </c>
      <c r="B24" s="85">
        <v>36650</v>
      </c>
      <c r="C24" s="811" t="s">
        <v>1143</v>
      </c>
      <c r="D24" s="811"/>
      <c r="E24" s="73">
        <v>242</v>
      </c>
      <c r="F24" s="73">
        <v>7</v>
      </c>
      <c r="G24" s="480">
        <v>13</v>
      </c>
      <c r="H24" s="560"/>
      <c r="I24" s="560">
        <v>2</v>
      </c>
      <c r="J24" s="482">
        <v>15</v>
      </c>
      <c r="K24" s="477">
        <f t="shared" si="7"/>
        <v>86.666666666666671</v>
      </c>
      <c r="L24" s="477">
        <f t="shared" si="8"/>
        <v>0</v>
      </c>
      <c r="M24" s="477">
        <f t="shared" si="5"/>
        <v>13.333333333333334</v>
      </c>
      <c r="N24" s="481">
        <f t="shared" si="6"/>
        <v>100</v>
      </c>
      <c r="O24" s="476">
        <v>62</v>
      </c>
      <c r="P24" s="477"/>
      <c r="Q24" s="477">
        <v>8</v>
      </c>
      <c r="R24" s="478">
        <f t="shared" si="4"/>
        <v>70</v>
      </c>
      <c r="S24" s="560">
        <v>3</v>
      </c>
      <c r="T24" s="81"/>
      <c r="U24" s="85">
        <v>36650</v>
      </c>
      <c r="V24" s="82" t="s">
        <v>1051</v>
      </c>
      <c r="W24" s="73" t="s">
        <v>1069</v>
      </c>
      <c r="X24" s="73" t="s">
        <v>11</v>
      </c>
      <c r="Y24" s="83">
        <v>24</v>
      </c>
      <c r="Z24" s="82" t="s">
        <v>1039</v>
      </c>
      <c r="AA24" s="73" t="s">
        <v>22</v>
      </c>
      <c r="AB24" s="73" t="s">
        <v>11</v>
      </c>
      <c r="AC24" s="83">
        <v>21</v>
      </c>
      <c r="AD24" s="82" t="s">
        <v>1046</v>
      </c>
      <c r="AE24" s="73" t="s">
        <v>869</v>
      </c>
      <c r="AF24" s="73" t="s">
        <v>11</v>
      </c>
      <c r="AG24" s="83">
        <v>17</v>
      </c>
      <c r="AH24" s="73" t="s">
        <v>1047</v>
      </c>
      <c r="AI24" s="73" t="s">
        <v>1048</v>
      </c>
      <c r="AJ24" s="73" t="s">
        <v>12</v>
      </c>
      <c r="AK24" s="73">
        <v>8</v>
      </c>
      <c r="AL24" s="82"/>
      <c r="AO24" s="83"/>
      <c r="AP24" s="82"/>
      <c r="AS24" s="83"/>
      <c r="AW24" s="83"/>
      <c r="BA24" s="84"/>
    </row>
    <row r="25" spans="1:53" s="73" customFormat="1" x14ac:dyDescent="0.15">
      <c r="A25" s="73">
        <v>2001</v>
      </c>
      <c r="C25" s="811" t="s">
        <v>1143</v>
      </c>
      <c r="D25" s="811"/>
      <c r="E25" s="73">
        <v>0</v>
      </c>
      <c r="G25" s="480">
        <v>13</v>
      </c>
      <c r="H25" s="560"/>
      <c r="I25" s="560">
        <v>2</v>
      </c>
      <c r="J25" s="482">
        <v>15</v>
      </c>
      <c r="K25" s="477">
        <f t="shared" si="7"/>
        <v>86.666666666666671</v>
      </c>
      <c r="L25" s="477">
        <f t="shared" si="8"/>
        <v>0</v>
      </c>
      <c r="M25" s="477">
        <f t="shared" si="5"/>
        <v>13.333333333333334</v>
      </c>
      <c r="N25" s="481">
        <f t="shared" si="6"/>
        <v>100</v>
      </c>
      <c r="O25" s="476">
        <v>62</v>
      </c>
      <c r="P25" s="477"/>
      <c r="Q25" s="477">
        <v>8</v>
      </c>
      <c r="R25" s="478">
        <f t="shared" si="4"/>
        <v>70</v>
      </c>
      <c r="S25" s="560">
        <v>3</v>
      </c>
      <c r="T25" s="81"/>
      <c r="V25" s="82" t="s">
        <v>1051</v>
      </c>
      <c r="W25" s="73" t="s">
        <v>1069</v>
      </c>
      <c r="X25" s="73" t="s">
        <v>11</v>
      </c>
      <c r="Y25" s="83">
        <v>24</v>
      </c>
      <c r="Z25" s="82" t="s">
        <v>1039</v>
      </c>
      <c r="AA25" s="73" t="s">
        <v>22</v>
      </c>
      <c r="AB25" s="73" t="s">
        <v>11</v>
      </c>
      <c r="AC25" s="83">
        <v>21</v>
      </c>
      <c r="AD25" s="82" t="s">
        <v>1046</v>
      </c>
      <c r="AE25" s="73" t="s">
        <v>869</v>
      </c>
      <c r="AF25" s="73" t="s">
        <v>11</v>
      </c>
      <c r="AG25" s="83">
        <v>17</v>
      </c>
      <c r="AH25" s="73" t="s">
        <v>1047</v>
      </c>
      <c r="AI25" s="73" t="s">
        <v>1048</v>
      </c>
      <c r="AJ25" s="73" t="s">
        <v>12</v>
      </c>
      <c r="AK25" s="73">
        <v>8</v>
      </c>
      <c r="AL25" s="82"/>
      <c r="AO25" s="83"/>
      <c r="AP25" s="82"/>
      <c r="AS25" s="83"/>
      <c r="AW25" s="83"/>
      <c r="BA25" s="84"/>
    </row>
    <row r="26" spans="1:53" s="73" customFormat="1" x14ac:dyDescent="0.15">
      <c r="A26" s="73">
        <v>2001</v>
      </c>
      <c r="C26" s="811" t="s">
        <v>1143</v>
      </c>
      <c r="D26" s="811"/>
      <c r="E26" s="73">
        <v>365</v>
      </c>
      <c r="G26" s="480">
        <v>13</v>
      </c>
      <c r="H26" s="560"/>
      <c r="I26" s="560">
        <v>2</v>
      </c>
      <c r="J26" s="482">
        <v>15</v>
      </c>
      <c r="K26" s="477">
        <f t="shared" si="7"/>
        <v>86.666666666666671</v>
      </c>
      <c r="L26" s="477">
        <f t="shared" si="8"/>
        <v>0</v>
      </c>
      <c r="M26" s="477">
        <f t="shared" si="5"/>
        <v>13.333333333333334</v>
      </c>
      <c r="N26" s="481">
        <f t="shared" si="6"/>
        <v>100</v>
      </c>
      <c r="O26" s="476">
        <v>62</v>
      </c>
      <c r="P26" s="477"/>
      <c r="Q26" s="477">
        <v>8</v>
      </c>
      <c r="R26" s="478">
        <f t="shared" si="4"/>
        <v>70</v>
      </c>
      <c r="S26" s="560">
        <v>3</v>
      </c>
      <c r="T26" s="81"/>
      <c r="V26" s="82" t="s">
        <v>1051</v>
      </c>
      <c r="W26" s="73" t="s">
        <v>1069</v>
      </c>
      <c r="X26" s="73" t="s">
        <v>11</v>
      </c>
      <c r="Y26" s="83">
        <v>24</v>
      </c>
      <c r="Z26" s="82" t="s">
        <v>1039</v>
      </c>
      <c r="AA26" s="73" t="s">
        <v>22</v>
      </c>
      <c r="AB26" s="73" t="s">
        <v>11</v>
      </c>
      <c r="AC26" s="73">
        <v>21</v>
      </c>
      <c r="AD26" s="82" t="s">
        <v>1046</v>
      </c>
      <c r="AE26" s="73" t="s">
        <v>869</v>
      </c>
      <c r="AF26" s="73" t="s">
        <v>11</v>
      </c>
      <c r="AG26" s="83">
        <v>17</v>
      </c>
      <c r="AH26" s="73" t="s">
        <v>1047</v>
      </c>
      <c r="AI26" s="73" t="s">
        <v>1048</v>
      </c>
      <c r="AJ26" s="73" t="s">
        <v>12</v>
      </c>
      <c r="AK26" s="73">
        <v>8</v>
      </c>
      <c r="AL26" s="82"/>
      <c r="AO26" s="83"/>
      <c r="AP26" s="82"/>
      <c r="AS26" s="83"/>
      <c r="AW26" s="83"/>
      <c r="BA26" s="84"/>
    </row>
    <row r="27" spans="1:53" s="73" customFormat="1" x14ac:dyDescent="0.15">
      <c r="A27" s="73">
        <v>2002</v>
      </c>
      <c r="C27" s="811" t="s">
        <v>1143</v>
      </c>
      <c r="D27" s="811"/>
      <c r="E27" s="73">
        <v>308</v>
      </c>
      <c r="G27" s="480">
        <v>13</v>
      </c>
      <c r="H27" s="560"/>
      <c r="I27" s="560">
        <v>2</v>
      </c>
      <c r="J27" s="482">
        <v>15</v>
      </c>
      <c r="K27" s="477">
        <f t="shared" si="7"/>
        <v>86.666666666666671</v>
      </c>
      <c r="L27" s="477">
        <f t="shared" si="8"/>
        <v>0</v>
      </c>
      <c r="M27" s="477">
        <f t="shared" si="5"/>
        <v>13.333333333333334</v>
      </c>
      <c r="N27" s="481">
        <f t="shared" si="6"/>
        <v>100</v>
      </c>
      <c r="O27" s="476">
        <v>62</v>
      </c>
      <c r="P27" s="477"/>
      <c r="Q27" s="477">
        <v>8</v>
      </c>
      <c r="R27" s="478">
        <f t="shared" si="4"/>
        <v>70</v>
      </c>
      <c r="S27" s="560">
        <v>3</v>
      </c>
      <c r="T27" s="81"/>
      <c r="V27" s="82" t="s">
        <v>1051</v>
      </c>
      <c r="W27" s="73" t="s">
        <v>1069</v>
      </c>
      <c r="X27" s="73" t="s">
        <v>11</v>
      </c>
      <c r="Y27" s="83">
        <v>24</v>
      </c>
      <c r="Z27" s="82" t="s">
        <v>1039</v>
      </c>
      <c r="AA27" s="73" t="s">
        <v>22</v>
      </c>
      <c r="AB27" s="73" t="s">
        <v>11</v>
      </c>
      <c r="AC27" s="83">
        <v>21</v>
      </c>
      <c r="AD27" s="82" t="s">
        <v>1046</v>
      </c>
      <c r="AE27" s="73" t="s">
        <v>869</v>
      </c>
      <c r="AF27" s="73" t="s">
        <v>11</v>
      </c>
      <c r="AG27" s="83">
        <v>17</v>
      </c>
      <c r="AH27" s="73" t="s">
        <v>1047</v>
      </c>
      <c r="AI27" s="73" t="s">
        <v>1048</v>
      </c>
      <c r="AJ27" s="73" t="s">
        <v>12</v>
      </c>
      <c r="AK27" s="73">
        <v>8</v>
      </c>
      <c r="AL27" s="82"/>
      <c r="AO27" s="83"/>
      <c r="AP27" s="82"/>
      <c r="AS27" s="83"/>
      <c r="AW27" s="83"/>
      <c r="BA27" s="84"/>
    </row>
    <row r="28" spans="1:53" s="334" customFormat="1" x14ac:dyDescent="0.15">
      <c r="A28" s="334">
        <v>2002</v>
      </c>
      <c r="B28" s="361">
        <v>37565</v>
      </c>
      <c r="C28" s="812" t="s">
        <v>1144</v>
      </c>
      <c r="D28" s="812"/>
      <c r="E28" s="334">
        <v>57</v>
      </c>
      <c r="F28" s="334">
        <v>1</v>
      </c>
      <c r="G28" s="497">
        <v>11</v>
      </c>
      <c r="H28" s="561">
        <v>7</v>
      </c>
      <c r="I28" s="561"/>
      <c r="J28" s="499">
        <v>18</v>
      </c>
      <c r="K28" s="495">
        <f t="shared" si="0"/>
        <v>61.111111111111114</v>
      </c>
      <c r="L28" s="495">
        <f t="shared" si="1"/>
        <v>38.888888888888893</v>
      </c>
      <c r="M28" s="495">
        <f t="shared" si="2"/>
        <v>0</v>
      </c>
      <c r="N28" s="498">
        <f t="shared" si="3"/>
        <v>100</v>
      </c>
      <c r="O28" s="494">
        <v>33</v>
      </c>
      <c r="P28" s="495">
        <v>22</v>
      </c>
      <c r="Q28" s="495"/>
      <c r="R28" s="496">
        <f t="shared" si="4"/>
        <v>55</v>
      </c>
      <c r="S28" s="561">
        <v>2</v>
      </c>
      <c r="T28" s="342">
        <v>37534</v>
      </c>
      <c r="U28" s="361">
        <v>37565</v>
      </c>
      <c r="V28" s="343" t="s">
        <v>1052</v>
      </c>
      <c r="W28" s="334" t="s">
        <v>88</v>
      </c>
      <c r="X28" s="334" t="s">
        <v>11</v>
      </c>
      <c r="Y28" s="344">
        <v>26</v>
      </c>
      <c r="Z28" s="334" t="s">
        <v>1053</v>
      </c>
      <c r="AA28" s="334" t="s">
        <v>951</v>
      </c>
      <c r="AB28" s="334" t="s">
        <v>18</v>
      </c>
      <c r="AC28" s="334">
        <v>12</v>
      </c>
      <c r="AD28" s="343" t="s">
        <v>1046</v>
      </c>
      <c r="AE28" s="334" t="s">
        <v>869</v>
      </c>
      <c r="AF28" s="334" t="s">
        <v>11</v>
      </c>
      <c r="AG28" s="344">
        <v>7</v>
      </c>
      <c r="AH28" s="334" t="s">
        <v>1054</v>
      </c>
      <c r="AI28" s="334" t="s">
        <v>82</v>
      </c>
      <c r="AJ28" s="334" t="s">
        <v>18</v>
      </c>
      <c r="AK28" s="334">
        <v>10</v>
      </c>
      <c r="AL28" s="343"/>
      <c r="AO28" s="344"/>
      <c r="AP28" s="343"/>
      <c r="AS28" s="344"/>
      <c r="AW28" s="344"/>
      <c r="BA28" s="345"/>
    </row>
    <row r="29" spans="1:53" s="334" customFormat="1" x14ac:dyDescent="0.15">
      <c r="A29" s="334">
        <v>2003</v>
      </c>
      <c r="B29" s="358"/>
      <c r="C29" s="812" t="s">
        <v>1144</v>
      </c>
      <c r="D29" s="812"/>
      <c r="E29" s="334">
        <v>0</v>
      </c>
      <c r="G29" s="497">
        <v>11</v>
      </c>
      <c r="H29" s="561">
        <v>7</v>
      </c>
      <c r="I29" s="561"/>
      <c r="J29" s="499">
        <v>18</v>
      </c>
      <c r="K29" s="495">
        <f t="shared" si="0"/>
        <v>61.111111111111114</v>
      </c>
      <c r="L29" s="495">
        <f t="shared" si="1"/>
        <v>38.888888888888893</v>
      </c>
      <c r="M29" s="495">
        <f t="shared" si="2"/>
        <v>0</v>
      </c>
      <c r="N29" s="498">
        <f t="shared" si="3"/>
        <v>100</v>
      </c>
      <c r="O29" s="494">
        <v>33</v>
      </c>
      <c r="P29" s="495">
        <v>22</v>
      </c>
      <c r="Q29" s="495"/>
      <c r="R29" s="496">
        <f t="shared" si="4"/>
        <v>55</v>
      </c>
      <c r="S29" s="561">
        <v>2</v>
      </c>
      <c r="T29" s="357"/>
      <c r="V29" s="343" t="s">
        <v>1052</v>
      </c>
      <c r="W29" s="334" t="s">
        <v>88</v>
      </c>
      <c r="X29" s="334" t="s">
        <v>11</v>
      </c>
      <c r="Y29" s="344">
        <v>26</v>
      </c>
      <c r="Z29" s="334" t="s">
        <v>1053</v>
      </c>
      <c r="AA29" s="334" t="s">
        <v>951</v>
      </c>
      <c r="AB29" s="556" t="s">
        <v>18</v>
      </c>
      <c r="AC29" s="334">
        <v>12</v>
      </c>
      <c r="AD29" s="343" t="s">
        <v>1046</v>
      </c>
      <c r="AE29" s="334" t="s">
        <v>869</v>
      </c>
      <c r="AF29" s="334" t="s">
        <v>11</v>
      </c>
      <c r="AG29" s="344">
        <v>7</v>
      </c>
      <c r="AH29" s="334" t="s">
        <v>1054</v>
      </c>
      <c r="AI29" s="334" t="s">
        <v>82</v>
      </c>
      <c r="AJ29" s="334" t="s">
        <v>18</v>
      </c>
      <c r="AK29" s="334">
        <v>10</v>
      </c>
      <c r="AL29" s="343"/>
      <c r="AO29" s="344"/>
      <c r="AP29" s="343"/>
      <c r="AS29" s="344"/>
      <c r="AW29" s="344"/>
      <c r="BA29" s="345"/>
    </row>
    <row r="30" spans="1:53" s="334" customFormat="1" x14ac:dyDescent="0.15">
      <c r="A30" s="334">
        <v>2003</v>
      </c>
      <c r="B30" s="358"/>
      <c r="C30" s="812" t="s">
        <v>1144</v>
      </c>
      <c r="D30" s="812"/>
      <c r="E30" s="334">
        <v>365</v>
      </c>
      <c r="G30" s="497">
        <v>11</v>
      </c>
      <c r="H30" s="561">
        <v>7</v>
      </c>
      <c r="I30" s="561"/>
      <c r="J30" s="499">
        <v>18</v>
      </c>
      <c r="K30" s="495">
        <f t="shared" si="0"/>
        <v>61.111111111111114</v>
      </c>
      <c r="L30" s="495">
        <f t="shared" si="1"/>
        <v>38.888888888888893</v>
      </c>
      <c r="M30" s="495">
        <f t="shared" si="2"/>
        <v>0</v>
      </c>
      <c r="N30" s="498">
        <f t="shared" si="3"/>
        <v>100</v>
      </c>
      <c r="O30" s="494">
        <v>33</v>
      </c>
      <c r="P30" s="495">
        <v>22</v>
      </c>
      <c r="Q30" s="495"/>
      <c r="R30" s="496">
        <f t="shared" si="4"/>
        <v>55</v>
      </c>
      <c r="S30" s="561">
        <v>2</v>
      </c>
      <c r="T30" s="357"/>
      <c r="V30" s="343" t="s">
        <v>1052</v>
      </c>
      <c r="W30" s="334" t="s">
        <v>88</v>
      </c>
      <c r="X30" s="334" t="s">
        <v>11</v>
      </c>
      <c r="Y30" s="344">
        <v>26</v>
      </c>
      <c r="Z30" s="334" t="s">
        <v>1053</v>
      </c>
      <c r="AA30" s="334" t="s">
        <v>951</v>
      </c>
      <c r="AB30" s="556" t="s">
        <v>18</v>
      </c>
      <c r="AC30" s="334">
        <v>12</v>
      </c>
      <c r="AD30" s="343" t="s">
        <v>1046</v>
      </c>
      <c r="AE30" s="334" t="s">
        <v>869</v>
      </c>
      <c r="AF30" s="334" t="s">
        <v>11</v>
      </c>
      <c r="AG30" s="344">
        <v>7</v>
      </c>
      <c r="AH30" s="334" t="s">
        <v>1054</v>
      </c>
      <c r="AI30" s="334" t="s">
        <v>82</v>
      </c>
      <c r="AJ30" s="334" t="s">
        <v>18</v>
      </c>
      <c r="AK30" s="334">
        <v>10</v>
      </c>
      <c r="AL30" s="343"/>
      <c r="AO30" s="344"/>
      <c r="AP30" s="343"/>
      <c r="AS30" s="344"/>
      <c r="AW30" s="344"/>
      <c r="BA30" s="345"/>
    </row>
    <row r="31" spans="1:53" s="334" customFormat="1" x14ac:dyDescent="0.15">
      <c r="A31" s="334">
        <v>2004</v>
      </c>
      <c r="B31" s="358"/>
      <c r="C31" s="812" t="s">
        <v>1144</v>
      </c>
      <c r="D31" s="812"/>
      <c r="E31" s="334">
        <v>68</v>
      </c>
      <c r="G31" s="497">
        <v>11</v>
      </c>
      <c r="H31" s="561">
        <v>7</v>
      </c>
      <c r="I31" s="561"/>
      <c r="J31" s="499">
        <v>18</v>
      </c>
      <c r="K31" s="495">
        <f>G31/J31*100</f>
        <v>61.111111111111114</v>
      </c>
      <c r="L31" s="495">
        <f>H31/J31*100</f>
        <v>38.888888888888893</v>
      </c>
      <c r="M31" s="495">
        <f>I31/J31*100</f>
        <v>0</v>
      </c>
      <c r="N31" s="498">
        <f t="shared" si="3"/>
        <v>100</v>
      </c>
      <c r="O31" s="494">
        <v>33</v>
      </c>
      <c r="P31" s="495">
        <v>22</v>
      </c>
      <c r="Q31" s="495"/>
      <c r="R31" s="496">
        <f t="shared" si="4"/>
        <v>55</v>
      </c>
      <c r="S31" s="561">
        <v>2</v>
      </c>
      <c r="T31" s="357"/>
      <c r="V31" s="343" t="s">
        <v>1052</v>
      </c>
      <c r="W31" s="334" t="s">
        <v>88</v>
      </c>
      <c r="X31" s="334" t="s">
        <v>11</v>
      </c>
      <c r="Y31" s="344">
        <v>26</v>
      </c>
      <c r="Z31" s="334" t="s">
        <v>1053</v>
      </c>
      <c r="AA31" s="334" t="s">
        <v>951</v>
      </c>
      <c r="AB31" s="556" t="s">
        <v>18</v>
      </c>
      <c r="AC31" s="334">
        <v>12</v>
      </c>
      <c r="AD31" s="343" t="s">
        <v>1046</v>
      </c>
      <c r="AE31" s="334" t="s">
        <v>869</v>
      </c>
      <c r="AF31" s="334" t="s">
        <v>11</v>
      </c>
      <c r="AG31" s="344">
        <v>7</v>
      </c>
      <c r="AH31" s="334" t="s">
        <v>1054</v>
      </c>
      <c r="AI31" s="334" t="s">
        <v>82</v>
      </c>
      <c r="AJ31" s="334" t="s">
        <v>18</v>
      </c>
      <c r="AK31" s="334">
        <v>10</v>
      </c>
      <c r="AL31" s="343"/>
      <c r="AO31" s="344"/>
      <c r="AP31" s="343"/>
      <c r="AS31" s="344"/>
      <c r="AW31" s="344"/>
      <c r="BA31" s="345"/>
    </row>
    <row r="32" spans="1:53" s="73" customFormat="1" x14ac:dyDescent="0.15">
      <c r="A32" s="73">
        <v>2004</v>
      </c>
      <c r="B32" s="121">
        <v>38055</v>
      </c>
      <c r="C32" s="811" t="s">
        <v>1055</v>
      </c>
      <c r="D32" s="811"/>
      <c r="E32" s="73">
        <v>268</v>
      </c>
      <c r="F32" s="73">
        <v>2</v>
      </c>
      <c r="G32" s="480">
        <v>5</v>
      </c>
      <c r="H32" s="560">
        <v>11</v>
      </c>
      <c r="I32" s="560"/>
      <c r="J32" s="482">
        <v>18</v>
      </c>
      <c r="K32" s="477">
        <f t="shared" si="0"/>
        <v>27.777777777777779</v>
      </c>
      <c r="L32" s="477">
        <f t="shared" si="1"/>
        <v>61.111111111111114</v>
      </c>
      <c r="M32" s="477">
        <f t="shared" si="2"/>
        <v>0</v>
      </c>
      <c r="N32" s="481">
        <f t="shared" si="3"/>
        <v>88.888888888888886</v>
      </c>
      <c r="O32" s="476">
        <v>20</v>
      </c>
      <c r="P32" s="477">
        <v>22</v>
      </c>
      <c r="Q32" s="477"/>
      <c r="R32" s="478">
        <f t="shared" si="4"/>
        <v>42</v>
      </c>
      <c r="S32" s="560">
        <v>5</v>
      </c>
      <c r="T32" s="81"/>
      <c r="U32" s="121">
        <v>38055</v>
      </c>
      <c r="V32" s="82" t="s">
        <v>1051</v>
      </c>
      <c r="W32" s="73" t="s">
        <v>1069</v>
      </c>
      <c r="X32" s="73" t="s">
        <v>11</v>
      </c>
      <c r="Y32" s="83">
        <v>20</v>
      </c>
      <c r="Z32" s="73" t="s">
        <v>1053</v>
      </c>
      <c r="AA32" s="73" t="s">
        <v>951</v>
      </c>
      <c r="AB32" s="73" t="s">
        <v>18</v>
      </c>
      <c r="AC32" s="73">
        <v>12</v>
      </c>
      <c r="AD32" s="82" t="s">
        <v>1054</v>
      </c>
      <c r="AE32" s="73" t="s">
        <v>82</v>
      </c>
      <c r="AF32" s="73" t="s">
        <v>18</v>
      </c>
      <c r="AG32" s="83">
        <v>10</v>
      </c>
      <c r="AL32" s="82"/>
      <c r="AO32" s="83"/>
      <c r="AP32" s="82"/>
      <c r="AS32" s="83"/>
      <c r="AW32" s="83"/>
      <c r="BA32" s="84"/>
    </row>
    <row r="33" spans="1:53" s="334" customFormat="1" x14ac:dyDescent="0.15">
      <c r="A33" s="334">
        <v>2004</v>
      </c>
      <c r="B33" s="335">
        <v>38323</v>
      </c>
      <c r="C33" s="812" t="s">
        <v>1145</v>
      </c>
      <c r="D33" s="812"/>
      <c r="E33" s="334">
        <v>30</v>
      </c>
      <c r="F33" s="334">
        <v>7</v>
      </c>
      <c r="G33" s="497">
        <v>12</v>
      </c>
      <c r="H33" s="561">
        <v>6</v>
      </c>
      <c r="I33" s="561"/>
      <c r="J33" s="499">
        <v>18</v>
      </c>
      <c r="K33" s="495">
        <f t="shared" si="0"/>
        <v>66.666666666666657</v>
      </c>
      <c r="L33" s="495">
        <f t="shared" si="1"/>
        <v>33.333333333333329</v>
      </c>
      <c r="M33" s="495">
        <f t="shared" si="2"/>
        <v>0</v>
      </c>
      <c r="N33" s="498">
        <f t="shared" si="3"/>
        <v>99.999999999999986</v>
      </c>
      <c r="O33" s="494">
        <v>46</v>
      </c>
      <c r="P33" s="495">
        <v>22</v>
      </c>
      <c r="Q33" s="495"/>
      <c r="R33" s="496">
        <f t="shared" si="4"/>
        <v>68</v>
      </c>
      <c r="S33" s="561">
        <v>3</v>
      </c>
      <c r="T33" s="357"/>
      <c r="U33" s="335">
        <v>38323</v>
      </c>
      <c r="V33" s="343" t="s">
        <v>1052</v>
      </c>
      <c r="W33" s="334" t="s">
        <v>88</v>
      </c>
      <c r="X33" s="334" t="s">
        <v>11</v>
      </c>
      <c r="Y33" s="344">
        <v>26</v>
      </c>
      <c r="Z33" s="343" t="s">
        <v>1051</v>
      </c>
      <c r="AA33" s="334" t="s">
        <v>1069</v>
      </c>
      <c r="AB33" s="334" t="s">
        <v>11</v>
      </c>
      <c r="AC33" s="334">
        <v>20</v>
      </c>
      <c r="AD33" s="343" t="s">
        <v>1053</v>
      </c>
      <c r="AE33" s="334" t="s">
        <v>951</v>
      </c>
      <c r="AF33" s="334" t="s">
        <v>18</v>
      </c>
      <c r="AG33" s="344">
        <v>12</v>
      </c>
      <c r="AH33" s="334" t="s">
        <v>1054</v>
      </c>
      <c r="AI33" s="334" t="s">
        <v>82</v>
      </c>
      <c r="AJ33" s="334" t="s">
        <v>18</v>
      </c>
      <c r="AK33" s="334">
        <v>10</v>
      </c>
      <c r="AL33" s="343"/>
      <c r="AO33" s="344"/>
      <c r="AP33" s="343"/>
      <c r="AS33" s="344"/>
      <c r="AW33" s="344"/>
      <c r="BA33" s="345"/>
    </row>
    <row r="34" spans="1:53" s="334" customFormat="1" x14ac:dyDescent="0.15">
      <c r="A34" s="334">
        <v>2005</v>
      </c>
      <c r="B34" s="358"/>
      <c r="C34" s="812" t="s">
        <v>1145</v>
      </c>
      <c r="D34" s="812"/>
      <c r="E34" s="334">
        <v>0</v>
      </c>
      <c r="G34" s="497">
        <v>12</v>
      </c>
      <c r="H34" s="561">
        <v>6</v>
      </c>
      <c r="I34" s="561"/>
      <c r="J34" s="499">
        <v>18</v>
      </c>
      <c r="K34" s="495">
        <f t="shared" si="0"/>
        <v>66.666666666666657</v>
      </c>
      <c r="L34" s="495">
        <f t="shared" si="1"/>
        <v>33.333333333333329</v>
      </c>
      <c r="M34" s="495">
        <f t="shared" si="2"/>
        <v>0</v>
      </c>
      <c r="N34" s="498">
        <f t="shared" si="3"/>
        <v>99.999999999999986</v>
      </c>
      <c r="O34" s="494">
        <v>46</v>
      </c>
      <c r="P34" s="495">
        <v>22</v>
      </c>
      <c r="Q34" s="495"/>
      <c r="R34" s="496">
        <f t="shared" si="4"/>
        <v>68</v>
      </c>
      <c r="S34" s="561">
        <v>3</v>
      </c>
      <c r="T34" s="357"/>
      <c r="V34" s="343" t="s">
        <v>1052</v>
      </c>
      <c r="W34" s="334" t="s">
        <v>88</v>
      </c>
      <c r="X34" s="334" t="s">
        <v>11</v>
      </c>
      <c r="Y34" s="344">
        <v>26</v>
      </c>
      <c r="Z34" s="334" t="s">
        <v>1051</v>
      </c>
      <c r="AA34" s="334" t="s">
        <v>1069</v>
      </c>
      <c r="AB34" s="334" t="s">
        <v>11</v>
      </c>
      <c r="AC34" s="334">
        <v>20</v>
      </c>
      <c r="AD34" s="343" t="s">
        <v>1053</v>
      </c>
      <c r="AE34" s="334" t="s">
        <v>951</v>
      </c>
      <c r="AF34" s="556" t="s">
        <v>18</v>
      </c>
      <c r="AG34" s="344">
        <v>12</v>
      </c>
      <c r="AH34" s="334" t="s">
        <v>1054</v>
      </c>
      <c r="AI34" s="334" t="s">
        <v>82</v>
      </c>
      <c r="AJ34" s="334" t="s">
        <v>18</v>
      </c>
      <c r="AK34" s="334">
        <v>10</v>
      </c>
      <c r="AL34" s="343"/>
      <c r="AO34" s="344"/>
      <c r="AP34" s="343"/>
      <c r="AS34" s="344"/>
      <c r="AW34" s="344"/>
      <c r="BA34" s="345"/>
    </row>
    <row r="35" spans="1:53" s="334" customFormat="1" x14ac:dyDescent="0.15">
      <c r="A35" s="334">
        <v>2005</v>
      </c>
      <c r="B35" s="358"/>
      <c r="C35" s="812" t="s">
        <v>1145</v>
      </c>
      <c r="D35" s="812"/>
      <c r="E35" s="334">
        <v>365</v>
      </c>
      <c r="G35" s="497">
        <v>12</v>
      </c>
      <c r="H35" s="561">
        <v>6</v>
      </c>
      <c r="I35" s="561"/>
      <c r="J35" s="499">
        <v>18</v>
      </c>
      <c r="K35" s="495">
        <f t="shared" si="0"/>
        <v>66.666666666666657</v>
      </c>
      <c r="L35" s="495">
        <f t="shared" si="1"/>
        <v>33.333333333333329</v>
      </c>
      <c r="M35" s="495">
        <f t="shared" si="2"/>
        <v>0</v>
      </c>
      <c r="N35" s="498">
        <f t="shared" si="3"/>
        <v>99.999999999999986</v>
      </c>
      <c r="O35" s="494">
        <v>46</v>
      </c>
      <c r="P35" s="495">
        <v>22</v>
      </c>
      <c r="Q35" s="495"/>
      <c r="R35" s="496">
        <f t="shared" si="4"/>
        <v>68</v>
      </c>
      <c r="S35" s="561">
        <v>3</v>
      </c>
      <c r="T35" s="357"/>
      <c r="V35" s="343" t="s">
        <v>1052</v>
      </c>
      <c r="W35" s="334" t="s">
        <v>88</v>
      </c>
      <c r="X35" s="334" t="s">
        <v>11</v>
      </c>
      <c r="Y35" s="344">
        <v>26</v>
      </c>
      <c r="Z35" s="343" t="s">
        <v>1051</v>
      </c>
      <c r="AA35" s="334" t="s">
        <v>1069</v>
      </c>
      <c r="AB35" s="334" t="s">
        <v>11</v>
      </c>
      <c r="AC35" s="334">
        <v>20</v>
      </c>
      <c r="AD35" s="343" t="s">
        <v>1053</v>
      </c>
      <c r="AE35" s="334" t="s">
        <v>951</v>
      </c>
      <c r="AF35" s="556" t="s">
        <v>18</v>
      </c>
      <c r="AG35" s="344">
        <v>12</v>
      </c>
      <c r="AH35" s="334" t="s">
        <v>1054</v>
      </c>
      <c r="AI35" s="334" t="s">
        <v>82</v>
      </c>
      <c r="AJ35" s="334" t="s">
        <v>18</v>
      </c>
      <c r="AK35" s="334">
        <v>10</v>
      </c>
      <c r="AL35" s="343"/>
      <c r="AO35" s="344"/>
      <c r="AP35" s="343"/>
      <c r="AS35" s="344"/>
      <c r="AW35" s="344"/>
      <c r="BA35" s="345"/>
    </row>
    <row r="36" spans="1:53" s="334" customFormat="1" x14ac:dyDescent="0.15">
      <c r="A36" s="334">
        <v>2006</v>
      </c>
      <c r="B36" s="358"/>
      <c r="C36" s="812" t="s">
        <v>1145</v>
      </c>
      <c r="D36" s="812"/>
      <c r="E36" s="334">
        <v>97</v>
      </c>
      <c r="G36" s="497">
        <v>12</v>
      </c>
      <c r="H36" s="561">
        <v>6</v>
      </c>
      <c r="I36" s="561"/>
      <c r="J36" s="499">
        <v>18</v>
      </c>
      <c r="K36" s="495">
        <f>G36/J36*100</f>
        <v>66.666666666666657</v>
      </c>
      <c r="L36" s="495">
        <f>H36/J36*100</f>
        <v>33.333333333333329</v>
      </c>
      <c r="M36" s="495">
        <f>I36/J36*100</f>
        <v>0</v>
      </c>
      <c r="N36" s="498">
        <f t="shared" si="3"/>
        <v>99.999999999999986</v>
      </c>
      <c r="O36" s="494">
        <v>46</v>
      </c>
      <c r="P36" s="495">
        <v>22</v>
      </c>
      <c r="Q36" s="495"/>
      <c r="R36" s="496">
        <f t="shared" si="4"/>
        <v>68</v>
      </c>
      <c r="S36" s="561">
        <v>3</v>
      </c>
      <c r="T36" s="357"/>
      <c r="V36" s="343" t="s">
        <v>1052</v>
      </c>
      <c r="W36" s="334" t="s">
        <v>88</v>
      </c>
      <c r="X36" s="334" t="s">
        <v>11</v>
      </c>
      <c r="Y36" s="344">
        <v>26</v>
      </c>
      <c r="Z36" s="334" t="s">
        <v>1051</v>
      </c>
      <c r="AA36" s="334" t="s">
        <v>1069</v>
      </c>
      <c r="AB36" s="334" t="s">
        <v>11</v>
      </c>
      <c r="AC36" s="334">
        <v>20</v>
      </c>
      <c r="AD36" s="343" t="s">
        <v>1053</v>
      </c>
      <c r="AE36" s="334" t="s">
        <v>951</v>
      </c>
      <c r="AF36" s="556" t="s">
        <v>18</v>
      </c>
      <c r="AG36" s="344">
        <v>12</v>
      </c>
      <c r="AH36" s="334" t="s">
        <v>1054</v>
      </c>
      <c r="AI36" s="334" t="s">
        <v>82</v>
      </c>
      <c r="AJ36" s="334" t="s">
        <v>18</v>
      </c>
      <c r="AK36" s="334">
        <v>10</v>
      </c>
      <c r="AL36" s="343"/>
      <c r="AO36" s="344"/>
      <c r="AP36" s="343"/>
      <c r="AS36" s="344"/>
      <c r="AW36" s="344"/>
      <c r="BA36" s="345"/>
    </row>
    <row r="37" spans="1:53" s="73" customFormat="1" x14ac:dyDescent="0.15">
      <c r="A37" s="73">
        <v>2006</v>
      </c>
      <c r="B37" s="121">
        <v>38815</v>
      </c>
      <c r="C37" s="811" t="s">
        <v>1146</v>
      </c>
      <c r="D37" s="811"/>
      <c r="E37" s="73">
        <v>213</v>
      </c>
      <c r="F37" s="73">
        <v>4</v>
      </c>
      <c r="G37" s="480">
        <v>9</v>
      </c>
      <c r="H37" s="560">
        <v>9</v>
      </c>
      <c r="I37" s="560"/>
      <c r="J37" s="482">
        <v>18</v>
      </c>
      <c r="K37" s="477">
        <f t="shared" si="0"/>
        <v>50</v>
      </c>
      <c r="L37" s="477">
        <f t="shared" si="1"/>
        <v>50</v>
      </c>
      <c r="M37" s="477">
        <f t="shared" si="2"/>
        <v>0</v>
      </c>
      <c r="N37" s="481">
        <f t="shared" si="3"/>
        <v>100</v>
      </c>
      <c r="O37" s="476">
        <v>20</v>
      </c>
      <c r="P37" s="477">
        <v>22</v>
      </c>
      <c r="Q37" s="477"/>
      <c r="R37" s="478">
        <f t="shared" si="4"/>
        <v>42</v>
      </c>
      <c r="S37" s="560">
        <v>5</v>
      </c>
      <c r="T37" s="81"/>
      <c r="U37" s="121">
        <v>38815</v>
      </c>
      <c r="V37" s="82" t="s">
        <v>1051</v>
      </c>
      <c r="W37" s="73" t="s">
        <v>1069</v>
      </c>
      <c r="X37" s="73" t="s">
        <v>11</v>
      </c>
      <c r="Y37" s="83">
        <v>20</v>
      </c>
      <c r="Z37" s="73" t="s">
        <v>1053</v>
      </c>
      <c r="AA37" s="73" t="s">
        <v>951</v>
      </c>
      <c r="AB37" s="73" t="s">
        <v>18</v>
      </c>
      <c r="AC37" s="73">
        <v>12</v>
      </c>
      <c r="AD37" s="82" t="s">
        <v>1054</v>
      </c>
      <c r="AE37" s="73" t="s">
        <v>82</v>
      </c>
      <c r="AF37" s="73" t="s">
        <v>18</v>
      </c>
      <c r="AG37" s="83">
        <v>10</v>
      </c>
      <c r="AH37" s="82" t="s">
        <v>1039</v>
      </c>
      <c r="AI37" s="73" t="s">
        <v>22</v>
      </c>
      <c r="AJ37" s="73" t="s">
        <v>11</v>
      </c>
      <c r="AK37" s="73">
        <v>0</v>
      </c>
      <c r="AL37" s="82"/>
      <c r="AO37" s="83"/>
      <c r="AP37" s="82"/>
      <c r="AS37" s="83"/>
      <c r="AW37" s="83"/>
      <c r="BA37" s="84"/>
    </row>
    <row r="38" spans="1:53" s="334" customFormat="1" x14ac:dyDescent="0.15">
      <c r="A38" s="334">
        <v>2006</v>
      </c>
      <c r="B38" s="335">
        <v>39028</v>
      </c>
      <c r="C38" s="812" t="s">
        <v>1147</v>
      </c>
      <c r="D38" s="812"/>
      <c r="E38" s="334">
        <v>55</v>
      </c>
      <c r="F38" s="334">
        <v>1</v>
      </c>
      <c r="G38" s="497">
        <v>9</v>
      </c>
      <c r="H38" s="561">
        <v>9</v>
      </c>
      <c r="I38" s="561"/>
      <c r="J38" s="499">
        <v>18</v>
      </c>
      <c r="K38" s="495">
        <f t="shared" si="0"/>
        <v>50</v>
      </c>
      <c r="L38" s="495">
        <f t="shared" si="1"/>
        <v>50</v>
      </c>
      <c r="M38" s="495">
        <f t="shared" si="2"/>
        <v>0</v>
      </c>
      <c r="N38" s="498">
        <f t="shared" si="3"/>
        <v>100</v>
      </c>
      <c r="O38" s="494">
        <v>31</v>
      </c>
      <c r="P38" s="495">
        <v>28</v>
      </c>
      <c r="Q38" s="495"/>
      <c r="R38" s="496">
        <f t="shared" si="4"/>
        <v>59</v>
      </c>
      <c r="S38" s="561">
        <v>3</v>
      </c>
      <c r="T38" s="342">
        <v>38997</v>
      </c>
      <c r="U38" s="335">
        <v>39028</v>
      </c>
      <c r="V38" s="343" t="s">
        <v>1051</v>
      </c>
      <c r="W38" s="334" t="s">
        <v>1069</v>
      </c>
      <c r="X38" s="334" t="s">
        <v>11</v>
      </c>
      <c r="Y38" s="344">
        <v>23</v>
      </c>
      <c r="Z38" s="334" t="s">
        <v>1053</v>
      </c>
      <c r="AA38" s="334" t="s">
        <v>951</v>
      </c>
      <c r="AB38" s="334" t="s">
        <v>18</v>
      </c>
      <c r="AC38" s="334">
        <v>18</v>
      </c>
      <c r="AD38" s="343" t="s">
        <v>1057</v>
      </c>
      <c r="AE38" s="334" t="s">
        <v>1056</v>
      </c>
      <c r="AF38" s="334" t="s">
        <v>18</v>
      </c>
      <c r="AG38" s="344">
        <v>10</v>
      </c>
      <c r="AH38" s="343" t="s">
        <v>1046</v>
      </c>
      <c r="AI38" s="334" t="s">
        <v>869</v>
      </c>
      <c r="AJ38" s="334" t="s">
        <v>11</v>
      </c>
      <c r="AK38" s="334">
        <v>8</v>
      </c>
      <c r="AL38" s="343"/>
      <c r="AO38" s="344"/>
      <c r="AP38" s="343"/>
      <c r="AS38" s="344"/>
      <c r="AW38" s="344"/>
      <c r="BA38" s="345"/>
    </row>
    <row r="39" spans="1:53" s="334" customFormat="1" x14ac:dyDescent="0.15">
      <c r="A39" s="334">
        <v>2007</v>
      </c>
      <c r="B39" s="358"/>
      <c r="C39" s="812" t="s">
        <v>1147</v>
      </c>
      <c r="D39" s="812"/>
      <c r="E39" s="334">
        <v>353</v>
      </c>
      <c r="G39" s="497">
        <v>9</v>
      </c>
      <c r="H39" s="561">
        <v>9</v>
      </c>
      <c r="I39" s="561"/>
      <c r="J39" s="499">
        <v>18</v>
      </c>
      <c r="K39" s="495">
        <f t="shared" si="0"/>
        <v>50</v>
      </c>
      <c r="L39" s="495">
        <f t="shared" si="1"/>
        <v>50</v>
      </c>
      <c r="M39" s="495">
        <f t="shared" si="2"/>
        <v>0</v>
      </c>
      <c r="N39" s="498">
        <f t="shared" si="3"/>
        <v>100</v>
      </c>
      <c r="O39" s="494">
        <v>31</v>
      </c>
      <c r="P39" s="495">
        <v>28</v>
      </c>
      <c r="Q39" s="495"/>
      <c r="R39" s="496">
        <f t="shared" si="4"/>
        <v>59</v>
      </c>
      <c r="S39" s="561">
        <v>3</v>
      </c>
      <c r="T39" s="357"/>
      <c r="V39" s="343" t="s">
        <v>1051</v>
      </c>
      <c r="W39" s="334" t="s">
        <v>1069</v>
      </c>
      <c r="X39" s="334" t="s">
        <v>11</v>
      </c>
      <c r="Y39" s="344">
        <v>23</v>
      </c>
      <c r="Z39" s="334" t="s">
        <v>1053</v>
      </c>
      <c r="AA39" s="334" t="s">
        <v>951</v>
      </c>
      <c r="AB39" s="334" t="s">
        <v>18</v>
      </c>
      <c r="AC39" s="334">
        <v>18</v>
      </c>
      <c r="AD39" s="343" t="s">
        <v>1057</v>
      </c>
      <c r="AE39" s="334" t="s">
        <v>1056</v>
      </c>
      <c r="AF39" s="334" t="s">
        <v>18</v>
      </c>
      <c r="AG39" s="344">
        <v>10</v>
      </c>
      <c r="AH39" s="343" t="s">
        <v>1046</v>
      </c>
      <c r="AI39" s="334" t="s">
        <v>869</v>
      </c>
      <c r="AJ39" s="334" t="s">
        <v>11</v>
      </c>
      <c r="AK39" s="334">
        <v>8</v>
      </c>
      <c r="AL39" s="343"/>
      <c r="AO39" s="344"/>
      <c r="AP39" s="343"/>
      <c r="AS39" s="344"/>
      <c r="AW39" s="344"/>
      <c r="BA39" s="345"/>
    </row>
    <row r="40" spans="1:53" s="73" customFormat="1" x14ac:dyDescent="0.15">
      <c r="A40" s="73">
        <v>2007</v>
      </c>
      <c r="B40" s="121">
        <v>39436</v>
      </c>
      <c r="C40" s="811" t="s">
        <v>1058</v>
      </c>
      <c r="D40" s="811"/>
      <c r="E40" s="73">
        <v>12</v>
      </c>
      <c r="F40" s="73">
        <v>2</v>
      </c>
      <c r="G40" s="480">
        <v>10</v>
      </c>
      <c r="H40" s="560">
        <v>9</v>
      </c>
      <c r="I40" s="560"/>
      <c r="J40" s="482">
        <v>19</v>
      </c>
      <c r="K40" s="477">
        <f t="shared" si="0"/>
        <v>52.631578947368418</v>
      </c>
      <c r="L40" s="477">
        <f t="shared" si="1"/>
        <v>47.368421052631575</v>
      </c>
      <c r="M40" s="477">
        <f t="shared" si="2"/>
        <v>0</v>
      </c>
      <c r="N40" s="481">
        <f t="shared" si="3"/>
        <v>100</v>
      </c>
      <c r="O40" s="476">
        <v>31</v>
      </c>
      <c r="P40" s="477">
        <v>28</v>
      </c>
      <c r="Q40" s="477"/>
      <c r="R40" s="478">
        <f t="shared" si="4"/>
        <v>59</v>
      </c>
      <c r="S40" s="560">
        <v>3</v>
      </c>
      <c r="T40" s="81"/>
      <c r="U40" s="121">
        <v>39436</v>
      </c>
      <c r="V40" s="82" t="s">
        <v>1051</v>
      </c>
      <c r="W40" s="73" t="s">
        <v>1069</v>
      </c>
      <c r="X40" s="73" t="s">
        <v>11</v>
      </c>
      <c r="Y40" s="83">
        <v>23</v>
      </c>
      <c r="Z40" s="73" t="s">
        <v>1053</v>
      </c>
      <c r="AA40" s="73" t="s">
        <v>951</v>
      </c>
      <c r="AB40" s="73" t="s">
        <v>18</v>
      </c>
      <c r="AC40" s="73">
        <v>18</v>
      </c>
      <c r="AD40" s="82" t="s">
        <v>1057</v>
      </c>
      <c r="AE40" s="73" t="s">
        <v>1056</v>
      </c>
      <c r="AF40" s="73" t="s">
        <v>18</v>
      </c>
      <c r="AG40" s="83">
        <v>10</v>
      </c>
      <c r="AH40" s="82" t="s">
        <v>1046</v>
      </c>
      <c r="AI40" s="73" t="s">
        <v>869</v>
      </c>
      <c r="AJ40" s="73" t="s">
        <v>11</v>
      </c>
      <c r="AK40" s="73">
        <v>8</v>
      </c>
      <c r="AL40" s="82"/>
      <c r="AO40" s="83"/>
      <c r="AP40" s="82"/>
      <c r="AS40" s="83"/>
      <c r="AW40" s="83"/>
      <c r="BA40" s="84"/>
    </row>
    <row r="41" spans="1:53" s="73" customFormat="1" x14ac:dyDescent="0.15">
      <c r="A41" s="73">
        <v>2008</v>
      </c>
      <c r="B41" s="122"/>
      <c r="C41" s="811" t="s">
        <v>1058</v>
      </c>
      <c r="D41" s="811"/>
      <c r="E41" s="73">
        <v>0</v>
      </c>
      <c r="G41" s="480">
        <v>10</v>
      </c>
      <c r="H41" s="560">
        <v>9</v>
      </c>
      <c r="I41" s="560"/>
      <c r="J41" s="482">
        <v>19</v>
      </c>
      <c r="K41" s="477">
        <f t="shared" si="0"/>
        <v>52.631578947368418</v>
      </c>
      <c r="L41" s="477">
        <f t="shared" si="1"/>
        <v>47.368421052631575</v>
      </c>
      <c r="M41" s="477">
        <f t="shared" si="2"/>
        <v>0</v>
      </c>
      <c r="N41" s="481">
        <f t="shared" si="3"/>
        <v>100</v>
      </c>
      <c r="O41" s="476">
        <v>31</v>
      </c>
      <c r="P41" s="477">
        <v>28</v>
      </c>
      <c r="Q41" s="477"/>
      <c r="R41" s="478">
        <f t="shared" si="4"/>
        <v>59</v>
      </c>
      <c r="S41" s="560">
        <v>3</v>
      </c>
      <c r="T41" s="81"/>
      <c r="V41" s="82" t="s">
        <v>1051</v>
      </c>
      <c r="W41" s="73" t="s">
        <v>1069</v>
      </c>
      <c r="X41" s="73" t="s">
        <v>11</v>
      </c>
      <c r="Y41" s="83">
        <v>23</v>
      </c>
      <c r="Z41" s="73" t="s">
        <v>1053</v>
      </c>
      <c r="AA41" s="73" t="s">
        <v>951</v>
      </c>
      <c r="AB41" s="555" t="s">
        <v>18</v>
      </c>
      <c r="AC41" s="73">
        <v>18</v>
      </c>
      <c r="AD41" s="82" t="s">
        <v>1057</v>
      </c>
      <c r="AE41" s="73" t="s">
        <v>1056</v>
      </c>
      <c r="AF41" s="73" t="s">
        <v>18</v>
      </c>
      <c r="AG41" s="83">
        <v>10</v>
      </c>
      <c r="AH41" s="73" t="s">
        <v>1046</v>
      </c>
      <c r="AI41" s="73" t="s">
        <v>869</v>
      </c>
      <c r="AJ41" s="73" t="s">
        <v>11</v>
      </c>
      <c r="AK41" s="73">
        <v>8</v>
      </c>
      <c r="AL41" s="82"/>
      <c r="AO41" s="83"/>
      <c r="AP41" s="82"/>
      <c r="AS41" s="83"/>
      <c r="AW41" s="83"/>
      <c r="BA41" s="84"/>
    </row>
    <row r="42" spans="1:53" s="73" customFormat="1" x14ac:dyDescent="0.15">
      <c r="A42" s="73">
        <v>2008</v>
      </c>
      <c r="B42" s="122"/>
      <c r="C42" s="811" t="s">
        <v>1058</v>
      </c>
      <c r="D42" s="811"/>
      <c r="E42" s="73">
        <v>366</v>
      </c>
      <c r="G42" s="480">
        <v>10</v>
      </c>
      <c r="H42" s="560">
        <v>9</v>
      </c>
      <c r="I42" s="560"/>
      <c r="J42" s="482">
        <v>19</v>
      </c>
      <c r="K42" s="477">
        <f t="shared" si="0"/>
        <v>52.631578947368418</v>
      </c>
      <c r="L42" s="477">
        <f t="shared" si="1"/>
        <v>47.368421052631575</v>
      </c>
      <c r="M42" s="477">
        <f t="shared" si="2"/>
        <v>0</v>
      </c>
      <c r="N42" s="481">
        <f t="shared" si="3"/>
        <v>100</v>
      </c>
      <c r="O42" s="476">
        <v>31</v>
      </c>
      <c r="P42" s="477">
        <v>28</v>
      </c>
      <c r="Q42" s="477"/>
      <c r="R42" s="478">
        <f t="shared" si="4"/>
        <v>59</v>
      </c>
      <c r="S42" s="560">
        <v>3</v>
      </c>
      <c r="T42" s="81"/>
      <c r="V42" s="82" t="s">
        <v>1051</v>
      </c>
      <c r="W42" s="73" t="s">
        <v>1069</v>
      </c>
      <c r="X42" s="73" t="s">
        <v>11</v>
      </c>
      <c r="Y42" s="83">
        <v>23</v>
      </c>
      <c r="Z42" s="73" t="s">
        <v>1053</v>
      </c>
      <c r="AA42" s="73" t="s">
        <v>951</v>
      </c>
      <c r="AB42" s="555" t="s">
        <v>18</v>
      </c>
      <c r="AC42" s="73">
        <v>18</v>
      </c>
      <c r="AD42" s="82" t="s">
        <v>1057</v>
      </c>
      <c r="AE42" s="73" t="s">
        <v>1056</v>
      </c>
      <c r="AF42" s="73" t="s">
        <v>18</v>
      </c>
      <c r="AG42" s="83">
        <v>10</v>
      </c>
      <c r="AH42" s="82" t="s">
        <v>1046</v>
      </c>
      <c r="AI42" s="73" t="s">
        <v>869</v>
      </c>
      <c r="AJ42" s="73" t="s">
        <v>11</v>
      </c>
      <c r="AK42" s="73">
        <v>8</v>
      </c>
      <c r="AL42" s="82"/>
      <c r="AO42" s="83"/>
      <c r="AP42" s="82"/>
      <c r="AS42" s="83"/>
      <c r="AW42" s="83"/>
      <c r="BA42" s="84"/>
    </row>
    <row r="43" spans="1:53" s="73" customFormat="1" x14ac:dyDescent="0.15">
      <c r="A43" s="73">
        <v>2009</v>
      </c>
      <c r="B43" s="122"/>
      <c r="C43" s="811" t="s">
        <v>1058</v>
      </c>
      <c r="D43" s="811"/>
      <c r="E43" s="73">
        <v>70</v>
      </c>
      <c r="G43" s="480">
        <v>10</v>
      </c>
      <c r="H43" s="560">
        <v>9</v>
      </c>
      <c r="I43" s="560"/>
      <c r="J43" s="482">
        <v>19</v>
      </c>
      <c r="K43" s="477">
        <f t="shared" si="0"/>
        <v>52.631578947368418</v>
      </c>
      <c r="L43" s="477">
        <f t="shared" si="1"/>
        <v>47.368421052631575</v>
      </c>
      <c r="M43" s="477">
        <f t="shared" si="2"/>
        <v>0</v>
      </c>
      <c r="N43" s="481">
        <f t="shared" si="3"/>
        <v>100</v>
      </c>
      <c r="O43" s="476">
        <v>31</v>
      </c>
      <c r="P43" s="477">
        <v>28</v>
      </c>
      <c r="Q43" s="477"/>
      <c r="R43" s="478">
        <f t="shared" si="4"/>
        <v>59</v>
      </c>
      <c r="S43" s="560">
        <v>3</v>
      </c>
      <c r="T43" s="81"/>
      <c r="V43" s="82" t="s">
        <v>1051</v>
      </c>
      <c r="W43" s="73" t="s">
        <v>1069</v>
      </c>
      <c r="X43" s="73" t="s">
        <v>11</v>
      </c>
      <c r="Y43" s="83">
        <v>23</v>
      </c>
      <c r="Z43" s="73" t="s">
        <v>1053</v>
      </c>
      <c r="AA43" s="73" t="s">
        <v>951</v>
      </c>
      <c r="AB43" s="555" t="s">
        <v>18</v>
      </c>
      <c r="AC43" s="73">
        <v>18</v>
      </c>
      <c r="AD43" s="82" t="s">
        <v>1057</v>
      </c>
      <c r="AE43" s="73" t="s">
        <v>1056</v>
      </c>
      <c r="AF43" s="73" t="s">
        <v>18</v>
      </c>
      <c r="AG43" s="83">
        <v>10</v>
      </c>
      <c r="AH43" s="73" t="s">
        <v>1046</v>
      </c>
      <c r="AI43" s="73" t="s">
        <v>869</v>
      </c>
      <c r="AJ43" s="73" t="s">
        <v>11</v>
      </c>
      <c r="AK43" s="73">
        <v>8</v>
      </c>
      <c r="AL43" s="82"/>
      <c r="AO43" s="83"/>
      <c r="AP43" s="82"/>
      <c r="AS43" s="83"/>
      <c r="AW43" s="83"/>
      <c r="BA43" s="84"/>
    </row>
    <row r="44" spans="1:53" s="334" customFormat="1" x14ac:dyDescent="0.15">
      <c r="A44" s="334">
        <v>2009</v>
      </c>
      <c r="B44" s="335">
        <v>39884</v>
      </c>
      <c r="C44" s="812" t="s">
        <v>1148</v>
      </c>
      <c r="D44" s="812"/>
      <c r="E44" s="334">
        <v>295</v>
      </c>
      <c r="F44" s="334">
        <v>2</v>
      </c>
      <c r="G44" s="497">
        <v>11</v>
      </c>
      <c r="H44" s="561">
        <v>4</v>
      </c>
      <c r="I44" s="561"/>
      <c r="J44" s="499">
        <v>15</v>
      </c>
      <c r="K44" s="495">
        <f t="shared" si="0"/>
        <v>73.333333333333329</v>
      </c>
      <c r="L44" s="495">
        <f t="shared" si="1"/>
        <v>26.666666666666668</v>
      </c>
      <c r="M44" s="495">
        <f t="shared" si="2"/>
        <v>0</v>
      </c>
      <c r="N44" s="498">
        <f t="shared" si="3"/>
        <v>100</v>
      </c>
      <c r="O44" s="494">
        <v>49</v>
      </c>
      <c r="P44" s="495">
        <v>18</v>
      </c>
      <c r="R44" s="496">
        <f>SUM(O44:P44)</f>
        <v>67</v>
      </c>
      <c r="S44" s="561">
        <v>3</v>
      </c>
      <c r="T44" s="357"/>
      <c r="U44" s="355">
        <v>39884</v>
      </c>
      <c r="V44" s="343" t="s">
        <v>1051</v>
      </c>
      <c r="W44" s="334" t="s">
        <v>1069</v>
      </c>
      <c r="X44" s="334" t="s">
        <v>11</v>
      </c>
      <c r="Y44" s="344">
        <v>23</v>
      </c>
      <c r="Z44" s="334" t="s">
        <v>1052</v>
      </c>
      <c r="AA44" s="334" t="s">
        <v>88</v>
      </c>
      <c r="AB44" s="334" t="s">
        <v>11</v>
      </c>
      <c r="AC44" s="334">
        <v>18</v>
      </c>
      <c r="AD44" s="343" t="s">
        <v>1053</v>
      </c>
      <c r="AE44" s="334" t="s">
        <v>951</v>
      </c>
      <c r="AF44" s="334" t="s">
        <v>18</v>
      </c>
      <c r="AG44" s="344">
        <v>18</v>
      </c>
      <c r="AH44" s="343" t="s">
        <v>1046</v>
      </c>
      <c r="AI44" s="334" t="s">
        <v>869</v>
      </c>
      <c r="AJ44" s="334" t="s">
        <v>11</v>
      </c>
      <c r="AK44" s="334">
        <v>8</v>
      </c>
      <c r="AL44" s="343" t="s">
        <v>96</v>
      </c>
      <c r="AM44" s="334" t="s">
        <v>340</v>
      </c>
      <c r="AN44" s="334" t="s">
        <v>11</v>
      </c>
      <c r="AO44" s="344">
        <v>0</v>
      </c>
      <c r="AP44" s="343"/>
      <c r="AS44" s="344"/>
      <c r="AW44" s="344"/>
      <c r="BA44" s="345"/>
    </row>
    <row r="45" spans="1:53" s="334" customFormat="1" x14ac:dyDescent="0.15">
      <c r="A45" s="334">
        <v>2010</v>
      </c>
      <c r="B45" s="358"/>
      <c r="C45" s="812" t="s">
        <v>1148</v>
      </c>
      <c r="D45" s="812"/>
      <c r="E45" s="334">
        <v>81</v>
      </c>
      <c r="G45" s="497">
        <v>11</v>
      </c>
      <c r="H45" s="561">
        <v>4</v>
      </c>
      <c r="I45" s="561"/>
      <c r="J45" s="499">
        <v>15</v>
      </c>
      <c r="K45" s="495">
        <f>G45/J45*100</f>
        <v>73.333333333333329</v>
      </c>
      <c r="L45" s="495">
        <f>H45/J45*100</f>
        <v>26.666666666666668</v>
      </c>
      <c r="M45" s="495">
        <f>I45/J45*100</f>
        <v>0</v>
      </c>
      <c r="N45" s="498">
        <f t="shared" si="3"/>
        <v>100</v>
      </c>
      <c r="O45" s="494">
        <v>49</v>
      </c>
      <c r="P45" s="495">
        <v>18</v>
      </c>
      <c r="R45" s="496">
        <f>SUM(O45:P45)</f>
        <v>67</v>
      </c>
      <c r="S45" s="561">
        <v>3</v>
      </c>
      <c r="T45" s="357"/>
      <c r="V45" s="343" t="s">
        <v>1051</v>
      </c>
      <c r="W45" s="334" t="s">
        <v>1069</v>
      </c>
      <c r="X45" s="334" t="s">
        <v>11</v>
      </c>
      <c r="Y45" s="344">
        <v>23</v>
      </c>
      <c r="Z45" s="334" t="s">
        <v>1052</v>
      </c>
      <c r="AA45" s="334" t="s">
        <v>88</v>
      </c>
      <c r="AB45" s="334" t="s">
        <v>11</v>
      </c>
      <c r="AC45" s="334">
        <v>18</v>
      </c>
      <c r="AD45" s="343" t="s">
        <v>1053</v>
      </c>
      <c r="AE45" s="334" t="s">
        <v>951</v>
      </c>
      <c r="AF45" s="334" t="s">
        <v>18</v>
      </c>
      <c r="AG45" s="344">
        <v>18</v>
      </c>
      <c r="AH45" s="334" t="s">
        <v>1046</v>
      </c>
      <c r="AI45" s="334" t="s">
        <v>869</v>
      </c>
      <c r="AJ45" s="334" t="s">
        <v>11</v>
      </c>
      <c r="AK45" s="334">
        <v>8</v>
      </c>
      <c r="AL45" s="343" t="s">
        <v>96</v>
      </c>
      <c r="AM45" s="334" t="s">
        <v>340</v>
      </c>
      <c r="AN45" s="334" t="s">
        <v>11</v>
      </c>
      <c r="AO45" s="344">
        <v>0</v>
      </c>
      <c r="AP45" s="343"/>
      <c r="AS45" s="344"/>
      <c r="AW45" s="344"/>
      <c r="BA45" s="345"/>
    </row>
    <row r="46" spans="1:53" s="73" customFormat="1" x14ac:dyDescent="0.15">
      <c r="A46" s="73">
        <v>2010</v>
      </c>
      <c r="B46" s="121">
        <v>40260</v>
      </c>
      <c r="C46" s="811" t="s">
        <v>1149</v>
      </c>
      <c r="D46" s="811"/>
      <c r="E46" s="73">
        <v>224</v>
      </c>
      <c r="F46" s="73">
        <v>4</v>
      </c>
      <c r="G46" s="480">
        <v>8</v>
      </c>
      <c r="H46" s="560">
        <v>5</v>
      </c>
      <c r="I46" s="560"/>
      <c r="J46" s="482">
        <v>15</v>
      </c>
      <c r="K46" s="477">
        <f t="shared" si="0"/>
        <v>53.333333333333336</v>
      </c>
      <c r="L46" s="477">
        <f t="shared" si="1"/>
        <v>33.333333333333329</v>
      </c>
      <c r="M46" s="477">
        <f t="shared" si="2"/>
        <v>0</v>
      </c>
      <c r="N46" s="481">
        <f t="shared" si="3"/>
        <v>86.666666666666657</v>
      </c>
      <c r="O46" s="476">
        <v>26</v>
      </c>
      <c r="P46" s="477">
        <v>18</v>
      </c>
      <c r="R46" s="478">
        <f>SUM(O46:P46)</f>
        <v>44</v>
      </c>
      <c r="S46" s="560">
        <v>5</v>
      </c>
      <c r="T46" s="81"/>
      <c r="U46" s="85">
        <v>40260</v>
      </c>
      <c r="V46" s="82" t="s">
        <v>1052</v>
      </c>
      <c r="W46" s="73" t="s">
        <v>88</v>
      </c>
      <c r="X46" s="73" t="s">
        <v>11</v>
      </c>
      <c r="Y46" s="83">
        <v>18</v>
      </c>
      <c r="Z46" s="73" t="s">
        <v>1053</v>
      </c>
      <c r="AA46" s="73" t="s">
        <v>951</v>
      </c>
      <c r="AB46" s="73" t="s">
        <v>18</v>
      </c>
      <c r="AC46" s="73">
        <v>18</v>
      </c>
      <c r="AD46" s="82" t="s">
        <v>1046</v>
      </c>
      <c r="AE46" s="73" t="s">
        <v>869</v>
      </c>
      <c r="AF46" s="73" t="s">
        <v>11</v>
      </c>
      <c r="AG46" s="83">
        <v>8</v>
      </c>
      <c r="AH46" s="73" t="s">
        <v>96</v>
      </c>
      <c r="AI46" s="73" t="s">
        <v>340</v>
      </c>
      <c r="AJ46" s="73" t="s">
        <v>11</v>
      </c>
      <c r="AK46" s="73">
        <v>0</v>
      </c>
      <c r="AL46" s="82"/>
      <c r="AO46" s="83"/>
      <c r="AP46" s="82"/>
      <c r="AS46" s="83"/>
      <c r="AW46" s="83"/>
      <c r="BA46" s="84"/>
    </row>
    <row r="47" spans="1:53" s="334" customFormat="1" x14ac:dyDescent="0.15">
      <c r="A47" s="334">
        <v>2010</v>
      </c>
      <c r="B47" s="335">
        <v>40484</v>
      </c>
      <c r="C47" s="812" t="s">
        <v>1150</v>
      </c>
      <c r="D47" s="812"/>
      <c r="E47" s="334">
        <v>60</v>
      </c>
      <c r="F47" s="334">
        <v>1</v>
      </c>
      <c r="G47" s="497">
        <v>8</v>
      </c>
      <c r="H47" s="561">
        <v>6</v>
      </c>
      <c r="I47" s="561"/>
      <c r="J47" s="499">
        <v>14</v>
      </c>
      <c r="K47" s="495">
        <f t="shared" si="0"/>
        <v>57.142857142857139</v>
      </c>
      <c r="L47" s="495">
        <f t="shared" si="1"/>
        <v>42.857142857142854</v>
      </c>
      <c r="M47" s="495">
        <f t="shared" si="2"/>
        <v>0</v>
      </c>
      <c r="N47" s="498">
        <f t="shared" si="3"/>
        <v>100</v>
      </c>
      <c r="O47" s="494">
        <v>33</v>
      </c>
      <c r="P47" s="495">
        <v>22</v>
      </c>
      <c r="R47" s="496">
        <f>SUM(O47:P47)</f>
        <v>55</v>
      </c>
      <c r="S47" s="561">
        <v>2</v>
      </c>
      <c r="T47" s="342">
        <v>40453</v>
      </c>
      <c r="U47" s="355">
        <v>40484</v>
      </c>
      <c r="V47" s="343" t="s">
        <v>417</v>
      </c>
      <c r="W47" s="334" t="s">
        <v>76</v>
      </c>
      <c r="X47" s="334" t="s">
        <v>11</v>
      </c>
      <c r="Y47" s="344">
        <v>33</v>
      </c>
      <c r="Z47" s="334" t="s">
        <v>1053</v>
      </c>
      <c r="AA47" s="334" t="s">
        <v>951</v>
      </c>
      <c r="AB47" s="334" t="s">
        <v>18</v>
      </c>
      <c r="AC47" s="334">
        <v>22</v>
      </c>
      <c r="AD47" s="343"/>
      <c r="AG47" s="344"/>
      <c r="AL47" s="343"/>
      <c r="AO47" s="344"/>
      <c r="AP47" s="343"/>
      <c r="AS47" s="344"/>
      <c r="AW47" s="344"/>
      <c r="BA47" s="345"/>
    </row>
    <row r="48" spans="1:53" s="334" customFormat="1" x14ac:dyDescent="0.15">
      <c r="A48" s="334">
        <v>2011</v>
      </c>
      <c r="B48" s="358"/>
      <c r="C48" s="812" t="s">
        <v>1150</v>
      </c>
      <c r="D48" s="812"/>
      <c r="E48" s="334">
        <v>297</v>
      </c>
      <c r="G48" s="497">
        <v>8</v>
      </c>
      <c r="H48" s="561">
        <v>6</v>
      </c>
      <c r="I48" s="561"/>
      <c r="J48" s="499">
        <v>14</v>
      </c>
      <c r="K48" s="495">
        <f t="shared" ref="K48:K53" si="9">G48/J48*100</f>
        <v>57.142857142857139</v>
      </c>
      <c r="L48" s="495">
        <f t="shared" ref="L48:L53" si="10">H48/J48*100</f>
        <v>42.857142857142854</v>
      </c>
      <c r="M48" s="495">
        <f t="shared" ref="M48:M53" si="11">I48/J48*100</f>
        <v>0</v>
      </c>
      <c r="N48" s="498">
        <f t="shared" si="3"/>
        <v>100</v>
      </c>
      <c r="O48" s="494">
        <v>33</v>
      </c>
      <c r="P48" s="495">
        <v>22</v>
      </c>
      <c r="R48" s="496">
        <f>SUM(O48:P48)</f>
        <v>55</v>
      </c>
      <c r="S48" s="561">
        <v>2</v>
      </c>
      <c r="T48" s="357"/>
      <c r="V48" s="343" t="s">
        <v>417</v>
      </c>
      <c r="W48" s="334" t="s">
        <v>76</v>
      </c>
      <c r="X48" s="334" t="s">
        <v>11</v>
      </c>
      <c r="Y48" s="344">
        <v>33</v>
      </c>
      <c r="Z48" s="334" t="s">
        <v>1053</v>
      </c>
      <c r="AA48" s="334" t="s">
        <v>951</v>
      </c>
      <c r="AB48" s="334" t="s">
        <v>18</v>
      </c>
      <c r="AC48" s="334">
        <v>22</v>
      </c>
      <c r="AD48" s="343"/>
      <c r="AG48" s="344"/>
      <c r="AL48" s="343"/>
      <c r="AO48" s="344"/>
      <c r="AP48" s="343"/>
      <c r="AS48" s="344"/>
      <c r="AW48" s="344"/>
      <c r="BA48" s="345"/>
    </row>
    <row r="49" spans="1:53" s="73" customFormat="1" x14ac:dyDescent="0.15">
      <c r="A49" s="73">
        <v>2011</v>
      </c>
      <c r="B49" s="121">
        <v>40841</v>
      </c>
      <c r="C49" s="811" t="s">
        <v>1151</v>
      </c>
      <c r="D49" s="811"/>
      <c r="E49" s="73">
        <v>68</v>
      </c>
      <c r="F49" s="73">
        <v>1</v>
      </c>
      <c r="G49" s="480">
        <v>14</v>
      </c>
      <c r="H49" s="560"/>
      <c r="I49" s="560"/>
      <c r="J49" s="482">
        <v>14</v>
      </c>
      <c r="K49" s="477">
        <f t="shared" si="9"/>
        <v>100</v>
      </c>
      <c r="L49" s="477">
        <f t="shared" si="10"/>
        <v>0</v>
      </c>
      <c r="M49" s="477">
        <f t="shared" si="11"/>
        <v>0</v>
      </c>
      <c r="N49" s="481">
        <f t="shared" si="3"/>
        <v>100</v>
      </c>
      <c r="O49" s="476">
        <v>56</v>
      </c>
      <c r="P49" s="477"/>
      <c r="Q49" s="477"/>
      <c r="R49" s="478">
        <f t="shared" si="4"/>
        <v>56</v>
      </c>
      <c r="S49" s="560">
        <v>2</v>
      </c>
      <c r="T49" s="95">
        <v>40803</v>
      </c>
      <c r="U49" s="85">
        <v>40841</v>
      </c>
      <c r="V49" s="82" t="s">
        <v>1152</v>
      </c>
      <c r="W49" s="73" t="s">
        <v>79</v>
      </c>
      <c r="X49" s="73" t="s">
        <v>11</v>
      </c>
      <c r="Y49" s="83">
        <v>22</v>
      </c>
      <c r="Z49" s="73" t="s">
        <v>417</v>
      </c>
      <c r="AA49" s="73" t="s">
        <v>76</v>
      </c>
      <c r="AB49" s="73" t="s">
        <v>11</v>
      </c>
      <c r="AC49" s="73">
        <v>20</v>
      </c>
      <c r="AD49" s="82" t="s">
        <v>1153</v>
      </c>
      <c r="AE49" s="73" t="s">
        <v>1154</v>
      </c>
      <c r="AF49" s="73" t="s">
        <v>11</v>
      </c>
      <c r="AG49" s="83">
        <v>14</v>
      </c>
      <c r="AL49" s="82"/>
      <c r="AO49" s="83"/>
      <c r="AP49" s="82"/>
      <c r="AS49" s="83"/>
      <c r="AW49" s="83"/>
      <c r="BA49" s="84"/>
    </row>
    <row r="50" spans="1:53" s="73" customFormat="1" x14ac:dyDescent="0.15">
      <c r="A50" s="73">
        <v>2012</v>
      </c>
      <c r="B50" s="122"/>
      <c r="C50" s="811" t="s">
        <v>1151</v>
      </c>
      <c r="D50" s="811"/>
      <c r="E50" s="73">
        <v>0</v>
      </c>
      <c r="G50" s="480">
        <v>14</v>
      </c>
      <c r="H50" s="560"/>
      <c r="I50" s="560"/>
      <c r="J50" s="482">
        <v>14</v>
      </c>
      <c r="K50" s="477">
        <f t="shared" si="9"/>
        <v>100</v>
      </c>
      <c r="L50" s="477">
        <f t="shared" si="10"/>
        <v>0</v>
      </c>
      <c r="M50" s="477">
        <f t="shared" si="11"/>
        <v>0</v>
      </c>
      <c r="N50" s="481">
        <f t="shared" si="3"/>
        <v>100</v>
      </c>
      <c r="O50" s="476">
        <v>56</v>
      </c>
      <c r="P50" s="477"/>
      <c r="Q50" s="477"/>
      <c r="R50" s="478">
        <f t="shared" si="4"/>
        <v>56</v>
      </c>
      <c r="S50" s="560">
        <v>2</v>
      </c>
      <c r="T50" s="81"/>
      <c r="V50" s="82" t="s">
        <v>1152</v>
      </c>
      <c r="W50" s="73" t="s">
        <v>79</v>
      </c>
      <c r="X50" s="73" t="s">
        <v>11</v>
      </c>
      <c r="Y50" s="83">
        <v>22</v>
      </c>
      <c r="Z50" s="73" t="s">
        <v>417</v>
      </c>
      <c r="AA50" s="73" t="s">
        <v>76</v>
      </c>
      <c r="AB50" s="73" t="s">
        <v>11</v>
      </c>
      <c r="AC50" s="73">
        <v>20</v>
      </c>
      <c r="AD50" s="82" t="s">
        <v>1153</v>
      </c>
      <c r="AE50" s="73" t="s">
        <v>1154</v>
      </c>
      <c r="AF50" s="73" t="s">
        <v>11</v>
      </c>
      <c r="AG50" s="83">
        <v>14</v>
      </c>
      <c r="AL50" s="82"/>
      <c r="AO50" s="83"/>
      <c r="AP50" s="82"/>
      <c r="AS50" s="83"/>
      <c r="AW50" s="83"/>
      <c r="BA50" s="84"/>
    </row>
    <row r="51" spans="1:53" s="73" customFormat="1" x14ac:dyDescent="0.15">
      <c r="A51" s="73">
        <v>2012</v>
      </c>
      <c r="B51" s="122"/>
      <c r="C51" s="811" t="s">
        <v>1151</v>
      </c>
      <c r="D51" s="811"/>
      <c r="E51" s="73">
        <v>366</v>
      </c>
      <c r="G51" s="480">
        <v>14</v>
      </c>
      <c r="H51" s="560"/>
      <c r="I51" s="560"/>
      <c r="J51" s="482">
        <v>14</v>
      </c>
      <c r="K51" s="477">
        <f t="shared" si="9"/>
        <v>100</v>
      </c>
      <c r="L51" s="477">
        <f t="shared" si="10"/>
        <v>0</v>
      </c>
      <c r="M51" s="477">
        <f t="shared" si="11"/>
        <v>0</v>
      </c>
      <c r="N51" s="481">
        <f t="shared" si="3"/>
        <v>100</v>
      </c>
      <c r="O51" s="476">
        <v>56</v>
      </c>
      <c r="P51" s="477"/>
      <c r="Q51" s="477"/>
      <c r="R51" s="478">
        <f t="shared" si="4"/>
        <v>56</v>
      </c>
      <c r="S51" s="560">
        <v>2</v>
      </c>
      <c r="T51" s="81"/>
      <c r="V51" s="82" t="s">
        <v>1152</v>
      </c>
      <c r="W51" s="73" t="s">
        <v>79</v>
      </c>
      <c r="X51" s="73" t="s">
        <v>11</v>
      </c>
      <c r="Y51" s="83">
        <v>22</v>
      </c>
      <c r="Z51" s="73" t="s">
        <v>417</v>
      </c>
      <c r="AA51" s="73" t="s">
        <v>76</v>
      </c>
      <c r="AB51" s="73" t="s">
        <v>11</v>
      </c>
      <c r="AC51" s="73">
        <v>20</v>
      </c>
      <c r="AD51" s="82" t="s">
        <v>1153</v>
      </c>
      <c r="AE51" s="73" t="s">
        <v>1154</v>
      </c>
      <c r="AF51" s="73" t="s">
        <v>11</v>
      </c>
      <c r="AG51" s="83">
        <v>14</v>
      </c>
      <c r="AL51" s="82"/>
      <c r="AO51" s="83"/>
      <c r="AP51" s="82"/>
      <c r="AS51" s="83"/>
      <c r="AW51" s="83"/>
      <c r="BA51" s="84"/>
    </row>
    <row r="52" spans="1:53" s="317" customFormat="1" x14ac:dyDescent="0.15">
      <c r="A52" s="317">
        <v>2013</v>
      </c>
      <c r="B52" s="122"/>
      <c r="C52" s="811" t="s">
        <v>1151</v>
      </c>
      <c r="D52" s="811"/>
      <c r="E52" s="317">
        <v>0</v>
      </c>
      <c r="G52" s="480">
        <v>14</v>
      </c>
      <c r="H52" s="560"/>
      <c r="I52" s="560"/>
      <c r="J52" s="482">
        <v>14</v>
      </c>
      <c r="K52" s="477">
        <f t="shared" si="9"/>
        <v>100</v>
      </c>
      <c r="L52" s="477">
        <f t="shared" si="10"/>
        <v>0</v>
      </c>
      <c r="M52" s="477">
        <f t="shared" si="11"/>
        <v>0</v>
      </c>
      <c r="N52" s="481">
        <f t="shared" ref="N52:N57" si="12">SUM(K52:M52)</f>
        <v>100</v>
      </c>
      <c r="O52" s="476">
        <v>56</v>
      </c>
      <c r="P52" s="477"/>
      <c r="Q52" s="477"/>
      <c r="R52" s="478">
        <f>SUM(O52:Q52)</f>
        <v>56</v>
      </c>
      <c r="S52" s="560">
        <v>2</v>
      </c>
      <c r="T52" s="81"/>
      <c r="V52" s="82" t="s">
        <v>1152</v>
      </c>
      <c r="W52" s="317" t="s">
        <v>79</v>
      </c>
      <c r="X52" s="317" t="s">
        <v>11</v>
      </c>
      <c r="Y52" s="83">
        <v>22</v>
      </c>
      <c r="Z52" s="317" t="s">
        <v>417</v>
      </c>
      <c r="AA52" s="317" t="s">
        <v>76</v>
      </c>
      <c r="AB52" s="317" t="s">
        <v>11</v>
      </c>
      <c r="AC52" s="317">
        <v>20</v>
      </c>
      <c r="AD52" s="82" t="s">
        <v>1153</v>
      </c>
      <c r="AE52" s="317" t="s">
        <v>1154</v>
      </c>
      <c r="AF52" s="317" t="s">
        <v>11</v>
      </c>
      <c r="AG52" s="83">
        <v>14</v>
      </c>
      <c r="AL52" s="82"/>
      <c r="AO52" s="83"/>
      <c r="AP52" s="82"/>
      <c r="AS52" s="83"/>
      <c r="AW52" s="83"/>
      <c r="BA52" s="84"/>
    </row>
    <row r="53" spans="1:53" s="317" customFormat="1" x14ac:dyDescent="0.15">
      <c r="A53" s="317">
        <v>2013</v>
      </c>
      <c r="B53" s="122"/>
      <c r="C53" s="811" t="s">
        <v>1151</v>
      </c>
      <c r="D53" s="811"/>
      <c r="E53" s="317">
        <v>365</v>
      </c>
      <c r="G53" s="480">
        <v>14</v>
      </c>
      <c r="H53" s="560"/>
      <c r="I53" s="560"/>
      <c r="J53" s="482">
        <v>14</v>
      </c>
      <c r="K53" s="477">
        <f t="shared" si="9"/>
        <v>100</v>
      </c>
      <c r="L53" s="477">
        <f t="shared" si="10"/>
        <v>0</v>
      </c>
      <c r="M53" s="477">
        <f t="shared" si="11"/>
        <v>0</v>
      </c>
      <c r="N53" s="481">
        <f t="shared" si="12"/>
        <v>100</v>
      </c>
      <c r="O53" s="476">
        <v>56</v>
      </c>
      <c r="P53" s="477"/>
      <c r="Q53" s="477"/>
      <c r="R53" s="478">
        <f>SUM(O53:Q53)</f>
        <v>56</v>
      </c>
      <c r="S53" s="560">
        <v>2</v>
      </c>
      <c r="T53" s="81"/>
      <c r="V53" s="82" t="s">
        <v>1152</v>
      </c>
      <c r="W53" s="317" t="s">
        <v>79</v>
      </c>
      <c r="X53" s="317" t="s">
        <v>11</v>
      </c>
      <c r="Y53" s="83">
        <v>22</v>
      </c>
      <c r="Z53" s="317" t="s">
        <v>417</v>
      </c>
      <c r="AA53" s="317" t="s">
        <v>76</v>
      </c>
      <c r="AB53" s="317" t="s">
        <v>11</v>
      </c>
      <c r="AC53" s="317">
        <v>20</v>
      </c>
      <c r="AD53" s="82" t="s">
        <v>1153</v>
      </c>
      <c r="AE53" s="317" t="s">
        <v>1154</v>
      </c>
      <c r="AF53" s="317" t="s">
        <v>11</v>
      </c>
      <c r="AG53" s="83">
        <v>14</v>
      </c>
      <c r="AL53" s="82"/>
      <c r="AO53" s="83"/>
      <c r="AP53" s="82"/>
      <c r="AS53" s="83"/>
      <c r="AW53" s="83"/>
      <c r="BA53" s="84"/>
    </row>
    <row r="54" spans="1:53" s="555" customFormat="1" x14ac:dyDescent="0.15">
      <c r="A54" s="555">
        <v>2014</v>
      </c>
      <c r="B54" s="122"/>
      <c r="C54" s="811" t="s">
        <v>1151</v>
      </c>
      <c r="D54" s="811"/>
      <c r="E54" s="555">
        <v>21</v>
      </c>
      <c r="G54" s="480">
        <v>14</v>
      </c>
      <c r="H54" s="560"/>
      <c r="I54" s="560"/>
      <c r="J54" s="482">
        <v>14</v>
      </c>
      <c r="K54" s="477">
        <f>G54/J54*100</f>
        <v>100</v>
      </c>
      <c r="L54" s="477">
        <f>H54/J54*100</f>
        <v>0</v>
      </c>
      <c r="M54" s="477">
        <f>I54/J54*100</f>
        <v>0</v>
      </c>
      <c r="N54" s="481">
        <f t="shared" si="12"/>
        <v>100</v>
      </c>
      <c r="O54" s="476">
        <v>56</v>
      </c>
      <c r="P54" s="477"/>
      <c r="Q54" s="477"/>
      <c r="R54" s="478">
        <f>SUM(O54:Q54)</f>
        <v>56</v>
      </c>
      <c r="S54" s="560">
        <v>2</v>
      </c>
      <c r="T54" s="471"/>
      <c r="V54" s="472" t="s">
        <v>1152</v>
      </c>
      <c r="W54" s="555" t="s">
        <v>79</v>
      </c>
      <c r="X54" s="555" t="s">
        <v>11</v>
      </c>
      <c r="Y54" s="473">
        <v>22</v>
      </c>
      <c r="Z54" s="555" t="s">
        <v>417</v>
      </c>
      <c r="AA54" s="555" t="s">
        <v>76</v>
      </c>
      <c r="AB54" s="555" t="s">
        <v>11</v>
      </c>
      <c r="AC54" s="555">
        <v>20</v>
      </c>
      <c r="AD54" s="472" t="s">
        <v>1153</v>
      </c>
      <c r="AE54" s="555" t="s">
        <v>1154</v>
      </c>
      <c r="AF54" s="555" t="s">
        <v>11</v>
      </c>
      <c r="AG54" s="473">
        <v>14</v>
      </c>
      <c r="AL54" s="472"/>
      <c r="AO54" s="473"/>
      <c r="AP54" s="472"/>
      <c r="AS54" s="473"/>
      <c r="AW54" s="473"/>
      <c r="BA54" s="474"/>
    </row>
    <row r="55" spans="1:53" s="561" customFormat="1" x14ac:dyDescent="0.15">
      <c r="A55" s="561">
        <v>2014</v>
      </c>
      <c r="B55" s="335">
        <v>41661</v>
      </c>
      <c r="C55" s="812" t="s">
        <v>1311</v>
      </c>
      <c r="D55" s="812"/>
      <c r="E55" s="561">
        <v>169</v>
      </c>
      <c r="F55" s="561">
        <v>2</v>
      </c>
      <c r="G55" s="497">
        <v>11</v>
      </c>
      <c r="H55" s="561">
        <v>3</v>
      </c>
      <c r="J55" s="499">
        <v>14</v>
      </c>
      <c r="K55" s="495">
        <f>G55/J55*100</f>
        <v>78.571428571428569</v>
      </c>
      <c r="L55" s="495">
        <f>H55/J55*100</f>
        <v>21.428571428571427</v>
      </c>
      <c r="M55" s="495">
        <f>I55/J55*100</f>
        <v>0</v>
      </c>
      <c r="N55" s="498">
        <f t="shared" si="12"/>
        <v>100</v>
      </c>
      <c r="O55" s="494">
        <v>50</v>
      </c>
      <c r="P55" s="495">
        <v>13</v>
      </c>
      <c r="R55" s="496">
        <f>SUM(O55:P55)</f>
        <v>63</v>
      </c>
      <c r="S55" s="561">
        <v>2</v>
      </c>
      <c r="T55" s="487"/>
      <c r="U55" s="558"/>
      <c r="V55" s="488" t="s">
        <v>1152</v>
      </c>
      <c r="W55" s="561" t="s">
        <v>79</v>
      </c>
      <c r="X55" s="561" t="s">
        <v>11</v>
      </c>
      <c r="Y55" s="489">
        <v>16</v>
      </c>
      <c r="Z55" s="561" t="s">
        <v>417</v>
      </c>
      <c r="AA55" s="561" t="s">
        <v>76</v>
      </c>
      <c r="AB55" s="561" t="s">
        <v>11</v>
      </c>
      <c r="AC55" s="561">
        <v>20</v>
      </c>
      <c r="AD55" s="488" t="s">
        <v>1153</v>
      </c>
      <c r="AE55" s="561" t="s">
        <v>1154</v>
      </c>
      <c r="AF55" s="561" t="s">
        <v>11</v>
      </c>
      <c r="AG55" s="489">
        <v>14</v>
      </c>
      <c r="AH55" s="561" t="s">
        <v>1053</v>
      </c>
      <c r="AI55" s="561" t="s">
        <v>951</v>
      </c>
      <c r="AJ55" s="561" t="s">
        <v>18</v>
      </c>
      <c r="AK55" s="561">
        <v>13</v>
      </c>
      <c r="AL55" s="488"/>
      <c r="AO55" s="489"/>
      <c r="AP55" s="488"/>
      <c r="AS55" s="489"/>
      <c r="AW55" s="489"/>
      <c r="BA55" s="490"/>
    </row>
    <row r="56" spans="1:53" s="561" customFormat="1" x14ac:dyDescent="0.15">
      <c r="A56" s="561">
        <v>2014</v>
      </c>
      <c r="B56" s="502">
        <v>41830</v>
      </c>
      <c r="C56" s="812" t="s">
        <v>1311</v>
      </c>
      <c r="D56" s="812"/>
      <c r="E56" s="561">
        <v>118</v>
      </c>
      <c r="F56" s="501">
        <v>0</v>
      </c>
      <c r="G56" s="497">
        <v>10</v>
      </c>
      <c r="H56" s="561">
        <v>3</v>
      </c>
      <c r="J56" s="499">
        <v>13</v>
      </c>
      <c r="K56" s="495">
        <f>G56/J56*100</f>
        <v>76.923076923076934</v>
      </c>
      <c r="L56" s="495">
        <f>H56/J56*100</f>
        <v>23.076923076923077</v>
      </c>
      <c r="M56" s="495">
        <f>I56/J56*100</f>
        <v>0</v>
      </c>
      <c r="N56" s="498">
        <f t="shared" si="12"/>
        <v>100.00000000000001</v>
      </c>
      <c r="O56" s="494">
        <v>50</v>
      </c>
      <c r="P56" s="495">
        <v>13</v>
      </c>
      <c r="R56" s="496">
        <f>SUM(O56:P56)</f>
        <v>63</v>
      </c>
      <c r="S56" s="561">
        <v>2</v>
      </c>
      <c r="T56" s="487"/>
      <c r="V56" s="488" t="s">
        <v>1152</v>
      </c>
      <c r="W56" s="561" t="s">
        <v>79</v>
      </c>
      <c r="X56" s="561" t="s">
        <v>11</v>
      </c>
      <c r="Y56" s="489">
        <v>16</v>
      </c>
      <c r="Z56" s="561" t="s">
        <v>417</v>
      </c>
      <c r="AA56" s="561" t="s">
        <v>76</v>
      </c>
      <c r="AB56" s="561" t="s">
        <v>11</v>
      </c>
      <c r="AC56" s="561">
        <v>20</v>
      </c>
      <c r="AD56" s="488" t="s">
        <v>1153</v>
      </c>
      <c r="AE56" s="561" t="s">
        <v>1154</v>
      </c>
      <c r="AF56" s="561" t="s">
        <v>11</v>
      </c>
      <c r="AG56" s="489">
        <v>14</v>
      </c>
      <c r="AH56" s="561" t="s">
        <v>1053</v>
      </c>
      <c r="AI56" s="561" t="s">
        <v>951</v>
      </c>
      <c r="AJ56" s="561" t="s">
        <v>18</v>
      </c>
      <c r="AK56" s="561">
        <v>13</v>
      </c>
      <c r="AL56" s="488"/>
      <c r="AO56" s="489"/>
      <c r="AP56" s="488"/>
      <c r="AS56" s="489"/>
      <c r="AW56" s="489"/>
      <c r="BA56" s="490"/>
    </row>
    <row r="57" spans="1:53" s="560" customFormat="1" x14ac:dyDescent="0.15">
      <c r="A57" s="560">
        <v>2014</v>
      </c>
      <c r="B57" s="121">
        <v>41948</v>
      </c>
      <c r="C57" s="811" t="s">
        <v>1312</v>
      </c>
      <c r="D57" s="811"/>
      <c r="E57" s="560">
        <v>57</v>
      </c>
      <c r="F57" s="560">
        <v>1</v>
      </c>
      <c r="G57" s="480">
        <v>9</v>
      </c>
      <c r="H57" s="560">
        <v>5</v>
      </c>
      <c r="J57" s="482">
        <v>14</v>
      </c>
      <c r="K57" s="477">
        <f>G57/J57*100</f>
        <v>64.285714285714292</v>
      </c>
      <c r="L57" s="477">
        <f>H57/J57*100</f>
        <v>35.714285714285715</v>
      </c>
      <c r="M57" s="477">
        <f>I57/J57*100</f>
        <v>0</v>
      </c>
      <c r="N57" s="481">
        <f t="shared" si="12"/>
        <v>100</v>
      </c>
      <c r="O57" s="476">
        <v>40</v>
      </c>
      <c r="P57" s="477">
        <v>21</v>
      </c>
      <c r="R57" s="478">
        <f>SUM(O57:P57)</f>
        <v>61</v>
      </c>
      <c r="S57" s="560">
        <v>2</v>
      </c>
      <c r="T57" s="479">
        <v>41915</v>
      </c>
      <c r="U57" s="738">
        <v>41948</v>
      </c>
      <c r="V57" s="592" t="s">
        <v>417</v>
      </c>
      <c r="W57" s="560" t="s">
        <v>76</v>
      </c>
      <c r="X57" s="560" t="s">
        <v>11</v>
      </c>
      <c r="Y57" s="473">
        <v>23</v>
      </c>
      <c r="Z57" s="472" t="s">
        <v>1153</v>
      </c>
      <c r="AA57" s="560" t="s">
        <v>1154</v>
      </c>
      <c r="AB57" s="560" t="s">
        <v>11</v>
      </c>
      <c r="AC57" s="560">
        <v>17</v>
      </c>
      <c r="AD57" s="472" t="s">
        <v>1053</v>
      </c>
      <c r="AE57" s="560" t="s">
        <v>951</v>
      </c>
      <c r="AF57" s="560" t="s">
        <v>18</v>
      </c>
      <c r="AG57" s="473">
        <v>21</v>
      </c>
      <c r="AL57" s="472"/>
      <c r="AO57" s="473"/>
      <c r="AP57" s="472"/>
      <c r="AS57" s="473"/>
      <c r="AW57" s="473"/>
      <c r="BA57" s="474"/>
    </row>
    <row r="58" spans="1:53" s="741" customFormat="1" x14ac:dyDescent="0.15">
      <c r="A58" s="741">
        <v>2015</v>
      </c>
      <c r="B58" s="121"/>
      <c r="C58" s="811" t="s">
        <v>1312</v>
      </c>
      <c r="D58" s="811"/>
      <c r="E58" s="741">
        <v>307</v>
      </c>
      <c r="G58" s="600">
        <v>9</v>
      </c>
      <c r="H58" s="741">
        <v>5</v>
      </c>
      <c r="J58" s="602">
        <v>14</v>
      </c>
      <c r="K58" s="597">
        <f t="shared" ref="K58:K59" si="13">G58/J58*100</f>
        <v>64.285714285714292</v>
      </c>
      <c r="L58" s="597">
        <f t="shared" ref="L58:L59" si="14">H58/J58*100</f>
        <v>35.714285714285715</v>
      </c>
      <c r="M58" s="597">
        <f t="shared" ref="M58:M59" si="15">I58/J58*100</f>
        <v>0</v>
      </c>
      <c r="N58" s="601">
        <f t="shared" ref="N58:N59" si="16">SUM(K58:M58)</f>
        <v>100</v>
      </c>
      <c r="O58" s="596">
        <v>40</v>
      </c>
      <c r="P58" s="597">
        <v>21</v>
      </c>
      <c r="R58" s="598">
        <f t="shared" ref="R58:R59" si="17">SUM(O58:P58)</f>
        <v>61</v>
      </c>
      <c r="S58" s="741">
        <v>2</v>
      </c>
      <c r="T58" s="599"/>
      <c r="V58" s="592" t="s">
        <v>417</v>
      </c>
      <c r="W58" s="741" t="s">
        <v>76</v>
      </c>
      <c r="X58" s="741" t="s">
        <v>11</v>
      </c>
      <c r="Y58" s="593">
        <v>23</v>
      </c>
      <c r="Z58" s="592" t="s">
        <v>1153</v>
      </c>
      <c r="AA58" s="741" t="s">
        <v>1154</v>
      </c>
      <c r="AB58" s="741" t="s">
        <v>11</v>
      </c>
      <c r="AC58" s="741">
        <v>17</v>
      </c>
      <c r="AD58" s="592" t="s">
        <v>1053</v>
      </c>
      <c r="AE58" s="741" t="s">
        <v>951</v>
      </c>
      <c r="AF58" s="741" t="s">
        <v>18</v>
      </c>
      <c r="AG58" s="593">
        <v>21</v>
      </c>
      <c r="AL58" s="592"/>
      <c r="AO58" s="593"/>
      <c r="AP58" s="592"/>
      <c r="AS58" s="593"/>
      <c r="AW58" s="593"/>
      <c r="BA58" s="594"/>
    </row>
    <row r="59" spans="1:53" s="741" customFormat="1" x14ac:dyDescent="0.15">
      <c r="A59" s="741">
        <v>2015</v>
      </c>
      <c r="B59" s="154">
        <v>42312</v>
      </c>
      <c r="C59" s="811" t="s">
        <v>1312</v>
      </c>
      <c r="D59" s="811"/>
      <c r="E59" s="741">
        <v>58</v>
      </c>
      <c r="F59" s="604">
        <v>0</v>
      </c>
      <c r="G59" s="600">
        <v>8</v>
      </c>
      <c r="H59" s="741">
        <v>5</v>
      </c>
      <c r="J59" s="602">
        <v>13</v>
      </c>
      <c r="K59" s="597">
        <f t="shared" si="13"/>
        <v>61.53846153846154</v>
      </c>
      <c r="L59" s="597">
        <f t="shared" si="14"/>
        <v>38.461538461538467</v>
      </c>
      <c r="M59" s="597">
        <f t="shared" si="15"/>
        <v>0</v>
      </c>
      <c r="N59" s="601">
        <f t="shared" si="16"/>
        <v>100</v>
      </c>
      <c r="O59" s="596">
        <v>40</v>
      </c>
      <c r="P59" s="597">
        <v>21</v>
      </c>
      <c r="R59" s="598">
        <f t="shared" si="17"/>
        <v>61</v>
      </c>
      <c r="S59" s="741">
        <v>2</v>
      </c>
      <c r="T59" s="599"/>
      <c r="V59" s="592" t="s">
        <v>417</v>
      </c>
      <c r="W59" s="741" t="s">
        <v>76</v>
      </c>
      <c r="X59" s="741" t="s">
        <v>11</v>
      </c>
      <c r="Y59" s="593">
        <v>23</v>
      </c>
      <c r="Z59" s="592" t="s">
        <v>1153</v>
      </c>
      <c r="AA59" s="741" t="s">
        <v>1154</v>
      </c>
      <c r="AB59" s="741" t="s">
        <v>11</v>
      </c>
      <c r="AC59" s="741">
        <v>17</v>
      </c>
      <c r="AD59" s="592" t="s">
        <v>1053</v>
      </c>
      <c r="AE59" s="741" t="s">
        <v>951</v>
      </c>
      <c r="AF59" s="741" t="s">
        <v>18</v>
      </c>
      <c r="AG59" s="593">
        <v>21</v>
      </c>
      <c r="AL59" s="592"/>
      <c r="AO59" s="593"/>
      <c r="AP59" s="592"/>
      <c r="AS59" s="593"/>
      <c r="AW59" s="593"/>
      <c r="BA59" s="594"/>
    </row>
    <row r="60" spans="1:53" x14ac:dyDescent="0.15">
      <c r="B60" s="2"/>
      <c r="C60" s="2"/>
      <c r="D60" s="2"/>
      <c r="E60" s="2"/>
      <c r="F60" s="2"/>
      <c r="G60" s="2"/>
      <c r="H60" s="2"/>
      <c r="I60" s="2"/>
      <c r="J60" s="2"/>
      <c r="K60" s="2"/>
      <c r="L60" s="2"/>
      <c r="M60" s="2"/>
      <c r="N60" s="2"/>
    </row>
    <row r="61" spans="1:53" x14ac:dyDescent="0.15">
      <c r="B61" s="2"/>
      <c r="C61" s="2"/>
      <c r="D61" s="2"/>
      <c r="E61" s="2"/>
      <c r="F61" s="2"/>
      <c r="G61" s="2"/>
      <c r="H61" s="2"/>
      <c r="I61" s="2"/>
      <c r="J61" s="2"/>
      <c r="K61" s="2"/>
      <c r="L61" s="2"/>
      <c r="M61" s="2"/>
      <c r="N61" s="2"/>
    </row>
    <row r="62" spans="1:53" s="2" customFormat="1" ht="18" customHeight="1" x14ac:dyDescent="0.2">
      <c r="B62" s="22" t="s">
        <v>1284</v>
      </c>
    </row>
    <row r="63" spans="1:53" s="2" customFormat="1" ht="9" customHeight="1" x14ac:dyDescent="0.15"/>
    <row r="64" spans="1:53" s="364" customFormat="1" ht="9" customHeight="1" x14ac:dyDescent="0.15">
      <c r="A64" s="362"/>
      <c r="B64" s="363" t="s">
        <v>1235</v>
      </c>
      <c r="C64" s="363"/>
      <c r="D64" s="363"/>
      <c r="E64" s="363"/>
      <c r="F64" s="363"/>
      <c r="G64" s="363" t="s">
        <v>1236</v>
      </c>
      <c r="H64" s="363"/>
      <c r="I64" s="363"/>
      <c r="J64" s="363"/>
      <c r="K64" s="363"/>
      <c r="L64" s="363"/>
      <c r="M64" s="363"/>
      <c r="N64" s="363"/>
      <c r="R64" s="802" t="s">
        <v>1237</v>
      </c>
      <c r="S64" s="802"/>
      <c r="T64" s="802"/>
      <c r="U64" s="802"/>
      <c r="V64" s="802"/>
      <c r="W64" s="802"/>
      <c r="X64" s="365"/>
      <c r="Y64" s="365"/>
      <c r="AA64" s="365"/>
      <c r="AB64" s="365"/>
      <c r="AC64" s="365"/>
      <c r="AD64" s="365"/>
    </row>
    <row r="65" spans="1:30" s="369" customFormat="1" ht="9" customHeight="1" x14ac:dyDescent="0.15">
      <c r="A65" s="366"/>
      <c r="B65" s="367" t="s">
        <v>1239</v>
      </c>
      <c r="C65" s="368"/>
      <c r="D65" s="368"/>
      <c r="E65" s="368"/>
      <c r="F65" s="368"/>
      <c r="G65" s="367" t="s">
        <v>1238</v>
      </c>
      <c r="H65" s="368"/>
      <c r="I65" s="368"/>
      <c r="J65" s="368"/>
      <c r="K65" s="368"/>
      <c r="L65" s="368"/>
      <c r="M65" s="368"/>
      <c r="N65" s="368"/>
      <c r="R65" s="370" t="s">
        <v>1240</v>
      </c>
      <c r="S65" s="371"/>
      <c r="T65" s="372"/>
      <c r="U65" s="372"/>
      <c r="V65" s="372"/>
      <c r="W65" s="370" t="s">
        <v>1241</v>
      </c>
      <c r="X65" s="372"/>
      <c r="Y65" s="372"/>
      <c r="AA65" s="372"/>
      <c r="AB65" s="372"/>
      <c r="AC65" s="372"/>
      <c r="AD65" s="372"/>
    </row>
    <row r="66" spans="1:30" s="351" customFormat="1" ht="12" customHeight="1" x14ac:dyDescent="0.15">
      <c r="A66" s="373" t="s">
        <v>3</v>
      </c>
      <c r="B66" s="374" t="s">
        <v>8</v>
      </c>
      <c r="C66" s="374" t="s">
        <v>9</v>
      </c>
      <c r="D66" s="374" t="s">
        <v>10</v>
      </c>
      <c r="E66" s="375" t="s">
        <v>1215</v>
      </c>
      <c r="F66" s="374"/>
      <c r="G66" s="351" t="s">
        <v>3</v>
      </c>
      <c r="H66" s="803" t="s">
        <v>0</v>
      </c>
      <c r="I66" s="803"/>
      <c r="J66" s="803" t="s">
        <v>1</v>
      </c>
      <c r="K66" s="803"/>
      <c r="L66" s="803" t="s">
        <v>2</v>
      </c>
      <c r="M66" s="803"/>
      <c r="N66" s="804" t="s">
        <v>1215</v>
      </c>
      <c r="O66" s="804"/>
      <c r="P66" s="376"/>
      <c r="Q66" s="376"/>
      <c r="R66" s="377" t="s">
        <v>3</v>
      </c>
      <c r="S66" s="378" t="s">
        <v>136</v>
      </c>
      <c r="T66" s="376" t="s">
        <v>134</v>
      </c>
      <c r="U66" s="374" t="s">
        <v>135</v>
      </c>
      <c r="V66" s="376"/>
      <c r="W66" s="379" t="s">
        <v>26</v>
      </c>
    </row>
    <row r="67" spans="1:30" ht="9" customHeight="1" x14ac:dyDescent="0.15">
      <c r="A67" s="1">
        <v>1990</v>
      </c>
      <c r="C67" s="8"/>
      <c r="D67" s="8"/>
      <c r="E67" s="69"/>
      <c r="G67" s="1">
        <v>1990</v>
      </c>
      <c r="H67" s="807"/>
      <c r="I67" s="807"/>
      <c r="J67" s="807"/>
      <c r="K67" s="807"/>
      <c r="L67" s="807"/>
      <c r="M67" s="807"/>
      <c r="N67" s="781"/>
      <c r="O67" s="781"/>
      <c r="R67" s="1">
        <v>1990</v>
      </c>
    </row>
    <row r="68" spans="1:30" ht="9" customHeight="1" x14ac:dyDescent="0.15">
      <c r="A68" s="1">
        <v>1991</v>
      </c>
      <c r="C68" s="8"/>
      <c r="D68" s="8"/>
      <c r="E68" s="69"/>
      <c r="G68" s="1">
        <v>1991</v>
      </c>
      <c r="H68" s="823"/>
      <c r="I68" s="823"/>
      <c r="J68" s="823"/>
      <c r="K68" s="823"/>
      <c r="L68" s="823"/>
      <c r="M68" s="823"/>
      <c r="N68" s="781"/>
      <c r="O68" s="781"/>
      <c r="R68" s="1">
        <v>1991</v>
      </c>
    </row>
    <row r="69" spans="1:30" ht="9" customHeight="1" x14ac:dyDescent="0.15">
      <c r="A69" s="1">
        <v>1992</v>
      </c>
      <c r="C69" s="8"/>
      <c r="D69" s="8"/>
      <c r="E69" s="69"/>
      <c r="G69" s="1">
        <v>1992</v>
      </c>
      <c r="H69" s="823"/>
      <c r="I69" s="823"/>
      <c r="J69" s="823"/>
      <c r="K69" s="823"/>
      <c r="L69" s="823"/>
      <c r="M69" s="823"/>
      <c r="N69" s="781"/>
      <c r="O69" s="781"/>
      <c r="R69" s="1">
        <v>1992</v>
      </c>
    </row>
    <row r="70" spans="1:30" ht="9" customHeight="1" x14ac:dyDescent="0.15">
      <c r="A70" s="1">
        <v>1993</v>
      </c>
      <c r="B70" s="8">
        <f>(K7*($E7/151))</f>
        <v>80</v>
      </c>
      <c r="C70" s="8">
        <f>(L7*($E7/151))</f>
        <v>0</v>
      </c>
      <c r="D70" s="8">
        <f>(M7*($E7/151))</f>
        <v>20</v>
      </c>
      <c r="E70" s="69">
        <f t="shared" ref="E70:E89" si="18">SUM(B70:D70)</f>
        <v>100</v>
      </c>
      <c r="G70" s="1">
        <v>1993</v>
      </c>
      <c r="H70" s="823">
        <f>(O7/$R7*100*($E7/151))</f>
        <v>75</v>
      </c>
      <c r="I70" s="823"/>
      <c r="J70" s="823">
        <f>(P7/$R7*100*($E7/151))</f>
        <v>0</v>
      </c>
      <c r="K70" s="823"/>
      <c r="L70" s="823">
        <f>(Q7/$R7*100*($E7/151))</f>
        <v>25</v>
      </c>
      <c r="M70" s="823"/>
      <c r="N70" s="781">
        <f t="shared" ref="N70:N85" si="19">SUM(H70:L70)</f>
        <v>100</v>
      </c>
      <c r="O70" s="781"/>
      <c r="R70" s="1">
        <v>1993</v>
      </c>
      <c r="S70" s="8">
        <f>(O7*($E7/151))</f>
        <v>36</v>
      </c>
      <c r="T70" s="8">
        <f>(P7*($E7/151))</f>
        <v>0</v>
      </c>
      <c r="U70" s="8">
        <f>(Q7*($E7/151))</f>
        <v>12</v>
      </c>
      <c r="W70" s="7">
        <f>SUM(S70:U70)</f>
        <v>48</v>
      </c>
      <c r="Y70" s="71" t="s">
        <v>1244</v>
      </c>
    </row>
    <row r="71" spans="1:30" ht="9" customHeight="1" x14ac:dyDescent="0.15">
      <c r="A71" s="1">
        <v>1994</v>
      </c>
      <c r="B71" s="8">
        <f>(K8*($E8/365))+(K9*($E9/365))</f>
        <v>75.350293542074368</v>
      </c>
      <c r="C71" s="8">
        <f>(L8*($E8/365))+(L9*($E9/365))</f>
        <v>0</v>
      </c>
      <c r="D71" s="8">
        <f>(M8*($E8/365))+(M9*($E9/365))</f>
        <v>16.195694716242659</v>
      </c>
      <c r="E71" s="69">
        <f t="shared" si="18"/>
        <v>91.545988258317024</v>
      </c>
      <c r="G71" s="1">
        <v>1994</v>
      </c>
      <c r="H71" s="823">
        <f>(O8/$R8*100*($E8/365))+(O9/$R9*100*($E9/365))</f>
        <v>82.397260273972606</v>
      </c>
      <c r="I71" s="823"/>
      <c r="J71" s="823">
        <f>(P8/$R8*100*($E8/365))+(P9/$R9*100*($E9/365))</f>
        <v>0</v>
      </c>
      <c r="K71" s="823"/>
      <c r="L71" s="823">
        <f>(Q8/$R8*100*($E8/365))+(Q9/$R9*100*($E9/365))</f>
        <v>17.602739726027398</v>
      </c>
      <c r="M71" s="823"/>
      <c r="N71" s="781">
        <f t="shared" si="19"/>
        <v>100</v>
      </c>
      <c r="O71" s="781"/>
      <c r="R71" s="1">
        <v>1994</v>
      </c>
      <c r="S71" s="8">
        <f>(O8*($E8/365))+(O9*($E9/365))</f>
        <v>36</v>
      </c>
      <c r="T71" s="8">
        <f>(P8*($E8/365))+(P9*($E9/365))</f>
        <v>0</v>
      </c>
      <c r="U71" s="8">
        <f>(Q8*($E8/365))+(Q9*($E9/365))</f>
        <v>8.4493150684931511</v>
      </c>
      <c r="W71" s="7">
        <f t="shared" ref="W71:W89" si="20">SUM(S71:U71)</f>
        <v>44.449315068493149</v>
      </c>
    </row>
    <row r="72" spans="1:30" ht="9" customHeight="1" x14ac:dyDescent="0.15">
      <c r="A72" s="1">
        <v>1995</v>
      </c>
      <c r="B72" s="8">
        <f>(K10*($E10/365))+(K11*($E11/365))</f>
        <v>64.043542074363998</v>
      </c>
      <c r="C72" s="8">
        <f>(L10*($E10/365))+(L11*($E11/365))</f>
        <v>0.18835616438356165</v>
      </c>
      <c r="D72" s="8">
        <f>(M10*($E10/365))+(M11*($E11/365))</f>
        <v>7.8693737769080228</v>
      </c>
      <c r="E72" s="69">
        <f t="shared" si="18"/>
        <v>72.101272015655582</v>
      </c>
      <c r="G72" s="1">
        <v>1995</v>
      </c>
      <c r="H72" s="823">
        <f>(O10/$R10*100*($E10/365))+(O11/$R11*100*($E11/365))</f>
        <v>98.596359542127985</v>
      </c>
      <c r="I72" s="823"/>
      <c r="J72" s="823">
        <f>(P10/$R10*100*($E10/365))+(P11/$R11*100*($E11/365))</f>
        <v>0.33026834302871083</v>
      </c>
      <c r="K72" s="823"/>
      <c r="L72" s="823">
        <f>(Q10/$R10*100*($E10/365))+(Q11/$R11*100*($E11/365))</f>
        <v>1.0733721148433102</v>
      </c>
      <c r="M72" s="823"/>
      <c r="N72" s="781">
        <f t="shared" si="19"/>
        <v>100</v>
      </c>
      <c r="O72" s="781"/>
      <c r="R72" s="1">
        <v>1995</v>
      </c>
      <c r="S72" s="8">
        <f>(O10*($E10/365))+(O11*($E11/365))</f>
        <v>36.090410958904108</v>
      </c>
      <c r="T72" s="8">
        <f>(P10*($E10/365))+(P11*($E11/365))</f>
        <v>0.24109589041095891</v>
      </c>
      <c r="U72" s="8">
        <f>(Q10*($E10/365))+(Q11*($E11/365))</f>
        <v>0.78356164383561644</v>
      </c>
      <c r="W72" s="7">
        <f t="shared" si="20"/>
        <v>37.115068493150687</v>
      </c>
    </row>
    <row r="73" spans="1:30" ht="9" customHeight="1" x14ac:dyDescent="0.15">
      <c r="A73" s="1">
        <v>1996</v>
      </c>
      <c r="B73" s="8">
        <f>(K12*($E12/366))+(K13*($E13/366))</f>
        <v>56.25</v>
      </c>
      <c r="C73" s="8">
        <f>(L12*($E12/366))+(L13*($E13/366))</f>
        <v>6.25</v>
      </c>
      <c r="D73" s="8">
        <f>(M12*($E12/366))+(M13*($E13/366))</f>
        <v>31.25</v>
      </c>
      <c r="E73" s="69">
        <f t="shared" si="18"/>
        <v>93.75</v>
      </c>
      <c r="G73" s="1">
        <v>1996</v>
      </c>
      <c r="H73" s="823">
        <f>(O12/$R12*100*($E12/366))+(O13/$R13*100*($E13/366))</f>
        <v>53.424657534246577</v>
      </c>
      <c r="I73" s="823"/>
      <c r="J73" s="823">
        <f>(P12/$R12*100*($E12/366))+(P13/$R13*100*($E13/366))</f>
        <v>10.95890410958904</v>
      </c>
      <c r="K73" s="823"/>
      <c r="L73" s="823">
        <f>(Q12/$R12*100*($E12/366))+(Q13/$R13*100*($E13/366))</f>
        <v>35.61643835616438</v>
      </c>
      <c r="M73" s="823"/>
      <c r="N73" s="781">
        <f t="shared" si="19"/>
        <v>100</v>
      </c>
      <c r="O73" s="781"/>
      <c r="R73" s="1">
        <v>1996</v>
      </c>
      <c r="S73" s="8">
        <f>(O12*($E12/366))+(O13*($E13/366))</f>
        <v>39</v>
      </c>
      <c r="T73" s="8">
        <f>(P12*($E12/366))+(P13*($E13/366))</f>
        <v>8</v>
      </c>
      <c r="U73" s="8">
        <f>(Q12*($E12/366))+(Q13*($E13/366))</f>
        <v>26</v>
      </c>
      <c r="W73" s="7">
        <f t="shared" si="20"/>
        <v>73</v>
      </c>
    </row>
    <row r="74" spans="1:30" ht="9" customHeight="1" x14ac:dyDescent="0.15">
      <c r="A74" s="1">
        <v>1997</v>
      </c>
      <c r="B74" s="8">
        <f>(K14*($E14/365))+(K15*($E15/365))+(K16*($E16/365))</f>
        <v>54.521449170872387</v>
      </c>
      <c r="C74" s="8">
        <f>(L14*($E14/365))+(L15*($E15/365))+(L16*($E16/365))</f>
        <v>14.413302090843548</v>
      </c>
      <c r="D74" s="8">
        <f>(M14*($E14/365))+(M15*($E15/365))+(M16*($E16/365))</f>
        <v>25.282083633741887</v>
      </c>
      <c r="E74" s="69">
        <f t="shared" si="18"/>
        <v>94.216834895457822</v>
      </c>
      <c r="G74" s="1">
        <v>1997</v>
      </c>
      <c r="H74" s="823">
        <f>(O14/$R14*100*($E14/365))+(O15/$R15*100*($E15/365))+(O16/$R16*100*($E16/365))</f>
        <v>59.225370613623575</v>
      </c>
      <c r="I74" s="823"/>
      <c r="J74" s="823">
        <f>(P14/$R14*100*($E14/365))+(P15/$R15*100*($E15/365))+(P16/$R16*100*($E16/365))</f>
        <v>12.148793972025349</v>
      </c>
      <c r="K74" s="823"/>
      <c r="L74" s="823">
        <f>(Q14/$R14*100*($E14/365))+(Q15/$R15*100*($E15/365))+(Q16/$R16*100*($E16/365))</f>
        <v>28.625835414351084</v>
      </c>
      <c r="M74" s="823"/>
      <c r="N74" s="781">
        <f t="shared" si="19"/>
        <v>100.00000000000001</v>
      </c>
      <c r="O74" s="781"/>
      <c r="R74" s="1">
        <v>1997</v>
      </c>
      <c r="S74" s="8">
        <f>(O14*($E14/365))+(O15*($E15/365))+(O16*($E16/365))</f>
        <v>39</v>
      </c>
      <c r="T74" s="8">
        <f>(P14*($E14/365))+(P15*($E15/365))+(P16*($E16/365))</f>
        <v>8</v>
      </c>
      <c r="U74" s="8">
        <f>(Q14*($E14/365))+(Q15*($E15/365))+(Q16*($E16/365))</f>
        <v>18.942465753424656</v>
      </c>
      <c r="W74" s="7">
        <f t="shared" si="20"/>
        <v>65.942465753424656</v>
      </c>
    </row>
    <row r="75" spans="1:30" ht="9" customHeight="1" x14ac:dyDescent="0.15">
      <c r="A75" s="1">
        <v>1998</v>
      </c>
      <c r="B75" s="8">
        <f>(K17*($E17/365))+(K18*($E18/365))+(K19*($E19/365))</f>
        <v>65.839831401475237</v>
      </c>
      <c r="C75" s="8">
        <f>(L17*($E17/365))+(L18*($E18/365))+(L19*($E19/365))</f>
        <v>25.252145115158818</v>
      </c>
      <c r="D75" s="8">
        <f>(M17*($E17/365))+(M18*($E18/365))+(M19*($E19/365))</f>
        <v>8.9080234833659482</v>
      </c>
      <c r="E75" s="69">
        <f t="shared" si="18"/>
        <v>100</v>
      </c>
      <c r="G75" s="1">
        <v>1998</v>
      </c>
      <c r="H75" s="823">
        <f>(O17/$R17*100*($E17/365))+(O18/$R18*100*($E18/365))+(O19/$R19*100*($E19/365))</f>
        <v>76.940571856839512</v>
      </c>
      <c r="I75" s="823"/>
      <c r="J75" s="823">
        <f>(P17/$R17*100*($E17/365))+(P18/$R18*100*($E18/365))+(P19/$R19*100*($E19/365))</f>
        <v>14.089814586462795</v>
      </c>
      <c r="K75" s="823"/>
      <c r="L75" s="823">
        <f>(Q17/$R17*100*($E17/365))+(Q18/$R18*100*($E18/365))+(Q19/$R19*100*($E19/365))</f>
        <v>8.9696135566977055</v>
      </c>
      <c r="M75" s="823"/>
      <c r="N75" s="781">
        <f t="shared" si="19"/>
        <v>100.00000000000001</v>
      </c>
      <c r="O75" s="781"/>
      <c r="R75" s="1">
        <v>1998</v>
      </c>
      <c r="S75" s="8">
        <f>(O17*($E17/365))+(O18*($E18/365))+(O19*($E19/365))</f>
        <v>39.197260273972603</v>
      </c>
      <c r="T75" s="8">
        <f>(P17*($E17/365))+(P18*($E18/365))+(P19*($E19/365))</f>
        <v>7.2109589041095896</v>
      </c>
      <c r="U75" s="8">
        <f>(Q17*($E17/365))+(Q18*($E18/365))+(Q19*($E19/365))</f>
        <v>5.5726027397260278</v>
      </c>
      <c r="W75" s="7">
        <f t="shared" si="20"/>
        <v>51.980821917808221</v>
      </c>
    </row>
    <row r="76" spans="1:30" ht="9" customHeight="1" x14ac:dyDescent="0.15">
      <c r="A76" s="1">
        <v>1999</v>
      </c>
      <c r="B76" s="8">
        <f>(K20*($E20/365))+(K21*($E21/365))+(K22*($E22/365))</f>
        <v>89.881278538812779</v>
      </c>
      <c r="C76" s="8">
        <f>(L20*($E20/365))+(L21*($E21/365))+(L22*($E22/365))</f>
        <v>0</v>
      </c>
      <c r="D76" s="8">
        <f>(M20*($E20/365))+(M21*($E21/365))+(M22*($E22/365))</f>
        <v>10.118721461187215</v>
      </c>
      <c r="E76" s="69">
        <f t="shared" si="18"/>
        <v>100</v>
      </c>
      <c r="G76" s="1">
        <v>1999</v>
      </c>
      <c r="H76" s="823">
        <f>(O20/$R20*100*($E20/365))+(O21/$R21*100*($E21/365))+(O22/$R22*100*($E22/365))</f>
        <v>82.98015096449538</v>
      </c>
      <c r="I76" s="823"/>
      <c r="J76" s="823">
        <f>(P20/$R20*100*($E20/365))+(P21/$R21*100*($E21/365))+(P22/$R22*100*($E22/365))</f>
        <v>0</v>
      </c>
      <c r="K76" s="823"/>
      <c r="L76" s="823">
        <f>(Q20/$R20*100*($E20/365))+(Q21/$R21*100*($E21/365))+(Q22/$R22*100*($E22/365))</f>
        <v>17.01984903550461</v>
      </c>
      <c r="M76" s="823"/>
      <c r="N76" s="781">
        <f t="shared" si="19"/>
        <v>99.999999999999986</v>
      </c>
      <c r="O76" s="781"/>
      <c r="R76" s="1">
        <v>1999</v>
      </c>
      <c r="S76" s="8">
        <f>(O20*($E20/365))+(O21*($E21/365))+(O22*($E22/365))</f>
        <v>50.723287671232875</v>
      </c>
      <c r="T76" s="8">
        <f>(P20*($E20/365))+(P21*($E21/365))+(P22*($E22/365))</f>
        <v>0</v>
      </c>
      <c r="U76" s="8">
        <f>(Q20*($E20/365))+(Q21*($E21/365))+(Q22*($E22/365))</f>
        <v>10.509589041095891</v>
      </c>
      <c r="W76" s="7">
        <f t="shared" si="20"/>
        <v>61.232876712328768</v>
      </c>
    </row>
    <row r="77" spans="1:30" ht="9" customHeight="1" x14ac:dyDescent="0.15">
      <c r="A77" s="1">
        <v>2000</v>
      </c>
      <c r="B77" s="8">
        <f>(K23*($E23/366))+(K24*($E24/366))</f>
        <v>91.183970856102007</v>
      </c>
      <c r="C77" s="8">
        <f>(L23*($E23/366))+(L24*($E24/366))</f>
        <v>0</v>
      </c>
      <c r="D77" s="8">
        <f>(M23*($E23/366))+(M24*($E24/366))</f>
        <v>8.8160291438979961</v>
      </c>
      <c r="E77" s="69">
        <f t="shared" si="18"/>
        <v>100</v>
      </c>
      <c r="G77" s="1">
        <v>2000</v>
      </c>
      <c r="H77" s="823">
        <f>(O23/$R23*100*($E23/366))+(O24/$R24*100*($E24/366))</f>
        <v>92.44340359094457</v>
      </c>
      <c r="I77" s="823"/>
      <c r="J77" s="823">
        <f>(P23/$R23*100*($E23/366))+(P24/$R24*100*($E24/366))</f>
        <v>0</v>
      </c>
      <c r="K77" s="823"/>
      <c r="L77" s="823">
        <f>(Q23/$R23*100*($E23/366))+(Q24/$R24*100*($E24/366))</f>
        <v>7.556596409055425</v>
      </c>
      <c r="M77" s="823"/>
      <c r="N77" s="781">
        <f t="shared" si="19"/>
        <v>100</v>
      </c>
      <c r="O77" s="781"/>
      <c r="R77" s="1">
        <v>2000</v>
      </c>
      <c r="S77" s="8">
        <f>(O23*($E23/366))+(O24*($E24/366))</f>
        <v>62</v>
      </c>
      <c r="T77" s="8">
        <f>(P23*($E23/366))+(P24*($E24/366))</f>
        <v>0</v>
      </c>
      <c r="U77" s="8">
        <f>(Q23*($E23/366))+(Q24*($E24/366))</f>
        <v>5.2896174863387975</v>
      </c>
      <c r="W77" s="7">
        <f t="shared" si="20"/>
        <v>67.289617486338798</v>
      </c>
    </row>
    <row r="78" spans="1:30" ht="9" customHeight="1" x14ac:dyDescent="0.15">
      <c r="A78" s="1">
        <v>2001</v>
      </c>
      <c r="B78" s="8">
        <f>(K25*($E25/365))+(K26*($E26/365))</f>
        <v>86.666666666666671</v>
      </c>
      <c r="C78" s="8">
        <f>(L25*($E25/365))+(L26*($E26/365))</f>
        <v>0</v>
      </c>
      <c r="D78" s="8">
        <f>(M25*($E25/365))+(M26*($E26/365))</f>
        <v>13.333333333333334</v>
      </c>
      <c r="E78" s="69">
        <f t="shared" si="18"/>
        <v>100</v>
      </c>
      <c r="G78" s="1">
        <v>2001</v>
      </c>
      <c r="H78" s="823">
        <f>(O25/$R25*100*($E25/365))+(O26/$R26*100*($E26/365))</f>
        <v>88.571428571428569</v>
      </c>
      <c r="I78" s="823"/>
      <c r="J78" s="823">
        <f>(P25/$R25*100*($E25/365))+(P26/$R26*100*($E26/365))</f>
        <v>0</v>
      </c>
      <c r="K78" s="823"/>
      <c r="L78" s="823">
        <f>(Q25/$R25*100*($E25/365))+(Q26/$R26*100*($E26/365))</f>
        <v>11.428571428571429</v>
      </c>
      <c r="M78" s="823"/>
      <c r="N78" s="781">
        <f t="shared" si="19"/>
        <v>100</v>
      </c>
      <c r="O78" s="781"/>
      <c r="R78" s="1">
        <v>2001</v>
      </c>
      <c r="S78" s="8">
        <f>(O25*($E25/365))+(O26*($E26/365))</f>
        <v>62</v>
      </c>
      <c r="T78" s="8">
        <f>(P25*($E25/365))+(P26*($E26/365))</f>
        <v>0</v>
      </c>
      <c r="U78" s="8">
        <f>(Q25*($E25/365))+(Q26*($E26/365))</f>
        <v>8</v>
      </c>
      <c r="W78" s="7">
        <f t="shared" si="20"/>
        <v>70</v>
      </c>
    </row>
    <row r="79" spans="1:30" ht="9" customHeight="1" x14ac:dyDescent="0.15">
      <c r="A79" s="1">
        <v>2002</v>
      </c>
      <c r="B79" s="8">
        <f>(K27*($E27/365))+(K28*($E28/365))</f>
        <v>82.675799086757991</v>
      </c>
      <c r="C79" s="8">
        <f>(L27*($E27/365))+(L28*($E28/365))</f>
        <v>6.0730593607305945</v>
      </c>
      <c r="D79" s="8">
        <f>(M27*($E27/365))+(M28*($E28/365))</f>
        <v>11.251141552511415</v>
      </c>
      <c r="E79" s="69">
        <f t="shared" si="18"/>
        <v>100</v>
      </c>
      <c r="G79" s="1">
        <v>2002</v>
      </c>
      <c r="H79" s="823">
        <f>(O27/$R27*100*($E27/365))+(O28/$R28*100*($E28/365))</f>
        <v>84.109589041095887</v>
      </c>
      <c r="I79" s="823"/>
      <c r="J79" s="823">
        <f>(P27/$R27*100*($E27/365))+(P28/$R28*100*($E28/365))</f>
        <v>6.2465753424657535</v>
      </c>
      <c r="K79" s="823"/>
      <c r="L79" s="823">
        <f>(Q27/$R27*100*($E27/365))+(Q28/$R28*100*($E28/365))</f>
        <v>9.6438356164383556</v>
      </c>
      <c r="M79" s="823"/>
      <c r="N79" s="781">
        <f t="shared" si="19"/>
        <v>99.999999999999986</v>
      </c>
      <c r="O79" s="781"/>
      <c r="R79" s="1">
        <v>2002</v>
      </c>
      <c r="S79" s="8">
        <f>(O27*($E27/365))+(O28*($E28/365))</f>
        <v>57.471232876712328</v>
      </c>
      <c r="T79" s="8">
        <f>(P27*($E27/365))+(P28*($E28/365))</f>
        <v>3.4356164383561643</v>
      </c>
      <c r="U79" s="8">
        <f>(Q27*($E27/365))+(Q28*($E28/365))</f>
        <v>6.7506849315068491</v>
      </c>
      <c r="W79" s="7">
        <f t="shared" si="20"/>
        <v>67.657534246575338</v>
      </c>
    </row>
    <row r="80" spans="1:30" ht="9" customHeight="1" x14ac:dyDescent="0.15">
      <c r="A80" s="1">
        <v>2003</v>
      </c>
      <c r="B80" s="8">
        <f>(K29*($E29/365))+(K30*($E30/365))</f>
        <v>61.111111111111114</v>
      </c>
      <c r="C80" s="8">
        <f>(L29*($E29/365))+(L30*($E30/365))</f>
        <v>38.888888888888893</v>
      </c>
      <c r="D80" s="8">
        <f>(M29*($E29/365))+(M30*($E30/365))</f>
        <v>0</v>
      </c>
      <c r="E80" s="69">
        <f t="shared" si="18"/>
        <v>100</v>
      </c>
      <c r="G80" s="1">
        <v>2003</v>
      </c>
      <c r="H80" s="823">
        <f>(O29/$R29*100*($E29/365))+(O30/$R30*100*($E30/365))</f>
        <v>60</v>
      </c>
      <c r="I80" s="823"/>
      <c r="J80" s="823">
        <f>(P29/$R29*100*($E29/365))+(P30/$R30*100*($E30/365))</f>
        <v>40</v>
      </c>
      <c r="K80" s="823"/>
      <c r="L80" s="823">
        <f>(Q29/$R29*100*($E29/365))+(Q30/$R30*100*($E30/365))</f>
        <v>0</v>
      </c>
      <c r="M80" s="823"/>
      <c r="N80" s="781">
        <f t="shared" si="19"/>
        <v>100</v>
      </c>
      <c r="O80" s="781"/>
      <c r="R80" s="1">
        <v>2003</v>
      </c>
      <c r="S80" s="8">
        <f>(O29*($E29/365))+(O30*($E30/365))</f>
        <v>33</v>
      </c>
      <c r="T80" s="8">
        <f>(P29*($E29/365))+(P30*($E30/365))</f>
        <v>22</v>
      </c>
      <c r="U80" s="8">
        <f>(Q29*($E29/365))+(Q30*($E30/365))</f>
        <v>0</v>
      </c>
      <c r="W80" s="7">
        <f t="shared" si="20"/>
        <v>55</v>
      </c>
    </row>
    <row r="81" spans="1:53" ht="9" customHeight="1" x14ac:dyDescent="0.15">
      <c r="A81" s="1">
        <v>2004</v>
      </c>
      <c r="B81" s="8">
        <f>(K31*($E31/366))+(K32*($E32/366))+(K33*($E33/366))</f>
        <v>37.158469945355193</v>
      </c>
      <c r="C81" s="8">
        <f>(L31*($E31/366))+(L32*($E32/366))+(L33*($E33/366))</f>
        <v>54.705525197328477</v>
      </c>
      <c r="D81" s="8">
        <f>(M31*($E31/366))+(M32*($E32/366))+(M33*($E33/366))</f>
        <v>0</v>
      </c>
      <c r="E81" s="69">
        <f t="shared" si="18"/>
        <v>91.863995142683677</v>
      </c>
      <c r="G81" s="1">
        <v>2004</v>
      </c>
      <c r="H81" s="823">
        <f>(O31/$R31*100*($E31/366))+(O32/$R32*100*($E32/366))+(O33/$R33*100*($E33/366))</f>
        <v>51.560974116422528</v>
      </c>
      <c r="I81" s="823"/>
      <c r="J81" s="823">
        <f>(P31/$R31*100*($E31/366))+(P32/$R32*100*($E32/366))+(P33/$R33*100*($E33/366))</f>
        <v>48.439025883577479</v>
      </c>
      <c r="K81" s="823"/>
      <c r="L81" s="823">
        <f>(Q31/$R31*100*($E31/366))+(Q32/$R32*100*($E32/366))+(Q33/$R33*100*($E33/366))</f>
        <v>0</v>
      </c>
      <c r="M81" s="823"/>
      <c r="N81" s="781">
        <f t="shared" si="19"/>
        <v>100</v>
      </c>
      <c r="O81" s="781"/>
      <c r="R81" s="1">
        <v>2004</v>
      </c>
      <c r="S81" s="8">
        <f>(O31*($E31/366))+(O32*($E32/366))+(O33*($E33/366))</f>
        <v>24.546448087431692</v>
      </c>
      <c r="T81" s="8">
        <f>(P31*($E31/366))+(P32*($E32/366))+(P33*($E33/366))</f>
        <v>22</v>
      </c>
      <c r="U81" s="8">
        <f>(Q31*($E31/366))+(Q32*($E32/366))+(Q33*($E33/366))</f>
        <v>0</v>
      </c>
      <c r="W81" s="7">
        <f t="shared" si="20"/>
        <v>46.546448087431692</v>
      </c>
    </row>
    <row r="82" spans="1:53" ht="9" customHeight="1" x14ac:dyDescent="0.15">
      <c r="A82" s="1">
        <v>2005</v>
      </c>
      <c r="B82" s="8">
        <f>(K34*($E34/365))+(K35*($E35/365))</f>
        <v>66.666666666666657</v>
      </c>
      <c r="C82" s="8">
        <f>(L34*($E34/365))+(L35*($E35/365))</f>
        <v>33.333333333333329</v>
      </c>
      <c r="D82" s="8">
        <f>(M34*($E34/365))+(M35*($E35/365))</f>
        <v>0</v>
      </c>
      <c r="E82" s="69">
        <f t="shared" si="18"/>
        <v>99.999999999999986</v>
      </c>
      <c r="G82" s="1">
        <v>2005</v>
      </c>
      <c r="H82" s="823">
        <f>(O34/$R34*100*($E34/365))+(O35/$R35*100*($E35/365))</f>
        <v>67.64705882352942</v>
      </c>
      <c r="I82" s="823"/>
      <c r="J82" s="823">
        <f>(P34/$R34*100*($E34/365))+(P35/$R35*100*($E35/365))</f>
        <v>32.352941176470587</v>
      </c>
      <c r="K82" s="823"/>
      <c r="L82" s="823">
        <f>(Q34/$R34*100*($E34/365))+(Q35/$R35*100*($E35/365))</f>
        <v>0</v>
      </c>
      <c r="M82" s="823"/>
      <c r="N82" s="781">
        <f t="shared" si="19"/>
        <v>100</v>
      </c>
      <c r="O82" s="781"/>
      <c r="R82" s="1">
        <v>2005</v>
      </c>
      <c r="S82" s="8">
        <f>(O34*($E34/365))+(O35*($E35/365))</f>
        <v>46</v>
      </c>
      <c r="T82" s="8">
        <f>(P34*($E34/365))+(P35*($E35/365))</f>
        <v>22</v>
      </c>
      <c r="U82" s="8">
        <f>(Q34*($E34/365))+(Q35*($E35/365))</f>
        <v>0</v>
      </c>
      <c r="W82" s="7">
        <f t="shared" si="20"/>
        <v>68</v>
      </c>
    </row>
    <row r="83" spans="1:53" ht="9" customHeight="1" x14ac:dyDescent="0.15">
      <c r="A83" s="1">
        <v>2006</v>
      </c>
      <c r="B83" s="8">
        <f>(K36*($E36/365))+(K37*($E37/365))+(K38*($E38/365))</f>
        <v>54.429223744292237</v>
      </c>
      <c r="C83" s="8">
        <f>(L36*($E36/365))+(L37*($E37/365))+(L38*($E38/365))</f>
        <v>45.570776255707763</v>
      </c>
      <c r="D83" s="8">
        <f>(M36*($E36/365))+(M37*($E37/365))+(M38*($E38/365))</f>
        <v>0</v>
      </c>
      <c r="E83" s="69">
        <f t="shared" si="18"/>
        <v>100</v>
      </c>
      <c r="G83" s="1">
        <v>2006</v>
      </c>
      <c r="H83" s="823">
        <f>(O36/$R36*100*($E36/365))+(O37/$R37*100*($E37/365))+(O38/$R38*100*($E38/365))</f>
        <v>53.683431115654997</v>
      </c>
      <c r="I83" s="823"/>
      <c r="J83" s="823">
        <f>(P36/$R36*100*($E36/365))+(P37/$R37*100*($E37/365))+(P38/$R38*100*($E38/365))</f>
        <v>46.31656888434501</v>
      </c>
      <c r="K83" s="823"/>
      <c r="L83" s="823">
        <f>(Q36/$R36*100*($E36/365))+(Q37/$R37*100*($E37/365))+(Q38/$R38*100*($E38/365))</f>
        <v>0</v>
      </c>
      <c r="M83" s="823"/>
      <c r="N83" s="781">
        <f t="shared" si="19"/>
        <v>100</v>
      </c>
      <c r="O83" s="781"/>
      <c r="R83" s="1">
        <v>2006</v>
      </c>
      <c r="S83" s="8">
        <f>(O36*($E36/365))+(O37*($E37/365))+(O38*($E38/365))</f>
        <v>28.567123287671233</v>
      </c>
      <c r="T83" s="8">
        <f>(P36*($E36/365))+(P37*($E37/365))+(P38*($E38/365))</f>
        <v>22.904109589041099</v>
      </c>
      <c r="U83" s="8">
        <f>(Q36*($E36/365))+(Q37*($E37/365))+(Q38*($E38/365))</f>
        <v>0</v>
      </c>
      <c r="W83" s="7">
        <f t="shared" si="20"/>
        <v>51.471232876712335</v>
      </c>
    </row>
    <row r="84" spans="1:53" ht="9" customHeight="1" x14ac:dyDescent="0.15">
      <c r="A84" s="1">
        <v>2007</v>
      </c>
      <c r="B84" s="8">
        <f>(K39*($E39/365))+(K40*($E40/365))</f>
        <v>50.086517664023077</v>
      </c>
      <c r="C84" s="8">
        <f>(L39*($E39/365))+(L40*($E40/365))</f>
        <v>49.91348233597693</v>
      </c>
      <c r="D84" s="8">
        <f>(M39*($E39/365))+(M40*($E40/365))</f>
        <v>0</v>
      </c>
      <c r="E84" s="69">
        <f t="shared" si="18"/>
        <v>100</v>
      </c>
      <c r="G84" s="1">
        <v>2007</v>
      </c>
      <c r="H84" s="823">
        <f>(O39/$R39*100*($E39/365))+(O40/$R40*100*($E40/365))</f>
        <v>52.542372881355938</v>
      </c>
      <c r="I84" s="823"/>
      <c r="J84" s="823">
        <f>(P39/$R39*100*($E39/365))+(P40/$R40*100*($E40/365))</f>
        <v>47.457627118644069</v>
      </c>
      <c r="K84" s="823"/>
      <c r="L84" s="823">
        <f>(Q39/$R39*100*($E39/365))+(Q40/$R40*100*($E40/365))</f>
        <v>0</v>
      </c>
      <c r="M84" s="823"/>
      <c r="N84" s="781">
        <f t="shared" si="19"/>
        <v>100</v>
      </c>
      <c r="O84" s="781"/>
      <c r="R84" s="1">
        <v>2007</v>
      </c>
      <c r="S84" s="8">
        <f>(O39*($E39/365))+(O40*($E40/365))</f>
        <v>31</v>
      </c>
      <c r="T84" s="8">
        <f>(P39*($E39/365))+(P40*($E40/365))</f>
        <v>28.000000000000004</v>
      </c>
      <c r="U84" s="8">
        <f>(Q39*($E39/365))+(Q40*($E40/365))</f>
        <v>0</v>
      </c>
      <c r="W84" s="7">
        <f t="shared" si="20"/>
        <v>59</v>
      </c>
    </row>
    <row r="85" spans="1:53" ht="9" customHeight="1" x14ac:dyDescent="0.15">
      <c r="A85" s="1">
        <v>2008</v>
      </c>
      <c r="B85" s="8">
        <f>(K41*($E41/366))+(K42*($E42/366))</f>
        <v>52.631578947368418</v>
      </c>
      <c r="C85" s="8">
        <f>(L41*($E41/366))+(L42*($E42/366))</f>
        <v>47.368421052631575</v>
      </c>
      <c r="D85" s="8">
        <f>(M41*($E41/366))+(M42*($E42/366))</f>
        <v>0</v>
      </c>
      <c r="E85" s="69">
        <f t="shared" si="18"/>
        <v>100</v>
      </c>
      <c r="G85" s="1">
        <v>2008</v>
      </c>
      <c r="H85" s="823">
        <f>(O41/$R41*100*($E41/366))+(O42/$R42*100*($E42/366))</f>
        <v>52.542372881355938</v>
      </c>
      <c r="I85" s="823"/>
      <c r="J85" s="823">
        <f>(P41/$R41*100*($E41/366))+(P42/$R42*100*($E42/366))</f>
        <v>47.457627118644069</v>
      </c>
      <c r="K85" s="823"/>
      <c r="L85" s="823">
        <f>(Q41/$R41*100*($E41/366))+(Q42/$R42*100*($E42/366))</f>
        <v>0</v>
      </c>
      <c r="M85" s="823"/>
      <c r="N85" s="781">
        <f t="shared" si="19"/>
        <v>100</v>
      </c>
      <c r="O85" s="781"/>
      <c r="R85" s="1">
        <v>2008</v>
      </c>
      <c r="S85" s="8">
        <f>(O41*($E41/366))+(O42*($E42/366))</f>
        <v>31</v>
      </c>
      <c r="T85" s="8">
        <f>(P41*($E41/366))+(P42*($E42/366))</f>
        <v>28</v>
      </c>
      <c r="U85" s="8">
        <f>(Q41*($E41/366))+(Q42*($E42/366))</f>
        <v>0</v>
      </c>
      <c r="W85" s="7">
        <f t="shared" si="20"/>
        <v>59</v>
      </c>
    </row>
    <row r="86" spans="1:53" ht="9" customHeight="1" x14ac:dyDescent="0.15">
      <c r="A86" s="1">
        <v>2009</v>
      </c>
      <c r="B86" s="8">
        <f>(K43*($E43/365))+(K44*($E44/365))</f>
        <v>69.363133862052379</v>
      </c>
      <c r="C86" s="8">
        <f>(L43*($E43/365))+(L44*($E44/365))</f>
        <v>30.636866137947607</v>
      </c>
      <c r="D86" s="8">
        <f>(M43*($E43/365))+(M44*($E44/365))</f>
        <v>0</v>
      </c>
      <c r="E86" s="69">
        <f t="shared" si="18"/>
        <v>99.999999999999986</v>
      </c>
      <c r="G86" s="1">
        <v>2009</v>
      </c>
      <c r="H86" s="823">
        <f>(O43/$R43*100*($E43/365))+(O44/$R44*100*($E44/365))</f>
        <v>69.18518621196317</v>
      </c>
      <c r="I86" s="823"/>
      <c r="J86" s="823">
        <f>(P43/$R43*100*($E43/365))+(P44/$R44*100*($E44/365))</f>
        <v>30.81481378803683</v>
      </c>
      <c r="K86" s="823"/>
      <c r="L86" s="823">
        <f>(Q43/$R43*100*($E43/365))+(Q44/$R44*100*($E44/365))</f>
        <v>0</v>
      </c>
      <c r="M86" s="823"/>
      <c r="N86" s="781">
        <f t="shared" ref="N86:N91" si="21">SUM(H86:L86)</f>
        <v>100</v>
      </c>
      <c r="O86" s="781"/>
      <c r="R86" s="1">
        <v>2009</v>
      </c>
      <c r="S86" s="8">
        <f>(O43*($E43/365))+(O44*($E44/365))</f>
        <v>45.547945205479451</v>
      </c>
      <c r="T86" s="8">
        <f>(P43*($E43/365))+(P44*($E44/365))</f>
        <v>19.917808219178085</v>
      </c>
      <c r="U86" s="8">
        <f>(Q43*($E43/365))+(Q44*($E44/365))</f>
        <v>0</v>
      </c>
      <c r="W86" s="7">
        <f t="shared" si="20"/>
        <v>65.465753424657535</v>
      </c>
    </row>
    <row r="87" spans="1:53" ht="9" customHeight="1" x14ac:dyDescent="0.15">
      <c r="A87" s="1">
        <v>2010</v>
      </c>
      <c r="B87" s="8">
        <f>(K45*($E45/365))+(K46*($E46/365))+(K47*($E47/365))</f>
        <v>58.397912589693419</v>
      </c>
      <c r="C87" s="8">
        <f>(L45*($E45/365))+(L46*($E46/365))+(L47*($E47/365))</f>
        <v>33.419439008480104</v>
      </c>
      <c r="D87" s="8">
        <f>(M45*($E45/365))+(M46*($E46/365))+(M47*($E47/365))</f>
        <v>0</v>
      </c>
      <c r="E87" s="69">
        <f t="shared" si="18"/>
        <v>91.817351598173531</v>
      </c>
      <c r="G87" s="1">
        <v>2010</v>
      </c>
      <c r="H87" s="823">
        <f>(O45/$R45*100*($E45/365))+(O46/$R46*100*($E46/365))+(O47/$R47*100*($E47/365))</f>
        <v>62.356833516105652</v>
      </c>
      <c r="I87" s="823"/>
      <c r="J87" s="823">
        <f>(P45/$R45*100*($E45/365))+(P46/$R46*100*($E46/365))+(P47/$R47*100*($E47/365))</f>
        <v>37.643166483894355</v>
      </c>
      <c r="K87" s="823"/>
      <c r="L87" s="823">
        <f>(Q45/$R45*100*($E45/365))+(Q46/$R46*100*($E46/365))+(Q47/$R47*100*($E47/365))</f>
        <v>0</v>
      </c>
      <c r="M87" s="823"/>
      <c r="N87" s="781">
        <f t="shared" si="21"/>
        <v>100</v>
      </c>
      <c r="O87" s="781"/>
      <c r="R87" s="1">
        <v>2010</v>
      </c>
      <c r="S87" s="8">
        <f>(O45*($E45/365))+(O46*($E46/365))+(O47*($E47/365))</f>
        <v>32.254794520547946</v>
      </c>
      <c r="T87" s="8">
        <f>(P45*($E45/365))+(P46*($E46/365))+(P47*($E47/365))</f>
        <v>18.657534246575342</v>
      </c>
      <c r="U87" s="8">
        <f>(Q45*($E45/365))+(Q46*($E46/365))+(Q47*($E47/365))</f>
        <v>0</v>
      </c>
      <c r="W87" s="7">
        <f t="shared" si="20"/>
        <v>50.912328767123284</v>
      </c>
    </row>
    <row r="88" spans="1:53" ht="9" customHeight="1" x14ac:dyDescent="0.15">
      <c r="A88" s="1">
        <v>2011</v>
      </c>
      <c r="B88" s="8">
        <f>(K48*($E48/365))+(K49*($E49/365))</f>
        <v>65.127201565557726</v>
      </c>
      <c r="C88" s="8">
        <f>(L48*($E48/365))+(L49*($E49/365))</f>
        <v>34.872798434442267</v>
      </c>
      <c r="D88" s="8">
        <f>(M48*($E48/365))+(M49*($E49/365))</f>
        <v>0</v>
      </c>
      <c r="E88" s="69">
        <f t="shared" si="18"/>
        <v>100</v>
      </c>
      <c r="G88" s="1">
        <v>2011</v>
      </c>
      <c r="H88" s="823">
        <f>(O48/$R48*100*($E48/365))+(O49/$R49*100*($E49/365))</f>
        <v>67.452054794520549</v>
      </c>
      <c r="I88" s="823"/>
      <c r="J88" s="823">
        <f>(P48/$R48*100*($E48/365))+(P49/$R49*100*($E49/365))</f>
        <v>32.547945205479451</v>
      </c>
      <c r="K88" s="823"/>
      <c r="L88" s="823">
        <f>(Q48/$R48*100*($E48/365))+(Q49/$R49*100*($E49/365))</f>
        <v>0</v>
      </c>
      <c r="M88" s="823"/>
      <c r="N88" s="781">
        <f t="shared" si="21"/>
        <v>100</v>
      </c>
      <c r="O88" s="781"/>
      <c r="R88" s="1">
        <v>2011</v>
      </c>
      <c r="S88" s="8">
        <f>(O48*($E48/365))+(O49*($E49/365))</f>
        <v>37.284931506849318</v>
      </c>
      <c r="T88" s="8">
        <f>(P48*($E48/365))+(P49*($E49/365))</f>
        <v>17.901369863013699</v>
      </c>
      <c r="U88" s="8">
        <f>(Q48*($E48/365))+(Q49*($E49/365))</f>
        <v>0</v>
      </c>
      <c r="W88" s="7">
        <f t="shared" si="20"/>
        <v>55.186301369863017</v>
      </c>
    </row>
    <row r="89" spans="1:53" ht="9" customHeight="1" x14ac:dyDescent="0.15">
      <c r="A89" s="1">
        <v>2012</v>
      </c>
      <c r="B89" s="8">
        <f>(K50*($E50/366))+(K51*($E51/366))</f>
        <v>100</v>
      </c>
      <c r="C89" s="8">
        <f>(L50*($E50/366))+(L51*($E51/366))</f>
        <v>0</v>
      </c>
      <c r="D89" s="8">
        <f>(M50*($E50/366))+(M51*($E51/366))</f>
        <v>0</v>
      </c>
      <c r="E89" s="69">
        <f t="shared" si="18"/>
        <v>100</v>
      </c>
      <c r="G89" s="1">
        <v>2012</v>
      </c>
      <c r="H89" s="823">
        <f>(O50/$R50*100*($E50/366))+(O51/$R51*100*($E51/366))</f>
        <v>100</v>
      </c>
      <c r="I89" s="823"/>
      <c r="J89" s="823">
        <f>(P50/$R50*100*($E50/366))+(P51/$R51*100*($E51/366))</f>
        <v>0</v>
      </c>
      <c r="K89" s="823"/>
      <c r="L89" s="823">
        <f>(Q50/$R50*100*($E50/366))+(Q51/$R51*100*($E51/366))</f>
        <v>0</v>
      </c>
      <c r="M89" s="823"/>
      <c r="N89" s="781">
        <f t="shared" si="21"/>
        <v>100</v>
      </c>
      <c r="O89" s="781"/>
      <c r="R89" s="1">
        <v>2012</v>
      </c>
      <c r="S89" s="8">
        <f>(O50*($E50/366))+(O51*($E51/366))</f>
        <v>56</v>
      </c>
      <c r="T89" s="8">
        <f>(P50*($E50/366))+(P51*($E51/366))</f>
        <v>0</v>
      </c>
      <c r="U89" s="8">
        <f>(Q50*($E50/366))+(Q51*($E51/366))</f>
        <v>0</v>
      </c>
      <c r="W89" s="7">
        <f t="shared" si="20"/>
        <v>56</v>
      </c>
    </row>
    <row r="90" spans="1:53" ht="9" customHeight="1" x14ac:dyDescent="0.15">
      <c r="A90" s="1">
        <v>2013</v>
      </c>
      <c r="B90" s="8">
        <f>(K52*($E52/365))+(K53*($E53/365))</f>
        <v>100</v>
      </c>
      <c r="C90" s="8">
        <f>(L52*($E52/365))+(L53*($E53/365))</f>
        <v>0</v>
      </c>
      <c r="D90" s="8">
        <f>(M52*($E52/365))+(M53*($E53/365))</f>
        <v>0</v>
      </c>
      <c r="E90" s="559">
        <f>SUM(B90:D90)</f>
        <v>100</v>
      </c>
      <c r="G90" s="1">
        <v>2013</v>
      </c>
      <c r="H90" s="823">
        <f>(O52/$R52*100*($E52/365))+(O53/$R53*100*($E53/365))</f>
        <v>100</v>
      </c>
      <c r="I90" s="823"/>
      <c r="J90" s="823">
        <f>(P52/$R52*100*($E52/365))+(P53/$R53*100*($E53/365))</f>
        <v>0</v>
      </c>
      <c r="K90" s="823"/>
      <c r="L90" s="823">
        <f>(Q52/$R52*100*($E52/365))+(Q53/$R53*100*($E53/365))</f>
        <v>0</v>
      </c>
      <c r="M90" s="823"/>
      <c r="N90" s="781">
        <f t="shared" si="21"/>
        <v>100</v>
      </c>
      <c r="O90" s="781"/>
      <c r="R90" s="1">
        <v>2013</v>
      </c>
      <c r="S90" s="8">
        <f>(O52*($E52/365))+(O53*($E53/365))</f>
        <v>56</v>
      </c>
      <c r="T90" s="8">
        <f>(P52*($E52/365))+(P53*($E53/365))</f>
        <v>0</v>
      </c>
      <c r="U90" s="8">
        <f>(Q52*($E52/365))+(Q53*($E53/365))</f>
        <v>0</v>
      </c>
      <c r="W90" s="7">
        <f>SUM(S90:U90)</f>
        <v>56</v>
      </c>
    </row>
    <row r="91" spans="1:53" s="745" customFormat="1" ht="9" customHeight="1" x14ac:dyDescent="0.15">
      <c r="A91" s="745">
        <v>2014</v>
      </c>
      <c r="B91" s="739">
        <f>(K54*($E54/365))+(K55*($E55/365))+(K56*($E56/365))+(K57*($E57/365))</f>
        <v>77.040493752822528</v>
      </c>
      <c r="C91" s="739">
        <f>(L54*($E54/365))+(L55*($E55/365))+(L56*($E56/365))+(L57*($E57/365))</f>
        <v>22.95950624717748</v>
      </c>
      <c r="D91" s="739">
        <f>(M54*($E54/365))+(M55*($E55/365))+(M56*($E56/365))+(M57*($E57/365))</f>
        <v>0</v>
      </c>
      <c r="E91" s="740">
        <f>SUM(B91:D91)</f>
        <v>100</v>
      </c>
      <c r="G91" s="745">
        <v>2014</v>
      </c>
      <c r="H91" s="823">
        <f>(O54/$R54*100*($E54/365))+(O55/$R55*100*($E55/365))+(O56/$R56*100*($E56/365))+(O57/$R57*100*($E57/365))</f>
        <v>78.398582728248115</v>
      </c>
      <c r="I91" s="823"/>
      <c r="J91" s="823">
        <f>(P54/$R54*100*($E54/365))+(P55/$R55*100*($E55/365))+(P56/$R56*100*($E56/365))+(P57/$R57*100*($E57/365))</f>
        <v>21.601417271751874</v>
      </c>
      <c r="K91" s="823"/>
      <c r="L91" s="823">
        <f>(Q54/$R54*100*($E54/365))+(Q55/$R55*100*($E55/365))+(Q56/$R56*100*($E56/365))+(Q57/$R57*100*($E57/365))</f>
        <v>0</v>
      </c>
      <c r="M91" s="823"/>
      <c r="N91" s="781">
        <f t="shared" si="21"/>
        <v>99.999999999999986</v>
      </c>
      <c r="O91" s="781"/>
      <c r="R91" s="745">
        <v>2014</v>
      </c>
      <c r="S91" s="739">
        <f>(O54*($E54/365))+(O55*($E55/365))+(O56*($E56/365))+(O57*($E57/365))</f>
        <v>48.783561643835618</v>
      </c>
      <c r="T91" s="739">
        <f>(P54*($E54/365))+(P55*($E55/365))+(P56*($E56/365))+(P57*($E57/365))</f>
        <v>13.501369863013698</v>
      </c>
      <c r="U91" s="739">
        <f>(Q54*($E54/365))+(Q55*($E55/365))+(Q56*($E56/365))+(Q57*($E57/365))</f>
        <v>0</v>
      </c>
      <c r="W91" s="744">
        <f>SUM(S91:U91)</f>
        <v>62.284931506849318</v>
      </c>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row>
    <row r="92" spans="1:53" s="745" customFormat="1" ht="9" customHeight="1" x14ac:dyDescent="0.15">
      <c r="A92" s="745">
        <v>2015</v>
      </c>
      <c r="B92" s="739">
        <f>(K58*($E58/365))+(K59*($E59/365))</f>
        <v>63.849164534096047</v>
      </c>
      <c r="C92" s="739">
        <f>(L58*($E58/365))+(L59*($E59/365))</f>
        <v>36.15083546590396</v>
      </c>
      <c r="D92" s="739">
        <f>(M58*($E58/365))+(M59*($E59/365))</f>
        <v>0</v>
      </c>
      <c r="E92" s="740">
        <f>SUM(B92:D92)</f>
        <v>100</v>
      </c>
      <c r="G92" s="745">
        <v>2015</v>
      </c>
      <c r="H92" s="823">
        <f>(O58/$R58*100*($E58/365))+(O59/$R59*100*($E59/365))</f>
        <v>65.573770491803273</v>
      </c>
      <c r="I92" s="823"/>
      <c r="J92" s="823">
        <f>(P58/$R58*100*($E58/365))+(P59/$R59*100*($E59/365))</f>
        <v>34.42622950819672</v>
      </c>
      <c r="K92" s="823"/>
      <c r="L92" s="823">
        <f>(Q58/$R58*100*($E58/365))+(Q59/$R59*100*($E59/365))</f>
        <v>0</v>
      </c>
      <c r="M92" s="823"/>
      <c r="N92" s="781">
        <f>SUM(H92:L92)</f>
        <v>100</v>
      </c>
      <c r="O92" s="781"/>
      <c r="R92" s="745">
        <v>2015</v>
      </c>
      <c r="S92" s="739">
        <f>(O58*($E58/365))+(O59*($E59/365))</f>
        <v>40</v>
      </c>
      <c r="T92" s="739">
        <f>(P58*($E58/365))+(P59*($E59/365))</f>
        <v>21</v>
      </c>
      <c r="U92" s="739">
        <f>(Q58*($E58/365))+(Q59*($E59/365))</f>
        <v>0</v>
      </c>
      <c r="W92" s="744">
        <f>SUM(S92:U92)</f>
        <v>61</v>
      </c>
    </row>
    <row r="93" spans="1:53" s="745" customFormat="1" ht="9" customHeight="1" x14ac:dyDescent="0.15">
      <c r="B93" s="739"/>
      <c r="C93" s="739"/>
      <c r="D93" s="739"/>
      <c r="E93" s="740"/>
      <c r="H93" s="823"/>
      <c r="I93" s="823"/>
      <c r="J93" s="823"/>
      <c r="K93" s="823"/>
      <c r="L93" s="823"/>
      <c r="M93" s="823"/>
      <c r="N93" s="781"/>
      <c r="O93" s="781"/>
      <c r="S93" s="739"/>
      <c r="T93" s="739"/>
      <c r="U93" s="739"/>
      <c r="W93" s="744"/>
    </row>
    <row r="94" spans="1:53" s="745" customFormat="1" ht="9" customHeight="1" x14ac:dyDescent="0.15">
      <c r="B94" s="739"/>
      <c r="C94" s="739"/>
      <c r="D94" s="739"/>
      <c r="E94" s="740"/>
      <c r="H94" s="823"/>
      <c r="I94" s="823"/>
      <c r="J94" s="823"/>
      <c r="K94" s="823"/>
      <c r="L94" s="823"/>
      <c r="M94" s="823"/>
      <c r="N94" s="781"/>
      <c r="O94" s="781"/>
      <c r="S94" s="739"/>
      <c r="T94" s="739"/>
      <c r="U94" s="739"/>
      <c r="W94" s="744"/>
    </row>
    <row r="95" spans="1:53" s="745" customFormat="1" ht="9" customHeight="1" x14ac:dyDescent="0.15">
      <c r="B95" s="739"/>
      <c r="C95" s="739"/>
      <c r="D95" s="739"/>
      <c r="E95" s="740"/>
    </row>
    <row r="96" spans="1:53" s="745" customFormat="1" ht="9" customHeight="1" x14ac:dyDescent="0.15">
      <c r="B96" s="739"/>
      <c r="C96" s="739"/>
      <c r="D96" s="739"/>
      <c r="E96" s="740"/>
      <c r="H96" s="823"/>
      <c r="I96" s="823"/>
      <c r="J96" s="823"/>
      <c r="K96" s="823"/>
      <c r="L96" s="823"/>
      <c r="M96" s="823"/>
      <c r="N96" s="781"/>
      <c r="O96" s="781"/>
      <c r="S96" s="739"/>
      <c r="T96" s="739"/>
      <c r="U96" s="739"/>
      <c r="W96" s="744"/>
    </row>
  </sheetData>
  <mergeCells count="196">
    <mergeCell ref="C16:D16"/>
    <mergeCell ref="C19:D19"/>
    <mergeCell ref="AT4:AW4"/>
    <mergeCell ref="AX4:BA4"/>
    <mergeCell ref="H90:I90"/>
    <mergeCell ref="J90:K90"/>
    <mergeCell ref="L90:M90"/>
    <mergeCell ref="N90:O90"/>
    <mergeCell ref="K4:N4"/>
    <mergeCell ref="N68:O68"/>
    <mergeCell ref="L89:M89"/>
    <mergeCell ref="N69:O69"/>
    <mergeCell ref="N70:O70"/>
    <mergeCell ref="L85:M85"/>
    <mergeCell ref="L86:M86"/>
    <mergeCell ref="N78:O78"/>
    <mergeCell ref="N75:O75"/>
    <mergeCell ref="N76:O76"/>
    <mergeCell ref="N79:O79"/>
    <mergeCell ref="L88:M88"/>
    <mergeCell ref="C30:D30"/>
    <mergeCell ref="C32:D32"/>
    <mergeCell ref="C33:D33"/>
    <mergeCell ref="C34:D34"/>
    <mergeCell ref="A4:A5"/>
    <mergeCell ref="B4:B5"/>
    <mergeCell ref="C4:D5"/>
    <mergeCell ref="E4:E5"/>
    <mergeCell ref="F4:F5"/>
    <mergeCell ref="O4:R4"/>
    <mergeCell ref="AH4:AK4"/>
    <mergeCell ref="AL4:AO4"/>
    <mergeCell ref="L87:M87"/>
    <mergeCell ref="N71:O71"/>
    <mergeCell ref="C9:D9"/>
    <mergeCell ref="C6:D6"/>
    <mergeCell ref="C7:D7"/>
    <mergeCell ref="C8:D8"/>
    <mergeCell ref="C10:D10"/>
    <mergeCell ref="C11:D11"/>
    <mergeCell ref="C12:D12"/>
    <mergeCell ref="C13:D13"/>
    <mergeCell ref="C14:D14"/>
    <mergeCell ref="C15:D15"/>
    <mergeCell ref="C17:D17"/>
    <mergeCell ref="C18:D18"/>
    <mergeCell ref="C20:D20"/>
    <mergeCell ref="C21:D21"/>
    <mergeCell ref="G3:M3"/>
    <mergeCell ref="O3:Q3"/>
    <mergeCell ref="Z4:AC4"/>
    <mergeCell ref="AD4:AG4"/>
    <mergeCell ref="N67:O67"/>
    <mergeCell ref="AP4:AS4"/>
    <mergeCell ref="S4:S5"/>
    <mergeCell ref="T4:T5"/>
    <mergeCell ref="U4:U5"/>
    <mergeCell ref="V4:Y4"/>
    <mergeCell ref="G4:J4"/>
    <mergeCell ref="J67:K67"/>
    <mergeCell ref="H67:I67"/>
    <mergeCell ref="R64:W64"/>
    <mergeCell ref="H66:I66"/>
    <mergeCell ref="J66:K66"/>
    <mergeCell ref="L66:M66"/>
    <mergeCell ref="N66:O66"/>
    <mergeCell ref="C38:D38"/>
    <mergeCell ref="C39:D39"/>
    <mergeCell ref="C40:D40"/>
    <mergeCell ref="C41:D41"/>
    <mergeCell ref="C42:D42"/>
    <mergeCell ref="C35:D35"/>
    <mergeCell ref="C22:D22"/>
    <mergeCell ref="C37:D37"/>
    <mergeCell ref="C24:D24"/>
    <mergeCell ref="C25:D25"/>
    <mergeCell ref="C26:D26"/>
    <mergeCell ref="C27:D27"/>
    <mergeCell ref="C28:D28"/>
    <mergeCell ref="C29:D29"/>
    <mergeCell ref="C31:D31"/>
    <mergeCell ref="C36:D36"/>
    <mergeCell ref="C23:D23"/>
    <mergeCell ref="C54:D54"/>
    <mergeCell ref="C55:D55"/>
    <mergeCell ref="C57:D57"/>
    <mergeCell ref="J77:K77"/>
    <mergeCell ref="J78:K78"/>
    <mergeCell ref="L75:M75"/>
    <mergeCell ref="L76:M76"/>
    <mergeCell ref="L77:M77"/>
    <mergeCell ref="C43:D43"/>
    <mergeCell ref="C44:D44"/>
    <mergeCell ref="C46:D46"/>
    <mergeCell ref="C47:D47"/>
    <mergeCell ref="C48:D48"/>
    <mergeCell ref="C49:D49"/>
    <mergeCell ref="C50:D50"/>
    <mergeCell ref="C45:D45"/>
    <mergeCell ref="C58:D58"/>
    <mergeCell ref="C59:D59"/>
    <mergeCell ref="N72:O72"/>
    <mergeCell ref="L73:M73"/>
    <mergeCell ref="L74:M74"/>
    <mergeCell ref="N73:O73"/>
    <mergeCell ref="N74:O74"/>
    <mergeCell ref="L82:M82"/>
    <mergeCell ref="L67:M67"/>
    <mergeCell ref="L68:M68"/>
    <mergeCell ref="L69:M69"/>
    <mergeCell ref="L70:M70"/>
    <mergeCell ref="L71:M71"/>
    <mergeCell ref="L72:M72"/>
    <mergeCell ref="L78:M78"/>
    <mergeCell ref="L84:M84"/>
    <mergeCell ref="N77:O77"/>
    <mergeCell ref="C51:D51"/>
    <mergeCell ref="C56:D56"/>
    <mergeCell ref="N86:O86"/>
    <mergeCell ref="N83:O83"/>
    <mergeCell ref="H80:I80"/>
    <mergeCell ref="H85:I85"/>
    <mergeCell ref="H84:I84"/>
    <mergeCell ref="N84:O84"/>
    <mergeCell ref="N81:O81"/>
    <mergeCell ref="N82:O82"/>
    <mergeCell ref="H82:I82"/>
    <mergeCell ref="N80:O80"/>
    <mergeCell ref="J81:K81"/>
    <mergeCell ref="J82:K82"/>
    <mergeCell ref="J83:K83"/>
    <mergeCell ref="J84:K84"/>
    <mergeCell ref="H81:I81"/>
    <mergeCell ref="H86:I86"/>
    <mergeCell ref="C52:D52"/>
    <mergeCell ref="C53:D53"/>
    <mergeCell ref="L79:M79"/>
    <mergeCell ref="L83:M83"/>
    <mergeCell ref="J88:K88"/>
    <mergeCell ref="J89:K89"/>
    <mergeCell ref="J68:K68"/>
    <mergeCell ref="J69:K69"/>
    <mergeCell ref="J70:K70"/>
    <mergeCell ref="J71:K71"/>
    <mergeCell ref="H83:I83"/>
    <mergeCell ref="J73:K73"/>
    <mergeCell ref="J74:K74"/>
    <mergeCell ref="H69:I69"/>
    <mergeCell ref="H70:I70"/>
    <mergeCell ref="H77:I77"/>
    <mergeCell ref="H68:I68"/>
    <mergeCell ref="H71:I71"/>
    <mergeCell ref="H72:I72"/>
    <mergeCell ref="J72:K72"/>
    <mergeCell ref="J75:K75"/>
    <mergeCell ref="J76:K76"/>
    <mergeCell ref="N87:O87"/>
    <mergeCell ref="N85:O85"/>
    <mergeCell ref="H73:I73"/>
    <mergeCell ref="H74:I74"/>
    <mergeCell ref="H75:I75"/>
    <mergeCell ref="L80:M80"/>
    <mergeCell ref="L81:M81"/>
    <mergeCell ref="H76:I76"/>
    <mergeCell ref="J91:K91"/>
    <mergeCell ref="H91:I91"/>
    <mergeCell ref="L91:M91"/>
    <mergeCell ref="N91:O91"/>
    <mergeCell ref="H78:I78"/>
    <mergeCell ref="H79:I79"/>
    <mergeCell ref="N89:O89"/>
    <mergeCell ref="N88:O88"/>
    <mergeCell ref="H88:I88"/>
    <mergeCell ref="J80:K80"/>
    <mergeCell ref="J79:K79"/>
    <mergeCell ref="J85:K85"/>
    <mergeCell ref="J86:K86"/>
    <mergeCell ref="H87:I87"/>
    <mergeCell ref="J87:K87"/>
    <mergeCell ref="H89:I89"/>
    <mergeCell ref="H92:I92"/>
    <mergeCell ref="J92:K92"/>
    <mergeCell ref="L92:M92"/>
    <mergeCell ref="N92:O92"/>
    <mergeCell ref="H96:I96"/>
    <mergeCell ref="J96:K96"/>
    <mergeCell ref="L96:M96"/>
    <mergeCell ref="N96:O96"/>
    <mergeCell ref="H93:I93"/>
    <mergeCell ref="J93:K93"/>
    <mergeCell ref="L93:M93"/>
    <mergeCell ref="N93:O93"/>
    <mergeCell ref="H94:I94"/>
    <mergeCell ref="J94:K94"/>
    <mergeCell ref="L94:M94"/>
    <mergeCell ref="N94:O94"/>
  </mergeCells>
  <pageMargins left="0.78740157499999996" right="0.78740157499999996" top="0.984251969" bottom="0.984251969" header="0.4921259845" footer="0.4921259845"/>
  <pageSetup paperSize="9" orientation="landscape" r:id="rId1"/>
  <headerFooter alignWithMargins="0"/>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A93"/>
  <sheetViews>
    <sheetView zoomScale="120" zoomScaleNormal="120" workbookViewId="0">
      <pane xSplit="1" ySplit="5" topLeftCell="B44" activePane="bottomRight" state="frozen"/>
      <selection pane="topRight" activeCell="B1" sqref="B1"/>
      <selection pane="bottomLeft" activeCell="A6" sqref="A6"/>
      <selection pane="bottomRight" activeCell="W92" sqref="W92"/>
    </sheetView>
  </sheetViews>
  <sheetFormatPr baseColWidth="10" defaultColWidth="10.7109375" defaultRowHeight="9" x14ac:dyDescent="0.15"/>
  <cols>
    <col min="1" max="1" width="5.85546875" style="1" customWidth="1"/>
    <col min="2" max="6" width="7.85546875" style="1" customWidth="1"/>
    <col min="7" max="18" width="4.5703125" style="1" customWidth="1"/>
    <col min="19" max="21" width="7.85546875" style="1" customWidth="1"/>
    <col min="22" max="53" width="5.7109375" style="1" customWidth="1"/>
    <col min="54" max="16384" width="10.7109375" style="1"/>
  </cols>
  <sheetData>
    <row r="1" spans="1:53" s="2" customFormat="1" ht="15" customHeight="1" x14ac:dyDescent="0.2">
      <c r="B1" s="22" t="s">
        <v>14</v>
      </c>
    </row>
    <row r="2" spans="1:53" s="2" customFormat="1" ht="15" customHeight="1" x14ac:dyDescent="0.2">
      <c r="B2" s="22" t="s">
        <v>143</v>
      </c>
    </row>
    <row r="3" spans="1:53" s="2" customFormat="1" x14ac:dyDescent="0.15">
      <c r="G3" s="814"/>
      <c r="H3" s="814"/>
      <c r="I3" s="814"/>
      <c r="J3" s="814"/>
      <c r="K3" s="814"/>
      <c r="L3" s="814"/>
      <c r="M3" s="814"/>
      <c r="O3" s="814"/>
      <c r="P3" s="814"/>
      <c r="Q3" s="814"/>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1" t="s">
        <v>23</v>
      </c>
      <c r="AU5" s="351" t="s">
        <v>24</v>
      </c>
      <c r="AV5" s="351" t="s">
        <v>25</v>
      </c>
      <c r="AW5" s="353" t="s">
        <v>1217</v>
      </c>
      <c r="AX5" s="351" t="s">
        <v>23</v>
      </c>
      <c r="AY5" s="351" t="s">
        <v>24</v>
      </c>
      <c r="AZ5" s="351" t="s">
        <v>25</v>
      </c>
      <c r="BA5" s="354" t="s">
        <v>1217</v>
      </c>
    </row>
    <row r="6" spans="1:53" s="86" customFormat="1" x14ac:dyDescent="0.15">
      <c r="A6" s="86">
        <v>1992</v>
      </c>
      <c r="C6" s="826" t="s">
        <v>1283</v>
      </c>
      <c r="D6" s="826"/>
      <c r="E6" s="151">
        <v>344</v>
      </c>
      <c r="F6" s="191"/>
      <c r="G6" s="123"/>
      <c r="J6" s="134"/>
      <c r="K6" s="92"/>
      <c r="L6" s="92"/>
      <c r="M6" s="92"/>
      <c r="N6" s="125"/>
      <c r="O6" s="91"/>
      <c r="P6" s="92"/>
      <c r="Q6" s="92"/>
      <c r="R6" s="93"/>
      <c r="T6" s="81"/>
      <c r="V6" s="82"/>
      <c r="Y6" s="83"/>
      <c r="AD6" s="82"/>
      <c r="AG6" s="83"/>
      <c r="AL6" s="82"/>
      <c r="AO6" s="83"/>
      <c r="AP6" s="82"/>
      <c r="AS6" s="83"/>
      <c r="AW6" s="83"/>
      <c r="BA6" s="84"/>
    </row>
    <row r="7" spans="1:53" s="334" customFormat="1" x14ac:dyDescent="0.15">
      <c r="A7" s="334">
        <v>1992</v>
      </c>
      <c r="B7" s="355">
        <v>33948</v>
      </c>
      <c r="C7" s="812" t="s">
        <v>1036</v>
      </c>
      <c r="D7" s="812"/>
      <c r="E7" s="334">
        <f>366-344</f>
        <v>22</v>
      </c>
      <c r="F7" s="334" t="s">
        <v>348</v>
      </c>
      <c r="G7" s="497"/>
      <c r="H7" s="561"/>
      <c r="I7" s="561">
        <v>19</v>
      </c>
      <c r="J7" s="499">
        <v>19</v>
      </c>
      <c r="K7" s="495">
        <f t="shared" ref="K7:K49" si="0">G7/J7*100</f>
        <v>0</v>
      </c>
      <c r="L7" s="495">
        <f t="shared" ref="L7:L49" si="1">H7/J7*100</f>
        <v>0</v>
      </c>
      <c r="M7" s="495">
        <f t="shared" ref="M7:M49" si="2">I7/J7*100</f>
        <v>100</v>
      </c>
      <c r="N7" s="498">
        <f t="shared" ref="N7:N53" si="3">SUM(K7:M7)</f>
        <v>100</v>
      </c>
      <c r="O7" s="494"/>
      <c r="P7" s="495"/>
      <c r="Q7" s="495">
        <v>51.8</v>
      </c>
      <c r="R7" s="496">
        <f t="shared" ref="R7:R53" si="4">SUM(O7:Q7)</f>
        <v>51.8</v>
      </c>
      <c r="S7" s="561">
        <v>1</v>
      </c>
      <c r="T7" s="487">
        <v>33923</v>
      </c>
      <c r="U7" s="558">
        <v>33940</v>
      </c>
      <c r="V7" s="343" t="s">
        <v>1031</v>
      </c>
      <c r="W7" s="334" t="s">
        <v>909</v>
      </c>
      <c r="X7" s="334" t="s">
        <v>12</v>
      </c>
      <c r="Y7" s="344">
        <v>51.8</v>
      </c>
      <c r="AD7" s="343"/>
      <c r="AG7" s="344"/>
      <c r="AL7" s="343"/>
      <c r="AO7" s="344"/>
      <c r="AP7" s="343"/>
      <c r="AS7" s="344"/>
      <c r="AW7" s="344"/>
      <c r="BA7" s="345"/>
    </row>
    <row r="8" spans="1:53" s="334" customFormat="1" x14ac:dyDescent="0.15">
      <c r="A8" s="334">
        <v>1993</v>
      </c>
      <c r="C8" s="812" t="s">
        <v>1036</v>
      </c>
      <c r="D8" s="812"/>
      <c r="E8" s="334">
        <v>74</v>
      </c>
      <c r="G8" s="497"/>
      <c r="H8" s="561"/>
      <c r="I8" s="561">
        <v>19</v>
      </c>
      <c r="J8" s="499">
        <v>19</v>
      </c>
      <c r="K8" s="495">
        <f t="shared" si="0"/>
        <v>0</v>
      </c>
      <c r="L8" s="495">
        <f t="shared" si="1"/>
        <v>0</v>
      </c>
      <c r="M8" s="495">
        <f t="shared" si="2"/>
        <v>100</v>
      </c>
      <c r="N8" s="498">
        <f t="shared" si="3"/>
        <v>100</v>
      </c>
      <c r="O8" s="494"/>
      <c r="P8" s="495"/>
      <c r="Q8" s="495">
        <v>51.8</v>
      </c>
      <c r="R8" s="496">
        <f t="shared" si="4"/>
        <v>51.8</v>
      </c>
      <c r="S8" s="561">
        <v>1</v>
      </c>
      <c r="T8" s="492"/>
      <c r="U8" s="561"/>
      <c r="V8" s="343" t="s">
        <v>1031</v>
      </c>
      <c r="W8" s="334" t="s">
        <v>909</v>
      </c>
      <c r="X8" s="334" t="s">
        <v>12</v>
      </c>
      <c r="Y8" s="344">
        <v>51.8</v>
      </c>
      <c r="AD8" s="343"/>
      <c r="AG8" s="344"/>
      <c r="AL8" s="343"/>
      <c r="AO8" s="344"/>
      <c r="AP8" s="343"/>
      <c r="AS8" s="344"/>
      <c r="AW8" s="344"/>
      <c r="BA8" s="345"/>
    </row>
    <row r="9" spans="1:53" s="86" customFormat="1" x14ac:dyDescent="0.15">
      <c r="A9" s="86">
        <v>1993</v>
      </c>
      <c r="B9" s="101">
        <v>34044</v>
      </c>
      <c r="C9" s="811" t="s">
        <v>1160</v>
      </c>
      <c r="D9" s="811"/>
      <c r="E9" s="86">
        <f xml:space="preserve"> 365-E8</f>
        <v>291</v>
      </c>
      <c r="F9" s="86">
        <v>1</v>
      </c>
      <c r="G9" s="480"/>
      <c r="H9" s="560"/>
      <c r="I9" s="560">
        <v>17</v>
      </c>
      <c r="J9" s="482">
        <v>17</v>
      </c>
      <c r="K9" s="477">
        <f t="shared" si="0"/>
        <v>0</v>
      </c>
      <c r="L9" s="477">
        <f t="shared" si="1"/>
        <v>0</v>
      </c>
      <c r="M9" s="477">
        <f t="shared" si="2"/>
        <v>100</v>
      </c>
      <c r="N9" s="481">
        <f t="shared" si="3"/>
        <v>100</v>
      </c>
      <c r="O9" s="476"/>
      <c r="P9" s="477"/>
      <c r="Q9" s="477">
        <v>51.8</v>
      </c>
      <c r="R9" s="478">
        <f t="shared" si="4"/>
        <v>51.8</v>
      </c>
      <c r="S9" s="560">
        <v>1</v>
      </c>
      <c r="T9" s="471"/>
      <c r="U9" s="557">
        <v>34044</v>
      </c>
      <c r="V9" s="82" t="s">
        <v>1031</v>
      </c>
      <c r="W9" s="86" t="s">
        <v>909</v>
      </c>
      <c r="X9" s="86" t="s">
        <v>12</v>
      </c>
      <c r="Y9" s="83">
        <v>51.8</v>
      </c>
      <c r="AD9" s="82"/>
      <c r="AG9" s="83"/>
      <c r="AL9" s="82"/>
      <c r="AO9" s="83"/>
      <c r="AP9" s="82"/>
      <c r="AS9" s="83"/>
      <c r="AW9" s="83"/>
      <c r="BA9" s="84"/>
    </row>
    <row r="10" spans="1:53" s="86" customFormat="1" x14ac:dyDescent="0.15">
      <c r="A10" s="86">
        <v>1994</v>
      </c>
      <c r="C10" s="811" t="s">
        <v>1160</v>
      </c>
      <c r="D10" s="811"/>
      <c r="E10" s="86">
        <v>0</v>
      </c>
      <c r="G10" s="480"/>
      <c r="H10" s="560"/>
      <c r="I10" s="560">
        <v>17</v>
      </c>
      <c r="J10" s="482">
        <v>17</v>
      </c>
      <c r="K10" s="477">
        <f t="shared" si="0"/>
        <v>0</v>
      </c>
      <c r="L10" s="477">
        <f t="shared" si="1"/>
        <v>0</v>
      </c>
      <c r="M10" s="477">
        <f t="shared" si="2"/>
        <v>100</v>
      </c>
      <c r="N10" s="481">
        <f t="shared" si="3"/>
        <v>100</v>
      </c>
      <c r="O10" s="476"/>
      <c r="P10" s="477"/>
      <c r="Q10" s="477">
        <v>51.8</v>
      </c>
      <c r="R10" s="478">
        <f t="shared" si="4"/>
        <v>51.8</v>
      </c>
      <c r="S10" s="560">
        <v>1</v>
      </c>
      <c r="T10" s="471"/>
      <c r="U10" s="560"/>
      <c r="V10" s="82" t="s">
        <v>1031</v>
      </c>
      <c r="W10" s="86" t="s">
        <v>909</v>
      </c>
      <c r="X10" s="86" t="s">
        <v>12</v>
      </c>
      <c r="Y10" s="83">
        <v>51.8</v>
      </c>
      <c r="AD10" s="82"/>
      <c r="AG10" s="83"/>
      <c r="AL10" s="82"/>
      <c r="AO10" s="83"/>
      <c r="AP10" s="82"/>
      <c r="AS10" s="83"/>
      <c r="AW10" s="83"/>
      <c r="BA10" s="84"/>
    </row>
    <row r="11" spans="1:53" s="86" customFormat="1" x14ac:dyDescent="0.15">
      <c r="A11" s="86">
        <v>1994</v>
      </c>
      <c r="C11" s="811" t="s">
        <v>1160</v>
      </c>
      <c r="D11" s="811"/>
      <c r="E11" s="86">
        <v>365</v>
      </c>
      <c r="G11" s="480"/>
      <c r="H11" s="560"/>
      <c r="I11" s="560">
        <v>17</v>
      </c>
      <c r="J11" s="482">
        <v>17</v>
      </c>
      <c r="K11" s="477">
        <f t="shared" si="0"/>
        <v>0</v>
      </c>
      <c r="L11" s="477">
        <f t="shared" si="1"/>
        <v>0</v>
      </c>
      <c r="M11" s="477">
        <f t="shared" si="2"/>
        <v>100</v>
      </c>
      <c r="N11" s="481">
        <f t="shared" si="3"/>
        <v>100</v>
      </c>
      <c r="O11" s="476"/>
      <c r="P11" s="477"/>
      <c r="Q11" s="477">
        <v>51.8</v>
      </c>
      <c r="R11" s="478">
        <f t="shared" si="4"/>
        <v>51.8</v>
      </c>
      <c r="S11" s="560">
        <v>1</v>
      </c>
      <c r="T11" s="471"/>
      <c r="U11" s="560"/>
      <c r="V11" s="82" t="s">
        <v>1031</v>
      </c>
      <c r="W11" s="86" t="s">
        <v>909</v>
      </c>
      <c r="X11" s="86" t="s">
        <v>12</v>
      </c>
      <c r="Y11" s="83">
        <v>51.8</v>
      </c>
      <c r="AD11" s="82"/>
      <c r="AG11" s="83"/>
      <c r="AL11" s="82"/>
      <c r="AO11" s="83"/>
      <c r="AP11" s="82"/>
      <c r="AS11" s="83"/>
      <c r="AW11" s="83"/>
      <c r="BA11" s="84"/>
    </row>
    <row r="12" spans="1:53" s="86" customFormat="1" x14ac:dyDescent="0.15">
      <c r="A12" s="86">
        <v>1995</v>
      </c>
      <c r="C12" s="811" t="s">
        <v>1160</v>
      </c>
      <c r="D12" s="811"/>
      <c r="E12" s="86">
        <v>0</v>
      </c>
      <c r="G12" s="480"/>
      <c r="H12" s="560"/>
      <c r="I12" s="560">
        <v>17</v>
      </c>
      <c r="J12" s="482">
        <v>17</v>
      </c>
      <c r="K12" s="477">
        <f t="shared" si="0"/>
        <v>0</v>
      </c>
      <c r="L12" s="477">
        <f t="shared" si="1"/>
        <v>0</v>
      </c>
      <c r="M12" s="477">
        <f t="shared" si="2"/>
        <v>100</v>
      </c>
      <c r="N12" s="481">
        <f t="shared" si="3"/>
        <v>100</v>
      </c>
      <c r="O12" s="476"/>
      <c r="P12" s="477"/>
      <c r="Q12" s="477">
        <v>51.8</v>
      </c>
      <c r="R12" s="478">
        <f t="shared" si="4"/>
        <v>51.8</v>
      </c>
      <c r="S12" s="560">
        <v>1</v>
      </c>
      <c r="T12" s="471"/>
      <c r="U12" s="560"/>
      <c r="V12" s="82" t="s">
        <v>1031</v>
      </c>
      <c r="W12" s="86" t="s">
        <v>909</v>
      </c>
      <c r="X12" s="86" t="s">
        <v>12</v>
      </c>
      <c r="Y12" s="83">
        <v>51.8</v>
      </c>
      <c r="AD12" s="82"/>
      <c r="AG12" s="83"/>
      <c r="AL12" s="82"/>
      <c r="AO12" s="83"/>
      <c r="AP12" s="82"/>
      <c r="AS12" s="83"/>
      <c r="AW12" s="83"/>
      <c r="BA12" s="84"/>
    </row>
    <row r="13" spans="1:53" s="86" customFormat="1" x14ac:dyDescent="0.15">
      <c r="A13" s="86">
        <v>1995</v>
      </c>
      <c r="C13" s="811" t="s">
        <v>1160</v>
      </c>
      <c r="D13" s="811"/>
      <c r="E13" s="86">
        <v>365</v>
      </c>
      <c r="G13" s="480"/>
      <c r="H13" s="560"/>
      <c r="I13" s="560">
        <v>17</v>
      </c>
      <c r="J13" s="482">
        <v>17</v>
      </c>
      <c r="K13" s="477">
        <f t="shared" si="0"/>
        <v>0</v>
      </c>
      <c r="L13" s="477">
        <f t="shared" si="1"/>
        <v>0</v>
      </c>
      <c r="M13" s="477">
        <f t="shared" si="2"/>
        <v>100</v>
      </c>
      <c r="N13" s="481">
        <f t="shared" si="3"/>
        <v>100</v>
      </c>
      <c r="O13" s="476"/>
      <c r="P13" s="477"/>
      <c r="Q13" s="477">
        <v>51.8</v>
      </c>
      <c r="R13" s="478">
        <f t="shared" si="4"/>
        <v>51.8</v>
      </c>
      <c r="S13" s="560">
        <v>1</v>
      </c>
      <c r="T13" s="471"/>
      <c r="U13" s="560"/>
      <c r="V13" s="82" t="s">
        <v>1031</v>
      </c>
      <c r="W13" s="86" t="s">
        <v>909</v>
      </c>
      <c r="X13" s="86" t="s">
        <v>12</v>
      </c>
      <c r="Y13" s="83">
        <v>51.8</v>
      </c>
      <c r="AD13" s="82"/>
      <c r="AG13" s="83"/>
      <c r="AL13" s="82"/>
      <c r="AO13" s="83"/>
      <c r="AP13" s="82"/>
      <c r="AS13" s="83"/>
      <c r="AW13" s="83"/>
      <c r="BA13" s="84"/>
    </row>
    <row r="14" spans="1:53" s="86" customFormat="1" x14ac:dyDescent="0.15">
      <c r="A14" s="86">
        <v>1996</v>
      </c>
      <c r="C14" s="811" t="s">
        <v>1160</v>
      </c>
      <c r="D14" s="811"/>
      <c r="E14" s="86">
        <v>53</v>
      </c>
      <c r="G14" s="480"/>
      <c r="H14" s="560"/>
      <c r="I14" s="560">
        <v>17</v>
      </c>
      <c r="J14" s="482">
        <v>17</v>
      </c>
      <c r="K14" s="477">
        <f t="shared" si="0"/>
        <v>0</v>
      </c>
      <c r="L14" s="477">
        <f t="shared" si="1"/>
        <v>0</v>
      </c>
      <c r="M14" s="477">
        <f t="shared" si="2"/>
        <v>100</v>
      </c>
      <c r="N14" s="481">
        <f t="shared" si="3"/>
        <v>100</v>
      </c>
      <c r="O14" s="476"/>
      <c r="P14" s="477"/>
      <c r="Q14" s="477">
        <v>51.8</v>
      </c>
      <c r="R14" s="478">
        <f t="shared" si="4"/>
        <v>51.8</v>
      </c>
      <c r="S14" s="560">
        <v>1</v>
      </c>
      <c r="T14" s="471"/>
      <c r="U14" s="560"/>
      <c r="V14" s="82" t="s">
        <v>1031</v>
      </c>
      <c r="W14" s="86" t="s">
        <v>909</v>
      </c>
      <c r="X14" s="86" t="s">
        <v>12</v>
      </c>
      <c r="Y14" s="83">
        <v>51.8</v>
      </c>
      <c r="AD14" s="82"/>
      <c r="AG14" s="83"/>
      <c r="AL14" s="82"/>
      <c r="AO14" s="83"/>
      <c r="AP14" s="82"/>
      <c r="AS14" s="83"/>
      <c r="AW14" s="83"/>
      <c r="BA14" s="84"/>
    </row>
    <row r="15" spans="1:53" s="334" customFormat="1" x14ac:dyDescent="0.15">
      <c r="A15" s="334">
        <v>1996</v>
      </c>
      <c r="B15" s="355">
        <v>35118</v>
      </c>
      <c r="C15" s="812" t="s">
        <v>1161</v>
      </c>
      <c r="D15" s="812"/>
      <c r="E15" s="334">
        <v>278</v>
      </c>
      <c r="F15" s="334">
        <v>6</v>
      </c>
      <c r="G15" s="497"/>
      <c r="H15" s="561"/>
      <c r="I15" s="561">
        <v>18</v>
      </c>
      <c r="J15" s="499">
        <v>18</v>
      </c>
      <c r="K15" s="495">
        <f t="shared" si="0"/>
        <v>0</v>
      </c>
      <c r="L15" s="495">
        <f t="shared" si="1"/>
        <v>0</v>
      </c>
      <c r="M15" s="495">
        <f t="shared" si="2"/>
        <v>100</v>
      </c>
      <c r="N15" s="498">
        <f t="shared" si="3"/>
        <v>100</v>
      </c>
      <c r="O15" s="494"/>
      <c r="P15" s="495"/>
      <c r="Q15" s="495">
        <v>51.8</v>
      </c>
      <c r="R15" s="496">
        <f t="shared" si="4"/>
        <v>51.8</v>
      </c>
      <c r="S15" s="561">
        <v>1</v>
      </c>
      <c r="T15" s="492"/>
      <c r="U15" s="558">
        <v>35118</v>
      </c>
      <c r="V15" s="343" t="s">
        <v>1031</v>
      </c>
      <c r="W15" s="334" t="s">
        <v>909</v>
      </c>
      <c r="X15" s="334" t="s">
        <v>12</v>
      </c>
      <c r="Y15" s="344">
        <v>51.8</v>
      </c>
      <c r="AD15" s="343"/>
      <c r="AG15" s="344"/>
      <c r="AL15" s="343"/>
      <c r="AO15" s="344"/>
      <c r="AP15" s="343"/>
      <c r="AS15" s="344"/>
      <c r="AW15" s="344"/>
      <c r="BA15" s="345"/>
    </row>
    <row r="16" spans="1:53" s="86" customFormat="1" x14ac:dyDescent="0.15">
      <c r="A16" s="86">
        <v>1996</v>
      </c>
      <c r="B16" s="101">
        <v>35396</v>
      </c>
      <c r="C16" s="811" t="s">
        <v>1162</v>
      </c>
      <c r="D16" s="811"/>
      <c r="E16" s="86">
        <f xml:space="preserve"> 366-E15-E14</f>
        <v>35</v>
      </c>
      <c r="F16" s="86">
        <v>1</v>
      </c>
      <c r="G16" s="480">
        <v>13</v>
      </c>
      <c r="H16" s="560">
        <v>3</v>
      </c>
      <c r="I16" s="560"/>
      <c r="J16" s="482">
        <v>17</v>
      </c>
      <c r="K16" s="477">
        <f t="shared" si="0"/>
        <v>76.470588235294116</v>
      </c>
      <c r="L16" s="477">
        <f t="shared" si="1"/>
        <v>17.647058823529413</v>
      </c>
      <c r="M16" s="477">
        <f t="shared" si="2"/>
        <v>0</v>
      </c>
      <c r="N16" s="481">
        <f t="shared" si="3"/>
        <v>94.117647058823536</v>
      </c>
      <c r="O16" s="476">
        <v>60.6</v>
      </c>
      <c r="P16" s="477">
        <v>11.7</v>
      </c>
      <c r="Q16" s="477"/>
      <c r="R16" s="478">
        <f t="shared" si="4"/>
        <v>72.3</v>
      </c>
      <c r="S16" s="560">
        <v>3</v>
      </c>
      <c r="T16" s="479">
        <v>35380</v>
      </c>
      <c r="U16" s="557">
        <v>35396</v>
      </c>
      <c r="V16" s="82" t="s">
        <v>1026</v>
      </c>
      <c r="W16" s="86" t="s">
        <v>88</v>
      </c>
      <c r="X16" s="86" t="s">
        <v>11</v>
      </c>
      <c r="Y16" s="83">
        <v>51.1</v>
      </c>
      <c r="Z16" s="86" t="s">
        <v>1032</v>
      </c>
      <c r="AA16" s="86" t="s">
        <v>17</v>
      </c>
      <c r="AB16" s="86" t="s">
        <v>18</v>
      </c>
      <c r="AC16" s="86">
        <v>11.7</v>
      </c>
      <c r="AD16" s="82" t="s">
        <v>1033</v>
      </c>
      <c r="AE16" s="86" t="s">
        <v>22</v>
      </c>
      <c r="AF16" s="86" t="s">
        <v>11</v>
      </c>
      <c r="AG16" s="83">
        <v>9.5</v>
      </c>
      <c r="AL16" s="82"/>
      <c r="AO16" s="83"/>
      <c r="AP16" s="82"/>
      <c r="AS16" s="83"/>
      <c r="AW16" s="83"/>
      <c r="BA16" s="84"/>
    </row>
    <row r="17" spans="1:53" s="86" customFormat="1" x14ac:dyDescent="0.15">
      <c r="A17" s="86">
        <v>1997</v>
      </c>
      <c r="C17" s="811" t="s">
        <v>1162</v>
      </c>
      <c r="D17" s="811"/>
      <c r="E17" s="86">
        <v>0</v>
      </c>
      <c r="G17" s="480">
        <v>13</v>
      </c>
      <c r="H17" s="560">
        <v>3</v>
      </c>
      <c r="I17" s="560"/>
      <c r="J17" s="482">
        <v>17</v>
      </c>
      <c r="K17" s="477">
        <f t="shared" si="0"/>
        <v>76.470588235294116</v>
      </c>
      <c r="L17" s="477">
        <f t="shared" si="1"/>
        <v>17.647058823529413</v>
      </c>
      <c r="M17" s="477">
        <f t="shared" si="2"/>
        <v>0</v>
      </c>
      <c r="N17" s="481">
        <f t="shared" si="3"/>
        <v>94.117647058823536</v>
      </c>
      <c r="O17" s="476">
        <v>60.6</v>
      </c>
      <c r="P17" s="477">
        <v>11.7</v>
      </c>
      <c r="Q17" s="477"/>
      <c r="R17" s="478">
        <f t="shared" si="4"/>
        <v>72.3</v>
      </c>
      <c r="S17" s="560">
        <v>3</v>
      </c>
      <c r="T17" s="471"/>
      <c r="U17" s="560"/>
      <c r="V17" s="82" t="s">
        <v>1026</v>
      </c>
      <c r="W17" s="86" t="s">
        <v>88</v>
      </c>
      <c r="X17" s="86" t="s">
        <v>11</v>
      </c>
      <c r="Y17" s="83">
        <v>51.1</v>
      </c>
      <c r="Z17" s="86" t="s">
        <v>1032</v>
      </c>
      <c r="AA17" s="86" t="s">
        <v>17</v>
      </c>
      <c r="AB17" s="86" t="s">
        <v>18</v>
      </c>
      <c r="AC17" s="86">
        <v>11.7</v>
      </c>
      <c r="AD17" s="82" t="s">
        <v>1033</v>
      </c>
      <c r="AE17" s="86" t="s">
        <v>22</v>
      </c>
      <c r="AF17" s="86" t="s">
        <v>11</v>
      </c>
      <c r="AG17" s="83">
        <v>9.5</v>
      </c>
      <c r="AL17" s="82"/>
      <c r="AO17" s="83"/>
      <c r="AP17" s="82"/>
      <c r="AS17" s="83"/>
      <c r="AW17" s="83"/>
      <c r="BA17" s="84"/>
    </row>
    <row r="18" spans="1:53" s="86" customFormat="1" x14ac:dyDescent="0.15">
      <c r="A18" s="86">
        <v>1997</v>
      </c>
      <c r="C18" s="811" t="s">
        <v>1162</v>
      </c>
      <c r="D18" s="811"/>
      <c r="E18" s="86">
        <v>365</v>
      </c>
      <c r="G18" s="480">
        <v>13</v>
      </c>
      <c r="H18" s="560">
        <v>3</v>
      </c>
      <c r="I18" s="560"/>
      <c r="J18" s="482">
        <v>17</v>
      </c>
      <c r="K18" s="477">
        <f t="shared" si="0"/>
        <v>76.470588235294116</v>
      </c>
      <c r="L18" s="477">
        <f t="shared" si="1"/>
        <v>17.647058823529413</v>
      </c>
      <c r="M18" s="477">
        <f t="shared" si="2"/>
        <v>0</v>
      </c>
      <c r="N18" s="481">
        <f t="shared" si="3"/>
        <v>94.117647058823536</v>
      </c>
      <c r="O18" s="476">
        <v>60.6</v>
      </c>
      <c r="P18" s="477">
        <v>11.7</v>
      </c>
      <c r="Q18" s="477"/>
      <c r="R18" s="478">
        <f t="shared" si="4"/>
        <v>72.3</v>
      </c>
      <c r="S18" s="560">
        <v>3</v>
      </c>
      <c r="T18" s="471"/>
      <c r="U18" s="560"/>
      <c r="V18" s="82" t="s">
        <v>1026</v>
      </c>
      <c r="W18" s="86" t="s">
        <v>88</v>
      </c>
      <c r="X18" s="86" t="s">
        <v>11</v>
      </c>
      <c r="Y18" s="83">
        <v>51.1</v>
      </c>
      <c r="Z18" s="86" t="s">
        <v>1032</v>
      </c>
      <c r="AA18" s="86" t="s">
        <v>17</v>
      </c>
      <c r="AB18" s="86" t="s">
        <v>18</v>
      </c>
      <c r="AC18" s="86">
        <v>11.7</v>
      </c>
      <c r="AD18" s="82" t="s">
        <v>1033</v>
      </c>
      <c r="AE18" s="86" t="s">
        <v>22</v>
      </c>
      <c r="AF18" s="86" t="s">
        <v>11</v>
      </c>
      <c r="AG18" s="83">
        <v>9.5</v>
      </c>
      <c r="AL18" s="82"/>
      <c r="AO18" s="83"/>
      <c r="AP18" s="82"/>
      <c r="AS18" s="83"/>
      <c r="AW18" s="83"/>
      <c r="BA18" s="84"/>
    </row>
    <row r="19" spans="1:53" s="86" customFormat="1" x14ac:dyDescent="0.15">
      <c r="A19" s="86">
        <v>1998</v>
      </c>
      <c r="C19" s="811" t="s">
        <v>1162</v>
      </c>
      <c r="D19" s="811"/>
      <c r="E19" s="86">
        <v>83</v>
      </c>
      <c r="G19" s="480">
        <v>13</v>
      </c>
      <c r="H19" s="560">
        <v>3</v>
      </c>
      <c r="I19" s="560"/>
      <c r="J19" s="482">
        <v>17</v>
      </c>
      <c r="K19" s="477">
        <f t="shared" si="0"/>
        <v>76.470588235294116</v>
      </c>
      <c r="L19" s="477">
        <f t="shared" si="1"/>
        <v>17.647058823529413</v>
      </c>
      <c r="M19" s="477">
        <f t="shared" si="2"/>
        <v>0</v>
      </c>
      <c r="N19" s="481">
        <f t="shared" si="3"/>
        <v>94.117647058823536</v>
      </c>
      <c r="O19" s="476">
        <v>60.6</v>
      </c>
      <c r="P19" s="477">
        <v>11.7</v>
      </c>
      <c r="Q19" s="477"/>
      <c r="R19" s="478">
        <f t="shared" si="4"/>
        <v>72.3</v>
      </c>
      <c r="S19" s="560">
        <v>3</v>
      </c>
      <c r="T19" s="471"/>
      <c r="U19" s="560"/>
      <c r="V19" s="82" t="s">
        <v>1026</v>
      </c>
      <c r="W19" s="86" t="s">
        <v>88</v>
      </c>
      <c r="X19" s="86" t="s">
        <v>11</v>
      </c>
      <c r="Y19" s="83">
        <v>51.1</v>
      </c>
      <c r="Z19" s="86" t="s">
        <v>1032</v>
      </c>
      <c r="AA19" s="86" t="s">
        <v>17</v>
      </c>
      <c r="AB19" s="86" t="s">
        <v>18</v>
      </c>
      <c r="AC19" s="86">
        <v>11.7</v>
      </c>
      <c r="AD19" s="82" t="s">
        <v>1033</v>
      </c>
      <c r="AE19" s="86" t="s">
        <v>22</v>
      </c>
      <c r="AF19" s="86" t="s">
        <v>11</v>
      </c>
      <c r="AG19" s="83">
        <v>9.5</v>
      </c>
      <c r="AL19" s="82"/>
      <c r="AO19" s="83"/>
      <c r="AP19" s="82"/>
      <c r="AS19" s="83"/>
      <c r="AW19" s="83"/>
      <c r="BA19" s="84"/>
    </row>
    <row r="20" spans="1:53" s="86" customFormat="1" x14ac:dyDescent="0.15">
      <c r="A20" s="86">
        <v>1998</v>
      </c>
      <c r="B20" s="149">
        <v>35879</v>
      </c>
      <c r="C20" s="811" t="s">
        <v>1162</v>
      </c>
      <c r="D20" s="811"/>
      <c r="E20" s="86">
        <v>282</v>
      </c>
      <c r="F20" s="150">
        <v>0</v>
      </c>
      <c r="G20" s="480">
        <v>10</v>
      </c>
      <c r="H20" s="560">
        <v>2</v>
      </c>
      <c r="I20" s="560"/>
      <c r="J20" s="482">
        <v>15</v>
      </c>
      <c r="K20" s="477">
        <f t="shared" si="0"/>
        <v>66.666666666666657</v>
      </c>
      <c r="L20" s="477">
        <f t="shared" si="1"/>
        <v>13.333333333333334</v>
      </c>
      <c r="M20" s="477">
        <f t="shared" si="2"/>
        <v>0</v>
      </c>
      <c r="N20" s="481">
        <f t="shared" si="3"/>
        <v>79.999999999999986</v>
      </c>
      <c r="O20" s="476">
        <v>60.6</v>
      </c>
      <c r="P20" s="477">
        <v>11.7</v>
      </c>
      <c r="Q20" s="477"/>
      <c r="R20" s="478">
        <f t="shared" si="4"/>
        <v>72.3</v>
      </c>
      <c r="S20" s="560">
        <v>3</v>
      </c>
      <c r="T20" s="471"/>
      <c r="U20" s="560"/>
      <c r="V20" s="82" t="s">
        <v>1026</v>
      </c>
      <c r="W20" s="86" t="s">
        <v>88</v>
      </c>
      <c r="X20" s="86" t="s">
        <v>11</v>
      </c>
      <c r="Y20" s="83">
        <v>51.1</v>
      </c>
      <c r="Z20" s="86" t="s">
        <v>1032</v>
      </c>
      <c r="AA20" s="86" t="s">
        <v>17</v>
      </c>
      <c r="AB20" s="86" t="s">
        <v>18</v>
      </c>
      <c r="AC20" s="86">
        <v>11.7</v>
      </c>
      <c r="AD20" s="82" t="s">
        <v>1033</v>
      </c>
      <c r="AE20" s="86" t="s">
        <v>22</v>
      </c>
      <c r="AF20" s="86" t="s">
        <v>11</v>
      </c>
      <c r="AG20" s="83">
        <v>9.5</v>
      </c>
      <c r="AL20" s="82"/>
      <c r="AO20" s="83"/>
      <c r="AP20" s="82"/>
      <c r="AS20" s="83"/>
      <c r="AW20" s="83"/>
      <c r="BA20" s="84"/>
    </row>
    <row r="21" spans="1:53" s="86" customFormat="1" x14ac:dyDescent="0.15">
      <c r="A21" s="86">
        <v>1999</v>
      </c>
      <c r="C21" s="811" t="s">
        <v>1162</v>
      </c>
      <c r="D21" s="811"/>
      <c r="E21" s="86">
        <v>137</v>
      </c>
      <c r="G21" s="480">
        <v>10</v>
      </c>
      <c r="H21" s="560">
        <v>2</v>
      </c>
      <c r="I21" s="560"/>
      <c r="J21" s="482">
        <v>15</v>
      </c>
      <c r="K21" s="477">
        <f t="shared" si="0"/>
        <v>66.666666666666657</v>
      </c>
      <c r="L21" s="477">
        <f t="shared" si="1"/>
        <v>13.333333333333334</v>
      </c>
      <c r="M21" s="477">
        <f t="shared" si="2"/>
        <v>0</v>
      </c>
      <c r="N21" s="481">
        <f t="shared" si="3"/>
        <v>79.999999999999986</v>
      </c>
      <c r="O21" s="476">
        <v>60.6</v>
      </c>
      <c r="P21" s="477">
        <v>11.7</v>
      </c>
      <c r="Q21" s="477"/>
      <c r="R21" s="478">
        <f t="shared" si="4"/>
        <v>72.3</v>
      </c>
      <c r="S21" s="560">
        <v>3</v>
      </c>
      <c r="T21" s="471"/>
      <c r="U21" s="560"/>
      <c r="V21" s="82" t="s">
        <v>1026</v>
      </c>
      <c r="W21" s="86" t="s">
        <v>88</v>
      </c>
      <c r="X21" s="86" t="s">
        <v>11</v>
      </c>
      <c r="Y21" s="83">
        <v>51.1</v>
      </c>
      <c r="Z21" s="86" t="s">
        <v>1032</v>
      </c>
      <c r="AA21" s="86" t="s">
        <v>17</v>
      </c>
      <c r="AB21" s="86" t="s">
        <v>18</v>
      </c>
      <c r="AC21" s="86">
        <v>11.7</v>
      </c>
      <c r="AD21" s="82" t="s">
        <v>1033</v>
      </c>
      <c r="AE21" s="86" t="s">
        <v>22</v>
      </c>
      <c r="AF21" s="86" t="s">
        <v>11</v>
      </c>
      <c r="AG21" s="83">
        <v>9.5</v>
      </c>
      <c r="AL21" s="82"/>
      <c r="AO21" s="83"/>
      <c r="AP21" s="82"/>
      <c r="AS21" s="83"/>
      <c r="AW21" s="83"/>
      <c r="BA21" s="84"/>
    </row>
    <row r="22" spans="1:53" s="334" customFormat="1" x14ac:dyDescent="0.15">
      <c r="A22" s="334">
        <v>1999</v>
      </c>
      <c r="B22" s="355">
        <v>36298</v>
      </c>
      <c r="C22" s="812" t="s">
        <v>1034</v>
      </c>
      <c r="D22" s="812"/>
      <c r="E22" s="334">
        <v>164</v>
      </c>
      <c r="F22" s="334">
        <v>2</v>
      </c>
      <c r="G22" s="497">
        <v>8</v>
      </c>
      <c r="H22" s="561">
        <v>2</v>
      </c>
      <c r="I22" s="561"/>
      <c r="J22" s="499">
        <v>14</v>
      </c>
      <c r="K22" s="495">
        <f t="shared" si="0"/>
        <v>57.142857142857139</v>
      </c>
      <c r="L22" s="495">
        <f t="shared" si="1"/>
        <v>14.285714285714285</v>
      </c>
      <c r="M22" s="495">
        <f t="shared" si="2"/>
        <v>0</v>
      </c>
      <c r="N22" s="498">
        <f t="shared" si="3"/>
        <v>71.428571428571416</v>
      </c>
      <c r="O22" s="494">
        <v>60.6</v>
      </c>
      <c r="P22" s="495">
        <v>11.7</v>
      </c>
      <c r="Q22" s="495"/>
      <c r="R22" s="496">
        <f>SUM(O22:Q22)</f>
        <v>72.3</v>
      </c>
      <c r="S22" s="561">
        <v>3</v>
      </c>
      <c r="T22" s="492"/>
      <c r="U22" s="558">
        <v>36298</v>
      </c>
      <c r="V22" s="343" t="s">
        <v>1026</v>
      </c>
      <c r="W22" s="334" t="s">
        <v>88</v>
      </c>
      <c r="X22" s="334" t="s">
        <v>11</v>
      </c>
      <c r="Y22" s="344">
        <v>51.1</v>
      </c>
      <c r="Z22" s="334" t="s">
        <v>1032</v>
      </c>
      <c r="AA22" s="334" t="s">
        <v>17</v>
      </c>
      <c r="AB22" s="334" t="s">
        <v>18</v>
      </c>
      <c r="AC22" s="334">
        <v>11.7</v>
      </c>
      <c r="AD22" s="343" t="s">
        <v>1033</v>
      </c>
      <c r="AE22" s="334" t="s">
        <v>22</v>
      </c>
      <c r="AF22" s="334" t="s">
        <v>11</v>
      </c>
      <c r="AG22" s="344">
        <v>9.5</v>
      </c>
      <c r="AL22" s="343"/>
      <c r="AO22" s="344"/>
      <c r="AP22" s="343"/>
      <c r="AS22" s="344"/>
      <c r="AW22" s="344"/>
      <c r="BA22" s="345"/>
    </row>
    <row r="23" spans="1:53" s="86" customFormat="1" x14ac:dyDescent="0.15">
      <c r="A23" s="86">
        <v>1999</v>
      </c>
      <c r="B23" s="101">
        <v>36462</v>
      </c>
      <c r="C23" s="811" t="s">
        <v>1035</v>
      </c>
      <c r="D23" s="811"/>
      <c r="E23" s="86">
        <v>64</v>
      </c>
      <c r="F23" s="86">
        <v>2</v>
      </c>
      <c r="G23" s="480">
        <v>7</v>
      </c>
      <c r="H23" s="560">
        <v>2</v>
      </c>
      <c r="I23" s="560"/>
      <c r="J23" s="482">
        <v>14</v>
      </c>
      <c r="K23" s="477">
        <f t="shared" si="0"/>
        <v>50</v>
      </c>
      <c r="L23" s="477">
        <f t="shared" si="1"/>
        <v>14.285714285714285</v>
      </c>
      <c r="M23" s="477">
        <f t="shared" si="2"/>
        <v>0</v>
      </c>
      <c r="N23" s="477">
        <f t="shared" si="3"/>
        <v>64.285714285714278</v>
      </c>
      <c r="O23" s="476">
        <v>60.6</v>
      </c>
      <c r="P23" s="477">
        <v>11.7</v>
      </c>
      <c r="Q23" s="477"/>
      <c r="R23" s="478">
        <f t="shared" si="4"/>
        <v>72.3</v>
      </c>
      <c r="S23" s="560">
        <v>3</v>
      </c>
      <c r="T23" s="471"/>
      <c r="U23" s="557">
        <v>36462</v>
      </c>
      <c r="V23" s="82" t="s">
        <v>1026</v>
      </c>
      <c r="W23" s="86" t="s">
        <v>88</v>
      </c>
      <c r="X23" s="86" t="s">
        <v>11</v>
      </c>
      <c r="Y23" s="83">
        <v>51.1</v>
      </c>
      <c r="Z23" s="86" t="s">
        <v>1032</v>
      </c>
      <c r="AA23" s="86" t="s">
        <v>17</v>
      </c>
      <c r="AB23" s="86" t="s">
        <v>18</v>
      </c>
      <c r="AC23" s="86">
        <v>11.7</v>
      </c>
      <c r="AD23" s="82" t="s">
        <v>1033</v>
      </c>
      <c r="AE23" s="86" t="s">
        <v>22</v>
      </c>
      <c r="AF23" s="86" t="s">
        <v>11</v>
      </c>
      <c r="AG23" s="83">
        <v>9.5</v>
      </c>
      <c r="AL23" s="82"/>
      <c r="AO23" s="83"/>
      <c r="AP23" s="82"/>
      <c r="AS23" s="83"/>
      <c r="AW23" s="83"/>
      <c r="BA23" s="84"/>
    </row>
    <row r="24" spans="1:53" s="86" customFormat="1" x14ac:dyDescent="0.15">
      <c r="A24" s="86">
        <v>2000</v>
      </c>
      <c r="C24" s="811" t="s">
        <v>1035</v>
      </c>
      <c r="D24" s="811"/>
      <c r="E24" s="86">
        <v>300</v>
      </c>
      <c r="G24" s="480">
        <v>7</v>
      </c>
      <c r="H24" s="560">
        <v>2</v>
      </c>
      <c r="I24" s="560"/>
      <c r="J24" s="482">
        <v>14</v>
      </c>
      <c r="K24" s="477">
        <f>G24/J24*100</f>
        <v>50</v>
      </c>
      <c r="L24" s="477">
        <f>H24/J24*100</f>
        <v>14.285714285714285</v>
      </c>
      <c r="M24" s="477">
        <f>I24/J24*100</f>
        <v>0</v>
      </c>
      <c r="N24" s="477">
        <f>SUM(K24:M24)</f>
        <v>64.285714285714278</v>
      </c>
      <c r="O24" s="476">
        <v>60.6</v>
      </c>
      <c r="P24" s="477">
        <v>11.7</v>
      </c>
      <c r="Q24" s="477"/>
      <c r="R24" s="478">
        <f t="shared" si="4"/>
        <v>72.3</v>
      </c>
      <c r="S24" s="560">
        <v>3</v>
      </c>
      <c r="T24" s="471"/>
      <c r="U24" s="560"/>
      <c r="V24" s="82" t="s">
        <v>1026</v>
      </c>
      <c r="W24" s="86" t="s">
        <v>88</v>
      </c>
      <c r="X24" s="86" t="s">
        <v>11</v>
      </c>
      <c r="Y24" s="83">
        <v>51.1</v>
      </c>
      <c r="Z24" s="86" t="s">
        <v>1032</v>
      </c>
      <c r="AA24" s="86" t="s">
        <v>17</v>
      </c>
      <c r="AB24" s="86" t="s">
        <v>18</v>
      </c>
      <c r="AC24" s="86">
        <v>11.7</v>
      </c>
      <c r="AD24" s="82" t="s">
        <v>1033</v>
      </c>
      <c r="AE24" s="86" t="s">
        <v>22</v>
      </c>
      <c r="AF24" s="86" t="s">
        <v>11</v>
      </c>
      <c r="AG24" s="83">
        <v>9.5</v>
      </c>
      <c r="AL24" s="82"/>
      <c r="AO24" s="83"/>
      <c r="AP24" s="82"/>
      <c r="AS24" s="83"/>
      <c r="AW24" s="83"/>
      <c r="BA24" s="84"/>
    </row>
    <row r="25" spans="1:53" s="334" customFormat="1" x14ac:dyDescent="0.15">
      <c r="A25" s="334">
        <v>2000</v>
      </c>
      <c r="B25" s="355">
        <v>36826</v>
      </c>
      <c r="C25" s="812" t="s">
        <v>1163</v>
      </c>
      <c r="D25" s="812"/>
      <c r="E25" s="334">
        <f xml:space="preserve"> 366-E24</f>
        <v>66</v>
      </c>
      <c r="F25" s="334">
        <v>1</v>
      </c>
      <c r="G25" s="497">
        <v>7</v>
      </c>
      <c r="H25" s="561">
        <v>6</v>
      </c>
      <c r="I25" s="561"/>
      <c r="J25" s="499">
        <v>14</v>
      </c>
      <c r="K25" s="495">
        <f>G25/J25*100</f>
        <v>50</v>
      </c>
      <c r="L25" s="495">
        <f>H25/J25*100</f>
        <v>42.857142857142854</v>
      </c>
      <c r="M25" s="495">
        <f>I25/J25*100</f>
        <v>0</v>
      </c>
      <c r="N25" s="498">
        <f>SUM(K25:M25)</f>
        <v>92.857142857142861</v>
      </c>
      <c r="O25" s="494">
        <v>23.4</v>
      </c>
      <c r="P25" s="495">
        <v>19.899999999999999</v>
      </c>
      <c r="Q25" s="495"/>
      <c r="R25" s="496">
        <f t="shared" si="4"/>
        <v>43.3</v>
      </c>
      <c r="S25" s="561">
        <v>5</v>
      </c>
      <c r="T25" s="487">
        <v>36807</v>
      </c>
      <c r="U25" s="558">
        <v>36826</v>
      </c>
      <c r="V25" s="343" t="s">
        <v>1037</v>
      </c>
      <c r="W25" s="334" t="s">
        <v>100</v>
      </c>
      <c r="X25" s="334" t="s">
        <v>11</v>
      </c>
      <c r="Y25" s="344">
        <v>23.4</v>
      </c>
      <c r="Z25" s="334" t="s">
        <v>1022</v>
      </c>
      <c r="AA25" s="334" t="s">
        <v>1038</v>
      </c>
      <c r="AB25" s="334" t="s">
        <v>18</v>
      </c>
      <c r="AC25" s="334">
        <v>19.899999999999999</v>
      </c>
      <c r="AD25" s="343"/>
      <c r="AG25" s="344"/>
      <c r="AL25" s="343"/>
      <c r="AO25" s="344"/>
      <c r="AP25" s="343"/>
      <c r="AS25" s="344"/>
      <c r="AW25" s="344"/>
      <c r="BA25" s="345"/>
    </row>
    <row r="26" spans="1:53" s="334" customFormat="1" x14ac:dyDescent="0.15">
      <c r="A26" s="334">
        <v>2001</v>
      </c>
      <c r="C26" s="812" t="s">
        <v>1163</v>
      </c>
      <c r="D26" s="812"/>
      <c r="E26" s="334">
        <v>185</v>
      </c>
      <c r="G26" s="497">
        <v>7</v>
      </c>
      <c r="H26" s="561">
        <v>6</v>
      </c>
      <c r="I26" s="561"/>
      <c r="J26" s="499">
        <v>14</v>
      </c>
      <c r="K26" s="495">
        <f>G26/J26*100</f>
        <v>50</v>
      </c>
      <c r="L26" s="495">
        <f>H26/J26*100</f>
        <v>42.857142857142854</v>
      </c>
      <c r="M26" s="495">
        <f>I26/J26*100</f>
        <v>0</v>
      </c>
      <c r="N26" s="498">
        <f>SUM(K26:M26)</f>
        <v>92.857142857142861</v>
      </c>
      <c r="O26" s="494">
        <v>23.4</v>
      </c>
      <c r="P26" s="495">
        <v>19.899999999999999</v>
      </c>
      <c r="Q26" s="495"/>
      <c r="R26" s="496">
        <f t="shared" si="4"/>
        <v>43.3</v>
      </c>
      <c r="S26" s="561">
        <v>5</v>
      </c>
      <c r="T26" s="492"/>
      <c r="U26" s="561"/>
      <c r="V26" s="343" t="s">
        <v>1037</v>
      </c>
      <c r="W26" s="334" t="s">
        <v>100</v>
      </c>
      <c r="X26" s="334" t="s">
        <v>11</v>
      </c>
      <c r="Y26" s="344">
        <v>23.4</v>
      </c>
      <c r="Z26" s="334" t="s">
        <v>1022</v>
      </c>
      <c r="AA26" s="334" t="s">
        <v>1038</v>
      </c>
      <c r="AB26" s="334" t="s">
        <v>18</v>
      </c>
      <c r="AC26" s="334">
        <v>19.899999999999999</v>
      </c>
      <c r="AD26" s="343"/>
      <c r="AG26" s="344"/>
      <c r="AL26" s="343"/>
      <c r="AO26" s="344"/>
      <c r="AP26" s="343"/>
      <c r="AS26" s="344"/>
      <c r="AW26" s="344"/>
      <c r="BA26" s="345"/>
    </row>
    <row r="27" spans="1:53" s="86" customFormat="1" x14ac:dyDescent="0.15">
      <c r="A27" s="86">
        <v>2001</v>
      </c>
      <c r="B27" s="192">
        <v>37077</v>
      </c>
      <c r="C27" s="811" t="s">
        <v>1021</v>
      </c>
      <c r="D27" s="811"/>
      <c r="E27" s="86">
        <f xml:space="preserve"> 365-E26</f>
        <v>180</v>
      </c>
      <c r="F27" s="86">
        <v>7</v>
      </c>
      <c r="G27" s="480"/>
      <c r="H27" s="560">
        <v>6</v>
      </c>
      <c r="I27" s="560">
        <v>4</v>
      </c>
      <c r="J27" s="482">
        <v>14</v>
      </c>
      <c r="K27" s="477">
        <f t="shared" si="0"/>
        <v>0</v>
      </c>
      <c r="L27" s="477">
        <f t="shared" si="1"/>
        <v>42.857142857142854</v>
      </c>
      <c r="M27" s="477">
        <f t="shared" si="2"/>
        <v>28.571428571428569</v>
      </c>
      <c r="N27" s="481">
        <f t="shared" si="3"/>
        <v>71.428571428571416</v>
      </c>
      <c r="O27" s="476"/>
      <c r="P27" s="477">
        <v>19.899999999999999</v>
      </c>
      <c r="Q27" s="477">
        <v>34</v>
      </c>
      <c r="R27" s="478">
        <f t="shared" si="4"/>
        <v>53.9</v>
      </c>
      <c r="S27" s="560">
        <v>2</v>
      </c>
      <c r="T27" s="471"/>
      <c r="U27" s="192">
        <v>37077</v>
      </c>
      <c r="V27" s="82" t="s">
        <v>1164</v>
      </c>
      <c r="W27" s="86" t="s">
        <v>20</v>
      </c>
      <c r="X27" s="86" t="s">
        <v>12</v>
      </c>
      <c r="Y27" s="83">
        <v>34</v>
      </c>
      <c r="Z27" s="86" t="s">
        <v>1022</v>
      </c>
      <c r="AA27" s="86" t="s">
        <v>319</v>
      </c>
      <c r="AB27" s="86" t="s">
        <v>18</v>
      </c>
      <c r="AC27" s="86">
        <v>19.899999999999999</v>
      </c>
      <c r="AD27" s="82"/>
      <c r="AG27" s="83"/>
      <c r="AL27" s="82"/>
      <c r="AO27" s="83"/>
      <c r="AP27" s="82"/>
      <c r="AS27" s="83"/>
      <c r="AW27" s="83"/>
      <c r="BA27" s="84"/>
    </row>
    <row r="28" spans="1:53" s="86" customFormat="1" x14ac:dyDescent="0.15">
      <c r="A28" s="86">
        <v>2002</v>
      </c>
      <c r="B28" s="193"/>
      <c r="C28" s="811" t="s">
        <v>1021</v>
      </c>
      <c r="D28" s="811"/>
      <c r="E28" s="86">
        <v>0</v>
      </c>
      <c r="G28" s="480"/>
      <c r="H28" s="560">
        <v>6</v>
      </c>
      <c r="I28" s="560">
        <v>4</v>
      </c>
      <c r="J28" s="482">
        <v>14</v>
      </c>
      <c r="K28" s="477">
        <f t="shared" si="0"/>
        <v>0</v>
      </c>
      <c r="L28" s="477">
        <f t="shared" si="1"/>
        <v>42.857142857142854</v>
      </c>
      <c r="M28" s="477">
        <f t="shared" si="2"/>
        <v>28.571428571428569</v>
      </c>
      <c r="N28" s="481">
        <f t="shared" si="3"/>
        <v>71.428571428571416</v>
      </c>
      <c r="O28" s="476"/>
      <c r="P28" s="477">
        <v>19.899999999999999</v>
      </c>
      <c r="Q28" s="477">
        <v>34</v>
      </c>
      <c r="R28" s="478">
        <f t="shared" si="4"/>
        <v>53.9</v>
      </c>
      <c r="S28" s="560">
        <v>2</v>
      </c>
      <c r="T28" s="471"/>
      <c r="U28" s="560"/>
      <c r="V28" s="82" t="s">
        <v>1164</v>
      </c>
      <c r="W28" s="86" t="s">
        <v>20</v>
      </c>
      <c r="X28" s="86" t="s">
        <v>12</v>
      </c>
      <c r="Y28" s="83">
        <v>34</v>
      </c>
      <c r="Z28" s="86" t="s">
        <v>1022</v>
      </c>
      <c r="AA28" s="86" t="s">
        <v>319</v>
      </c>
      <c r="AB28" s="86" t="s">
        <v>18</v>
      </c>
      <c r="AC28" s="86">
        <v>19.899999999999999</v>
      </c>
      <c r="AD28" s="82"/>
      <c r="AG28" s="83"/>
      <c r="AL28" s="82"/>
      <c r="AO28" s="83"/>
      <c r="AP28" s="82"/>
      <c r="AS28" s="83"/>
      <c r="AW28" s="83"/>
      <c r="BA28" s="84"/>
    </row>
    <row r="29" spans="1:53" s="86" customFormat="1" x14ac:dyDescent="0.15">
      <c r="A29" s="86">
        <v>2002</v>
      </c>
      <c r="B29" s="193"/>
      <c r="C29" s="811" t="s">
        <v>1021</v>
      </c>
      <c r="D29" s="811"/>
      <c r="E29" s="86">
        <v>365</v>
      </c>
      <c r="G29" s="480"/>
      <c r="H29" s="560">
        <v>6</v>
      </c>
      <c r="I29" s="560">
        <v>4</v>
      </c>
      <c r="J29" s="482">
        <v>14</v>
      </c>
      <c r="K29" s="477">
        <f t="shared" si="0"/>
        <v>0</v>
      </c>
      <c r="L29" s="477">
        <f t="shared" si="1"/>
        <v>42.857142857142854</v>
      </c>
      <c r="M29" s="477">
        <f t="shared" si="2"/>
        <v>28.571428571428569</v>
      </c>
      <c r="N29" s="481">
        <f t="shared" si="3"/>
        <v>71.428571428571416</v>
      </c>
      <c r="O29" s="476"/>
      <c r="P29" s="477">
        <v>19.899999999999999</v>
      </c>
      <c r="Q29" s="477">
        <v>34</v>
      </c>
      <c r="R29" s="478">
        <f t="shared" si="4"/>
        <v>53.9</v>
      </c>
      <c r="S29" s="560">
        <v>2</v>
      </c>
      <c r="T29" s="471"/>
      <c r="U29" s="560"/>
      <c r="V29" s="82" t="s">
        <v>1164</v>
      </c>
      <c r="W29" s="86" t="s">
        <v>20</v>
      </c>
      <c r="X29" s="86" t="s">
        <v>12</v>
      </c>
      <c r="Y29" s="83">
        <v>34</v>
      </c>
      <c r="Z29" s="86" t="s">
        <v>1022</v>
      </c>
      <c r="AA29" s="86" t="s">
        <v>319</v>
      </c>
      <c r="AB29" s="86" t="s">
        <v>18</v>
      </c>
      <c r="AC29" s="86">
        <v>19.899999999999999</v>
      </c>
      <c r="AD29" s="82"/>
      <c r="AG29" s="83"/>
      <c r="AL29" s="82"/>
      <c r="AO29" s="83"/>
      <c r="AP29" s="82"/>
      <c r="AS29" s="83"/>
      <c r="AW29" s="83"/>
      <c r="BA29" s="84"/>
    </row>
    <row r="30" spans="1:53" s="86" customFormat="1" x14ac:dyDescent="0.15">
      <c r="A30" s="86">
        <v>2003</v>
      </c>
      <c r="B30" s="193"/>
      <c r="C30" s="811" t="s">
        <v>1021</v>
      </c>
      <c r="D30" s="811"/>
      <c r="E30" s="86">
        <v>64</v>
      </c>
      <c r="G30" s="480"/>
      <c r="H30" s="560">
        <v>6</v>
      </c>
      <c r="I30" s="560">
        <v>4</v>
      </c>
      <c r="J30" s="482">
        <v>14</v>
      </c>
      <c r="K30" s="477">
        <f t="shared" si="0"/>
        <v>0</v>
      </c>
      <c r="L30" s="477">
        <f t="shared" si="1"/>
        <v>42.857142857142854</v>
      </c>
      <c r="M30" s="477">
        <f t="shared" si="2"/>
        <v>28.571428571428569</v>
      </c>
      <c r="N30" s="481">
        <f t="shared" si="3"/>
        <v>71.428571428571416</v>
      </c>
      <c r="O30" s="476"/>
      <c r="P30" s="477">
        <v>19.899999999999999</v>
      </c>
      <c r="Q30" s="477">
        <v>34</v>
      </c>
      <c r="R30" s="478">
        <f t="shared" si="4"/>
        <v>53.9</v>
      </c>
      <c r="S30" s="560">
        <v>2</v>
      </c>
      <c r="T30" s="471"/>
      <c r="U30" s="560"/>
      <c r="V30" s="82" t="s">
        <v>1164</v>
      </c>
      <c r="W30" s="86" t="s">
        <v>20</v>
      </c>
      <c r="X30" s="86" t="s">
        <v>12</v>
      </c>
      <c r="Y30" s="83">
        <v>34</v>
      </c>
      <c r="Z30" s="86" t="s">
        <v>1022</v>
      </c>
      <c r="AA30" s="86" t="s">
        <v>319</v>
      </c>
      <c r="AB30" s="86" t="s">
        <v>18</v>
      </c>
      <c r="AC30" s="86">
        <v>19.899999999999999</v>
      </c>
      <c r="AD30" s="82"/>
      <c r="AG30" s="83"/>
      <c r="AL30" s="82"/>
      <c r="AO30" s="83"/>
      <c r="AP30" s="82"/>
      <c r="AS30" s="83"/>
      <c r="AW30" s="83"/>
      <c r="BA30" s="84"/>
    </row>
    <row r="31" spans="1:53" s="86" customFormat="1" x14ac:dyDescent="0.15">
      <c r="A31" s="86">
        <v>2003</v>
      </c>
      <c r="B31" s="194">
        <v>37686</v>
      </c>
      <c r="C31" s="811" t="s">
        <v>1021</v>
      </c>
      <c r="D31" s="811"/>
      <c r="E31" s="86">
        <f xml:space="preserve"> 365-E30</f>
        <v>301</v>
      </c>
      <c r="F31" s="129">
        <v>0</v>
      </c>
      <c r="G31" s="480"/>
      <c r="H31" s="560">
        <v>5</v>
      </c>
      <c r="I31" s="560">
        <v>5</v>
      </c>
      <c r="J31" s="482">
        <v>14</v>
      </c>
      <c r="K31" s="477">
        <f t="shared" si="0"/>
        <v>0</v>
      </c>
      <c r="L31" s="477">
        <f t="shared" si="1"/>
        <v>35.714285714285715</v>
      </c>
      <c r="M31" s="477">
        <f t="shared" si="2"/>
        <v>35.714285714285715</v>
      </c>
      <c r="N31" s="481">
        <f t="shared" si="3"/>
        <v>71.428571428571431</v>
      </c>
      <c r="O31" s="476"/>
      <c r="P31" s="477">
        <v>19.899999999999999</v>
      </c>
      <c r="Q31" s="477">
        <v>34</v>
      </c>
      <c r="R31" s="478">
        <f t="shared" si="4"/>
        <v>53.9</v>
      </c>
      <c r="S31" s="560">
        <v>2</v>
      </c>
      <c r="T31" s="471"/>
      <c r="U31" s="560"/>
      <c r="V31" s="82" t="s">
        <v>1164</v>
      </c>
      <c r="W31" s="86" t="s">
        <v>20</v>
      </c>
      <c r="X31" s="86" t="s">
        <v>12</v>
      </c>
      <c r="Y31" s="83">
        <v>34</v>
      </c>
      <c r="Z31" s="86" t="s">
        <v>1022</v>
      </c>
      <c r="AA31" s="86" t="s">
        <v>319</v>
      </c>
      <c r="AB31" s="86" t="s">
        <v>18</v>
      </c>
      <c r="AC31" s="86">
        <v>19.899999999999999</v>
      </c>
      <c r="AD31" s="82"/>
      <c r="AG31" s="83"/>
      <c r="AL31" s="82"/>
      <c r="AO31" s="83"/>
      <c r="AP31" s="82"/>
      <c r="AS31" s="83"/>
      <c r="AW31" s="83"/>
      <c r="BA31" s="84"/>
    </row>
    <row r="32" spans="1:53" s="86" customFormat="1" x14ac:dyDescent="0.15">
      <c r="A32" s="86">
        <v>2004</v>
      </c>
      <c r="B32" s="195"/>
      <c r="C32" s="811" t="s">
        <v>1021</v>
      </c>
      <c r="D32" s="811"/>
      <c r="E32" s="86">
        <v>124</v>
      </c>
      <c r="G32" s="480"/>
      <c r="H32" s="560">
        <v>5</v>
      </c>
      <c r="I32" s="560">
        <v>5</v>
      </c>
      <c r="J32" s="482">
        <v>14</v>
      </c>
      <c r="K32" s="477">
        <f>G32/J32*100</f>
        <v>0</v>
      </c>
      <c r="L32" s="477">
        <f>H32/J32*100</f>
        <v>35.714285714285715</v>
      </c>
      <c r="M32" s="477">
        <f>I32/J32*100</f>
        <v>35.714285714285715</v>
      </c>
      <c r="N32" s="481">
        <f t="shared" si="3"/>
        <v>71.428571428571431</v>
      </c>
      <c r="O32" s="476"/>
      <c r="P32" s="477">
        <v>19.899999999999999</v>
      </c>
      <c r="Q32" s="477">
        <v>34</v>
      </c>
      <c r="R32" s="478">
        <f t="shared" si="4"/>
        <v>53.9</v>
      </c>
      <c r="S32" s="560">
        <v>2</v>
      </c>
      <c r="T32" s="471"/>
      <c r="U32" s="560"/>
      <c r="V32" s="82" t="s">
        <v>1164</v>
      </c>
      <c r="W32" s="86" t="s">
        <v>20</v>
      </c>
      <c r="X32" s="86" t="s">
        <v>12</v>
      </c>
      <c r="Y32" s="83">
        <v>34</v>
      </c>
      <c r="Z32" s="86" t="s">
        <v>1022</v>
      </c>
      <c r="AA32" s="86" t="s">
        <v>319</v>
      </c>
      <c r="AB32" s="86" t="s">
        <v>18</v>
      </c>
      <c r="AC32" s="86">
        <v>19.899999999999999</v>
      </c>
      <c r="AD32" s="82"/>
      <c r="AG32" s="83"/>
      <c r="AL32" s="82"/>
      <c r="AO32" s="83"/>
      <c r="AP32" s="82"/>
      <c r="AS32" s="83"/>
      <c r="AW32" s="83"/>
      <c r="BA32" s="84"/>
    </row>
    <row r="33" spans="1:53" s="86" customFormat="1" x14ac:dyDescent="0.15">
      <c r="A33" s="86">
        <v>2004</v>
      </c>
      <c r="B33" s="194">
        <v>38111</v>
      </c>
      <c r="C33" s="811" t="s">
        <v>1021</v>
      </c>
      <c r="D33" s="811"/>
      <c r="E33" s="86">
        <v>224</v>
      </c>
      <c r="F33" s="129">
        <v>0</v>
      </c>
      <c r="G33" s="480"/>
      <c r="H33" s="560">
        <v>5</v>
      </c>
      <c r="I33" s="560">
        <v>6</v>
      </c>
      <c r="J33" s="482">
        <v>14</v>
      </c>
      <c r="K33" s="477">
        <f t="shared" si="0"/>
        <v>0</v>
      </c>
      <c r="L33" s="477">
        <f t="shared" si="1"/>
        <v>35.714285714285715</v>
      </c>
      <c r="M33" s="477">
        <f t="shared" si="2"/>
        <v>42.857142857142854</v>
      </c>
      <c r="N33" s="481">
        <f t="shared" si="3"/>
        <v>78.571428571428569</v>
      </c>
      <c r="O33" s="476"/>
      <c r="P33" s="477">
        <v>19.899999999999999</v>
      </c>
      <c r="Q33" s="477">
        <v>34</v>
      </c>
      <c r="R33" s="478">
        <f t="shared" si="4"/>
        <v>53.9</v>
      </c>
      <c r="S33" s="560">
        <v>2</v>
      </c>
      <c r="T33" s="471"/>
      <c r="U33" s="560"/>
      <c r="V33" s="82" t="s">
        <v>1164</v>
      </c>
      <c r="W33" s="86" t="s">
        <v>20</v>
      </c>
      <c r="X33" s="86" t="s">
        <v>12</v>
      </c>
      <c r="Y33" s="83">
        <v>34</v>
      </c>
      <c r="Z33" s="86" t="s">
        <v>1022</v>
      </c>
      <c r="AA33" s="86" t="s">
        <v>319</v>
      </c>
      <c r="AB33" s="86" t="s">
        <v>18</v>
      </c>
      <c r="AC33" s="86">
        <v>19.899999999999999</v>
      </c>
      <c r="AD33" s="82"/>
      <c r="AG33" s="83"/>
      <c r="AL33" s="82"/>
      <c r="AO33" s="83"/>
      <c r="AP33" s="82"/>
      <c r="AS33" s="83"/>
      <c r="AW33" s="83"/>
      <c r="BA33" s="84"/>
    </row>
    <row r="34" spans="1:53" s="334" customFormat="1" x14ac:dyDescent="0.15">
      <c r="A34" s="334">
        <v>2004</v>
      </c>
      <c r="B34" s="335">
        <v>38335</v>
      </c>
      <c r="C34" s="812" t="s">
        <v>1023</v>
      </c>
      <c r="D34" s="812"/>
      <c r="E34" s="334">
        <f xml:space="preserve"> 366-E33-E32</f>
        <v>18</v>
      </c>
      <c r="F34" s="334">
        <v>1</v>
      </c>
      <c r="G34" s="497"/>
      <c r="H34" s="561">
        <v>2</v>
      </c>
      <c r="I34" s="561">
        <v>12</v>
      </c>
      <c r="J34" s="499">
        <v>14</v>
      </c>
      <c r="K34" s="495">
        <f t="shared" si="0"/>
        <v>0</v>
      </c>
      <c r="L34" s="495">
        <f t="shared" si="1"/>
        <v>14.285714285714285</v>
      </c>
      <c r="M34" s="495">
        <f t="shared" si="2"/>
        <v>85.714285714285708</v>
      </c>
      <c r="N34" s="498">
        <f t="shared" si="3"/>
        <v>100</v>
      </c>
      <c r="O34" s="494"/>
      <c r="P34" s="495">
        <v>7.8</v>
      </c>
      <c r="Q34" s="495">
        <v>49</v>
      </c>
      <c r="R34" s="496">
        <f t="shared" si="4"/>
        <v>56.8</v>
      </c>
      <c r="S34" s="561">
        <v>2</v>
      </c>
      <c r="T34" s="487">
        <v>38270</v>
      </c>
      <c r="U34" s="335">
        <v>38335</v>
      </c>
      <c r="V34" s="343" t="s">
        <v>131</v>
      </c>
      <c r="W34" s="334" t="s">
        <v>98</v>
      </c>
      <c r="X34" s="334" t="s">
        <v>12</v>
      </c>
      <c r="Y34" s="344">
        <v>27.7</v>
      </c>
      <c r="Z34" s="343" t="s">
        <v>1164</v>
      </c>
      <c r="AA34" s="334" t="s">
        <v>20</v>
      </c>
      <c r="AB34" s="334" t="s">
        <v>12</v>
      </c>
      <c r="AC34" s="334">
        <v>14.2</v>
      </c>
      <c r="AD34" s="343" t="s">
        <v>1022</v>
      </c>
      <c r="AE34" s="334" t="s">
        <v>319</v>
      </c>
      <c r="AF34" s="334" t="s">
        <v>18</v>
      </c>
      <c r="AG34" s="344">
        <v>7.8</v>
      </c>
      <c r="AH34" s="334" t="s">
        <v>1024</v>
      </c>
      <c r="AI34" s="334" t="s">
        <v>951</v>
      </c>
      <c r="AJ34" s="334" t="s">
        <v>12</v>
      </c>
      <c r="AK34" s="334">
        <v>7.1</v>
      </c>
      <c r="AL34" s="343"/>
      <c r="AO34" s="344"/>
      <c r="AP34" s="343"/>
      <c r="AS34" s="344"/>
      <c r="AW34" s="344"/>
      <c r="BA34" s="345"/>
    </row>
    <row r="35" spans="1:53" s="334" customFormat="1" x14ac:dyDescent="0.15">
      <c r="A35" s="334">
        <v>2005</v>
      </c>
      <c r="B35" s="358"/>
      <c r="C35" s="812" t="s">
        <v>1023</v>
      </c>
      <c r="D35" s="812"/>
      <c r="E35" s="334">
        <v>0</v>
      </c>
      <c r="G35" s="497"/>
      <c r="H35" s="561">
        <v>2</v>
      </c>
      <c r="I35" s="561">
        <v>12</v>
      </c>
      <c r="J35" s="499">
        <v>14</v>
      </c>
      <c r="K35" s="495">
        <f t="shared" si="0"/>
        <v>0</v>
      </c>
      <c r="L35" s="495">
        <f t="shared" si="1"/>
        <v>14.285714285714285</v>
      </c>
      <c r="M35" s="495">
        <f t="shared" si="2"/>
        <v>85.714285714285708</v>
      </c>
      <c r="N35" s="498">
        <f t="shared" si="3"/>
        <v>100</v>
      </c>
      <c r="O35" s="494"/>
      <c r="P35" s="495">
        <v>7.8</v>
      </c>
      <c r="Q35" s="495">
        <v>49</v>
      </c>
      <c r="R35" s="496">
        <f t="shared" si="4"/>
        <v>56.8</v>
      </c>
      <c r="S35" s="561">
        <v>2</v>
      </c>
      <c r="T35" s="492"/>
      <c r="U35" s="561"/>
      <c r="V35" s="343" t="s">
        <v>131</v>
      </c>
      <c r="W35" s="334" t="s">
        <v>98</v>
      </c>
      <c r="X35" s="334" t="s">
        <v>12</v>
      </c>
      <c r="Y35" s="344">
        <v>27.7</v>
      </c>
      <c r="Z35" s="343" t="s">
        <v>1164</v>
      </c>
      <c r="AA35" s="334" t="s">
        <v>20</v>
      </c>
      <c r="AB35" s="334" t="s">
        <v>12</v>
      </c>
      <c r="AC35" s="334">
        <v>14.2</v>
      </c>
      <c r="AD35" s="343" t="s">
        <v>1022</v>
      </c>
      <c r="AE35" s="334" t="s">
        <v>319</v>
      </c>
      <c r="AF35" s="334" t="s">
        <v>18</v>
      </c>
      <c r="AG35" s="344">
        <v>7.8</v>
      </c>
      <c r="AH35" s="334" t="s">
        <v>1024</v>
      </c>
      <c r="AI35" s="334" t="s">
        <v>951</v>
      </c>
      <c r="AJ35" s="334" t="s">
        <v>12</v>
      </c>
      <c r="AK35" s="334">
        <v>7.1</v>
      </c>
      <c r="AL35" s="343"/>
      <c r="AO35" s="344"/>
      <c r="AP35" s="343"/>
      <c r="AS35" s="344"/>
      <c r="AW35" s="344"/>
      <c r="BA35" s="345"/>
    </row>
    <row r="36" spans="1:53" s="334" customFormat="1" x14ac:dyDescent="0.15">
      <c r="A36" s="334">
        <v>2005</v>
      </c>
      <c r="B36" s="358"/>
      <c r="C36" s="812" t="s">
        <v>1023</v>
      </c>
      <c r="D36" s="812"/>
      <c r="E36" s="334">
        <v>365</v>
      </c>
      <c r="G36" s="497"/>
      <c r="H36" s="561">
        <v>2</v>
      </c>
      <c r="I36" s="561">
        <v>12</v>
      </c>
      <c r="J36" s="499">
        <v>14</v>
      </c>
      <c r="K36" s="495">
        <f t="shared" si="0"/>
        <v>0</v>
      </c>
      <c r="L36" s="495">
        <f t="shared" si="1"/>
        <v>14.285714285714285</v>
      </c>
      <c r="M36" s="495">
        <f t="shared" si="2"/>
        <v>85.714285714285708</v>
      </c>
      <c r="N36" s="498">
        <f t="shared" si="3"/>
        <v>100</v>
      </c>
      <c r="O36" s="494"/>
      <c r="P36" s="495">
        <v>7.8</v>
      </c>
      <c r="Q36" s="495">
        <v>49</v>
      </c>
      <c r="R36" s="496">
        <f t="shared" si="4"/>
        <v>56.8</v>
      </c>
      <c r="S36" s="561">
        <v>2</v>
      </c>
      <c r="T36" s="492"/>
      <c r="U36" s="561"/>
      <c r="V36" s="343" t="s">
        <v>131</v>
      </c>
      <c r="W36" s="334" t="s">
        <v>98</v>
      </c>
      <c r="X36" s="334" t="s">
        <v>12</v>
      </c>
      <c r="Y36" s="344">
        <v>27.7</v>
      </c>
      <c r="Z36" s="343" t="s">
        <v>1164</v>
      </c>
      <c r="AA36" s="334" t="s">
        <v>20</v>
      </c>
      <c r="AB36" s="334" t="s">
        <v>12</v>
      </c>
      <c r="AC36" s="334">
        <v>14.2</v>
      </c>
      <c r="AD36" s="343" t="s">
        <v>1022</v>
      </c>
      <c r="AE36" s="334" t="s">
        <v>319</v>
      </c>
      <c r="AF36" s="334" t="s">
        <v>18</v>
      </c>
      <c r="AG36" s="344">
        <v>7.8</v>
      </c>
      <c r="AH36" s="334" t="s">
        <v>1024</v>
      </c>
      <c r="AI36" s="334" t="s">
        <v>951</v>
      </c>
      <c r="AJ36" s="334" t="s">
        <v>12</v>
      </c>
      <c r="AK36" s="334">
        <v>7.1</v>
      </c>
      <c r="AL36" s="343"/>
      <c r="AO36" s="344"/>
      <c r="AP36" s="343"/>
      <c r="AS36" s="344"/>
      <c r="AW36" s="344"/>
      <c r="BA36" s="345"/>
    </row>
    <row r="37" spans="1:53" s="334" customFormat="1" x14ac:dyDescent="0.15">
      <c r="A37" s="334">
        <v>2006</v>
      </c>
      <c r="B37" s="358"/>
      <c r="C37" s="812" t="s">
        <v>1023</v>
      </c>
      <c r="D37" s="812"/>
      <c r="E37" s="334">
        <v>120</v>
      </c>
      <c r="G37" s="497"/>
      <c r="H37" s="561">
        <v>2</v>
      </c>
      <c r="I37" s="561">
        <v>12</v>
      </c>
      <c r="J37" s="499">
        <v>14</v>
      </c>
      <c r="K37" s="495">
        <f>G37/J37*100</f>
        <v>0</v>
      </c>
      <c r="L37" s="495">
        <f>H37/J37*100</f>
        <v>14.285714285714285</v>
      </c>
      <c r="M37" s="495">
        <f>I37/J37*100</f>
        <v>85.714285714285708</v>
      </c>
      <c r="N37" s="498">
        <f t="shared" si="3"/>
        <v>100</v>
      </c>
      <c r="O37" s="494"/>
      <c r="P37" s="495">
        <v>7.8</v>
      </c>
      <c r="Q37" s="495">
        <v>49</v>
      </c>
      <c r="R37" s="496">
        <f t="shared" si="4"/>
        <v>56.8</v>
      </c>
      <c r="S37" s="561">
        <v>2</v>
      </c>
      <c r="T37" s="492"/>
      <c r="U37" s="561"/>
      <c r="V37" s="343" t="s">
        <v>131</v>
      </c>
      <c r="W37" s="334" t="s">
        <v>98</v>
      </c>
      <c r="X37" s="334" t="s">
        <v>12</v>
      </c>
      <c r="Y37" s="344">
        <v>27.7</v>
      </c>
      <c r="Z37" s="343" t="s">
        <v>1164</v>
      </c>
      <c r="AA37" s="334" t="s">
        <v>20</v>
      </c>
      <c r="AB37" s="334" t="s">
        <v>12</v>
      </c>
      <c r="AC37" s="334">
        <v>14.2</v>
      </c>
      <c r="AD37" s="343" t="s">
        <v>1022</v>
      </c>
      <c r="AE37" s="334" t="s">
        <v>319</v>
      </c>
      <c r="AF37" s="334" t="s">
        <v>18</v>
      </c>
      <c r="AG37" s="344">
        <v>7.8</v>
      </c>
      <c r="AH37" s="334" t="s">
        <v>1024</v>
      </c>
      <c r="AI37" s="334" t="s">
        <v>951</v>
      </c>
      <c r="AJ37" s="334" t="s">
        <v>12</v>
      </c>
      <c r="AK37" s="334">
        <v>7.1</v>
      </c>
      <c r="AL37" s="343"/>
      <c r="AO37" s="344"/>
      <c r="AP37" s="343"/>
      <c r="AS37" s="344"/>
      <c r="AW37" s="344"/>
      <c r="BA37" s="345"/>
    </row>
    <row r="38" spans="1:53" s="334" customFormat="1" x14ac:dyDescent="0.15">
      <c r="A38" s="334">
        <v>2006</v>
      </c>
      <c r="B38" s="359">
        <v>38838</v>
      </c>
      <c r="C38" s="812" t="s">
        <v>1023</v>
      </c>
      <c r="D38" s="812"/>
      <c r="E38" s="334">
        <v>78</v>
      </c>
      <c r="F38" s="360">
        <v>0</v>
      </c>
      <c r="G38" s="497"/>
      <c r="H38" s="561">
        <v>1</v>
      </c>
      <c r="I38" s="561">
        <v>13</v>
      </c>
      <c r="J38" s="499">
        <v>14</v>
      </c>
      <c r="K38" s="495">
        <f t="shared" si="0"/>
        <v>0</v>
      </c>
      <c r="L38" s="495">
        <f t="shared" si="1"/>
        <v>7.1428571428571423</v>
      </c>
      <c r="M38" s="495">
        <f t="shared" si="2"/>
        <v>92.857142857142861</v>
      </c>
      <c r="N38" s="498">
        <f t="shared" si="3"/>
        <v>100</v>
      </c>
      <c r="O38" s="494"/>
      <c r="P38" s="495">
        <v>7.8</v>
      </c>
      <c r="Q38" s="495">
        <v>49</v>
      </c>
      <c r="R38" s="496">
        <f t="shared" si="4"/>
        <v>56.8</v>
      </c>
      <c r="S38" s="561">
        <v>2</v>
      </c>
      <c r="T38" s="492"/>
      <c r="U38" s="561"/>
      <c r="V38" s="343" t="s">
        <v>131</v>
      </c>
      <c r="W38" s="334" t="s">
        <v>98</v>
      </c>
      <c r="X38" s="334" t="s">
        <v>12</v>
      </c>
      <c r="Y38" s="344">
        <v>27.7</v>
      </c>
      <c r="Z38" s="343" t="s">
        <v>1164</v>
      </c>
      <c r="AA38" s="334" t="s">
        <v>20</v>
      </c>
      <c r="AB38" s="334" t="s">
        <v>12</v>
      </c>
      <c r="AC38" s="334">
        <v>14.2</v>
      </c>
      <c r="AD38" s="343" t="s">
        <v>1022</v>
      </c>
      <c r="AE38" s="334" t="s">
        <v>319</v>
      </c>
      <c r="AF38" s="334" t="s">
        <v>18</v>
      </c>
      <c r="AG38" s="344">
        <v>7.8</v>
      </c>
      <c r="AH38" s="334" t="s">
        <v>1024</v>
      </c>
      <c r="AI38" s="334" t="s">
        <v>951</v>
      </c>
      <c r="AJ38" s="334" t="s">
        <v>12</v>
      </c>
      <c r="AK38" s="334">
        <v>7.1</v>
      </c>
      <c r="AL38" s="343"/>
      <c r="AO38" s="344"/>
      <c r="AP38" s="343"/>
      <c r="AS38" s="344"/>
      <c r="AW38" s="344"/>
      <c r="BA38" s="345"/>
    </row>
    <row r="39" spans="1:53" s="86" customFormat="1" x14ac:dyDescent="0.15">
      <c r="A39" s="86">
        <v>2006</v>
      </c>
      <c r="B39" s="121">
        <v>38916</v>
      </c>
      <c r="C39" s="811" t="s">
        <v>1165</v>
      </c>
      <c r="D39" s="811"/>
      <c r="E39" s="86">
        <f xml:space="preserve"> 365-E38-E37</f>
        <v>167</v>
      </c>
      <c r="F39" s="86">
        <v>4</v>
      </c>
      <c r="G39" s="480">
        <v>2</v>
      </c>
      <c r="H39" s="560"/>
      <c r="I39" s="560">
        <v>12</v>
      </c>
      <c r="J39" s="482">
        <v>14</v>
      </c>
      <c r="K39" s="477">
        <f t="shared" si="0"/>
        <v>14.285714285714285</v>
      </c>
      <c r="L39" s="477">
        <f t="shared" si="1"/>
        <v>0</v>
      </c>
      <c r="M39" s="477">
        <f t="shared" si="2"/>
        <v>85.714285714285708</v>
      </c>
      <c r="N39" s="481">
        <f t="shared" si="3"/>
        <v>100</v>
      </c>
      <c r="O39" s="476">
        <v>12.8</v>
      </c>
      <c r="P39" s="477"/>
      <c r="Q39" s="477">
        <v>34</v>
      </c>
      <c r="R39" s="478">
        <f t="shared" si="4"/>
        <v>46.8</v>
      </c>
      <c r="S39" s="560">
        <v>5</v>
      </c>
      <c r="T39" s="471"/>
      <c r="U39" s="121">
        <v>38916</v>
      </c>
      <c r="V39" s="82" t="s">
        <v>1164</v>
      </c>
      <c r="W39" s="86" t="s">
        <v>20</v>
      </c>
      <c r="X39" s="86" t="s">
        <v>12</v>
      </c>
      <c r="Y39" s="83">
        <v>19.100000000000001</v>
      </c>
      <c r="Z39" s="82" t="s">
        <v>1025</v>
      </c>
      <c r="AA39" s="86" t="s">
        <v>107</v>
      </c>
      <c r="AB39" s="86" t="s">
        <v>11</v>
      </c>
      <c r="AC39" s="86">
        <v>12.8</v>
      </c>
      <c r="AD39" s="82" t="s">
        <v>125</v>
      </c>
      <c r="AE39" s="86" t="s">
        <v>340</v>
      </c>
      <c r="AF39" s="86" t="s">
        <v>12</v>
      </c>
      <c r="AG39" s="83">
        <v>7.8</v>
      </c>
      <c r="AH39" s="86" t="s">
        <v>1024</v>
      </c>
      <c r="AI39" s="86" t="s">
        <v>951</v>
      </c>
      <c r="AJ39" s="86" t="s">
        <v>12</v>
      </c>
      <c r="AK39" s="86">
        <v>7.1</v>
      </c>
      <c r="AL39" s="82"/>
      <c r="AO39" s="83"/>
      <c r="AP39" s="82"/>
      <c r="AS39" s="83"/>
      <c r="AW39" s="83"/>
      <c r="BA39" s="84"/>
    </row>
    <row r="40" spans="1:53" s="86" customFormat="1" x14ac:dyDescent="0.15">
      <c r="A40" s="86">
        <v>2007</v>
      </c>
      <c r="B40" s="122"/>
      <c r="C40" s="811" t="s">
        <v>1165</v>
      </c>
      <c r="D40" s="811"/>
      <c r="E40" s="86">
        <v>0</v>
      </c>
      <c r="G40" s="480">
        <v>2</v>
      </c>
      <c r="H40" s="560"/>
      <c r="I40" s="560">
        <v>12</v>
      </c>
      <c r="J40" s="482">
        <v>14</v>
      </c>
      <c r="K40" s="477">
        <f t="shared" si="0"/>
        <v>14.285714285714285</v>
      </c>
      <c r="L40" s="477">
        <f t="shared" si="1"/>
        <v>0</v>
      </c>
      <c r="M40" s="477">
        <f t="shared" si="2"/>
        <v>85.714285714285708</v>
      </c>
      <c r="N40" s="481">
        <f t="shared" si="3"/>
        <v>100</v>
      </c>
      <c r="O40" s="476">
        <v>12.8</v>
      </c>
      <c r="P40" s="477"/>
      <c r="Q40" s="477">
        <v>34</v>
      </c>
      <c r="R40" s="478">
        <f t="shared" si="4"/>
        <v>46.8</v>
      </c>
      <c r="S40" s="560">
        <v>5</v>
      </c>
      <c r="T40" s="471"/>
      <c r="U40" s="560"/>
      <c r="V40" s="82" t="s">
        <v>1164</v>
      </c>
      <c r="W40" s="86" t="s">
        <v>20</v>
      </c>
      <c r="X40" s="86" t="s">
        <v>12</v>
      </c>
      <c r="Y40" s="83">
        <v>19.100000000000001</v>
      </c>
      <c r="Z40" s="82" t="s">
        <v>1025</v>
      </c>
      <c r="AA40" s="86" t="s">
        <v>107</v>
      </c>
      <c r="AB40" s="86" t="s">
        <v>11</v>
      </c>
      <c r="AC40" s="86">
        <v>12.8</v>
      </c>
      <c r="AD40" s="82" t="s">
        <v>125</v>
      </c>
      <c r="AE40" s="86" t="s">
        <v>340</v>
      </c>
      <c r="AF40" s="86" t="s">
        <v>12</v>
      </c>
      <c r="AG40" s="83">
        <v>7.8</v>
      </c>
      <c r="AH40" s="86" t="s">
        <v>1024</v>
      </c>
      <c r="AI40" s="86" t="s">
        <v>951</v>
      </c>
      <c r="AJ40" s="86" t="s">
        <v>12</v>
      </c>
      <c r="AK40" s="86">
        <v>7.1</v>
      </c>
      <c r="AL40" s="82"/>
      <c r="AO40" s="83"/>
      <c r="AP40" s="82"/>
      <c r="AS40" s="83"/>
      <c r="AW40" s="83"/>
      <c r="BA40" s="84"/>
    </row>
    <row r="41" spans="1:53" s="86" customFormat="1" x14ac:dyDescent="0.15">
      <c r="A41" s="86">
        <v>2007</v>
      </c>
      <c r="B41" s="122"/>
      <c r="C41" s="811" t="s">
        <v>1165</v>
      </c>
      <c r="D41" s="811"/>
      <c r="E41" s="86">
        <v>365</v>
      </c>
      <c r="G41" s="480">
        <v>2</v>
      </c>
      <c r="H41" s="560"/>
      <c r="I41" s="560">
        <v>12</v>
      </c>
      <c r="J41" s="482">
        <v>14</v>
      </c>
      <c r="K41" s="477">
        <f t="shared" si="0"/>
        <v>14.285714285714285</v>
      </c>
      <c r="L41" s="477">
        <f t="shared" si="1"/>
        <v>0</v>
      </c>
      <c r="M41" s="477">
        <f t="shared" si="2"/>
        <v>85.714285714285708</v>
      </c>
      <c r="N41" s="481">
        <f t="shared" si="3"/>
        <v>100</v>
      </c>
      <c r="O41" s="476">
        <v>12.8</v>
      </c>
      <c r="P41" s="477"/>
      <c r="Q41" s="477">
        <v>34</v>
      </c>
      <c r="R41" s="478">
        <f t="shared" si="4"/>
        <v>46.8</v>
      </c>
      <c r="S41" s="560">
        <v>5</v>
      </c>
      <c r="T41" s="471"/>
      <c r="U41" s="560"/>
      <c r="V41" s="82" t="s">
        <v>1164</v>
      </c>
      <c r="W41" s="86" t="s">
        <v>20</v>
      </c>
      <c r="X41" s="86" t="s">
        <v>12</v>
      </c>
      <c r="Y41" s="83">
        <v>19.100000000000001</v>
      </c>
      <c r="Z41" s="82" t="s">
        <v>1025</v>
      </c>
      <c r="AA41" s="86" t="s">
        <v>107</v>
      </c>
      <c r="AB41" s="86" t="s">
        <v>11</v>
      </c>
      <c r="AC41" s="86">
        <v>12.8</v>
      </c>
      <c r="AD41" s="82" t="s">
        <v>125</v>
      </c>
      <c r="AE41" s="86" t="s">
        <v>340</v>
      </c>
      <c r="AF41" s="86" t="s">
        <v>12</v>
      </c>
      <c r="AG41" s="83">
        <v>7.8</v>
      </c>
      <c r="AH41" s="86" t="s">
        <v>1024</v>
      </c>
      <c r="AI41" s="86" t="s">
        <v>951</v>
      </c>
      <c r="AJ41" s="86" t="s">
        <v>12</v>
      </c>
      <c r="AK41" s="86">
        <v>7.1</v>
      </c>
      <c r="AL41" s="82"/>
      <c r="AO41" s="83"/>
      <c r="AP41" s="82"/>
      <c r="AS41" s="83"/>
      <c r="AW41" s="83"/>
      <c r="BA41" s="84"/>
    </row>
    <row r="42" spans="1:53" s="86" customFormat="1" x14ac:dyDescent="0.15">
      <c r="A42" s="86">
        <v>2008</v>
      </c>
      <c r="B42" s="122"/>
      <c r="C42" s="811" t="s">
        <v>1165</v>
      </c>
      <c r="D42" s="811"/>
      <c r="E42" s="86">
        <v>30</v>
      </c>
      <c r="G42" s="480">
        <v>2</v>
      </c>
      <c r="H42" s="560"/>
      <c r="I42" s="560">
        <v>12</v>
      </c>
      <c r="J42" s="482">
        <v>14</v>
      </c>
      <c r="K42" s="477">
        <f>G42/J42*100</f>
        <v>14.285714285714285</v>
      </c>
      <c r="L42" s="477">
        <f>H42/J42*100</f>
        <v>0</v>
      </c>
      <c r="M42" s="477">
        <f>I42/J42*100</f>
        <v>85.714285714285708</v>
      </c>
      <c r="N42" s="481">
        <f t="shared" si="3"/>
        <v>100</v>
      </c>
      <c r="O42" s="476">
        <v>12.8</v>
      </c>
      <c r="P42" s="477"/>
      <c r="Q42" s="477">
        <v>34</v>
      </c>
      <c r="R42" s="478">
        <f t="shared" si="4"/>
        <v>46.8</v>
      </c>
      <c r="S42" s="560">
        <v>5</v>
      </c>
      <c r="T42" s="471"/>
      <c r="U42" s="560"/>
      <c r="V42" s="82" t="s">
        <v>1164</v>
      </c>
      <c r="W42" s="86" t="s">
        <v>20</v>
      </c>
      <c r="X42" s="86" t="s">
        <v>12</v>
      </c>
      <c r="Y42" s="83">
        <v>19.100000000000001</v>
      </c>
      <c r="Z42" s="82" t="s">
        <v>1025</v>
      </c>
      <c r="AA42" s="86" t="s">
        <v>107</v>
      </c>
      <c r="AB42" s="86" t="s">
        <v>11</v>
      </c>
      <c r="AC42" s="86">
        <v>12.8</v>
      </c>
      <c r="AD42" s="82" t="s">
        <v>125</v>
      </c>
      <c r="AE42" s="86" t="s">
        <v>340</v>
      </c>
      <c r="AF42" s="86" t="s">
        <v>12</v>
      </c>
      <c r="AG42" s="83">
        <v>7.8</v>
      </c>
      <c r="AH42" s="86" t="s">
        <v>1024</v>
      </c>
      <c r="AI42" s="86" t="s">
        <v>951</v>
      </c>
      <c r="AJ42" s="86" t="s">
        <v>12</v>
      </c>
      <c r="AK42" s="86">
        <v>7.1</v>
      </c>
      <c r="AL42" s="82"/>
      <c r="AO42" s="83"/>
      <c r="AP42" s="82"/>
      <c r="AS42" s="83"/>
      <c r="AW42" s="83"/>
      <c r="BA42" s="84"/>
    </row>
    <row r="43" spans="1:53" s="334" customFormat="1" x14ac:dyDescent="0.15">
      <c r="A43" s="334">
        <v>2008</v>
      </c>
      <c r="B43" s="361">
        <v>39478</v>
      </c>
      <c r="C43" s="812" t="s">
        <v>1166</v>
      </c>
      <c r="D43" s="812"/>
      <c r="E43" s="334">
        <v>117</v>
      </c>
      <c r="F43" s="334">
        <v>7</v>
      </c>
      <c r="G43" s="497">
        <v>2</v>
      </c>
      <c r="H43" s="561">
        <v>1</v>
      </c>
      <c r="I43" s="561">
        <v>11</v>
      </c>
      <c r="J43" s="499">
        <v>14</v>
      </c>
      <c r="K43" s="495">
        <f>G43/J43*100</f>
        <v>14.285714285714285</v>
      </c>
      <c r="L43" s="495">
        <f>H43/J43*100</f>
        <v>7.1428571428571423</v>
      </c>
      <c r="M43" s="495">
        <f>I43/J43*100</f>
        <v>78.571428571428569</v>
      </c>
      <c r="N43" s="498">
        <f t="shared" si="3"/>
        <v>100</v>
      </c>
      <c r="O43" s="494">
        <v>12.8</v>
      </c>
      <c r="P43" s="495">
        <v>7.8</v>
      </c>
      <c r="Q43" s="495">
        <v>34</v>
      </c>
      <c r="R43" s="496">
        <f t="shared" si="4"/>
        <v>54.6</v>
      </c>
      <c r="S43" s="561">
        <v>2</v>
      </c>
      <c r="T43" s="492"/>
      <c r="U43" s="361">
        <v>39478</v>
      </c>
      <c r="V43" s="343" t="s">
        <v>1164</v>
      </c>
      <c r="W43" s="334" t="s">
        <v>20</v>
      </c>
      <c r="X43" s="334" t="s">
        <v>12</v>
      </c>
      <c r="Y43" s="344">
        <v>19.100000000000001</v>
      </c>
      <c r="Z43" s="343" t="s">
        <v>1025</v>
      </c>
      <c r="AA43" s="334" t="s">
        <v>107</v>
      </c>
      <c r="AB43" s="334" t="s">
        <v>11</v>
      </c>
      <c r="AC43" s="334">
        <v>12.8</v>
      </c>
      <c r="AD43" s="343" t="s">
        <v>125</v>
      </c>
      <c r="AE43" s="334" t="s">
        <v>340</v>
      </c>
      <c r="AF43" s="334" t="s">
        <v>12</v>
      </c>
      <c r="AG43" s="344">
        <v>7.8</v>
      </c>
      <c r="AH43" s="334" t="s">
        <v>1022</v>
      </c>
      <c r="AI43" s="334" t="s">
        <v>319</v>
      </c>
      <c r="AJ43" s="334" t="s">
        <v>18</v>
      </c>
      <c r="AK43" s="334">
        <v>7.8</v>
      </c>
      <c r="AL43" s="343" t="s">
        <v>1024</v>
      </c>
      <c r="AM43" s="334" t="s">
        <v>951</v>
      </c>
      <c r="AN43" s="334" t="s">
        <v>12</v>
      </c>
      <c r="AO43" s="344">
        <v>7.1</v>
      </c>
      <c r="AP43" s="343"/>
      <c r="AS43" s="344"/>
      <c r="AW43" s="344"/>
      <c r="BA43" s="345"/>
    </row>
    <row r="44" spans="1:53" s="334" customFormat="1" x14ac:dyDescent="0.15">
      <c r="A44" s="334">
        <v>2008</v>
      </c>
      <c r="B44" s="359">
        <v>39595</v>
      </c>
      <c r="C44" s="812" t="s">
        <v>1166</v>
      </c>
      <c r="D44" s="812"/>
      <c r="E44" s="334">
        <v>218</v>
      </c>
      <c r="F44" s="360">
        <v>0</v>
      </c>
      <c r="G44" s="497">
        <v>2</v>
      </c>
      <c r="H44" s="561">
        <v>2</v>
      </c>
      <c r="I44" s="561">
        <v>10</v>
      </c>
      <c r="J44" s="499">
        <v>14</v>
      </c>
      <c r="K44" s="495">
        <f t="shared" si="0"/>
        <v>14.285714285714285</v>
      </c>
      <c r="L44" s="495">
        <f t="shared" si="1"/>
        <v>14.285714285714285</v>
      </c>
      <c r="M44" s="495">
        <f t="shared" si="2"/>
        <v>71.428571428571431</v>
      </c>
      <c r="N44" s="498">
        <f t="shared" si="3"/>
        <v>100</v>
      </c>
      <c r="O44" s="494">
        <v>12.8</v>
      </c>
      <c r="P44" s="495">
        <v>7.8</v>
      </c>
      <c r="Q44" s="495">
        <v>34</v>
      </c>
      <c r="R44" s="496">
        <f t="shared" si="4"/>
        <v>54.6</v>
      </c>
      <c r="S44" s="561">
        <v>2</v>
      </c>
      <c r="T44" s="492"/>
      <c r="U44" s="561"/>
      <c r="V44" s="343" t="s">
        <v>1164</v>
      </c>
      <c r="W44" s="334" t="s">
        <v>20</v>
      </c>
      <c r="X44" s="334" t="s">
        <v>12</v>
      </c>
      <c r="Y44" s="344">
        <v>19.100000000000001</v>
      </c>
      <c r="Z44" s="343" t="s">
        <v>1025</v>
      </c>
      <c r="AA44" s="334" t="s">
        <v>107</v>
      </c>
      <c r="AB44" s="334" t="s">
        <v>11</v>
      </c>
      <c r="AC44" s="334">
        <v>12.8</v>
      </c>
      <c r="AD44" s="343" t="s">
        <v>125</v>
      </c>
      <c r="AE44" s="334" t="s">
        <v>340</v>
      </c>
      <c r="AF44" s="334" t="s">
        <v>12</v>
      </c>
      <c r="AG44" s="344">
        <v>7.8</v>
      </c>
      <c r="AH44" s="334" t="s">
        <v>1022</v>
      </c>
      <c r="AI44" s="334" t="s">
        <v>319</v>
      </c>
      <c r="AJ44" s="334" t="s">
        <v>18</v>
      </c>
      <c r="AK44" s="334">
        <v>7.8</v>
      </c>
      <c r="AL44" s="343" t="s">
        <v>1024</v>
      </c>
      <c r="AM44" s="334" t="s">
        <v>951</v>
      </c>
      <c r="AN44" s="334" t="s">
        <v>12</v>
      </c>
      <c r="AO44" s="344">
        <v>7.1</v>
      </c>
      <c r="AP44" s="343"/>
      <c r="AS44" s="344"/>
      <c r="AW44" s="344"/>
      <c r="BA44" s="345"/>
    </row>
    <row r="45" spans="1:53" s="86" customFormat="1" x14ac:dyDescent="0.15">
      <c r="A45" s="86">
        <v>2008</v>
      </c>
      <c r="B45" s="121">
        <v>39813</v>
      </c>
      <c r="C45" s="811" t="s">
        <v>1167</v>
      </c>
      <c r="D45" s="811"/>
      <c r="E45" s="86">
        <f xml:space="preserve"> 366-E44-E43-E42</f>
        <v>1</v>
      </c>
      <c r="F45" s="86">
        <v>1</v>
      </c>
      <c r="G45" s="480">
        <v>15</v>
      </c>
      <c r="H45" s="560"/>
      <c r="I45" s="560"/>
      <c r="J45" s="482">
        <v>15</v>
      </c>
      <c r="K45" s="477">
        <f t="shared" si="0"/>
        <v>100</v>
      </c>
      <c r="L45" s="477">
        <f t="shared" si="1"/>
        <v>0</v>
      </c>
      <c r="M45" s="477">
        <f t="shared" si="2"/>
        <v>0</v>
      </c>
      <c r="N45" s="481">
        <f t="shared" si="3"/>
        <v>100</v>
      </c>
      <c r="O45" s="476">
        <v>56.8</v>
      </c>
      <c r="P45" s="477"/>
      <c r="Q45" s="477"/>
      <c r="R45" s="478">
        <f t="shared" si="4"/>
        <v>56.8</v>
      </c>
      <c r="S45" s="560">
        <v>3</v>
      </c>
      <c r="T45" s="479">
        <v>39733</v>
      </c>
      <c r="U45" s="121">
        <v>39813</v>
      </c>
      <c r="V45" s="82" t="s">
        <v>1026</v>
      </c>
      <c r="W45" s="86" t="s">
        <v>88</v>
      </c>
      <c r="X45" s="86" t="s">
        <v>11</v>
      </c>
      <c r="Y45" s="83">
        <v>31.9</v>
      </c>
      <c r="Z45" s="86" t="s">
        <v>1027</v>
      </c>
      <c r="AA45" s="86" t="s">
        <v>118</v>
      </c>
      <c r="AB45" s="86" t="s">
        <v>11</v>
      </c>
      <c r="AC45" s="86">
        <v>11.4</v>
      </c>
      <c r="AD45" s="82" t="s">
        <v>1028</v>
      </c>
      <c r="AE45" s="86" t="s">
        <v>912</v>
      </c>
      <c r="AF45" s="86" t="s">
        <v>11</v>
      </c>
      <c r="AG45" s="83">
        <v>7.8</v>
      </c>
      <c r="AH45" s="82" t="s">
        <v>1025</v>
      </c>
      <c r="AI45" s="86" t="s">
        <v>107</v>
      </c>
      <c r="AJ45" s="86" t="s">
        <v>11</v>
      </c>
      <c r="AK45" s="86">
        <v>5.7</v>
      </c>
      <c r="AL45" s="82"/>
      <c r="AO45" s="83"/>
      <c r="AP45" s="82"/>
      <c r="AS45" s="83"/>
      <c r="AW45" s="83"/>
      <c r="BA45" s="84"/>
    </row>
    <row r="46" spans="1:53" s="86" customFormat="1" x14ac:dyDescent="0.15">
      <c r="A46" s="86">
        <v>2009</v>
      </c>
      <c r="B46" s="122"/>
      <c r="C46" s="811" t="s">
        <v>1167</v>
      </c>
      <c r="D46" s="811"/>
      <c r="E46" s="86">
        <v>187</v>
      </c>
      <c r="G46" s="480">
        <v>15</v>
      </c>
      <c r="H46" s="560"/>
      <c r="I46" s="560"/>
      <c r="J46" s="482">
        <v>15</v>
      </c>
      <c r="K46" s="477">
        <f t="shared" si="0"/>
        <v>100</v>
      </c>
      <c r="L46" s="477">
        <f t="shared" si="1"/>
        <v>0</v>
      </c>
      <c r="M46" s="477">
        <f t="shared" si="2"/>
        <v>0</v>
      </c>
      <c r="N46" s="481">
        <f t="shared" si="3"/>
        <v>100</v>
      </c>
      <c r="O46" s="476">
        <v>56.8</v>
      </c>
      <c r="P46" s="477"/>
      <c r="Q46" s="477"/>
      <c r="R46" s="478">
        <f t="shared" si="4"/>
        <v>56.8</v>
      </c>
      <c r="S46" s="560">
        <v>3</v>
      </c>
      <c r="T46" s="471"/>
      <c r="U46" s="560"/>
      <c r="V46" s="82" t="s">
        <v>1026</v>
      </c>
      <c r="W46" s="86" t="s">
        <v>88</v>
      </c>
      <c r="X46" s="86" t="s">
        <v>11</v>
      </c>
      <c r="Y46" s="83">
        <v>31.9</v>
      </c>
      <c r="Z46" s="86" t="s">
        <v>1027</v>
      </c>
      <c r="AA46" s="86" t="s">
        <v>118</v>
      </c>
      <c r="AB46" s="86" t="s">
        <v>11</v>
      </c>
      <c r="AC46" s="86">
        <v>11.4</v>
      </c>
      <c r="AD46" s="82" t="s">
        <v>1028</v>
      </c>
      <c r="AE46" s="86" t="s">
        <v>912</v>
      </c>
      <c r="AF46" s="86" t="s">
        <v>11</v>
      </c>
      <c r="AG46" s="83">
        <v>7.8</v>
      </c>
      <c r="AH46" s="82" t="s">
        <v>1025</v>
      </c>
      <c r="AI46" s="86" t="s">
        <v>107</v>
      </c>
      <c r="AJ46" s="86" t="s">
        <v>11</v>
      </c>
      <c r="AK46" s="86">
        <v>5.7</v>
      </c>
      <c r="AL46" s="82"/>
      <c r="AO46" s="83"/>
      <c r="AP46" s="82"/>
      <c r="AS46" s="83"/>
      <c r="AW46" s="83"/>
      <c r="BA46" s="84"/>
    </row>
    <row r="47" spans="1:53" s="86" customFormat="1" x14ac:dyDescent="0.15">
      <c r="A47" s="86">
        <v>2009</v>
      </c>
      <c r="B47" s="156">
        <v>40001</v>
      </c>
      <c r="C47" s="811" t="s">
        <v>1167</v>
      </c>
      <c r="D47" s="811"/>
      <c r="E47" s="86">
        <f xml:space="preserve"> 365-E46</f>
        <v>178</v>
      </c>
      <c r="F47" s="129">
        <v>0</v>
      </c>
      <c r="G47" s="480">
        <v>14</v>
      </c>
      <c r="H47" s="560"/>
      <c r="I47" s="560"/>
      <c r="J47" s="482">
        <v>15</v>
      </c>
      <c r="K47" s="477">
        <f t="shared" si="0"/>
        <v>93.333333333333329</v>
      </c>
      <c r="L47" s="477">
        <f t="shared" si="1"/>
        <v>0</v>
      </c>
      <c r="M47" s="477">
        <f t="shared" si="2"/>
        <v>0</v>
      </c>
      <c r="N47" s="481">
        <f t="shared" si="3"/>
        <v>93.333333333333329</v>
      </c>
      <c r="O47" s="476">
        <v>56.8</v>
      </c>
      <c r="P47" s="477"/>
      <c r="Q47" s="477"/>
      <c r="R47" s="478">
        <f t="shared" si="4"/>
        <v>56.8</v>
      </c>
      <c r="S47" s="560">
        <v>3</v>
      </c>
      <c r="T47" s="471"/>
      <c r="U47" s="560"/>
      <c r="V47" s="82" t="s">
        <v>1026</v>
      </c>
      <c r="W47" s="86" t="s">
        <v>88</v>
      </c>
      <c r="X47" s="86" t="s">
        <v>11</v>
      </c>
      <c r="Y47" s="83">
        <v>31.9</v>
      </c>
      <c r="Z47" s="86" t="s">
        <v>1027</v>
      </c>
      <c r="AA47" s="86" t="s">
        <v>118</v>
      </c>
      <c r="AB47" s="86" t="s">
        <v>11</v>
      </c>
      <c r="AC47" s="86">
        <v>11.4</v>
      </c>
      <c r="AD47" s="82" t="s">
        <v>1028</v>
      </c>
      <c r="AE47" s="86" t="s">
        <v>912</v>
      </c>
      <c r="AF47" s="86" t="s">
        <v>11</v>
      </c>
      <c r="AG47" s="83">
        <v>7.8</v>
      </c>
      <c r="AH47" s="82" t="s">
        <v>1025</v>
      </c>
      <c r="AI47" s="86" t="s">
        <v>107</v>
      </c>
      <c r="AJ47" s="86" t="s">
        <v>11</v>
      </c>
      <c r="AK47" s="86">
        <v>5.7</v>
      </c>
      <c r="AL47" s="82"/>
      <c r="AO47" s="83"/>
      <c r="AP47" s="82"/>
      <c r="AS47" s="83"/>
      <c r="AW47" s="83"/>
      <c r="BA47" s="84"/>
    </row>
    <row r="48" spans="1:53" s="86" customFormat="1" x14ac:dyDescent="0.15">
      <c r="A48" s="86">
        <v>2010</v>
      </c>
      <c r="B48" s="122"/>
      <c r="C48" s="811" t="s">
        <v>1167</v>
      </c>
      <c r="D48" s="811"/>
      <c r="E48" s="86">
        <v>0</v>
      </c>
      <c r="G48" s="480">
        <v>14</v>
      </c>
      <c r="H48" s="560"/>
      <c r="I48" s="560"/>
      <c r="J48" s="482">
        <v>15</v>
      </c>
      <c r="K48" s="477">
        <f t="shared" si="0"/>
        <v>93.333333333333329</v>
      </c>
      <c r="L48" s="477">
        <f t="shared" si="1"/>
        <v>0</v>
      </c>
      <c r="M48" s="477">
        <f t="shared" si="2"/>
        <v>0</v>
      </c>
      <c r="N48" s="481">
        <f t="shared" si="3"/>
        <v>93.333333333333329</v>
      </c>
      <c r="O48" s="476">
        <v>56.8</v>
      </c>
      <c r="P48" s="477"/>
      <c r="Q48" s="477"/>
      <c r="R48" s="478">
        <f t="shared" si="4"/>
        <v>56.8</v>
      </c>
      <c r="S48" s="560">
        <v>3</v>
      </c>
      <c r="T48" s="471"/>
      <c r="U48" s="560"/>
      <c r="V48" s="82" t="s">
        <v>1026</v>
      </c>
      <c r="W48" s="86" t="s">
        <v>88</v>
      </c>
      <c r="X48" s="86" t="s">
        <v>11</v>
      </c>
      <c r="Y48" s="83">
        <v>31.9</v>
      </c>
      <c r="Z48" s="86" t="s">
        <v>1027</v>
      </c>
      <c r="AA48" s="86" t="s">
        <v>118</v>
      </c>
      <c r="AB48" s="86" t="s">
        <v>11</v>
      </c>
      <c r="AC48" s="86">
        <v>11.4</v>
      </c>
      <c r="AD48" s="82" t="s">
        <v>1028</v>
      </c>
      <c r="AE48" s="86" t="s">
        <v>912</v>
      </c>
      <c r="AF48" s="86" t="s">
        <v>11</v>
      </c>
      <c r="AG48" s="83">
        <v>7.8</v>
      </c>
      <c r="AH48" s="82" t="s">
        <v>1025</v>
      </c>
      <c r="AI48" s="86" t="s">
        <v>107</v>
      </c>
      <c r="AJ48" s="86" t="s">
        <v>11</v>
      </c>
      <c r="AK48" s="86">
        <v>5.7</v>
      </c>
      <c r="AL48" s="82"/>
      <c r="AO48" s="83"/>
      <c r="AP48" s="82"/>
      <c r="AS48" s="83"/>
      <c r="AW48" s="83"/>
      <c r="BA48" s="84"/>
    </row>
    <row r="49" spans="1:53" s="86" customFormat="1" x14ac:dyDescent="0.15">
      <c r="A49" s="86">
        <v>2010</v>
      </c>
      <c r="B49" s="122"/>
      <c r="C49" s="811" t="s">
        <v>1167</v>
      </c>
      <c r="D49" s="811"/>
      <c r="E49" s="86">
        <v>365</v>
      </c>
      <c r="G49" s="480">
        <v>14</v>
      </c>
      <c r="H49" s="560"/>
      <c r="I49" s="560"/>
      <c r="J49" s="482">
        <v>15</v>
      </c>
      <c r="K49" s="477">
        <f t="shared" si="0"/>
        <v>93.333333333333329</v>
      </c>
      <c r="L49" s="477">
        <f t="shared" si="1"/>
        <v>0</v>
      </c>
      <c r="M49" s="477">
        <f t="shared" si="2"/>
        <v>0</v>
      </c>
      <c r="N49" s="481">
        <f t="shared" si="3"/>
        <v>93.333333333333329</v>
      </c>
      <c r="O49" s="476">
        <v>56.8</v>
      </c>
      <c r="P49" s="477"/>
      <c r="Q49" s="477"/>
      <c r="R49" s="478">
        <f t="shared" si="4"/>
        <v>56.8</v>
      </c>
      <c r="S49" s="560">
        <v>3</v>
      </c>
      <c r="T49" s="471"/>
      <c r="U49" s="560"/>
      <c r="V49" s="82" t="s">
        <v>1026</v>
      </c>
      <c r="W49" s="86" t="s">
        <v>88</v>
      </c>
      <c r="X49" s="86" t="s">
        <v>11</v>
      </c>
      <c r="Y49" s="83">
        <v>31.9</v>
      </c>
      <c r="Z49" s="86" t="s">
        <v>1027</v>
      </c>
      <c r="AA49" s="86" t="s">
        <v>118</v>
      </c>
      <c r="AB49" s="86" t="s">
        <v>11</v>
      </c>
      <c r="AC49" s="86">
        <v>11.4</v>
      </c>
      <c r="AD49" s="82" t="s">
        <v>1028</v>
      </c>
      <c r="AE49" s="86" t="s">
        <v>912</v>
      </c>
      <c r="AF49" s="86" t="s">
        <v>11</v>
      </c>
      <c r="AG49" s="83">
        <v>7.8</v>
      </c>
      <c r="AH49" s="82" t="s">
        <v>1025</v>
      </c>
      <c r="AI49" s="86" t="s">
        <v>107</v>
      </c>
      <c r="AJ49" s="86" t="s">
        <v>11</v>
      </c>
      <c r="AK49" s="86">
        <v>5.7</v>
      </c>
      <c r="AL49" s="82"/>
      <c r="AO49" s="83"/>
      <c r="AP49" s="82"/>
      <c r="AS49" s="83"/>
      <c r="AW49" s="83"/>
      <c r="BA49" s="84"/>
    </row>
    <row r="50" spans="1:53" s="86" customFormat="1" x14ac:dyDescent="0.15">
      <c r="A50" s="86">
        <v>2011</v>
      </c>
      <c r="B50" s="122"/>
      <c r="C50" s="811" t="s">
        <v>1167</v>
      </c>
      <c r="D50" s="811"/>
      <c r="E50" s="86">
        <v>0</v>
      </c>
      <c r="G50" s="480">
        <v>14</v>
      </c>
      <c r="H50" s="560"/>
      <c r="I50" s="560"/>
      <c r="J50" s="482">
        <v>15</v>
      </c>
      <c r="K50" s="477">
        <f t="shared" ref="K50:K56" si="5">G50/J50*100</f>
        <v>93.333333333333329</v>
      </c>
      <c r="L50" s="477">
        <f t="shared" ref="L50:L55" si="6">H50/J50*100</f>
        <v>0</v>
      </c>
      <c r="M50" s="477">
        <f t="shared" ref="M50:M56" si="7">I50/J50*100</f>
        <v>0</v>
      </c>
      <c r="N50" s="481">
        <f t="shared" si="3"/>
        <v>93.333333333333329</v>
      </c>
      <c r="O50" s="476">
        <v>56.8</v>
      </c>
      <c r="P50" s="477"/>
      <c r="Q50" s="477"/>
      <c r="R50" s="478">
        <f t="shared" si="4"/>
        <v>56.8</v>
      </c>
      <c r="S50" s="560">
        <v>3</v>
      </c>
      <c r="T50" s="471"/>
      <c r="U50" s="560"/>
      <c r="V50" s="82" t="s">
        <v>1026</v>
      </c>
      <c r="W50" s="86" t="s">
        <v>88</v>
      </c>
      <c r="X50" s="86" t="s">
        <v>11</v>
      </c>
      <c r="Y50" s="83">
        <v>31.9</v>
      </c>
      <c r="Z50" s="86" t="s">
        <v>1027</v>
      </c>
      <c r="AA50" s="86" t="s">
        <v>118</v>
      </c>
      <c r="AB50" s="86" t="s">
        <v>11</v>
      </c>
      <c r="AC50" s="86">
        <v>11.4</v>
      </c>
      <c r="AD50" s="82" t="s">
        <v>1028</v>
      </c>
      <c r="AE50" s="86" t="s">
        <v>912</v>
      </c>
      <c r="AF50" s="86" t="s">
        <v>11</v>
      </c>
      <c r="AG50" s="83">
        <v>7.8</v>
      </c>
      <c r="AH50" s="82" t="s">
        <v>1025</v>
      </c>
      <c r="AI50" s="86" t="s">
        <v>107</v>
      </c>
      <c r="AJ50" s="86" t="s">
        <v>11</v>
      </c>
      <c r="AK50" s="86">
        <v>5.7</v>
      </c>
      <c r="AL50" s="82"/>
      <c r="AO50" s="83"/>
      <c r="AP50" s="82"/>
      <c r="AS50" s="83"/>
      <c r="AW50" s="83"/>
      <c r="BA50" s="84"/>
    </row>
    <row r="51" spans="1:53" s="329" customFormat="1" x14ac:dyDescent="0.15">
      <c r="A51" s="329">
        <v>2011</v>
      </c>
      <c r="B51" s="121"/>
      <c r="C51" s="811" t="s">
        <v>1167</v>
      </c>
      <c r="D51" s="811"/>
      <c r="E51" s="329">
        <v>365</v>
      </c>
      <c r="G51" s="480">
        <v>14</v>
      </c>
      <c r="H51" s="560"/>
      <c r="I51" s="560"/>
      <c r="J51" s="482">
        <v>15</v>
      </c>
      <c r="K51" s="477">
        <f t="shared" si="5"/>
        <v>93.333333333333329</v>
      </c>
      <c r="L51" s="477">
        <f t="shared" si="6"/>
        <v>0</v>
      </c>
      <c r="M51" s="477">
        <f t="shared" si="7"/>
        <v>0</v>
      </c>
      <c r="N51" s="481">
        <f t="shared" si="3"/>
        <v>93.333333333333329</v>
      </c>
      <c r="O51" s="476">
        <v>56.8</v>
      </c>
      <c r="P51" s="477"/>
      <c r="Q51" s="477"/>
      <c r="R51" s="478">
        <f t="shared" si="4"/>
        <v>56.8</v>
      </c>
      <c r="S51" s="560">
        <v>3</v>
      </c>
      <c r="T51" s="471"/>
      <c r="U51" s="121"/>
      <c r="V51" s="82" t="s">
        <v>1026</v>
      </c>
      <c r="W51" s="329" t="s">
        <v>88</v>
      </c>
      <c r="X51" s="329" t="s">
        <v>11</v>
      </c>
      <c r="Y51" s="83">
        <v>31.9</v>
      </c>
      <c r="Z51" s="329" t="s">
        <v>1027</v>
      </c>
      <c r="AA51" s="329" t="s">
        <v>118</v>
      </c>
      <c r="AB51" s="329" t="s">
        <v>11</v>
      </c>
      <c r="AC51" s="329">
        <v>11.4</v>
      </c>
      <c r="AD51" s="82" t="s">
        <v>1028</v>
      </c>
      <c r="AE51" s="329" t="s">
        <v>912</v>
      </c>
      <c r="AF51" s="329" t="s">
        <v>11</v>
      </c>
      <c r="AG51" s="83">
        <v>7.8</v>
      </c>
      <c r="AH51" s="82" t="s">
        <v>1025</v>
      </c>
      <c r="AI51" s="329" t="s">
        <v>107</v>
      </c>
      <c r="AJ51" s="329" t="s">
        <v>11</v>
      </c>
      <c r="AK51" s="329">
        <v>5.7</v>
      </c>
      <c r="AL51" s="82"/>
      <c r="AO51" s="83"/>
      <c r="AP51" s="82"/>
      <c r="AS51" s="83"/>
      <c r="AW51" s="83"/>
      <c r="BA51" s="84"/>
    </row>
    <row r="52" spans="1:53" s="329" customFormat="1" x14ac:dyDescent="0.15">
      <c r="A52" s="329">
        <v>2012</v>
      </c>
      <c r="B52" s="122"/>
      <c r="C52" s="811" t="s">
        <v>1167</v>
      </c>
      <c r="D52" s="811"/>
      <c r="E52" s="329">
        <v>346</v>
      </c>
      <c r="G52" s="480">
        <v>14</v>
      </c>
      <c r="H52" s="560"/>
      <c r="I52" s="560"/>
      <c r="J52" s="482">
        <v>15</v>
      </c>
      <c r="K52" s="477">
        <f t="shared" si="5"/>
        <v>93.333333333333329</v>
      </c>
      <c r="L52" s="477">
        <f t="shared" si="6"/>
        <v>0</v>
      </c>
      <c r="M52" s="477">
        <f t="shared" si="7"/>
        <v>0</v>
      </c>
      <c r="N52" s="481">
        <f t="shared" si="3"/>
        <v>93.333333333333329</v>
      </c>
      <c r="O52" s="476">
        <v>56.8</v>
      </c>
      <c r="P52" s="477"/>
      <c r="Q52" s="477"/>
      <c r="R52" s="478">
        <f t="shared" si="4"/>
        <v>56.8</v>
      </c>
      <c r="S52" s="560">
        <v>3</v>
      </c>
      <c r="T52" s="471"/>
      <c r="U52" s="560"/>
      <c r="V52" s="82" t="s">
        <v>1026</v>
      </c>
      <c r="W52" s="329" t="s">
        <v>88</v>
      </c>
      <c r="X52" s="329" t="s">
        <v>11</v>
      </c>
      <c r="Y52" s="83">
        <v>31.9</v>
      </c>
      <c r="Z52" s="329" t="s">
        <v>1027</v>
      </c>
      <c r="AA52" s="329" t="s">
        <v>118</v>
      </c>
      <c r="AB52" s="329" t="s">
        <v>11</v>
      </c>
      <c r="AC52" s="329">
        <v>11.4</v>
      </c>
      <c r="AD52" s="82" t="s">
        <v>1028</v>
      </c>
      <c r="AE52" s="329" t="s">
        <v>912</v>
      </c>
      <c r="AF52" s="329" t="s">
        <v>11</v>
      </c>
      <c r="AG52" s="83">
        <v>7.8</v>
      </c>
      <c r="AH52" s="82" t="s">
        <v>1025</v>
      </c>
      <c r="AI52" s="329" t="s">
        <v>107</v>
      </c>
      <c r="AJ52" s="329" t="s">
        <v>11</v>
      </c>
      <c r="AK52" s="329">
        <v>5.7</v>
      </c>
      <c r="AL52" s="82"/>
      <c r="AO52" s="83"/>
      <c r="AP52" s="82"/>
      <c r="AS52" s="83"/>
      <c r="AW52" s="83"/>
      <c r="BA52" s="84"/>
    </row>
    <row r="53" spans="1:53" s="334" customFormat="1" x14ac:dyDescent="0.15">
      <c r="A53" s="334">
        <v>2012</v>
      </c>
      <c r="B53" s="335">
        <v>41255</v>
      </c>
      <c r="C53" s="844" t="s">
        <v>1168</v>
      </c>
      <c r="D53" s="844"/>
      <c r="E53" s="334">
        <f xml:space="preserve"> 366-E52</f>
        <v>20</v>
      </c>
      <c r="F53" s="334">
        <v>1</v>
      </c>
      <c r="G53" s="497">
        <v>2</v>
      </c>
      <c r="H53" s="561">
        <v>1</v>
      </c>
      <c r="I53" s="561">
        <v>12</v>
      </c>
      <c r="J53" s="499">
        <v>15</v>
      </c>
      <c r="K53" s="495">
        <f t="shared" si="5"/>
        <v>13.333333333333334</v>
      </c>
      <c r="L53" s="495">
        <f t="shared" si="6"/>
        <v>6.666666666666667</v>
      </c>
      <c r="M53" s="495">
        <f t="shared" si="7"/>
        <v>80</v>
      </c>
      <c r="N53" s="498">
        <f t="shared" si="3"/>
        <v>100</v>
      </c>
      <c r="O53" s="494">
        <v>7.8</v>
      </c>
      <c r="P53" s="495">
        <v>5.7</v>
      </c>
      <c r="Q53" s="495">
        <v>46.8</v>
      </c>
      <c r="R53" s="496">
        <f t="shared" si="4"/>
        <v>60.3</v>
      </c>
      <c r="S53" s="561">
        <v>3</v>
      </c>
      <c r="T53" s="487">
        <v>41210</v>
      </c>
      <c r="U53" s="335">
        <v>41255</v>
      </c>
      <c r="V53" s="343" t="s">
        <v>1164</v>
      </c>
      <c r="W53" s="334" t="s">
        <v>20</v>
      </c>
      <c r="X53" s="334" t="s">
        <v>12</v>
      </c>
      <c r="Y53" s="344">
        <v>26.2</v>
      </c>
      <c r="Z53" s="343" t="s">
        <v>131</v>
      </c>
      <c r="AA53" s="334" t="s">
        <v>98</v>
      </c>
      <c r="AB53" s="334" t="s">
        <v>12</v>
      </c>
      <c r="AC53" s="334">
        <v>20.6</v>
      </c>
      <c r="AD53" s="343" t="s">
        <v>1029</v>
      </c>
      <c r="AE53" s="334" t="s">
        <v>911</v>
      </c>
      <c r="AF53" s="334" t="s">
        <v>11</v>
      </c>
      <c r="AG53" s="344">
        <v>7.8</v>
      </c>
      <c r="AH53" s="334" t="s">
        <v>1030</v>
      </c>
      <c r="AI53" s="334" t="s">
        <v>90</v>
      </c>
      <c r="AJ53" s="334" t="s">
        <v>18</v>
      </c>
      <c r="AK53" s="334">
        <v>5.7</v>
      </c>
      <c r="AL53" s="343"/>
      <c r="AO53" s="344"/>
      <c r="AP53" s="343"/>
      <c r="AS53" s="344"/>
      <c r="AW53" s="344"/>
      <c r="BA53" s="345"/>
    </row>
    <row r="54" spans="1:53" s="334" customFormat="1" x14ac:dyDescent="0.15">
      <c r="A54" s="334">
        <v>2013</v>
      </c>
      <c r="B54" s="335"/>
      <c r="C54" s="844" t="s">
        <v>1168</v>
      </c>
      <c r="D54" s="844"/>
      <c r="E54" s="334">
        <v>0</v>
      </c>
      <c r="G54" s="497">
        <v>2</v>
      </c>
      <c r="H54" s="561">
        <v>1</v>
      </c>
      <c r="I54" s="561">
        <v>12</v>
      </c>
      <c r="J54" s="499">
        <v>15</v>
      </c>
      <c r="K54" s="495">
        <f t="shared" si="5"/>
        <v>13.333333333333334</v>
      </c>
      <c r="L54" s="495">
        <f t="shared" si="6"/>
        <v>6.666666666666667</v>
      </c>
      <c r="M54" s="495">
        <f t="shared" si="7"/>
        <v>80</v>
      </c>
      <c r="N54" s="498">
        <f>SUM(K54:M54)</f>
        <v>100</v>
      </c>
      <c r="O54" s="494">
        <v>7.8</v>
      </c>
      <c r="P54" s="495">
        <v>5.7</v>
      </c>
      <c r="Q54" s="495">
        <v>46.8</v>
      </c>
      <c r="R54" s="496">
        <f>SUM(O54:Q54)</f>
        <v>60.3</v>
      </c>
      <c r="S54" s="561">
        <v>3</v>
      </c>
      <c r="T54" s="487"/>
      <c r="U54" s="335"/>
      <c r="V54" s="343" t="s">
        <v>1164</v>
      </c>
      <c r="W54" s="334" t="s">
        <v>20</v>
      </c>
      <c r="X54" s="334" t="s">
        <v>12</v>
      </c>
      <c r="Y54" s="344">
        <v>26.2</v>
      </c>
      <c r="Z54" s="343" t="s">
        <v>131</v>
      </c>
      <c r="AA54" s="334" t="s">
        <v>98</v>
      </c>
      <c r="AB54" s="334" t="s">
        <v>12</v>
      </c>
      <c r="AC54" s="334">
        <v>20.6</v>
      </c>
      <c r="AD54" s="343" t="s">
        <v>1029</v>
      </c>
      <c r="AE54" s="334" t="s">
        <v>911</v>
      </c>
      <c r="AF54" s="334" t="s">
        <v>11</v>
      </c>
      <c r="AG54" s="344">
        <v>7.8</v>
      </c>
      <c r="AH54" s="334" t="s">
        <v>1030</v>
      </c>
      <c r="AI54" s="334" t="s">
        <v>90</v>
      </c>
      <c r="AJ54" s="334" t="s">
        <v>18</v>
      </c>
      <c r="AK54" s="334">
        <v>5.7</v>
      </c>
      <c r="AL54" s="343"/>
      <c r="AO54" s="344"/>
      <c r="AP54" s="343"/>
      <c r="AS54" s="344"/>
      <c r="AW54" s="344"/>
      <c r="BA54" s="345"/>
    </row>
    <row r="55" spans="1:53" s="334" customFormat="1" x14ac:dyDescent="0.15">
      <c r="A55" s="334">
        <v>2013</v>
      </c>
      <c r="B55" s="335"/>
      <c r="C55" s="844" t="s">
        <v>1168</v>
      </c>
      <c r="D55" s="844"/>
      <c r="E55" s="334">
        <v>365</v>
      </c>
      <c r="G55" s="497">
        <v>2</v>
      </c>
      <c r="H55" s="561">
        <v>1</v>
      </c>
      <c r="I55" s="561">
        <v>12</v>
      </c>
      <c r="J55" s="499">
        <v>15</v>
      </c>
      <c r="K55" s="495">
        <f t="shared" si="5"/>
        <v>13.333333333333334</v>
      </c>
      <c r="L55" s="495">
        <f t="shared" si="6"/>
        <v>6.666666666666667</v>
      </c>
      <c r="M55" s="495">
        <f t="shared" si="7"/>
        <v>80</v>
      </c>
      <c r="N55" s="498">
        <f>SUM(K55:M55)</f>
        <v>100</v>
      </c>
      <c r="O55" s="494">
        <v>7.8</v>
      </c>
      <c r="P55" s="495">
        <v>5.7</v>
      </c>
      <c r="Q55" s="495">
        <v>46.8</v>
      </c>
      <c r="R55" s="496">
        <f>SUM(O55:Q55)</f>
        <v>60.3</v>
      </c>
      <c r="S55" s="561">
        <v>3</v>
      </c>
      <c r="T55" s="487"/>
      <c r="U55" s="335"/>
      <c r="V55" s="343" t="s">
        <v>1164</v>
      </c>
      <c r="W55" s="334" t="s">
        <v>20</v>
      </c>
      <c r="X55" s="334" t="s">
        <v>12</v>
      </c>
      <c r="Y55" s="344">
        <v>26.2</v>
      </c>
      <c r="Z55" s="343" t="s">
        <v>131</v>
      </c>
      <c r="AA55" s="334" t="s">
        <v>98</v>
      </c>
      <c r="AB55" s="334" t="s">
        <v>12</v>
      </c>
      <c r="AC55" s="334">
        <v>20.6</v>
      </c>
      <c r="AD55" s="343" t="s">
        <v>1029</v>
      </c>
      <c r="AE55" s="334" t="s">
        <v>911</v>
      </c>
      <c r="AF55" s="334" t="s">
        <v>11</v>
      </c>
      <c r="AG55" s="344">
        <v>7.8</v>
      </c>
      <c r="AH55" s="334" t="s">
        <v>1030</v>
      </c>
      <c r="AI55" s="334" t="s">
        <v>90</v>
      </c>
      <c r="AJ55" s="334" t="s">
        <v>18</v>
      </c>
      <c r="AK55" s="334">
        <v>5.7</v>
      </c>
      <c r="AL55" s="343"/>
      <c r="AO55" s="344"/>
      <c r="AP55" s="343"/>
      <c r="AS55" s="344"/>
      <c r="AW55" s="344"/>
      <c r="BA55" s="345"/>
    </row>
    <row r="56" spans="1:53" s="561" customFormat="1" x14ac:dyDescent="0.15">
      <c r="A56" s="561">
        <v>2014</v>
      </c>
      <c r="B56" s="335"/>
      <c r="C56" s="844" t="s">
        <v>1168</v>
      </c>
      <c r="D56" s="844"/>
      <c r="E56" s="561">
        <v>267</v>
      </c>
      <c r="G56" s="497">
        <v>2</v>
      </c>
      <c r="H56" s="561">
        <v>1</v>
      </c>
      <c r="I56" s="561">
        <v>12</v>
      </c>
      <c r="J56" s="499">
        <v>15</v>
      </c>
      <c r="K56" s="495">
        <f t="shared" si="5"/>
        <v>13.333333333333334</v>
      </c>
      <c r="L56" s="495">
        <f>H56/J56*100</f>
        <v>6.666666666666667</v>
      </c>
      <c r="M56" s="495">
        <f t="shared" si="7"/>
        <v>80</v>
      </c>
      <c r="N56" s="498">
        <f>SUM(K56:M56)</f>
        <v>100</v>
      </c>
      <c r="O56" s="494">
        <v>7.8</v>
      </c>
      <c r="P56" s="495">
        <v>5.7</v>
      </c>
      <c r="Q56" s="495">
        <v>46.8</v>
      </c>
      <c r="R56" s="496">
        <f>SUM(O56:Q56)</f>
        <v>60.3</v>
      </c>
      <c r="S56" s="561">
        <v>3</v>
      </c>
      <c r="T56" s="487"/>
      <c r="U56" s="335"/>
      <c r="V56" s="488" t="s">
        <v>1164</v>
      </c>
      <c r="W56" s="561" t="s">
        <v>20</v>
      </c>
      <c r="X56" s="561" t="s">
        <v>12</v>
      </c>
      <c r="Y56" s="489">
        <v>26.2</v>
      </c>
      <c r="Z56" s="488" t="s">
        <v>131</v>
      </c>
      <c r="AA56" s="561" t="s">
        <v>98</v>
      </c>
      <c r="AB56" s="561" t="s">
        <v>12</v>
      </c>
      <c r="AC56" s="561">
        <v>20.6</v>
      </c>
      <c r="AD56" s="488" t="s">
        <v>1029</v>
      </c>
      <c r="AE56" s="561" t="s">
        <v>911</v>
      </c>
      <c r="AF56" s="561" t="s">
        <v>11</v>
      </c>
      <c r="AG56" s="489">
        <v>7.8</v>
      </c>
      <c r="AH56" s="561" t="s">
        <v>1030</v>
      </c>
      <c r="AI56" s="561" t="s">
        <v>90</v>
      </c>
      <c r="AJ56" s="561" t="s">
        <v>18</v>
      </c>
      <c r="AK56" s="561">
        <v>5.7</v>
      </c>
      <c r="AL56" s="488"/>
      <c r="AO56" s="489"/>
      <c r="AP56" s="488"/>
      <c r="AS56" s="489"/>
      <c r="AW56" s="489"/>
      <c r="BA56" s="490"/>
    </row>
    <row r="57" spans="1:53" s="741" customFormat="1" x14ac:dyDescent="0.15">
      <c r="A57" s="741">
        <v>2014</v>
      </c>
      <c r="B57" s="122">
        <v>41907</v>
      </c>
      <c r="C57" s="811" t="s">
        <v>1313</v>
      </c>
      <c r="D57" s="811"/>
      <c r="E57" s="741">
        <v>98</v>
      </c>
      <c r="F57" s="741">
        <v>4</v>
      </c>
      <c r="G57" s="600">
        <v>2</v>
      </c>
      <c r="I57" s="741">
        <v>13</v>
      </c>
      <c r="J57" s="602">
        <v>15</v>
      </c>
      <c r="K57" s="597">
        <f t="shared" ref="K57:K59" si="8">G57/J57*100</f>
        <v>13.333333333333334</v>
      </c>
      <c r="L57" s="597">
        <f t="shared" ref="L57:L59" si="9">H57/J57*100</f>
        <v>0</v>
      </c>
      <c r="M57" s="597">
        <f t="shared" ref="M57:M59" si="10">I57/J57*100</f>
        <v>86.666666666666671</v>
      </c>
      <c r="N57" s="601">
        <f t="shared" ref="N57:N59" si="11">SUM(K57:M57)</f>
        <v>100</v>
      </c>
      <c r="O57" s="596">
        <v>8.6</v>
      </c>
      <c r="P57" s="597"/>
      <c r="Q57" s="597">
        <v>47.8</v>
      </c>
      <c r="R57" s="598">
        <f>SUM(O57:Q57)</f>
        <v>56.4</v>
      </c>
      <c r="S57" s="741">
        <v>2</v>
      </c>
      <c r="T57" s="577"/>
      <c r="U57" s="121">
        <v>41907</v>
      </c>
      <c r="V57" s="592" t="s">
        <v>1164</v>
      </c>
      <c r="W57" s="741" t="s">
        <v>20</v>
      </c>
      <c r="X57" s="741" t="s">
        <v>12</v>
      </c>
      <c r="Y57" s="593">
        <v>27.1</v>
      </c>
      <c r="Z57" s="741" t="s">
        <v>131</v>
      </c>
      <c r="AA57" s="741" t="s">
        <v>98</v>
      </c>
      <c r="AB57" s="741" t="s">
        <v>12</v>
      </c>
      <c r="AC57" s="741">
        <v>20.7</v>
      </c>
      <c r="AD57" s="592" t="s">
        <v>1029</v>
      </c>
      <c r="AE57" s="741" t="s">
        <v>911</v>
      </c>
      <c r="AF57" s="741" t="s">
        <v>11</v>
      </c>
      <c r="AG57" s="593">
        <v>8.6</v>
      </c>
      <c r="AH57" s="592"/>
      <c r="AL57" s="592"/>
      <c r="AO57" s="593"/>
      <c r="AP57" s="592"/>
      <c r="AS57" s="593"/>
      <c r="AW57" s="593"/>
      <c r="BA57" s="594"/>
    </row>
    <row r="58" spans="1:53" s="741" customFormat="1" x14ac:dyDescent="0.15">
      <c r="A58" s="741">
        <v>2015</v>
      </c>
      <c r="B58" s="121"/>
      <c r="C58" s="811" t="s">
        <v>1313</v>
      </c>
      <c r="D58" s="811"/>
      <c r="E58" s="741">
        <v>0</v>
      </c>
      <c r="G58" s="600">
        <v>2</v>
      </c>
      <c r="I58" s="741">
        <v>13</v>
      </c>
      <c r="J58" s="602">
        <v>15</v>
      </c>
      <c r="K58" s="597">
        <f t="shared" si="8"/>
        <v>13.333333333333334</v>
      </c>
      <c r="L58" s="597">
        <f t="shared" si="9"/>
        <v>0</v>
      </c>
      <c r="M58" s="597">
        <f t="shared" si="10"/>
        <v>86.666666666666671</v>
      </c>
      <c r="N58" s="601">
        <f t="shared" si="11"/>
        <v>100</v>
      </c>
      <c r="O58" s="596">
        <v>8.6</v>
      </c>
      <c r="P58" s="597"/>
      <c r="Q58" s="597">
        <v>47.8</v>
      </c>
      <c r="R58" s="598">
        <f t="shared" ref="R58:R59" si="12">SUM(O58:Q58)</f>
        <v>56.4</v>
      </c>
      <c r="S58" s="741">
        <v>2</v>
      </c>
      <c r="T58" s="577"/>
      <c r="U58" s="121"/>
      <c r="V58" s="592" t="s">
        <v>1164</v>
      </c>
      <c r="W58" s="741" t="s">
        <v>20</v>
      </c>
      <c r="X58" s="741" t="s">
        <v>12</v>
      </c>
      <c r="Y58" s="593">
        <v>27.1</v>
      </c>
      <c r="Z58" s="741" t="s">
        <v>131</v>
      </c>
      <c r="AA58" s="741" t="s">
        <v>98</v>
      </c>
      <c r="AB58" s="741" t="s">
        <v>12</v>
      </c>
      <c r="AC58" s="741">
        <v>20.7</v>
      </c>
      <c r="AD58" s="592" t="s">
        <v>1029</v>
      </c>
      <c r="AE58" s="741" t="s">
        <v>911</v>
      </c>
      <c r="AF58" s="741" t="s">
        <v>11</v>
      </c>
      <c r="AG58" s="593">
        <v>8.6</v>
      </c>
      <c r="AH58" s="592"/>
      <c r="AL58" s="592"/>
      <c r="AO58" s="593"/>
      <c r="AP58" s="592"/>
      <c r="AS58" s="593"/>
      <c r="AW58" s="593"/>
      <c r="BA58" s="594"/>
    </row>
    <row r="59" spans="1:53" s="741" customFormat="1" x14ac:dyDescent="0.15">
      <c r="A59" s="741">
        <v>2015</v>
      </c>
      <c r="B59" s="122"/>
      <c r="C59" s="811" t="s">
        <v>1313</v>
      </c>
      <c r="D59" s="811"/>
      <c r="E59" s="741">
        <v>365</v>
      </c>
      <c r="G59" s="600">
        <v>2</v>
      </c>
      <c r="I59" s="741">
        <v>13</v>
      </c>
      <c r="J59" s="602">
        <v>15</v>
      </c>
      <c r="K59" s="597">
        <f t="shared" si="8"/>
        <v>13.333333333333334</v>
      </c>
      <c r="L59" s="597">
        <f t="shared" si="9"/>
        <v>0</v>
      </c>
      <c r="M59" s="597">
        <f t="shared" si="10"/>
        <v>86.666666666666671</v>
      </c>
      <c r="N59" s="601">
        <f t="shared" si="11"/>
        <v>100</v>
      </c>
      <c r="O59" s="596">
        <v>8.6</v>
      </c>
      <c r="P59" s="597"/>
      <c r="Q59" s="597">
        <v>47.8</v>
      </c>
      <c r="R59" s="598">
        <f t="shared" si="12"/>
        <v>56.4</v>
      </c>
      <c r="S59" s="741">
        <v>2</v>
      </c>
      <c r="T59" s="577"/>
      <c r="V59" s="592" t="s">
        <v>1164</v>
      </c>
      <c r="W59" s="741" t="s">
        <v>20</v>
      </c>
      <c r="X59" s="741" t="s">
        <v>12</v>
      </c>
      <c r="Y59" s="593">
        <v>27.1</v>
      </c>
      <c r="Z59" s="741" t="s">
        <v>131</v>
      </c>
      <c r="AA59" s="741" t="s">
        <v>98</v>
      </c>
      <c r="AB59" s="741" t="s">
        <v>12</v>
      </c>
      <c r="AC59" s="741">
        <v>20.7</v>
      </c>
      <c r="AD59" s="592" t="s">
        <v>1029</v>
      </c>
      <c r="AE59" s="741" t="s">
        <v>911</v>
      </c>
      <c r="AF59" s="741" t="s">
        <v>11</v>
      </c>
      <c r="AG59" s="593">
        <v>8.6</v>
      </c>
      <c r="AH59" s="592"/>
      <c r="AL59" s="592"/>
      <c r="AO59" s="593"/>
      <c r="AP59" s="592"/>
      <c r="AS59" s="593"/>
      <c r="AW59" s="593"/>
      <c r="BA59" s="594"/>
    </row>
    <row r="60" spans="1:53" x14ac:dyDescent="0.15">
      <c r="B60" s="2"/>
      <c r="C60" s="2"/>
      <c r="D60" s="2"/>
      <c r="E60" s="2"/>
      <c r="F60" s="2"/>
      <c r="G60" s="2"/>
      <c r="H60" s="2"/>
      <c r="I60" s="2"/>
      <c r="J60" s="2"/>
      <c r="K60" s="2"/>
      <c r="L60" s="2"/>
      <c r="M60" s="2"/>
      <c r="N60" s="2"/>
    </row>
    <row r="61" spans="1:53" x14ac:dyDescent="0.15">
      <c r="B61" s="2"/>
      <c r="C61" s="2"/>
      <c r="D61" s="2"/>
      <c r="E61" s="2"/>
      <c r="F61" s="2"/>
      <c r="G61" s="2"/>
      <c r="H61" s="2"/>
      <c r="I61" s="2"/>
      <c r="J61" s="2"/>
      <c r="K61" s="2"/>
      <c r="L61" s="2"/>
      <c r="M61" s="2"/>
      <c r="N61" s="2"/>
    </row>
    <row r="62" spans="1:53" s="2" customFormat="1" ht="18" customHeight="1" x14ac:dyDescent="0.2">
      <c r="B62" s="22" t="s">
        <v>1284</v>
      </c>
    </row>
    <row r="63" spans="1:53" s="2" customFormat="1" ht="9" customHeight="1" x14ac:dyDescent="0.15"/>
    <row r="64" spans="1:53" s="364" customFormat="1" ht="9" customHeight="1" x14ac:dyDescent="0.15">
      <c r="A64" s="362"/>
      <c r="B64" s="363" t="s">
        <v>1235</v>
      </c>
      <c r="C64" s="363"/>
      <c r="D64" s="363"/>
      <c r="E64" s="363"/>
      <c r="F64" s="363"/>
      <c r="G64" s="363" t="s">
        <v>1236</v>
      </c>
      <c r="H64" s="363"/>
      <c r="I64" s="363"/>
      <c r="J64" s="363"/>
      <c r="K64" s="363"/>
      <c r="L64" s="363"/>
      <c r="M64" s="363"/>
      <c r="N64" s="363"/>
      <c r="R64" s="802" t="s">
        <v>1237</v>
      </c>
      <c r="S64" s="802"/>
      <c r="T64" s="802"/>
      <c r="U64" s="802"/>
      <c r="V64" s="802"/>
      <c r="W64" s="802"/>
      <c r="X64" s="365"/>
      <c r="Y64" s="365"/>
      <c r="AA64" s="365"/>
      <c r="AB64" s="365"/>
      <c r="AC64" s="365"/>
      <c r="AD64" s="365"/>
    </row>
    <row r="65" spans="1:30" s="369" customFormat="1" ht="9" customHeight="1" x14ac:dyDescent="0.15">
      <c r="A65" s="366"/>
      <c r="B65" s="367" t="s">
        <v>1239</v>
      </c>
      <c r="C65" s="368"/>
      <c r="D65" s="368"/>
      <c r="E65" s="368"/>
      <c r="F65" s="368"/>
      <c r="G65" s="367" t="s">
        <v>1238</v>
      </c>
      <c r="H65" s="368"/>
      <c r="I65" s="368"/>
      <c r="J65" s="368"/>
      <c r="K65" s="368"/>
      <c r="L65" s="368"/>
      <c r="M65" s="368"/>
      <c r="N65" s="368"/>
      <c r="R65" s="370" t="s">
        <v>1240</v>
      </c>
      <c r="S65" s="371"/>
      <c r="T65" s="372"/>
      <c r="U65" s="372"/>
      <c r="V65" s="372"/>
      <c r="W65" s="370" t="s">
        <v>1241</v>
      </c>
      <c r="X65" s="372"/>
      <c r="Y65" s="372"/>
      <c r="AA65" s="372"/>
      <c r="AB65" s="372"/>
      <c r="AC65" s="372"/>
      <c r="AD65" s="372"/>
    </row>
    <row r="66" spans="1:30" s="351" customFormat="1" ht="12" customHeight="1" x14ac:dyDescent="0.15">
      <c r="A66" s="373" t="s">
        <v>3</v>
      </c>
      <c r="B66" s="374" t="s">
        <v>8</v>
      </c>
      <c r="C66" s="374" t="s">
        <v>9</v>
      </c>
      <c r="D66" s="374" t="s">
        <v>10</v>
      </c>
      <c r="E66" s="375" t="s">
        <v>1215</v>
      </c>
      <c r="F66" s="374"/>
      <c r="G66" s="351" t="s">
        <v>3</v>
      </c>
      <c r="H66" s="803" t="s">
        <v>0</v>
      </c>
      <c r="I66" s="803"/>
      <c r="J66" s="803" t="s">
        <v>1</v>
      </c>
      <c r="K66" s="803"/>
      <c r="L66" s="803" t="s">
        <v>2</v>
      </c>
      <c r="M66" s="803"/>
      <c r="N66" s="804" t="s">
        <v>1215</v>
      </c>
      <c r="O66" s="804"/>
      <c r="P66" s="376"/>
      <c r="Q66" s="376"/>
      <c r="R66" s="377" t="s">
        <v>3</v>
      </c>
      <c r="S66" s="378" t="s">
        <v>136</v>
      </c>
      <c r="T66" s="376" t="s">
        <v>134</v>
      </c>
      <c r="U66" s="374" t="s">
        <v>135</v>
      </c>
      <c r="V66" s="376"/>
      <c r="W66" s="379" t="s">
        <v>26</v>
      </c>
    </row>
    <row r="67" spans="1:30" s="16" customFormat="1" ht="9" customHeight="1" x14ac:dyDescent="0.15">
      <c r="A67" s="44">
        <v>1990</v>
      </c>
      <c r="B67" s="196"/>
      <c r="C67" s="196"/>
      <c r="D67" s="196"/>
      <c r="E67" s="70"/>
      <c r="F67" s="196"/>
      <c r="G67" s="16">
        <v>1990</v>
      </c>
      <c r="H67" s="196"/>
      <c r="I67" s="196"/>
      <c r="J67" s="196"/>
      <c r="K67" s="196"/>
      <c r="L67" s="196"/>
      <c r="M67" s="196"/>
      <c r="N67" s="70"/>
      <c r="O67" s="70"/>
      <c r="P67" s="197"/>
      <c r="Q67" s="197"/>
      <c r="R67" s="203">
        <v>1990</v>
      </c>
      <c r="S67" s="197"/>
      <c r="T67" s="197"/>
      <c r="U67" s="196"/>
      <c r="V67" s="197"/>
      <c r="W67" s="198"/>
    </row>
    <row r="68" spans="1:30" s="16" customFormat="1" ht="9" customHeight="1" x14ac:dyDescent="0.15">
      <c r="A68" s="44">
        <v>1991</v>
      </c>
      <c r="B68" s="196"/>
      <c r="C68" s="196"/>
      <c r="D68" s="196"/>
      <c r="E68" s="70"/>
      <c r="F68" s="196"/>
      <c r="G68" s="16">
        <v>1991</v>
      </c>
      <c r="H68" s="196"/>
      <c r="I68" s="196"/>
      <c r="J68" s="196"/>
      <c r="K68" s="196"/>
      <c r="L68" s="196"/>
      <c r="M68" s="196"/>
      <c r="N68" s="70"/>
      <c r="O68" s="70"/>
      <c r="P68" s="197"/>
      <c r="Q68" s="197"/>
      <c r="R68" s="203">
        <v>1991</v>
      </c>
      <c r="S68" s="197"/>
      <c r="T68" s="197"/>
      <c r="U68" s="196"/>
      <c r="V68" s="197"/>
      <c r="W68" s="198"/>
    </row>
    <row r="69" spans="1:30" ht="9" customHeight="1" x14ac:dyDescent="0.15">
      <c r="A69" s="1">
        <v>1992</v>
      </c>
      <c r="B69" s="8">
        <f>(K7*($E7/22))</f>
        <v>0</v>
      </c>
      <c r="C69" s="8">
        <f>(L7*($E7/22))</f>
        <v>0</v>
      </c>
      <c r="D69" s="8">
        <f>(M7*($E7/22))</f>
        <v>100</v>
      </c>
      <c r="E69" s="52">
        <f t="shared" ref="E69:E89" si="13">SUM(B69:D69)</f>
        <v>100</v>
      </c>
      <c r="G69" s="1">
        <v>1992</v>
      </c>
      <c r="H69" s="809">
        <f>(O7/$R7*100*($E7/22))</f>
        <v>0</v>
      </c>
      <c r="I69" s="809"/>
      <c r="J69" s="809">
        <f>(P7/$R7*100*($E7/22))</f>
        <v>0</v>
      </c>
      <c r="K69" s="809"/>
      <c r="L69" s="809">
        <f>(Q7/$R7*100*($E7/22))</f>
        <v>100</v>
      </c>
      <c r="M69" s="809"/>
      <c r="N69" s="832">
        <f t="shared" ref="N69:N89" si="14">H69+J69+L69</f>
        <v>100</v>
      </c>
      <c r="O69" s="832"/>
      <c r="R69" s="1">
        <v>1992</v>
      </c>
      <c r="S69" s="8">
        <f>(O7*($E7/22))</f>
        <v>0</v>
      </c>
      <c r="T69" s="8">
        <f>(P7*($E7/22))</f>
        <v>0</v>
      </c>
      <c r="U69" s="8">
        <f>(Q7*($E7/22))</f>
        <v>51.8</v>
      </c>
      <c r="W69" s="7">
        <f t="shared" ref="W69:W89" si="15">S69+T69+U69</f>
        <v>51.8</v>
      </c>
      <c r="X69" s="66"/>
      <c r="Y69" s="71" t="s">
        <v>1245</v>
      </c>
      <c r="Z69" s="66"/>
      <c r="AA69" s="66"/>
      <c r="AB69" s="67"/>
    </row>
    <row r="70" spans="1:30" ht="9" customHeight="1" x14ac:dyDescent="0.15">
      <c r="A70" s="1">
        <v>1993</v>
      </c>
      <c r="B70" s="8">
        <f>(K8*($E8/365))+(K9*($E9/365))</f>
        <v>0</v>
      </c>
      <c r="C70" s="8">
        <f>(L8*($E8/365))+(L9*($E9/365))</f>
        <v>0</v>
      </c>
      <c r="D70" s="8">
        <f>(M8*($E8/365))+(M9*($E9/365))</f>
        <v>100</v>
      </c>
      <c r="E70" s="52">
        <f t="shared" si="13"/>
        <v>100</v>
      </c>
      <c r="G70" s="1">
        <v>1993</v>
      </c>
      <c r="H70" s="822">
        <f>(O8/$R8*100*($E8/365))+(O9/$R9*100*($E9/365))</f>
        <v>0</v>
      </c>
      <c r="I70" s="822"/>
      <c r="J70" s="822">
        <f>(P8/$R8*100*($E8/365))+(P9/$R9*100*($E9/365))</f>
        <v>0</v>
      </c>
      <c r="K70" s="822"/>
      <c r="L70" s="822">
        <f>(Q8/$R8*100*($E8/365))+(Q9/$R9*100*($E9/365))</f>
        <v>100</v>
      </c>
      <c r="M70" s="822"/>
      <c r="N70" s="832">
        <f t="shared" si="14"/>
        <v>100</v>
      </c>
      <c r="O70" s="832"/>
      <c r="R70" s="1">
        <v>1993</v>
      </c>
      <c r="S70" s="8">
        <f>(O8*($E8/365))+(O9*($E9/365))</f>
        <v>0</v>
      </c>
      <c r="T70" s="8">
        <f>(P8*($E8/365))+(P9*($E9/365))</f>
        <v>0</v>
      </c>
      <c r="U70" s="8">
        <f>(Q8*($E8/365))+(Q9*($E9/365))</f>
        <v>51.79999999999999</v>
      </c>
      <c r="W70" s="7">
        <f t="shared" si="15"/>
        <v>51.79999999999999</v>
      </c>
    </row>
    <row r="71" spans="1:30" ht="9" customHeight="1" x14ac:dyDescent="0.15">
      <c r="A71" s="1">
        <v>1994</v>
      </c>
      <c r="B71" s="8">
        <f>(K10*($E10/365))+(K11*($E11/365))</f>
        <v>0</v>
      </c>
      <c r="C71" s="8">
        <f>(L10*($E10/365))+(L11*($E11/365))</f>
        <v>0</v>
      </c>
      <c r="D71" s="8">
        <f>(M10*($E10/365))+(M11*($E11/365))</f>
        <v>100</v>
      </c>
      <c r="E71" s="52">
        <f t="shared" si="13"/>
        <v>100</v>
      </c>
      <c r="G71" s="1">
        <v>1994</v>
      </c>
      <c r="H71" s="822">
        <f>(O10/$R10*100*($E10/365))+(O11/$R11*100*($E11/365))</f>
        <v>0</v>
      </c>
      <c r="I71" s="822"/>
      <c r="J71" s="822">
        <f>(P10/$R10*100*($E10/365))+(P11/$R11*100*($E11/365))</f>
        <v>0</v>
      </c>
      <c r="K71" s="822"/>
      <c r="L71" s="822">
        <f>(Q10/$R10*100*($E10/365))+(Q11/$R11*100*($E11/365))</f>
        <v>100</v>
      </c>
      <c r="M71" s="822"/>
      <c r="N71" s="832">
        <f t="shared" si="14"/>
        <v>100</v>
      </c>
      <c r="O71" s="832"/>
      <c r="R71" s="1">
        <v>1994</v>
      </c>
      <c r="S71" s="8">
        <f>(O10*($E10/365))+(O11*($E11/365))</f>
        <v>0</v>
      </c>
      <c r="T71" s="8">
        <f>(P10*($E10/365))+(P11*($E11/365))</f>
        <v>0</v>
      </c>
      <c r="U71" s="8">
        <f>(Q10*($E10/365))+(Q11*($E11/365))</f>
        <v>51.8</v>
      </c>
      <c r="W71" s="7">
        <f t="shared" si="15"/>
        <v>51.8</v>
      </c>
    </row>
    <row r="72" spans="1:30" ht="9" customHeight="1" x14ac:dyDescent="0.15">
      <c r="A72" s="1">
        <v>1995</v>
      </c>
      <c r="B72" s="8">
        <f>(K12*($E12/365))+(K13*($E13/365))</f>
        <v>0</v>
      </c>
      <c r="C72" s="8">
        <f>(L12*($E12/365))+(L13*($E13/365))</f>
        <v>0</v>
      </c>
      <c r="D72" s="8">
        <f>(M12*($E12/365))+(M13*($E13/365))</f>
        <v>100</v>
      </c>
      <c r="E72" s="52">
        <f t="shared" si="13"/>
        <v>100</v>
      </c>
      <c r="G72" s="1">
        <v>1995</v>
      </c>
      <c r="H72" s="822">
        <f>(O12/$R12*100*($E12/365))+(O13/$R13*100*($E13/365))</f>
        <v>0</v>
      </c>
      <c r="I72" s="822"/>
      <c r="J72" s="822">
        <f>(P12/$R12*100*($E12/365))+(P13/$R13*100*($E13/365))</f>
        <v>0</v>
      </c>
      <c r="K72" s="822"/>
      <c r="L72" s="822">
        <f>(Q12/$R12*100*($E12/365))+(Q13/$R13*100*($E13/365))</f>
        <v>100</v>
      </c>
      <c r="M72" s="822"/>
      <c r="N72" s="832">
        <f t="shared" si="14"/>
        <v>100</v>
      </c>
      <c r="O72" s="832"/>
      <c r="R72" s="1">
        <v>1995</v>
      </c>
      <c r="S72" s="8">
        <f>(O12*($E12/365))+(O13*($E13/365))</f>
        <v>0</v>
      </c>
      <c r="T72" s="8">
        <f>(P12*($E12/365))+(P13*($E13/365))</f>
        <v>0</v>
      </c>
      <c r="U72" s="8">
        <f>(Q12*($E12/365))+(Q13*($E13/365))</f>
        <v>51.8</v>
      </c>
      <c r="W72" s="7">
        <f t="shared" si="15"/>
        <v>51.8</v>
      </c>
    </row>
    <row r="73" spans="1:30" ht="9" customHeight="1" x14ac:dyDescent="0.15">
      <c r="A73" s="1">
        <v>1996</v>
      </c>
      <c r="B73" s="8">
        <f>(K14*($E14/366))+(K15*($E15/366))+(K16*($E16/366))</f>
        <v>7.3127611700417869</v>
      </c>
      <c r="C73" s="8">
        <f>(L14*($E14/366))+(L15*($E15/366))+(L16*($E16/366))</f>
        <v>1.6875602700096433</v>
      </c>
      <c r="D73" s="8">
        <f>(M14*($E14/366))+(M15*($E15/366))+(M16*($E16/366))</f>
        <v>90.437158469945345</v>
      </c>
      <c r="E73" s="52">
        <f t="shared" si="13"/>
        <v>99.437479909996767</v>
      </c>
      <c r="G73" s="1">
        <v>1996</v>
      </c>
      <c r="H73" s="822">
        <f>(O14/$R14*100*($E14/366))+(O15/$R15*100*($E15/366))+(O16/$R16*100*($E16/366))</f>
        <v>8.0153277554814863</v>
      </c>
      <c r="I73" s="822"/>
      <c r="J73" s="822">
        <f>(P14/$R14*100*($E14/366))+(P15/$R15*100*($E15/366))+(P16/$R16*100*($E16/366))</f>
        <v>1.5475137745731582</v>
      </c>
      <c r="K73" s="822"/>
      <c r="L73" s="822">
        <f>(Q14/$R14*100*($E14/366))+(Q15/$R15*100*($E15/366))+(Q16/$R16*100*($E16/366))</f>
        <v>90.437158469945345</v>
      </c>
      <c r="M73" s="822"/>
      <c r="N73" s="832">
        <f t="shared" si="14"/>
        <v>99.999999999999986</v>
      </c>
      <c r="O73" s="832"/>
      <c r="R73" s="1">
        <v>1996</v>
      </c>
      <c r="S73" s="8">
        <f>(O14*($E14/366))+(O15*($E15/366))+(O16*($E16/366))</f>
        <v>5.7950819672131146</v>
      </c>
      <c r="T73" s="8">
        <f>(P14*($E14/366))+(P15*($E15/366))+(P16*($E16/366))</f>
        <v>1.1188524590163933</v>
      </c>
      <c r="U73" s="8">
        <f>(Q14*($E14/366))+(Q15*($E15/366))+(Q16*($E16/366))</f>
        <v>46.846448087431689</v>
      </c>
      <c r="W73" s="7">
        <f t="shared" si="15"/>
        <v>53.760382513661199</v>
      </c>
    </row>
    <row r="74" spans="1:30" ht="9" customHeight="1" x14ac:dyDescent="0.15">
      <c r="A74" s="1">
        <v>1997</v>
      </c>
      <c r="B74" s="8">
        <f>(K17*($E17/365))+(K18*($E18/365))</f>
        <v>76.470588235294116</v>
      </c>
      <c r="C74" s="8">
        <f>(L17*($E17/365))+(L18*($E18/365))</f>
        <v>17.647058823529413</v>
      </c>
      <c r="D74" s="8">
        <f>(M17*($E17/365))+(M18*($E18/365))</f>
        <v>0</v>
      </c>
      <c r="E74" s="52">
        <f t="shared" si="13"/>
        <v>94.117647058823536</v>
      </c>
      <c r="G74" s="1">
        <v>1997</v>
      </c>
      <c r="H74" s="822">
        <f>(O17/$R17*100*($E17/365))+(O18/$R18*100*($E18/365))</f>
        <v>83.817427385892117</v>
      </c>
      <c r="I74" s="822"/>
      <c r="J74" s="822">
        <f>(P17/$R17*100*($E17/365))+(P18/$R18*100*($E18/365))</f>
        <v>16.182572614107883</v>
      </c>
      <c r="K74" s="822"/>
      <c r="L74" s="822">
        <f>(Q17/$R17*100*($E17/365))+(Q18/$R18*100*($E18/365))</f>
        <v>0</v>
      </c>
      <c r="M74" s="822"/>
      <c r="N74" s="832">
        <f t="shared" si="14"/>
        <v>100</v>
      </c>
      <c r="O74" s="832"/>
      <c r="R74" s="1">
        <v>1997</v>
      </c>
      <c r="S74" s="8">
        <f>(O17*($E17/365))+(O18*($E18/365))</f>
        <v>60.6</v>
      </c>
      <c r="T74" s="8">
        <f>(P17*($E17/365))+(P18*($E18/365))</f>
        <v>11.7</v>
      </c>
      <c r="U74" s="8">
        <f>(Q17*($E17/365))+(Q18*($E18/365))</f>
        <v>0</v>
      </c>
      <c r="W74" s="7">
        <f t="shared" si="15"/>
        <v>72.3</v>
      </c>
    </row>
    <row r="75" spans="1:30" ht="9" customHeight="1" x14ac:dyDescent="0.15">
      <c r="A75" s="1">
        <v>1998</v>
      </c>
      <c r="B75" s="8">
        <f>(K19*($E19/365))+(K20*($E20/365))</f>
        <v>68.89605157131345</v>
      </c>
      <c r="C75" s="8">
        <f>(L19*($E19/365))+(L20*($E20/365))</f>
        <v>14.314262691377921</v>
      </c>
      <c r="D75" s="8">
        <f>(M19*($E19/365))+(M20*($E20/365))</f>
        <v>0</v>
      </c>
      <c r="E75" s="52">
        <f t="shared" si="13"/>
        <v>83.210314262691369</v>
      </c>
      <c r="G75" s="1">
        <v>1998</v>
      </c>
      <c r="H75" s="822">
        <f>(O19/$R19*100*($E19/365))+(O20/$R20*100*($E20/365))</f>
        <v>83.817427385892131</v>
      </c>
      <c r="I75" s="822"/>
      <c r="J75" s="822">
        <f>(P19/$R19*100*($E19/365))+(P20/$R20*100*($E20/365))</f>
        <v>16.182572614107883</v>
      </c>
      <c r="K75" s="822"/>
      <c r="L75" s="822">
        <f>(Q19/$R19*100*($E19/365))+(Q20/$R20*100*($E20/365))</f>
        <v>0</v>
      </c>
      <c r="M75" s="822"/>
      <c r="N75" s="832">
        <f t="shared" si="14"/>
        <v>100.00000000000001</v>
      </c>
      <c r="O75" s="832"/>
      <c r="R75" s="1">
        <v>1998</v>
      </c>
      <c r="S75" s="8">
        <f>(O19*($E19/365))+(O20*($E20/365))</f>
        <v>60.600000000000009</v>
      </c>
      <c r="T75" s="8">
        <f>(P19*($E19/365))+(P20*($E20/365))</f>
        <v>11.7</v>
      </c>
      <c r="U75" s="8">
        <f>(Q19*($E19/365))+(Q20*($E20/365))</f>
        <v>0</v>
      </c>
      <c r="W75" s="7">
        <f t="shared" si="15"/>
        <v>72.300000000000011</v>
      </c>
    </row>
    <row r="76" spans="1:30" ht="9" customHeight="1" x14ac:dyDescent="0.15">
      <c r="A76" s="1">
        <v>1999</v>
      </c>
      <c r="B76" s="8">
        <f>(K21*($E21/365))+(K22*($E22/365))+(K23*($E23/365))</f>
        <v>59.465101108936722</v>
      </c>
      <c r="C76" s="8">
        <f>(L21*($E21/365))+(L22*($E22/365))+(L23*($E23/365))</f>
        <v>13.928245270711024</v>
      </c>
      <c r="D76" s="8">
        <f>(M21*($E21/365))+(M22*($E22/365))+(M23*($E23/365))</f>
        <v>0</v>
      </c>
      <c r="E76" s="52">
        <f t="shared" si="13"/>
        <v>73.393346379647738</v>
      </c>
      <c r="G76" s="1">
        <v>1999</v>
      </c>
      <c r="H76" s="822">
        <f>(O21/$R21*100*($E21/365))+(O22/$R22*100*($E22/365))+(O23/$R23*100*($E23/365))</f>
        <v>83.817427385892117</v>
      </c>
      <c r="I76" s="822"/>
      <c r="J76" s="822">
        <f>(P21/$R21*100*($E21/365))+(P22/$R22*100*($E22/365))+(P23/$R23*100*($E23/365))</f>
        <v>16.182572614107883</v>
      </c>
      <c r="K76" s="822"/>
      <c r="L76" s="822">
        <f>(Q21/$R21*100*($E21/365))+(Q22/$R22*100*($E22/365))+(Q23/$R23*100*($E23/365))</f>
        <v>0</v>
      </c>
      <c r="M76" s="822"/>
      <c r="N76" s="832">
        <f t="shared" si="14"/>
        <v>100</v>
      </c>
      <c r="O76" s="832"/>
      <c r="R76" s="1">
        <v>1999</v>
      </c>
      <c r="S76" s="8">
        <f>(O21*($E21/365))+(O22*($E22/365))+(O23*($E23/365))</f>
        <v>60.599999999999994</v>
      </c>
      <c r="T76" s="8">
        <f>(P21*($E21/365))+(P22*($E22/365))+(P23*($E23/365))</f>
        <v>11.7</v>
      </c>
      <c r="U76" s="8">
        <f>(Q21*($E21/365))+(Q22*($E22/365))+(Q23*($E23/365))</f>
        <v>0</v>
      </c>
      <c r="W76" s="7">
        <f t="shared" si="15"/>
        <v>72.3</v>
      </c>
    </row>
    <row r="77" spans="1:30" ht="9" customHeight="1" x14ac:dyDescent="0.15">
      <c r="A77" s="1">
        <v>2000</v>
      </c>
      <c r="B77" s="8">
        <f>(K24*($E24/366))+(K25*($E25/366))</f>
        <v>50</v>
      </c>
      <c r="C77" s="8">
        <f>(L24*($E24/366))+(L25*($E25/366))</f>
        <v>19.437939110070257</v>
      </c>
      <c r="D77" s="8">
        <f>(M24*($E24/366))+(M25*($E25/366))</f>
        <v>0</v>
      </c>
      <c r="E77" s="52">
        <f t="shared" si="13"/>
        <v>69.437939110070261</v>
      </c>
      <c r="G77" s="1">
        <v>2000</v>
      </c>
      <c r="H77" s="822">
        <f>(O24/$R24*100*($E24/366))+(O25/$R25*100*($E25/366))</f>
        <v>78.448010559367148</v>
      </c>
      <c r="I77" s="822"/>
      <c r="J77" s="822">
        <f>(P24/$R24*100*($E24/366))+(P25/$R25*100*($E25/366))</f>
        <v>21.551989440632859</v>
      </c>
      <c r="K77" s="822"/>
      <c r="L77" s="822">
        <f>(Q24/$R24*100*($E24/366))+(Q25/$R25*100*($E25/366))</f>
        <v>0</v>
      </c>
      <c r="M77" s="822"/>
      <c r="N77" s="832">
        <f t="shared" si="14"/>
        <v>100</v>
      </c>
      <c r="O77" s="832"/>
      <c r="R77" s="1">
        <v>2000</v>
      </c>
      <c r="S77" s="8">
        <f>(O24*($E24/366))+(O25*($E25/366))</f>
        <v>53.891803278688528</v>
      </c>
      <c r="T77" s="8">
        <f>(P24*($E24/366))+(P25*($E25/366))</f>
        <v>13.178688524590164</v>
      </c>
      <c r="U77" s="8">
        <f>(Q24*($E24/366))+(Q25*($E25/366))</f>
        <v>0</v>
      </c>
      <c r="W77" s="7">
        <f t="shared" si="15"/>
        <v>67.070491803278685</v>
      </c>
    </row>
    <row r="78" spans="1:30" ht="9" customHeight="1" x14ac:dyDescent="0.15">
      <c r="A78" s="1">
        <v>2001</v>
      </c>
      <c r="B78" s="8">
        <f xml:space="preserve"> (K26*($E26/365))+(K27*($E27/365))</f>
        <v>25.342465753424658</v>
      </c>
      <c r="C78" s="8">
        <f xml:space="preserve"> (L26*($E26/365))+(L27*($E27/365))</f>
        <v>42.857142857142854</v>
      </c>
      <c r="D78" s="8">
        <f xml:space="preserve"> (M26*($E26/365))+(M27*($E27/365))</f>
        <v>14.090019569471622</v>
      </c>
      <c r="E78" s="52">
        <f t="shared" si="13"/>
        <v>82.289628180039131</v>
      </c>
      <c r="G78" s="1">
        <v>2001</v>
      </c>
      <c r="H78" s="822">
        <f>(O26/$R26*100*($E26/365))+(O27/$R27*100*($E27/365))</f>
        <v>27.390932962131039</v>
      </c>
      <c r="I78" s="822"/>
      <c r="J78" s="822">
        <f>(P26/$R26*100*($E26/365))+(P27/$R27*100*($E27/365))</f>
        <v>41.501231624749792</v>
      </c>
      <c r="K78" s="822"/>
      <c r="L78" s="822">
        <f>(Q26/$R26*100*($E26/365))+(Q27/$R27*100*($E27/365))</f>
        <v>31.107835413119169</v>
      </c>
      <c r="M78" s="822"/>
      <c r="N78" s="832">
        <f t="shared" si="14"/>
        <v>100</v>
      </c>
      <c r="O78" s="832"/>
      <c r="R78" s="1">
        <v>2001</v>
      </c>
      <c r="S78" s="8">
        <f xml:space="preserve"> (O26*($E26/365))+(O27*($E27/365))</f>
        <v>11.860273972602739</v>
      </c>
      <c r="T78" s="8">
        <f xml:space="preserve"> (P26*($E26/365))+(P27*($E27/365))</f>
        <v>19.899999999999999</v>
      </c>
      <c r="U78" s="8">
        <f xml:space="preserve"> (Q26*($E26/365))+(Q27*($E27/365))</f>
        <v>16.767123287671232</v>
      </c>
      <c r="W78" s="7">
        <f t="shared" si="15"/>
        <v>48.527397260273972</v>
      </c>
    </row>
    <row r="79" spans="1:30" ht="9" customHeight="1" x14ac:dyDescent="0.15">
      <c r="A79" s="1">
        <v>2002</v>
      </c>
      <c r="B79" s="8">
        <f xml:space="preserve"> (K28*($E28/365))+(K29*($E29/365))</f>
        <v>0</v>
      </c>
      <c r="C79" s="8">
        <f xml:space="preserve"> (L28*($E28/365))+(L29*($E29/365))</f>
        <v>42.857142857142854</v>
      </c>
      <c r="D79" s="8">
        <f xml:space="preserve"> (M28*($E28/365))+(M29*($E29/365))</f>
        <v>28.571428571428569</v>
      </c>
      <c r="E79" s="52">
        <f t="shared" si="13"/>
        <v>71.428571428571416</v>
      </c>
      <c r="G79" s="1">
        <v>2002</v>
      </c>
      <c r="H79" s="822">
        <f>(O28/$R28*100*($E28/365))+(O29/$R29*100*($E29/365))</f>
        <v>0</v>
      </c>
      <c r="I79" s="822"/>
      <c r="J79" s="822">
        <f>(P28/$R28*100*($E28/365))+(P29/$R29*100*($E29/365))</f>
        <v>36.920222634508349</v>
      </c>
      <c r="K79" s="822"/>
      <c r="L79" s="822">
        <f>(Q28/$R28*100*($E28/365))+(Q29/$R29*100*($E29/365))</f>
        <v>63.079777365491651</v>
      </c>
      <c r="M79" s="822"/>
      <c r="N79" s="832">
        <f t="shared" si="14"/>
        <v>100</v>
      </c>
      <c r="O79" s="832"/>
      <c r="R79" s="1">
        <v>2002</v>
      </c>
      <c r="S79" s="8">
        <f xml:space="preserve"> (O28*($E28/365))+(O29*($E29/365))</f>
        <v>0</v>
      </c>
      <c r="T79" s="8">
        <f xml:space="preserve"> (P28*($E28/365))+(P29*($E29/365))</f>
        <v>19.899999999999999</v>
      </c>
      <c r="U79" s="8">
        <f xml:space="preserve"> (Q28*($E28/365))+(Q29*($E29/365))</f>
        <v>34</v>
      </c>
      <c r="W79" s="7">
        <f t="shared" si="15"/>
        <v>53.9</v>
      </c>
    </row>
    <row r="80" spans="1:30" ht="9" customHeight="1" x14ac:dyDescent="0.15">
      <c r="A80" s="1">
        <v>2003</v>
      </c>
      <c r="B80" s="8">
        <f xml:space="preserve"> (K30*($E30/365))+(K31*($E31/365))</f>
        <v>0</v>
      </c>
      <c r="C80" s="8">
        <f xml:space="preserve"> (L30*($E30/365))+(L31*($E31/365))</f>
        <v>36.966731898238748</v>
      </c>
      <c r="D80" s="8">
        <f xml:space="preserve"> (M30*($E30/365))+(M31*($E31/365))</f>
        <v>34.461839530332682</v>
      </c>
      <c r="E80" s="52">
        <f t="shared" si="13"/>
        <v>71.428571428571431</v>
      </c>
      <c r="G80" s="1">
        <v>2003</v>
      </c>
      <c r="H80" s="822">
        <f>(O30/$R30*100*($E30/365))+(O31/$R31*100*($E31/365))</f>
        <v>0</v>
      </c>
      <c r="I80" s="822"/>
      <c r="J80" s="822">
        <f>(P30/$R30*100*($E30/365))+(P31/$R31*100*($E31/365))</f>
        <v>36.920222634508349</v>
      </c>
      <c r="K80" s="822"/>
      <c r="L80" s="822">
        <f>(Q30/$R30*100*($E30/365))+(Q31/$R31*100*($E31/365))</f>
        <v>63.079777365491658</v>
      </c>
      <c r="M80" s="822"/>
      <c r="N80" s="832">
        <f t="shared" si="14"/>
        <v>100</v>
      </c>
      <c r="O80" s="832"/>
      <c r="R80" s="1">
        <v>2003</v>
      </c>
      <c r="S80" s="8">
        <f xml:space="preserve"> (O30*($E30/365))+(O31*($E31/365))</f>
        <v>0</v>
      </c>
      <c r="T80" s="8">
        <f xml:space="preserve"> (P30*($E30/365))+(P31*($E31/365))</f>
        <v>19.900000000000002</v>
      </c>
      <c r="U80" s="8">
        <f xml:space="preserve"> (Q30*($E30/365))+(Q31*($E31/365))</f>
        <v>34</v>
      </c>
      <c r="W80" s="7">
        <f t="shared" si="15"/>
        <v>53.900000000000006</v>
      </c>
    </row>
    <row r="81" spans="1:23" ht="9" customHeight="1" x14ac:dyDescent="0.15">
      <c r="A81" s="1">
        <v>2004</v>
      </c>
      <c r="B81" s="8">
        <f xml:space="preserve"> (K32*($E32/366))+(K33*($E33/366))+(K34*($E34/366))</f>
        <v>0</v>
      </c>
      <c r="C81" s="8">
        <f xml:space="preserve"> (L32*($E32/366))+(L33*($E33/366))+(L34*($E34/366))</f>
        <v>34.660421545667447</v>
      </c>
      <c r="D81" s="8">
        <f xml:space="preserve"> (M32*($E32/366))+(M33*($E33/366))+(M34*($E34/366))</f>
        <v>42.544886807181889</v>
      </c>
      <c r="E81" s="52">
        <f t="shared" si="13"/>
        <v>77.205308352849329</v>
      </c>
      <c r="G81" s="1">
        <v>2004</v>
      </c>
      <c r="H81" s="822">
        <f>(O32/$R32*100*($E32/366))+(O33/$R33*100*($E33/366))+(O34/$R34*100*($E34/366))</f>
        <v>0</v>
      </c>
      <c r="I81" s="822"/>
      <c r="J81" s="822">
        <f>(P32/$R32*100*($E32/366))+(P33/$R33*100*($E33/366))+(P34/$R34*100*($E34/366))</f>
        <v>35.779837637706159</v>
      </c>
      <c r="K81" s="822"/>
      <c r="L81" s="822">
        <f>(Q32/$R32*100*($E32/366))+(Q33/$R33*100*($E33/366))+(Q34/$R34*100*($E34/366))</f>
        <v>64.220162362293848</v>
      </c>
      <c r="M81" s="822"/>
      <c r="N81" s="832">
        <f t="shared" si="14"/>
        <v>100</v>
      </c>
      <c r="O81" s="832"/>
      <c r="R81" s="1">
        <v>2004</v>
      </c>
      <c r="S81" s="8">
        <f xml:space="preserve"> (O32*($E32/366))+(O33*($E33/366))+(O34*($E34/366))</f>
        <v>0</v>
      </c>
      <c r="T81" s="8">
        <f xml:space="preserve"> (P32*($E32/366))+(P33*($E33/366))+(P34*($E34/366))</f>
        <v>19.304918032786883</v>
      </c>
      <c r="U81" s="8">
        <f xml:space="preserve"> (Q32*($E32/366))+(Q33*($E33/366))+(Q34*($E34/366))</f>
        <v>34.73770491803279</v>
      </c>
      <c r="W81" s="7">
        <f t="shared" si="15"/>
        <v>54.042622950819677</v>
      </c>
    </row>
    <row r="82" spans="1:23" ht="9" customHeight="1" x14ac:dyDescent="0.15">
      <c r="A82" s="1">
        <v>2005</v>
      </c>
      <c r="B82" s="8">
        <f xml:space="preserve"> (K35*($E35/365))+(K36*($E36/365))</f>
        <v>0</v>
      </c>
      <c r="C82" s="8">
        <f xml:space="preserve"> (L35*($E35/365))+(L36*($E36/365))</f>
        <v>14.285714285714285</v>
      </c>
      <c r="D82" s="8">
        <f xml:space="preserve"> (M35*($E35/365))+(M36*($E36/365))</f>
        <v>85.714285714285708</v>
      </c>
      <c r="E82" s="52">
        <f t="shared" si="13"/>
        <v>100</v>
      </c>
      <c r="G82" s="1">
        <v>2005</v>
      </c>
      <c r="H82" s="822">
        <f>(O35/$R35*100*($E35/365))+(O36/$R36*100*($E36/365))</f>
        <v>0</v>
      </c>
      <c r="I82" s="822"/>
      <c r="J82" s="822">
        <f>(P35/$R35*100*($E35/365))+(P36/$R36*100*($E36/365))</f>
        <v>13.732394366197184</v>
      </c>
      <c r="K82" s="822"/>
      <c r="L82" s="822">
        <f>(Q35/$R35*100*($E35/365))+(Q36/$R36*100*($E36/365))</f>
        <v>86.26760563380283</v>
      </c>
      <c r="M82" s="822"/>
      <c r="N82" s="832">
        <f t="shared" si="14"/>
        <v>100.00000000000001</v>
      </c>
      <c r="O82" s="832"/>
      <c r="R82" s="1">
        <v>2005</v>
      </c>
      <c r="S82" s="8">
        <f xml:space="preserve"> (O35*($E35/365))+(O36*($E36/365))</f>
        <v>0</v>
      </c>
      <c r="T82" s="8">
        <f xml:space="preserve"> (P35*($E35/365))+(P36*($E36/365))</f>
        <v>7.8</v>
      </c>
      <c r="U82" s="8">
        <f xml:space="preserve"> (Q35*($E35/365))+(Q36*($E36/365))</f>
        <v>49</v>
      </c>
      <c r="W82" s="7">
        <f t="shared" si="15"/>
        <v>56.8</v>
      </c>
    </row>
    <row r="83" spans="1:23" ht="9" customHeight="1" x14ac:dyDescent="0.15">
      <c r="A83" s="1">
        <v>2006</v>
      </c>
      <c r="B83" s="8">
        <f xml:space="preserve"> (K37*($E37/365))+(K38*($E38/365))+(K39*($E39/365))</f>
        <v>6.5362035225048922</v>
      </c>
      <c r="C83" s="8">
        <f xml:space="preserve"> (L37*($E37/365))+(L38*($E38/365))+(L39*($E39/365))</f>
        <v>6.2230919765166339</v>
      </c>
      <c r="D83" s="8">
        <f xml:space="preserve"> (M37*($E37/365))+(M38*($E38/365))+(M39*($E39/365))</f>
        <v>87.240704500978467</v>
      </c>
      <c r="E83" s="52">
        <f t="shared" si="13"/>
        <v>100</v>
      </c>
      <c r="G83" s="1">
        <v>2006</v>
      </c>
      <c r="H83" s="822">
        <f>(O37/$R37*100*($E37/365))+(O38/$R38*100*($E38/365))+(O39/$R39*100*($E39/365))</f>
        <v>12.513757171291418</v>
      </c>
      <c r="I83" s="822"/>
      <c r="J83" s="822">
        <f>(P37/$R37*100*($E37/365))+(P38/$R38*100*($E38/365))+(P39/$R39*100*($E39/365))</f>
        <v>7.4493536561836775</v>
      </c>
      <c r="K83" s="822"/>
      <c r="L83" s="822">
        <f>(Q37/$R37*100*($E37/365))+(Q38/$R38*100*($E38/365))+(Q39/$R39*100*($E39/365))</f>
        <v>80.036889172524923</v>
      </c>
      <c r="M83" s="822"/>
      <c r="N83" s="832">
        <f t="shared" si="14"/>
        <v>100.00000000000001</v>
      </c>
      <c r="O83" s="832"/>
      <c r="R83" s="1">
        <v>2006</v>
      </c>
      <c r="S83" s="8">
        <f xml:space="preserve"> (O37*($E37/365))+(O38*($E38/365))+(O39*($E39/365))</f>
        <v>5.856438356164384</v>
      </c>
      <c r="T83" s="8">
        <f xml:space="preserve"> (P37*($E37/365))+(P38*($E38/365))+(P39*($E39/365))</f>
        <v>4.231232876712328</v>
      </c>
      <c r="U83" s="8">
        <f xml:space="preserve"> (Q37*($E37/365))+(Q38*($E38/365))+(Q39*($E39/365))</f>
        <v>42.136986301369866</v>
      </c>
      <c r="W83" s="7">
        <f t="shared" si="15"/>
        <v>52.224657534246575</v>
      </c>
    </row>
    <row r="84" spans="1:23" ht="9" customHeight="1" x14ac:dyDescent="0.15">
      <c r="A84" s="1">
        <v>2007</v>
      </c>
      <c r="B84" s="8">
        <f xml:space="preserve"> (K40*($E40/365))+(K41*($E41/365))</f>
        <v>14.285714285714285</v>
      </c>
      <c r="C84" s="8">
        <f xml:space="preserve"> (L40*($E40/365))+(L41*($E41/365))</f>
        <v>0</v>
      </c>
      <c r="D84" s="8">
        <f xml:space="preserve"> (M40*($E40/365))+(M41*($E41/365))</f>
        <v>85.714285714285708</v>
      </c>
      <c r="E84" s="52">
        <f t="shared" si="13"/>
        <v>100</v>
      </c>
      <c r="G84" s="1">
        <v>2007</v>
      </c>
      <c r="H84" s="822">
        <f>(O40/$R40*100*($E40/365))+(O41/$R41*100*($E41/365))</f>
        <v>27.350427350427353</v>
      </c>
      <c r="I84" s="822"/>
      <c r="J84" s="822">
        <f>(P40/$R40*100*($E40/365))+(P41/$R41*100*($E41/365))</f>
        <v>0</v>
      </c>
      <c r="K84" s="822"/>
      <c r="L84" s="822">
        <f>(Q40/$R40*100*($E40/365))+(Q41/$R41*100*($E41/365))</f>
        <v>72.649572649572661</v>
      </c>
      <c r="M84" s="822"/>
      <c r="N84" s="832">
        <f t="shared" si="14"/>
        <v>100.00000000000001</v>
      </c>
      <c r="O84" s="832"/>
      <c r="R84" s="1">
        <v>2007</v>
      </c>
      <c r="S84" s="8">
        <f xml:space="preserve"> (O40*($E40/365))+(O41*($E41/365))</f>
        <v>12.8</v>
      </c>
      <c r="T84" s="8">
        <f xml:space="preserve"> (P40*($E40/365))+(P41*($E41/365))</f>
        <v>0</v>
      </c>
      <c r="U84" s="8">
        <f xml:space="preserve"> (Q40*($E40/365))+(Q41*($E41/365))</f>
        <v>34</v>
      </c>
      <c r="W84" s="7">
        <f t="shared" si="15"/>
        <v>46.8</v>
      </c>
    </row>
    <row r="85" spans="1:23" ht="9" customHeight="1" x14ac:dyDescent="0.15">
      <c r="A85" s="1">
        <v>2008</v>
      </c>
      <c r="B85" s="8">
        <f xml:space="preserve"> (K42*($E42/366))+(K43*($E43/366))+(K44*($E44/366))+(K45*($E45/366))</f>
        <v>14.519906323185012</v>
      </c>
      <c r="C85" s="8">
        <f xml:space="preserve"> (L42*($E42/366))+(L43*($E43/366))+(L44*($E44/366))+(L45*($E45/366))</f>
        <v>10.792349726775956</v>
      </c>
      <c r="D85" s="8">
        <f xml:space="preserve"> (M42*($E42/366))+(M43*($E43/366))+(M44*($E44/366))+(M45*($E45/366))</f>
        <v>74.687743950039021</v>
      </c>
      <c r="E85" s="52">
        <f t="shared" si="13"/>
        <v>99.999999999999986</v>
      </c>
      <c r="G85" s="1">
        <v>2008</v>
      </c>
      <c r="H85" s="822">
        <f>(O42/$R42*100*($E42/366))+(O43/$R43*100*($E43/366))+(O44/$R44*100*($E44/366))+(O45/$R45*100*($E45/366))</f>
        <v>23.972657579214957</v>
      </c>
      <c r="I85" s="822"/>
      <c r="J85" s="822">
        <f>(P42/$R42*100*($E42/366))+(P43/$R43*100*($E43/366))+(P44/$R44*100*($E44/366))+(P45/$R45*100*($E45/366))</f>
        <v>13.075722092115534</v>
      </c>
      <c r="K85" s="822"/>
      <c r="L85" s="822">
        <f>(Q42/$R42*100*($E42/366))+(Q43/$R43*100*($E43/366))+(Q44/$R44*100*($E44/366))+(Q45/$R45*100*($E45/366))</f>
        <v>62.951620328669506</v>
      </c>
      <c r="M85" s="822"/>
      <c r="N85" s="832">
        <f t="shared" si="14"/>
        <v>100</v>
      </c>
      <c r="O85" s="832"/>
      <c r="R85" s="1">
        <v>2008</v>
      </c>
      <c r="S85" s="8">
        <f xml:space="preserve"> (O42*($E42/366))+(O43*($E43/366))+(O44*($E44/366))+(O45*($E45/366))</f>
        <v>12.920218579234973</v>
      </c>
      <c r="T85" s="8">
        <f xml:space="preserve"> (P42*($E42/366))+(P43*($E43/366))+(P44*($E44/366))+(P45*($E45/366))</f>
        <v>7.139344262295082</v>
      </c>
      <c r="U85" s="8">
        <f xml:space="preserve"> (Q42*($E42/366))+(Q43*($E43/366))+(Q44*($E44/366))+(Q45*($E45/366))</f>
        <v>33.907103825136616</v>
      </c>
      <c r="W85" s="7">
        <f t="shared" si="15"/>
        <v>53.966666666666669</v>
      </c>
    </row>
    <row r="86" spans="1:23" ht="9" customHeight="1" x14ac:dyDescent="0.15">
      <c r="A86" s="1">
        <v>2009</v>
      </c>
      <c r="B86" s="8">
        <f xml:space="preserve"> (K46*($E46/365))+(K47*($E47/365))</f>
        <v>96.748858447488573</v>
      </c>
      <c r="C86" s="8">
        <f xml:space="preserve"> (L46*($E46/365))+(L47*($E47/365))</f>
        <v>0</v>
      </c>
      <c r="D86" s="8">
        <f xml:space="preserve"> (M46*($E46/365))+(M47*($E47/365))</f>
        <v>0</v>
      </c>
      <c r="E86" s="52">
        <f t="shared" si="13"/>
        <v>96.748858447488573</v>
      </c>
      <c r="G86" s="1">
        <v>2009</v>
      </c>
      <c r="H86" s="822">
        <f>(O46/$R46*100*($E46/365))+(O47/$R47*100*($E47/365))</f>
        <v>100</v>
      </c>
      <c r="I86" s="822"/>
      <c r="J86" s="822">
        <f>(P46/$R46*100*($E46/365))+(P47/$R47*100*($E47/365))</f>
        <v>0</v>
      </c>
      <c r="K86" s="822"/>
      <c r="L86" s="822">
        <f>(Q46/$R46*100*($E46/365))+(Q47/$R47*100*($E47/365))</f>
        <v>0</v>
      </c>
      <c r="M86" s="822"/>
      <c r="N86" s="832">
        <f t="shared" si="14"/>
        <v>100</v>
      </c>
      <c r="O86" s="832"/>
      <c r="R86" s="1">
        <v>2009</v>
      </c>
      <c r="S86" s="8">
        <f xml:space="preserve"> (O46*($E46/365))+(O47*($E47/365))</f>
        <v>56.8</v>
      </c>
      <c r="T86" s="8">
        <f xml:space="preserve"> (P46*($E46/365))+(P47*($E47/365))</f>
        <v>0</v>
      </c>
      <c r="U86" s="8">
        <f xml:space="preserve"> (Q46*($E46/365))+(Q47*($E47/365))</f>
        <v>0</v>
      </c>
      <c r="W86" s="7">
        <f t="shared" si="15"/>
        <v>56.8</v>
      </c>
    </row>
    <row r="87" spans="1:23" ht="9" customHeight="1" x14ac:dyDescent="0.15">
      <c r="A87" s="1">
        <v>2010</v>
      </c>
      <c r="B87" s="8">
        <f xml:space="preserve"> (K48*($E48/365))+(K49*($E49/365))</f>
        <v>93.333333333333329</v>
      </c>
      <c r="C87" s="8">
        <f xml:space="preserve"> (L48*($E48/365))+(L49*($E49/365))</f>
        <v>0</v>
      </c>
      <c r="D87" s="8">
        <f xml:space="preserve"> (M48*($E48/365))+(M49*($E49/365))</f>
        <v>0</v>
      </c>
      <c r="E87" s="52">
        <f t="shared" si="13"/>
        <v>93.333333333333329</v>
      </c>
      <c r="G87" s="1">
        <v>2010</v>
      </c>
      <c r="H87" s="822">
        <f>(O48/$R48*100*($E48/365))+(O49/$R49*100*($E49/365))</f>
        <v>100</v>
      </c>
      <c r="I87" s="822"/>
      <c r="J87" s="822">
        <f>(P48/$R48*100*($E48/365))+(P49/$R49*100*($E49/365))</f>
        <v>0</v>
      </c>
      <c r="K87" s="822"/>
      <c r="L87" s="822">
        <f>(Q48/$R48*100*($E48/365))+(Q49/$R49*100*($E49/365))</f>
        <v>0</v>
      </c>
      <c r="M87" s="822"/>
      <c r="N87" s="832">
        <f t="shared" si="14"/>
        <v>100</v>
      </c>
      <c r="O87" s="832"/>
      <c r="R87" s="1">
        <v>2010</v>
      </c>
      <c r="S87" s="8">
        <f xml:space="preserve"> (O48*($E48/365))+(O49*($E49/365))</f>
        <v>56.8</v>
      </c>
      <c r="T87" s="8">
        <f xml:space="preserve"> (P48*($E48/365))+(P49*($E49/365))</f>
        <v>0</v>
      </c>
      <c r="U87" s="8">
        <f xml:space="preserve"> (Q48*($E48/365))+(Q49*($E49/365))</f>
        <v>0</v>
      </c>
      <c r="W87" s="7">
        <f t="shared" si="15"/>
        <v>56.8</v>
      </c>
    </row>
    <row r="88" spans="1:23" ht="9" customHeight="1" x14ac:dyDescent="0.15">
      <c r="A88" s="1">
        <v>2011</v>
      </c>
      <c r="B88" s="8">
        <f xml:space="preserve"> (K50*($E50/365))+(K51*($E51/365))</f>
        <v>93.333333333333329</v>
      </c>
      <c r="C88" s="8">
        <f xml:space="preserve"> (L50*($E50/365))+(L51*($E51/365))</f>
        <v>0</v>
      </c>
      <c r="D88" s="8">
        <f xml:space="preserve"> (M50*($E50/365))+(M51*($E51/365))</f>
        <v>0</v>
      </c>
      <c r="E88" s="52">
        <f t="shared" si="13"/>
        <v>93.333333333333329</v>
      </c>
      <c r="G88" s="1">
        <v>2011</v>
      </c>
      <c r="H88" s="822">
        <f>(O50/$R50*100*($E50/365))+(O51/$R51*100*($E51/365))</f>
        <v>100</v>
      </c>
      <c r="I88" s="822"/>
      <c r="J88" s="822">
        <f>(P50/$R50*100*($E50/365))+(P51/$R51*100*($E51/365))</f>
        <v>0</v>
      </c>
      <c r="K88" s="822"/>
      <c r="L88" s="822">
        <f>(Q50/$R50*100*($E50/365))+(Q51/$R51*100*($E51/365))</f>
        <v>0</v>
      </c>
      <c r="M88" s="822"/>
      <c r="N88" s="832">
        <f t="shared" si="14"/>
        <v>100</v>
      </c>
      <c r="O88" s="832"/>
      <c r="R88" s="1">
        <v>2011</v>
      </c>
      <c r="S88" s="8">
        <f xml:space="preserve"> (O50*($E50/365))+(O51*($E51/365))</f>
        <v>56.8</v>
      </c>
      <c r="T88" s="8">
        <f xml:space="preserve"> (P50*($E50/365))+(P51*($E51/365))</f>
        <v>0</v>
      </c>
      <c r="U88" s="8">
        <f xml:space="preserve"> (Q50*($E50/365))+(Q51*($E51/365))</f>
        <v>0</v>
      </c>
      <c r="W88" s="7">
        <f t="shared" si="15"/>
        <v>56.8</v>
      </c>
    </row>
    <row r="89" spans="1:23" ht="9" customHeight="1" x14ac:dyDescent="0.15">
      <c r="A89" s="1">
        <v>2012</v>
      </c>
      <c r="B89" s="8">
        <f xml:space="preserve"> (K52*($E52/366))+(K53*($E53/366))</f>
        <v>88.961748633879793</v>
      </c>
      <c r="C89" s="8">
        <f xml:space="preserve"> (L52*($E52/366))+(L53*($E53/366))</f>
        <v>0.36429872495446264</v>
      </c>
      <c r="D89" s="8">
        <f xml:space="preserve"> (M52*($E52/366))+(M53*($E53/366))</f>
        <v>4.3715846994535514</v>
      </c>
      <c r="E89" s="52">
        <f t="shared" si="13"/>
        <v>93.697632058287809</v>
      </c>
      <c r="G89" s="1">
        <v>2012</v>
      </c>
      <c r="H89" s="822">
        <f>(O52/$R52*100*($E52/366))+(O53/$R53*100*($E53/366))</f>
        <v>95.242367397982775</v>
      </c>
      <c r="I89" s="822"/>
      <c r="J89" s="822">
        <f>(P52/$R52*100*($E52/366))+(P53/$R53*100*($E53/366))</f>
        <v>0.51654296821901424</v>
      </c>
      <c r="K89" s="822"/>
      <c r="L89" s="822">
        <f>(Q52/$R52*100*($E52/366))+(Q53/$R53*100*($E53/366))</f>
        <v>4.2410896337982216</v>
      </c>
      <c r="M89" s="822"/>
      <c r="N89" s="832">
        <f t="shared" si="14"/>
        <v>100.00000000000001</v>
      </c>
      <c r="O89" s="832"/>
      <c r="R89" s="1">
        <v>2012</v>
      </c>
      <c r="S89" s="8">
        <f xml:space="preserve"> (O52*($E52/366))+(O53*($E53/366))</f>
        <v>54.1224043715847</v>
      </c>
      <c r="T89" s="8">
        <f xml:space="preserve"> (P52*($E52/366))+(P53*($E53/366))</f>
        <v>0.31147540983606559</v>
      </c>
      <c r="U89" s="8">
        <f xml:space="preserve"> (Q52*($E52/366))+(Q53*($E53/366))</f>
        <v>2.5573770491803276</v>
      </c>
      <c r="W89" s="7">
        <f t="shared" si="15"/>
        <v>56.991256830601088</v>
      </c>
    </row>
    <row r="90" spans="1:23" ht="9" customHeight="1" x14ac:dyDescent="0.15">
      <c r="A90" s="1">
        <v>2013</v>
      </c>
      <c r="B90" s="8">
        <f xml:space="preserve"> (K54*($E54/365))+(K55*($E55/365))</f>
        <v>13.333333333333334</v>
      </c>
      <c r="C90" s="8">
        <f xml:space="preserve"> (L54*($E54/365))+(L55*($E55/365))</f>
        <v>6.666666666666667</v>
      </c>
      <c r="D90" s="8">
        <f xml:space="preserve"> (M54*($E54/365))+(M55*($E55/365))</f>
        <v>80</v>
      </c>
      <c r="E90" s="52">
        <f>SUM(B90:D90)</f>
        <v>100</v>
      </c>
      <c r="G90" s="1">
        <v>2013</v>
      </c>
      <c r="H90" s="822">
        <f>(O54/$R54*100*($E54/365))+(O55/$R55*100*($E55/365))</f>
        <v>12.935323383084576</v>
      </c>
      <c r="I90" s="822"/>
      <c r="J90" s="822">
        <f>(P54/$R54*100*($E54/365))+(P55/$R55*100*($E55/365))</f>
        <v>9.4527363184079611</v>
      </c>
      <c r="K90" s="822"/>
      <c r="L90" s="822">
        <f>(Q54/$R54*100*($E54/365))+(Q55/$R55*100*($E55/365))</f>
        <v>77.611940298507463</v>
      </c>
      <c r="M90" s="822"/>
      <c r="N90" s="832">
        <f>H90+J90+L90</f>
        <v>100</v>
      </c>
      <c r="O90" s="832"/>
      <c r="R90" s="1">
        <v>2013</v>
      </c>
      <c r="S90" s="8">
        <f xml:space="preserve"> (O54*($E54/365))+(O55*($E55/365))</f>
        <v>7.8</v>
      </c>
      <c r="T90" s="8">
        <f xml:space="preserve"> (P54*($E54/365))+(P55*($E55/365))</f>
        <v>5.7</v>
      </c>
      <c r="U90" s="8">
        <f xml:space="preserve"> (Q54*($E54/365))+(Q55*($E55/365))</f>
        <v>46.8</v>
      </c>
      <c r="W90" s="7">
        <f>S90+T90+U90</f>
        <v>60.3</v>
      </c>
    </row>
    <row r="91" spans="1:23" ht="9" customHeight="1" x14ac:dyDescent="0.15">
      <c r="A91" s="1">
        <v>2014</v>
      </c>
      <c r="B91" s="8">
        <f xml:space="preserve"> (K56*($E56/365))+(K57*($E57/365))</f>
        <v>13.333333333333334</v>
      </c>
      <c r="C91" s="8">
        <f xml:space="preserve"> (L56*($E56/365))+(L57*($E57/365))</f>
        <v>4.8767123287671232</v>
      </c>
      <c r="D91" s="8">
        <f xml:space="preserve"> (M56*($E56/365))+(M57*($E57/365))</f>
        <v>81.789954337899545</v>
      </c>
      <c r="E91" s="52">
        <f>SUM(B91:D91)</f>
        <v>100</v>
      </c>
      <c r="G91" s="1">
        <v>2014</v>
      </c>
      <c r="H91" s="822">
        <f>(O56/$R56*100*($E56/365))+(O57/$R57*100*($E57/365))</f>
        <v>13.556322149091324</v>
      </c>
      <c r="I91" s="822"/>
      <c r="J91" s="822">
        <f>(P56/$R56*100*($E56/365))+(P57/$R57*100*($E57/365))</f>
        <v>6.9147413616847277</v>
      </c>
      <c r="K91" s="822"/>
      <c r="L91" s="822">
        <f>(Q56/$R56*100*($E56/365))+(Q57/$R57*100*($E57/365))</f>
        <v>79.528936489223952</v>
      </c>
      <c r="M91" s="822"/>
      <c r="N91" s="832">
        <f>H91+J91+L91</f>
        <v>100</v>
      </c>
      <c r="O91" s="832"/>
      <c r="R91" s="1">
        <v>2014</v>
      </c>
      <c r="S91" s="8">
        <f xml:space="preserve"> (O56*($E56/365))+(O57*($E57/365))</f>
        <v>8.0147945205479445</v>
      </c>
      <c r="T91" s="8">
        <f xml:space="preserve"> (P56*($E56/365))+(P57*($E57/365))</f>
        <v>4.1695890410958905</v>
      </c>
      <c r="U91" s="8">
        <f xml:space="preserve"> (Q56*($E56/365))+(Q57*($E57/365))</f>
        <v>47.06849315068493</v>
      </c>
      <c r="W91" s="7">
        <f>S91+T91+U91</f>
        <v>59.252876712328764</v>
      </c>
    </row>
    <row r="92" spans="1:23" s="745" customFormat="1" ht="9" customHeight="1" x14ac:dyDescent="0.15">
      <c r="A92" s="745">
        <v>2015</v>
      </c>
      <c r="B92" s="739">
        <f xml:space="preserve"> (K58*($E58/365))+(K59*($E59/365))</f>
        <v>13.333333333333334</v>
      </c>
      <c r="C92" s="739">
        <f xml:space="preserve"> (L58*($E58/365))+(L59*($E59/365))</f>
        <v>0</v>
      </c>
      <c r="D92" s="739">
        <f xml:space="preserve"> (M58*($E58/365))+(M59*($E59/365))</f>
        <v>86.666666666666671</v>
      </c>
      <c r="E92" s="52">
        <f>SUM(B92:D92)</f>
        <v>100</v>
      </c>
      <c r="G92" s="745">
        <v>2015</v>
      </c>
      <c r="H92" s="822">
        <f>(O58/$R58*100*($E58/365))+(O59/$R59*100*($E59/365))</f>
        <v>15.24822695035461</v>
      </c>
      <c r="I92" s="822"/>
      <c r="J92" s="822">
        <f>(P58/$R58*100*($E58/365))+(P59/$R59*100*($E59/365))</f>
        <v>0</v>
      </c>
      <c r="K92" s="822"/>
      <c r="L92" s="822">
        <f>(Q58/$R58*100*($E58/365))+(Q59/$R59*100*($E59/365))</f>
        <v>84.751773049645379</v>
      </c>
      <c r="M92" s="822"/>
      <c r="N92" s="832">
        <f>H92+J92+L92</f>
        <v>99.999999999999986</v>
      </c>
      <c r="O92" s="832"/>
      <c r="R92" s="745">
        <v>2015</v>
      </c>
      <c r="S92" s="739">
        <f xml:space="preserve"> (O58*($E58/365))+(O59*($E59/365))</f>
        <v>8.6</v>
      </c>
      <c r="T92" s="739">
        <f xml:space="preserve"> (P58*($E58/365))+(P59*($E59/365))</f>
        <v>0</v>
      </c>
      <c r="U92" s="739">
        <f xml:space="preserve"> (Q58*($E58/365))+(Q59*($E59/365))</f>
        <v>47.8</v>
      </c>
      <c r="W92" s="744">
        <f>S92+T92+U92</f>
        <v>56.4</v>
      </c>
    </row>
    <row r="93" spans="1:23" s="745" customFormat="1" ht="9" customHeight="1" x14ac:dyDescent="0.15"/>
  </sheetData>
  <mergeCells count="176">
    <mergeCell ref="AT4:AW4"/>
    <mergeCell ref="AX4:BA4"/>
    <mergeCell ref="L71:M71"/>
    <mergeCell ref="L72:M72"/>
    <mergeCell ref="AL4:AO4"/>
    <mergeCell ref="AP4:AS4"/>
    <mergeCell ref="N71:O71"/>
    <mergeCell ref="N72:O72"/>
    <mergeCell ref="S4:S5"/>
    <mergeCell ref="T4:T5"/>
    <mergeCell ref="L69:M69"/>
    <mergeCell ref="L70:M70"/>
    <mergeCell ref="AH4:AK4"/>
    <mergeCell ref="Z4:AC4"/>
    <mergeCell ref="AD4:AG4"/>
    <mergeCell ref="R64:W64"/>
    <mergeCell ref="L66:M66"/>
    <mergeCell ref="N66:O66"/>
    <mergeCell ref="U4:U5"/>
    <mergeCell ref="V4:Y4"/>
    <mergeCell ref="O4:R4"/>
    <mergeCell ref="A4:A5"/>
    <mergeCell ref="B4:B5"/>
    <mergeCell ref="C4:D5"/>
    <mergeCell ref="E4:E5"/>
    <mergeCell ref="C9:D9"/>
    <mergeCell ref="C10:D10"/>
    <mergeCell ref="K4:N4"/>
    <mergeCell ref="F4:F5"/>
    <mergeCell ref="G4:J4"/>
    <mergeCell ref="C6:D6"/>
    <mergeCell ref="C7:D7"/>
    <mergeCell ref="C8:D8"/>
    <mergeCell ref="G3:M3"/>
    <mergeCell ref="O3:Q3"/>
    <mergeCell ref="H66:I66"/>
    <mergeCell ref="J66:K66"/>
    <mergeCell ref="C20:D20"/>
    <mergeCell ref="C21:D21"/>
    <mergeCell ref="C18:D18"/>
    <mergeCell ref="C19:D19"/>
    <mergeCell ref="C11:D11"/>
    <mergeCell ref="C12:D12"/>
    <mergeCell ref="C13:D13"/>
    <mergeCell ref="C25:D25"/>
    <mergeCell ref="C26:D26"/>
    <mergeCell ref="C27:D27"/>
    <mergeCell ref="C28:D28"/>
    <mergeCell ref="C29:D29"/>
    <mergeCell ref="C30:D30"/>
    <mergeCell ref="C32:D32"/>
    <mergeCell ref="C37:D37"/>
    <mergeCell ref="C14:D14"/>
    <mergeCell ref="C15:D15"/>
    <mergeCell ref="C17:D17"/>
    <mergeCell ref="C16:D16"/>
    <mergeCell ref="C39:D39"/>
    <mergeCell ref="C40:D40"/>
    <mergeCell ref="C41:D41"/>
    <mergeCell ref="C44:D44"/>
    <mergeCell ref="C45:D45"/>
    <mergeCell ref="C31:D31"/>
    <mergeCell ref="C33:D33"/>
    <mergeCell ref="C34:D34"/>
    <mergeCell ref="C35:D35"/>
    <mergeCell ref="C36:D36"/>
    <mergeCell ref="C42:D42"/>
    <mergeCell ref="C43:D43"/>
    <mergeCell ref="C38:D38"/>
    <mergeCell ref="C22:D22"/>
    <mergeCell ref="C24:D24"/>
    <mergeCell ref="C23:D23"/>
    <mergeCell ref="C57:D57"/>
    <mergeCell ref="L75:M75"/>
    <mergeCell ref="L76:M76"/>
    <mergeCell ref="N73:O73"/>
    <mergeCell ref="C52:D52"/>
    <mergeCell ref="C53:D53"/>
    <mergeCell ref="J71:K71"/>
    <mergeCell ref="J72:K72"/>
    <mergeCell ref="C46:D46"/>
    <mergeCell ref="C47:D47"/>
    <mergeCell ref="C48:D48"/>
    <mergeCell ref="C49:D49"/>
    <mergeCell ref="C50:D50"/>
    <mergeCell ref="C51:D51"/>
    <mergeCell ref="C55:D55"/>
    <mergeCell ref="C56:D56"/>
    <mergeCell ref="L73:M73"/>
    <mergeCell ref="J69:K69"/>
    <mergeCell ref="J70:K70"/>
    <mergeCell ref="N69:O69"/>
    <mergeCell ref="N70:O70"/>
    <mergeCell ref="J73:K73"/>
    <mergeCell ref="N79:O79"/>
    <mergeCell ref="J77:K77"/>
    <mergeCell ref="J74:K74"/>
    <mergeCell ref="J75:K75"/>
    <mergeCell ref="H73:I73"/>
    <mergeCell ref="C54:D54"/>
    <mergeCell ref="N74:O74"/>
    <mergeCell ref="N75:O75"/>
    <mergeCell ref="N76:O76"/>
    <mergeCell ref="L77:M77"/>
    <mergeCell ref="N78:O78"/>
    <mergeCell ref="L79:M79"/>
    <mergeCell ref="H75:I75"/>
    <mergeCell ref="H76:I76"/>
    <mergeCell ref="H77:I77"/>
    <mergeCell ref="H78:I78"/>
    <mergeCell ref="H69:I69"/>
    <mergeCell ref="H70:I70"/>
    <mergeCell ref="H79:I79"/>
    <mergeCell ref="H71:I71"/>
    <mergeCell ref="H72:I72"/>
    <mergeCell ref="L74:M74"/>
    <mergeCell ref="N77:O77"/>
    <mergeCell ref="H74:I74"/>
    <mergeCell ref="J84:K84"/>
    <mergeCell ref="J78:K78"/>
    <mergeCell ref="J79:K79"/>
    <mergeCell ref="J76:K76"/>
    <mergeCell ref="J80:K80"/>
    <mergeCell ref="L84:M84"/>
    <mergeCell ref="L81:M81"/>
    <mergeCell ref="J82:K82"/>
    <mergeCell ref="L83:M83"/>
    <mergeCell ref="J81:K81"/>
    <mergeCell ref="L80:M80"/>
    <mergeCell ref="L78:M78"/>
    <mergeCell ref="L82:M82"/>
    <mergeCell ref="H80:I80"/>
    <mergeCell ref="H84:I84"/>
    <mergeCell ref="N88:O88"/>
    <mergeCell ref="J83:K83"/>
    <mergeCell ref="L87:M87"/>
    <mergeCell ref="L88:M88"/>
    <mergeCell ref="N83:O83"/>
    <mergeCell ref="N80:O80"/>
    <mergeCell ref="N81:O81"/>
    <mergeCell ref="N82:O82"/>
    <mergeCell ref="N84:O84"/>
    <mergeCell ref="L86:M86"/>
    <mergeCell ref="H85:I85"/>
    <mergeCell ref="J89:K89"/>
    <mergeCell ref="J87:K87"/>
    <mergeCell ref="H81:I81"/>
    <mergeCell ref="H82:I82"/>
    <mergeCell ref="J85:K85"/>
    <mergeCell ref="H83:I83"/>
    <mergeCell ref="H86:I86"/>
    <mergeCell ref="J86:K86"/>
    <mergeCell ref="C58:D58"/>
    <mergeCell ref="C59:D59"/>
    <mergeCell ref="H92:I92"/>
    <mergeCell ref="J92:K92"/>
    <mergeCell ref="L92:M92"/>
    <mergeCell ref="N92:O92"/>
    <mergeCell ref="L91:M91"/>
    <mergeCell ref="N91:O91"/>
    <mergeCell ref="H87:I87"/>
    <mergeCell ref="H88:I88"/>
    <mergeCell ref="H89:I89"/>
    <mergeCell ref="N89:O89"/>
    <mergeCell ref="H90:I90"/>
    <mergeCell ref="J90:K90"/>
    <mergeCell ref="L90:M90"/>
    <mergeCell ref="N90:O90"/>
    <mergeCell ref="H91:I91"/>
    <mergeCell ref="J91:K91"/>
    <mergeCell ref="J88:K88"/>
    <mergeCell ref="L89:M89"/>
    <mergeCell ref="N87:O87"/>
    <mergeCell ref="N86:O86"/>
    <mergeCell ref="N85:O85"/>
    <mergeCell ref="L85:M85"/>
  </mergeCells>
  <pageMargins left="0.78740157499999996" right="0.78740157499999996" top="0.984251969" bottom="0.984251969" header="0.4921259845" footer="0.4921259845"/>
  <pageSetup paperSize="9" scale="48" orientation="landscape" r:id="rId1"/>
  <headerFooter alignWithMargins="0"/>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84"/>
  <sheetViews>
    <sheetView zoomScale="120" zoomScaleNormal="120" workbookViewId="0">
      <pane xSplit="1" ySplit="5" topLeftCell="B104" activePane="bottomRight" state="frozen"/>
      <selection pane="topRight" activeCell="B1" sqref="B1"/>
      <selection pane="bottomLeft" activeCell="A6" sqref="A6"/>
      <selection pane="bottomRight" activeCell="H183" sqref="H183:I183"/>
    </sheetView>
  </sheetViews>
  <sheetFormatPr baseColWidth="10" defaultColWidth="10.7109375" defaultRowHeight="9" x14ac:dyDescent="0.15"/>
  <cols>
    <col min="1" max="1" width="5.85546875" style="1" customWidth="1"/>
    <col min="2" max="6" width="7.85546875" style="1" customWidth="1"/>
    <col min="7" max="18" width="4.42578125" style="1" customWidth="1"/>
    <col min="19" max="21" width="7.85546875" style="1" customWidth="1"/>
    <col min="22" max="29" width="5.7109375" style="1" customWidth="1"/>
    <col min="30" max="30" width="6.140625" style="1" customWidth="1"/>
    <col min="31" max="53" width="5.7109375" style="1" customWidth="1"/>
    <col min="54" max="16384" width="10.7109375" style="1"/>
  </cols>
  <sheetData>
    <row r="1" spans="1:53" s="2" customFormat="1" ht="15" customHeight="1" x14ac:dyDescent="0.2">
      <c r="B1" s="22" t="s">
        <v>14</v>
      </c>
    </row>
    <row r="2" spans="1:53" s="2" customFormat="1" ht="15" customHeight="1" x14ac:dyDescent="0.2">
      <c r="B2" s="22" t="s">
        <v>61</v>
      </c>
    </row>
    <row r="3" spans="1:53" s="2" customFormat="1" x14ac:dyDescent="0.15">
      <c r="G3" s="814"/>
      <c r="H3" s="814"/>
      <c r="I3" s="814"/>
      <c r="J3" s="814"/>
      <c r="K3" s="814"/>
      <c r="L3" s="814"/>
      <c r="M3" s="814"/>
      <c r="O3" s="814"/>
      <c r="P3" s="814"/>
      <c r="Q3" s="814"/>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1" t="s">
        <v>23</v>
      </c>
      <c r="AU5" s="351" t="s">
        <v>24</v>
      </c>
      <c r="AV5" s="351" t="s">
        <v>25</v>
      </c>
      <c r="AW5" s="353" t="s">
        <v>1217</v>
      </c>
      <c r="AX5" s="351" t="s">
        <v>23</v>
      </c>
      <c r="AY5" s="351" t="s">
        <v>24</v>
      </c>
      <c r="AZ5" s="351" t="s">
        <v>25</v>
      </c>
      <c r="BA5" s="354" t="s">
        <v>1217</v>
      </c>
    </row>
    <row r="6" spans="1:53" s="257" customFormat="1" x14ac:dyDescent="0.15">
      <c r="A6" s="263">
        <v>1959</v>
      </c>
      <c r="B6" s="252"/>
      <c r="C6" s="815" t="s">
        <v>1252</v>
      </c>
      <c r="D6" s="815"/>
      <c r="E6" s="257">
        <v>55</v>
      </c>
      <c r="G6" s="265"/>
      <c r="H6" s="257">
        <v>4</v>
      </c>
      <c r="I6" s="257">
        <v>4</v>
      </c>
      <c r="J6" s="272">
        <v>8</v>
      </c>
      <c r="K6" s="248">
        <f t="shared" ref="K6:M8" si="0">G6/$J6*100</f>
        <v>0</v>
      </c>
      <c r="L6" s="248">
        <f t="shared" si="0"/>
        <v>50</v>
      </c>
      <c r="M6" s="248">
        <f t="shared" si="0"/>
        <v>50</v>
      </c>
      <c r="N6" s="267">
        <f>K6+L6+M6</f>
        <v>100</v>
      </c>
      <c r="O6" s="247"/>
      <c r="P6" s="248">
        <v>50</v>
      </c>
      <c r="Q6" s="248">
        <v>23.7</v>
      </c>
      <c r="R6" s="249">
        <f>O6+P6+Q6</f>
        <v>73.7</v>
      </c>
      <c r="S6" s="257">
        <v>2</v>
      </c>
      <c r="T6" s="278"/>
      <c r="V6" s="256" t="s">
        <v>505</v>
      </c>
      <c r="W6" s="257" t="s">
        <v>17</v>
      </c>
      <c r="X6" s="257" t="s">
        <v>336</v>
      </c>
      <c r="Y6" s="258">
        <v>50</v>
      </c>
      <c r="Z6" s="257" t="s">
        <v>506</v>
      </c>
      <c r="AA6" s="257" t="s">
        <v>20</v>
      </c>
      <c r="AB6" s="257" t="s">
        <v>12</v>
      </c>
      <c r="AC6" s="257">
        <v>32.700000000000003</v>
      </c>
      <c r="AD6" s="256"/>
      <c r="AG6" s="258"/>
      <c r="AL6" s="256"/>
      <c r="AO6" s="258"/>
      <c r="AP6" s="256"/>
      <c r="AS6" s="258"/>
      <c r="AW6" s="258"/>
      <c r="BA6" s="259"/>
    </row>
    <row r="7" spans="1:53" s="257" customFormat="1" x14ac:dyDescent="0.15">
      <c r="A7" s="263">
        <v>1959</v>
      </c>
      <c r="B7" s="252">
        <v>21606</v>
      </c>
      <c r="C7" s="815" t="s">
        <v>684</v>
      </c>
      <c r="D7" s="815"/>
      <c r="E7" s="257">
        <f xml:space="preserve"> 365-55</f>
        <v>310</v>
      </c>
      <c r="F7" s="257">
        <v>4</v>
      </c>
      <c r="G7" s="265">
        <v>3</v>
      </c>
      <c r="H7" s="257">
        <v>4</v>
      </c>
      <c r="J7" s="272">
        <v>7</v>
      </c>
      <c r="K7" s="248">
        <f t="shared" si="0"/>
        <v>42.857142857142854</v>
      </c>
      <c r="L7" s="248">
        <f t="shared" si="0"/>
        <v>57.142857142857139</v>
      </c>
      <c r="M7" s="248">
        <f t="shared" si="0"/>
        <v>0</v>
      </c>
      <c r="N7" s="267">
        <f>K7+L7+M7</f>
        <v>100</v>
      </c>
      <c r="O7" s="247">
        <v>21.2</v>
      </c>
      <c r="P7" s="248">
        <v>40.4</v>
      </c>
      <c r="Q7" s="248"/>
      <c r="R7" s="249">
        <f>O7+P7+Q7</f>
        <v>61.599999999999994</v>
      </c>
      <c r="S7" s="257">
        <v>2</v>
      </c>
      <c r="T7" s="278"/>
      <c r="U7" s="252">
        <v>21606</v>
      </c>
      <c r="V7" s="256" t="s">
        <v>505</v>
      </c>
      <c r="W7" s="257" t="s">
        <v>17</v>
      </c>
      <c r="X7" s="257" t="s">
        <v>336</v>
      </c>
      <c r="Y7" s="258">
        <v>40.4</v>
      </c>
      <c r="Z7" s="257" t="s">
        <v>131</v>
      </c>
      <c r="AA7" s="257" t="s">
        <v>22</v>
      </c>
      <c r="AB7" s="257" t="s">
        <v>11</v>
      </c>
      <c r="AC7" s="257">
        <v>21.2</v>
      </c>
      <c r="AD7" s="256"/>
      <c r="AG7" s="258"/>
      <c r="AL7" s="256"/>
      <c r="AO7" s="258"/>
      <c r="AP7" s="256"/>
      <c r="AS7" s="258"/>
      <c r="AW7" s="258"/>
      <c r="BA7" s="259"/>
    </row>
    <row r="8" spans="1:53" s="208" customFormat="1" x14ac:dyDescent="0.15">
      <c r="A8" s="102">
        <v>1960</v>
      </c>
      <c r="B8" s="207"/>
      <c r="C8" s="811" t="s">
        <v>684</v>
      </c>
      <c r="D8" s="811"/>
      <c r="E8" s="208">
        <v>0</v>
      </c>
      <c r="G8" s="123">
        <v>3</v>
      </c>
      <c r="H8" s="208">
        <v>4</v>
      </c>
      <c r="J8" s="134">
        <v>7</v>
      </c>
      <c r="K8" s="92">
        <f t="shared" si="0"/>
        <v>42.857142857142854</v>
      </c>
      <c r="L8" s="92">
        <f t="shared" si="0"/>
        <v>57.142857142857139</v>
      </c>
      <c r="M8" s="92">
        <f t="shared" si="0"/>
        <v>0</v>
      </c>
      <c r="N8" s="125">
        <f>K8+L8+M8</f>
        <v>100</v>
      </c>
      <c r="O8" s="91">
        <v>21.2</v>
      </c>
      <c r="P8" s="92">
        <v>40.4</v>
      </c>
      <c r="Q8" s="92"/>
      <c r="R8" s="93">
        <f>O8+P8+Q8</f>
        <v>61.599999999999994</v>
      </c>
      <c r="S8" s="208">
        <v>2</v>
      </c>
      <c r="T8" s="81"/>
      <c r="V8" s="82" t="s">
        <v>505</v>
      </c>
      <c r="W8" s="208" t="s">
        <v>17</v>
      </c>
      <c r="X8" s="208" t="s">
        <v>336</v>
      </c>
      <c r="Y8" s="83">
        <v>40.4</v>
      </c>
      <c r="Z8" s="208" t="s">
        <v>131</v>
      </c>
      <c r="AA8" s="208" t="s">
        <v>22</v>
      </c>
      <c r="AB8" s="208" t="s">
        <v>11</v>
      </c>
      <c r="AC8" s="208">
        <v>21.2</v>
      </c>
      <c r="AD8" s="82"/>
      <c r="AG8" s="83"/>
      <c r="AL8" s="82"/>
      <c r="AO8" s="83"/>
      <c r="AP8" s="82"/>
      <c r="AS8" s="83"/>
      <c r="AW8" s="83"/>
      <c r="BA8" s="84"/>
    </row>
    <row r="9" spans="1:53" s="208" customFormat="1" x14ac:dyDescent="0.15">
      <c r="A9" s="102">
        <v>1960</v>
      </c>
      <c r="B9" s="207"/>
      <c r="C9" s="811" t="s">
        <v>684</v>
      </c>
      <c r="D9" s="811"/>
      <c r="E9" s="208">
        <v>366</v>
      </c>
      <c r="G9" s="123">
        <v>3</v>
      </c>
      <c r="H9" s="208">
        <v>4</v>
      </c>
      <c r="J9" s="134">
        <v>7</v>
      </c>
      <c r="K9" s="92">
        <f t="shared" ref="K9:M72" si="1">G9/$J9*100</f>
        <v>42.857142857142854</v>
      </c>
      <c r="L9" s="92">
        <f t="shared" si="1"/>
        <v>57.142857142857139</v>
      </c>
      <c r="M9" s="92">
        <f t="shared" si="1"/>
        <v>0</v>
      </c>
      <c r="N9" s="125">
        <f t="shared" ref="N9:N72" si="2">K9+L9+M9</f>
        <v>100</v>
      </c>
      <c r="O9" s="91">
        <v>21.2</v>
      </c>
      <c r="P9" s="92">
        <v>40.4</v>
      </c>
      <c r="Q9" s="92"/>
      <c r="R9" s="93">
        <f t="shared" ref="R9:R72" si="3">O9+P9+Q9</f>
        <v>61.599999999999994</v>
      </c>
      <c r="S9" s="208">
        <v>2</v>
      </c>
      <c r="T9" s="81"/>
      <c r="V9" s="82" t="s">
        <v>505</v>
      </c>
      <c r="W9" s="208" t="s">
        <v>17</v>
      </c>
      <c r="X9" s="208" t="s">
        <v>336</v>
      </c>
      <c r="Y9" s="83">
        <v>40.4</v>
      </c>
      <c r="Z9" s="208" t="s">
        <v>131</v>
      </c>
      <c r="AA9" s="208" t="s">
        <v>22</v>
      </c>
      <c r="AB9" s="208" t="s">
        <v>11</v>
      </c>
      <c r="AC9" s="208">
        <v>21.2</v>
      </c>
      <c r="AD9" s="82"/>
      <c r="AG9" s="83"/>
      <c r="AL9" s="82"/>
      <c r="AO9" s="83"/>
      <c r="AP9" s="82"/>
      <c r="AS9" s="83"/>
      <c r="AW9" s="83"/>
      <c r="BA9" s="84"/>
    </row>
    <row r="10" spans="1:53" s="208" customFormat="1" x14ac:dyDescent="0.15">
      <c r="A10" s="102">
        <v>1961</v>
      </c>
      <c r="B10" s="207"/>
      <c r="C10" s="811" t="s">
        <v>684</v>
      </c>
      <c r="D10" s="811"/>
      <c r="E10" s="208">
        <v>0</v>
      </c>
      <c r="G10" s="123">
        <v>3</v>
      </c>
      <c r="H10" s="208">
        <v>4</v>
      </c>
      <c r="J10" s="134">
        <v>7</v>
      </c>
      <c r="K10" s="92">
        <f t="shared" si="1"/>
        <v>42.857142857142854</v>
      </c>
      <c r="L10" s="92">
        <f t="shared" si="1"/>
        <v>57.142857142857139</v>
      </c>
      <c r="M10" s="92">
        <f t="shared" si="1"/>
        <v>0</v>
      </c>
      <c r="N10" s="125">
        <f t="shared" si="2"/>
        <v>100</v>
      </c>
      <c r="O10" s="91">
        <v>21.2</v>
      </c>
      <c r="P10" s="92">
        <v>40.4</v>
      </c>
      <c r="Q10" s="92"/>
      <c r="R10" s="93">
        <f t="shared" si="3"/>
        <v>61.599999999999994</v>
      </c>
      <c r="S10" s="208">
        <v>2</v>
      </c>
      <c r="T10" s="81"/>
      <c r="V10" s="82" t="s">
        <v>505</v>
      </c>
      <c r="W10" s="208" t="s">
        <v>17</v>
      </c>
      <c r="X10" s="208" t="s">
        <v>336</v>
      </c>
      <c r="Y10" s="83">
        <v>40.4</v>
      </c>
      <c r="Z10" s="208" t="s">
        <v>131</v>
      </c>
      <c r="AA10" s="208" t="s">
        <v>22</v>
      </c>
      <c r="AB10" s="208" t="s">
        <v>11</v>
      </c>
      <c r="AC10" s="208">
        <v>21.2</v>
      </c>
      <c r="AD10" s="82"/>
      <c r="AG10" s="83"/>
      <c r="AL10" s="82"/>
      <c r="AO10" s="83"/>
      <c r="AP10" s="82"/>
      <c r="AS10" s="83"/>
      <c r="AW10" s="83"/>
      <c r="BA10" s="84"/>
    </row>
    <row r="11" spans="1:53" s="208" customFormat="1" x14ac:dyDescent="0.15">
      <c r="A11" s="102">
        <v>1961</v>
      </c>
      <c r="B11" s="207"/>
      <c r="C11" s="811" t="s">
        <v>684</v>
      </c>
      <c r="D11" s="811"/>
      <c r="E11" s="208">
        <v>365</v>
      </c>
      <c r="G11" s="123">
        <v>3</v>
      </c>
      <c r="H11" s="208">
        <v>4</v>
      </c>
      <c r="J11" s="134">
        <v>7</v>
      </c>
      <c r="K11" s="92">
        <f t="shared" si="1"/>
        <v>42.857142857142854</v>
      </c>
      <c r="L11" s="92">
        <f t="shared" si="1"/>
        <v>57.142857142857139</v>
      </c>
      <c r="M11" s="92">
        <f t="shared" si="1"/>
        <v>0</v>
      </c>
      <c r="N11" s="125">
        <f t="shared" si="2"/>
        <v>100</v>
      </c>
      <c r="O11" s="91">
        <v>21.2</v>
      </c>
      <c r="P11" s="92">
        <v>40.4</v>
      </c>
      <c r="Q11" s="92"/>
      <c r="R11" s="93">
        <f t="shared" si="3"/>
        <v>61.599999999999994</v>
      </c>
      <c r="S11" s="208">
        <v>2</v>
      </c>
      <c r="T11" s="81"/>
      <c r="V11" s="82" t="s">
        <v>505</v>
      </c>
      <c r="W11" s="208" t="s">
        <v>17</v>
      </c>
      <c r="X11" s="208" t="s">
        <v>336</v>
      </c>
      <c r="Y11" s="83">
        <v>40.4</v>
      </c>
      <c r="Z11" s="208" t="s">
        <v>131</v>
      </c>
      <c r="AA11" s="208" t="s">
        <v>22</v>
      </c>
      <c r="AB11" s="208" t="s">
        <v>11</v>
      </c>
      <c r="AC11" s="208">
        <v>21.2</v>
      </c>
      <c r="AD11" s="82"/>
      <c r="AG11" s="83"/>
      <c r="AL11" s="82"/>
      <c r="AO11" s="83"/>
      <c r="AP11" s="82"/>
      <c r="AS11" s="83"/>
      <c r="AW11" s="83"/>
      <c r="BA11" s="84"/>
    </row>
    <row r="12" spans="1:53" s="208" customFormat="1" x14ac:dyDescent="0.15">
      <c r="A12" s="102">
        <v>1962</v>
      </c>
      <c r="B12" s="207"/>
      <c r="C12" s="811" t="s">
        <v>684</v>
      </c>
      <c r="D12" s="811"/>
      <c r="E12" s="208">
        <v>0</v>
      </c>
      <c r="G12" s="123">
        <v>3</v>
      </c>
      <c r="H12" s="208">
        <v>4</v>
      </c>
      <c r="J12" s="134">
        <v>7</v>
      </c>
      <c r="K12" s="92">
        <f t="shared" si="1"/>
        <v>42.857142857142854</v>
      </c>
      <c r="L12" s="92">
        <f t="shared" si="1"/>
        <v>57.142857142857139</v>
      </c>
      <c r="M12" s="92">
        <f t="shared" si="1"/>
        <v>0</v>
      </c>
      <c r="N12" s="125">
        <f t="shared" si="2"/>
        <v>100</v>
      </c>
      <c r="O12" s="91">
        <v>21.2</v>
      </c>
      <c r="P12" s="92">
        <v>40.4</v>
      </c>
      <c r="Q12" s="92"/>
      <c r="R12" s="93">
        <f t="shared" si="3"/>
        <v>61.599999999999994</v>
      </c>
      <c r="S12" s="208">
        <v>2</v>
      </c>
      <c r="T12" s="81"/>
      <c r="V12" s="82" t="s">
        <v>505</v>
      </c>
      <c r="W12" s="208" t="s">
        <v>17</v>
      </c>
      <c r="X12" s="208" t="s">
        <v>336</v>
      </c>
      <c r="Y12" s="83">
        <v>40.4</v>
      </c>
      <c r="Z12" s="208" t="s">
        <v>131</v>
      </c>
      <c r="AA12" s="208" t="s">
        <v>22</v>
      </c>
      <c r="AB12" s="208" t="s">
        <v>11</v>
      </c>
      <c r="AC12" s="208">
        <v>21.2</v>
      </c>
      <c r="AD12" s="82"/>
      <c r="AG12" s="83"/>
      <c r="AL12" s="82"/>
      <c r="AO12" s="83"/>
      <c r="AP12" s="82"/>
      <c r="AS12" s="83"/>
      <c r="AW12" s="83"/>
      <c r="BA12" s="84"/>
    </row>
    <row r="13" spans="1:53" s="208" customFormat="1" x14ac:dyDescent="0.15">
      <c r="A13" s="102">
        <v>1962</v>
      </c>
      <c r="B13" s="207"/>
      <c r="C13" s="811" t="s">
        <v>684</v>
      </c>
      <c r="D13" s="811"/>
      <c r="E13" s="208">
        <v>365</v>
      </c>
      <c r="G13" s="123">
        <v>3</v>
      </c>
      <c r="H13" s="208">
        <v>4</v>
      </c>
      <c r="J13" s="134">
        <v>7</v>
      </c>
      <c r="K13" s="92">
        <f t="shared" si="1"/>
        <v>42.857142857142854</v>
      </c>
      <c r="L13" s="92">
        <f t="shared" si="1"/>
        <v>57.142857142857139</v>
      </c>
      <c r="M13" s="92">
        <f t="shared" si="1"/>
        <v>0</v>
      </c>
      <c r="N13" s="125">
        <f t="shared" si="2"/>
        <v>100</v>
      </c>
      <c r="O13" s="91">
        <v>21.2</v>
      </c>
      <c r="P13" s="92">
        <v>40.4</v>
      </c>
      <c r="Q13" s="92"/>
      <c r="R13" s="93">
        <f t="shared" si="3"/>
        <v>61.599999999999994</v>
      </c>
      <c r="S13" s="208">
        <v>2</v>
      </c>
      <c r="T13" s="81"/>
      <c r="V13" s="82" t="s">
        <v>505</v>
      </c>
      <c r="W13" s="208" t="s">
        <v>17</v>
      </c>
      <c r="X13" s="208" t="s">
        <v>336</v>
      </c>
      <c r="Y13" s="83">
        <v>40.4</v>
      </c>
      <c r="Z13" s="208" t="s">
        <v>131</v>
      </c>
      <c r="AA13" s="208" t="s">
        <v>22</v>
      </c>
      <c r="AB13" s="208" t="s">
        <v>11</v>
      </c>
      <c r="AC13" s="208">
        <v>21.2</v>
      </c>
      <c r="AD13" s="82"/>
      <c r="AG13" s="83"/>
      <c r="AL13" s="82"/>
      <c r="AO13" s="83"/>
      <c r="AP13" s="82"/>
      <c r="AS13" s="83"/>
      <c r="AW13" s="83"/>
      <c r="BA13" s="84"/>
    </row>
    <row r="14" spans="1:53" s="208" customFormat="1" x14ac:dyDescent="0.15">
      <c r="A14" s="102">
        <v>1962.6</v>
      </c>
      <c r="B14" s="207"/>
      <c r="C14" s="811" t="s">
        <v>684</v>
      </c>
      <c r="D14" s="811"/>
      <c r="E14" s="208">
        <v>0</v>
      </c>
      <c r="G14" s="123">
        <v>3</v>
      </c>
      <c r="H14" s="208">
        <v>4</v>
      </c>
      <c r="J14" s="134">
        <v>7</v>
      </c>
      <c r="K14" s="92">
        <f t="shared" si="1"/>
        <v>42.857142857142854</v>
      </c>
      <c r="L14" s="92">
        <f t="shared" si="1"/>
        <v>57.142857142857139</v>
      </c>
      <c r="M14" s="92">
        <f t="shared" si="1"/>
        <v>0</v>
      </c>
      <c r="N14" s="125">
        <f t="shared" si="2"/>
        <v>100</v>
      </c>
      <c r="O14" s="91">
        <v>21.2</v>
      </c>
      <c r="P14" s="92">
        <v>40.4</v>
      </c>
      <c r="Q14" s="92"/>
      <c r="R14" s="93">
        <f t="shared" si="3"/>
        <v>61.599999999999994</v>
      </c>
      <c r="S14" s="208">
        <v>2</v>
      </c>
      <c r="T14" s="81"/>
      <c r="V14" s="82" t="s">
        <v>505</v>
      </c>
      <c r="W14" s="208" t="s">
        <v>17</v>
      </c>
      <c r="X14" s="208" t="s">
        <v>336</v>
      </c>
      <c r="Y14" s="83">
        <v>40.4</v>
      </c>
      <c r="Z14" s="208" t="s">
        <v>131</v>
      </c>
      <c r="AA14" s="208" t="s">
        <v>22</v>
      </c>
      <c r="AB14" s="208" t="s">
        <v>11</v>
      </c>
      <c r="AC14" s="208">
        <v>21.2</v>
      </c>
      <c r="AD14" s="82"/>
      <c r="AG14" s="83"/>
      <c r="AL14" s="82"/>
      <c r="AO14" s="83"/>
      <c r="AP14" s="82"/>
      <c r="AS14" s="83"/>
      <c r="AW14" s="83"/>
      <c r="BA14" s="84"/>
    </row>
    <row r="15" spans="1:53" s="208" customFormat="1" x14ac:dyDescent="0.15">
      <c r="A15" s="102">
        <v>1963.05714285714</v>
      </c>
      <c r="B15" s="207"/>
      <c r="C15" s="811" t="s">
        <v>684</v>
      </c>
      <c r="D15" s="811"/>
      <c r="E15" s="208">
        <v>365</v>
      </c>
      <c r="G15" s="123">
        <v>3</v>
      </c>
      <c r="H15" s="208">
        <v>4</v>
      </c>
      <c r="J15" s="134">
        <v>7</v>
      </c>
      <c r="K15" s="92">
        <f t="shared" si="1"/>
        <v>42.857142857142854</v>
      </c>
      <c r="L15" s="92">
        <f t="shared" si="1"/>
        <v>57.142857142857139</v>
      </c>
      <c r="M15" s="92">
        <f t="shared" si="1"/>
        <v>0</v>
      </c>
      <c r="N15" s="125">
        <f t="shared" si="2"/>
        <v>100</v>
      </c>
      <c r="O15" s="91">
        <v>21.2</v>
      </c>
      <c r="P15" s="92">
        <v>40.4</v>
      </c>
      <c r="Q15" s="92"/>
      <c r="R15" s="93">
        <f t="shared" si="3"/>
        <v>61.599999999999994</v>
      </c>
      <c r="S15" s="208">
        <v>2</v>
      </c>
      <c r="T15" s="81"/>
      <c r="V15" s="82" t="s">
        <v>505</v>
      </c>
      <c r="W15" s="208" t="s">
        <v>17</v>
      </c>
      <c r="X15" s="208" t="s">
        <v>336</v>
      </c>
      <c r="Y15" s="83">
        <v>40.4</v>
      </c>
      <c r="Z15" s="208" t="s">
        <v>131</v>
      </c>
      <c r="AA15" s="208" t="s">
        <v>22</v>
      </c>
      <c r="AB15" s="208" t="s">
        <v>11</v>
      </c>
      <c r="AC15" s="208">
        <v>21.2</v>
      </c>
      <c r="AD15" s="82"/>
      <c r="AG15" s="83"/>
      <c r="AL15" s="82"/>
      <c r="AO15" s="83"/>
      <c r="AP15" s="82"/>
      <c r="AS15" s="83"/>
      <c r="AW15" s="83"/>
      <c r="BA15" s="84"/>
    </row>
    <row r="16" spans="1:53" s="208" customFormat="1" x14ac:dyDescent="0.15">
      <c r="A16" s="102">
        <v>1963.5142857142901</v>
      </c>
      <c r="B16" s="207"/>
      <c r="C16" s="811" t="s">
        <v>684</v>
      </c>
      <c r="D16" s="811"/>
      <c r="E16" s="208">
        <v>199</v>
      </c>
      <c r="G16" s="123">
        <v>3</v>
      </c>
      <c r="H16" s="208">
        <v>4</v>
      </c>
      <c r="J16" s="134">
        <v>7</v>
      </c>
      <c r="K16" s="92">
        <f t="shared" si="1"/>
        <v>42.857142857142854</v>
      </c>
      <c r="L16" s="92">
        <f t="shared" si="1"/>
        <v>57.142857142857139</v>
      </c>
      <c r="M16" s="92">
        <f t="shared" si="1"/>
        <v>0</v>
      </c>
      <c r="N16" s="125">
        <f t="shared" si="2"/>
        <v>100</v>
      </c>
      <c r="O16" s="91">
        <v>21.2</v>
      </c>
      <c r="P16" s="92">
        <v>40.4</v>
      </c>
      <c r="Q16" s="92"/>
      <c r="R16" s="93">
        <f t="shared" si="3"/>
        <v>61.599999999999994</v>
      </c>
      <c r="S16" s="208">
        <v>2</v>
      </c>
      <c r="T16" s="81"/>
      <c r="V16" s="82" t="s">
        <v>505</v>
      </c>
      <c r="W16" s="208" t="s">
        <v>17</v>
      </c>
      <c r="X16" s="208" t="s">
        <v>336</v>
      </c>
      <c r="Y16" s="83">
        <v>40.4</v>
      </c>
      <c r="Z16" s="208" t="s">
        <v>131</v>
      </c>
      <c r="AA16" s="208" t="s">
        <v>22</v>
      </c>
      <c r="AB16" s="208" t="s">
        <v>11</v>
      </c>
      <c r="AC16" s="208">
        <v>21.2</v>
      </c>
      <c r="AD16" s="82"/>
      <c r="AG16" s="83"/>
      <c r="AL16" s="82"/>
      <c r="AO16" s="83"/>
      <c r="AP16" s="82"/>
      <c r="AS16" s="83"/>
      <c r="AW16" s="83"/>
      <c r="BA16" s="84"/>
    </row>
    <row r="17" spans="1:53" s="334" customFormat="1" x14ac:dyDescent="0.15">
      <c r="A17" s="386">
        <v>1963.9714285714299</v>
      </c>
      <c r="B17" s="355">
        <v>23576</v>
      </c>
      <c r="C17" s="812" t="s">
        <v>685</v>
      </c>
      <c r="D17" s="812"/>
      <c r="E17" s="334">
        <f>366-E16</f>
        <v>167</v>
      </c>
      <c r="F17" s="334">
        <v>1</v>
      </c>
      <c r="G17" s="419"/>
      <c r="H17" s="334">
        <v>4</v>
      </c>
      <c r="I17" s="334">
        <v>4</v>
      </c>
      <c r="J17" s="435">
        <v>8</v>
      </c>
      <c r="K17" s="384">
        <f t="shared" si="1"/>
        <v>0</v>
      </c>
      <c r="L17" s="384">
        <f t="shared" si="1"/>
        <v>50</v>
      </c>
      <c r="M17" s="384">
        <f t="shared" si="1"/>
        <v>50</v>
      </c>
      <c r="N17" s="421">
        <f t="shared" si="2"/>
        <v>100</v>
      </c>
      <c r="O17" s="383"/>
      <c r="P17" s="384">
        <v>39.299999999999997</v>
      </c>
      <c r="Q17" s="384">
        <v>37.5</v>
      </c>
      <c r="R17" s="385">
        <f t="shared" si="3"/>
        <v>76.8</v>
      </c>
      <c r="S17" s="334">
        <v>2</v>
      </c>
      <c r="T17" s="342">
        <v>23535</v>
      </c>
      <c r="U17" s="355">
        <v>23576</v>
      </c>
      <c r="V17" s="343" t="s">
        <v>505</v>
      </c>
      <c r="W17" s="334" t="s">
        <v>17</v>
      </c>
      <c r="X17" s="334" t="s">
        <v>336</v>
      </c>
      <c r="Y17" s="344">
        <v>39.299999999999997</v>
      </c>
      <c r="Z17" s="334" t="s">
        <v>506</v>
      </c>
      <c r="AA17" s="334" t="s">
        <v>20</v>
      </c>
      <c r="AB17" s="334" t="s">
        <v>12</v>
      </c>
      <c r="AC17" s="334">
        <v>37.5</v>
      </c>
      <c r="AD17" s="343"/>
      <c r="AG17" s="344"/>
      <c r="AL17" s="343"/>
      <c r="AO17" s="344"/>
      <c r="AP17" s="343"/>
      <c r="AS17" s="344"/>
      <c r="AW17" s="344"/>
      <c r="BA17" s="345"/>
    </row>
    <row r="18" spans="1:53" s="334" customFormat="1" x14ac:dyDescent="0.15">
      <c r="A18" s="386">
        <v>1965</v>
      </c>
      <c r="B18" s="355"/>
      <c r="C18" s="812" t="s">
        <v>685</v>
      </c>
      <c r="D18" s="812"/>
      <c r="E18" s="334">
        <v>0</v>
      </c>
      <c r="G18" s="419"/>
      <c r="H18" s="334">
        <v>4</v>
      </c>
      <c r="I18" s="334">
        <v>4</v>
      </c>
      <c r="J18" s="435">
        <v>8</v>
      </c>
      <c r="K18" s="384">
        <f t="shared" si="1"/>
        <v>0</v>
      </c>
      <c r="L18" s="384">
        <f t="shared" si="1"/>
        <v>50</v>
      </c>
      <c r="M18" s="384">
        <f t="shared" si="1"/>
        <v>50</v>
      </c>
      <c r="N18" s="421">
        <f t="shared" si="2"/>
        <v>100</v>
      </c>
      <c r="O18" s="383"/>
      <c r="P18" s="384">
        <v>39.299999999999997</v>
      </c>
      <c r="Q18" s="384">
        <v>37.5</v>
      </c>
      <c r="R18" s="385">
        <f t="shared" si="3"/>
        <v>76.8</v>
      </c>
      <c r="S18" s="334">
        <v>2</v>
      </c>
      <c r="T18" s="357"/>
      <c r="V18" s="343" t="s">
        <v>505</v>
      </c>
      <c r="W18" s="334" t="s">
        <v>17</v>
      </c>
      <c r="X18" s="334" t="s">
        <v>336</v>
      </c>
      <c r="Y18" s="344">
        <v>39.299999999999997</v>
      </c>
      <c r="Z18" s="334" t="s">
        <v>506</v>
      </c>
      <c r="AA18" s="334" t="s">
        <v>20</v>
      </c>
      <c r="AB18" s="334" t="s">
        <v>12</v>
      </c>
      <c r="AC18" s="334">
        <v>37.5</v>
      </c>
      <c r="AD18" s="343"/>
      <c r="AG18" s="344"/>
      <c r="AL18" s="343"/>
      <c r="AO18" s="344"/>
      <c r="AP18" s="343"/>
      <c r="AS18" s="344"/>
      <c r="AW18" s="344"/>
      <c r="BA18" s="345"/>
    </row>
    <row r="19" spans="1:53" s="334" customFormat="1" x14ac:dyDescent="0.15">
      <c r="A19" s="386">
        <v>1964.88571428572</v>
      </c>
      <c r="B19" s="355"/>
      <c r="C19" s="812" t="s">
        <v>685</v>
      </c>
      <c r="D19" s="812"/>
      <c r="E19" s="334">
        <v>365</v>
      </c>
      <c r="G19" s="419"/>
      <c r="H19" s="334">
        <v>4</v>
      </c>
      <c r="I19" s="334">
        <v>4</v>
      </c>
      <c r="J19" s="435">
        <v>8</v>
      </c>
      <c r="K19" s="384">
        <f t="shared" si="1"/>
        <v>0</v>
      </c>
      <c r="L19" s="384">
        <f t="shared" si="1"/>
        <v>50</v>
      </c>
      <c r="M19" s="384">
        <f t="shared" si="1"/>
        <v>50</v>
      </c>
      <c r="N19" s="421">
        <f t="shared" si="2"/>
        <v>100</v>
      </c>
      <c r="O19" s="383"/>
      <c r="P19" s="384">
        <v>39.299999999999997</v>
      </c>
      <c r="Q19" s="384">
        <v>37.5</v>
      </c>
      <c r="R19" s="385">
        <f t="shared" si="3"/>
        <v>76.8</v>
      </c>
      <c r="S19" s="334">
        <v>2</v>
      </c>
      <c r="T19" s="357"/>
      <c r="V19" s="343" t="s">
        <v>505</v>
      </c>
      <c r="W19" s="334" t="s">
        <v>17</v>
      </c>
      <c r="X19" s="334" t="s">
        <v>336</v>
      </c>
      <c r="Y19" s="344">
        <v>39.299999999999997</v>
      </c>
      <c r="Z19" s="334" t="s">
        <v>506</v>
      </c>
      <c r="AA19" s="334" t="s">
        <v>20</v>
      </c>
      <c r="AB19" s="334" t="s">
        <v>12</v>
      </c>
      <c r="AC19" s="334">
        <v>37.5</v>
      </c>
      <c r="AD19" s="343"/>
      <c r="AG19" s="344"/>
      <c r="AL19" s="343"/>
      <c r="AO19" s="344"/>
      <c r="AP19" s="343"/>
      <c r="AS19" s="344"/>
      <c r="AW19" s="344"/>
      <c r="BA19" s="345"/>
    </row>
    <row r="20" spans="1:53" s="334" customFormat="1" x14ac:dyDescent="0.15">
      <c r="A20" s="386">
        <v>1966</v>
      </c>
      <c r="B20" s="355"/>
      <c r="C20" s="812" t="s">
        <v>685</v>
      </c>
      <c r="D20" s="812"/>
      <c r="E20" s="334">
        <v>0</v>
      </c>
      <c r="G20" s="419"/>
      <c r="H20" s="334">
        <v>4</v>
      </c>
      <c r="I20" s="334">
        <v>4</v>
      </c>
      <c r="J20" s="435">
        <v>8</v>
      </c>
      <c r="K20" s="384">
        <f t="shared" si="1"/>
        <v>0</v>
      </c>
      <c r="L20" s="384">
        <f t="shared" si="1"/>
        <v>50</v>
      </c>
      <c r="M20" s="384">
        <f t="shared" si="1"/>
        <v>50</v>
      </c>
      <c r="N20" s="421">
        <f t="shared" si="2"/>
        <v>100</v>
      </c>
      <c r="O20" s="383"/>
      <c r="P20" s="384">
        <v>39.299999999999997</v>
      </c>
      <c r="Q20" s="384">
        <v>37.5</v>
      </c>
      <c r="R20" s="385">
        <f t="shared" si="3"/>
        <v>76.8</v>
      </c>
      <c r="S20" s="334">
        <v>2</v>
      </c>
      <c r="T20" s="357"/>
      <c r="V20" s="343" t="s">
        <v>505</v>
      </c>
      <c r="W20" s="334" t="s">
        <v>17</v>
      </c>
      <c r="X20" s="334" t="s">
        <v>336</v>
      </c>
      <c r="Y20" s="344">
        <v>39.299999999999997</v>
      </c>
      <c r="Z20" s="334" t="s">
        <v>506</v>
      </c>
      <c r="AA20" s="334" t="s">
        <v>20</v>
      </c>
      <c r="AB20" s="334" t="s">
        <v>12</v>
      </c>
      <c r="AC20" s="334">
        <v>37.5</v>
      </c>
      <c r="AD20" s="343"/>
      <c r="AG20" s="344"/>
      <c r="AL20" s="343"/>
      <c r="AO20" s="344"/>
      <c r="AP20" s="343"/>
      <c r="AS20" s="344"/>
      <c r="AW20" s="344"/>
      <c r="BA20" s="345"/>
    </row>
    <row r="21" spans="1:53" s="334" customFormat="1" x14ac:dyDescent="0.15">
      <c r="A21" s="386">
        <v>1965.8</v>
      </c>
      <c r="B21" s="355"/>
      <c r="C21" s="812" t="s">
        <v>685</v>
      </c>
      <c r="D21" s="812"/>
      <c r="E21" s="334">
        <v>365</v>
      </c>
      <c r="G21" s="419"/>
      <c r="H21" s="334">
        <v>4</v>
      </c>
      <c r="I21" s="334">
        <v>4</v>
      </c>
      <c r="J21" s="435">
        <v>8</v>
      </c>
      <c r="K21" s="384">
        <f t="shared" si="1"/>
        <v>0</v>
      </c>
      <c r="L21" s="384">
        <f t="shared" si="1"/>
        <v>50</v>
      </c>
      <c r="M21" s="384">
        <f t="shared" si="1"/>
        <v>50</v>
      </c>
      <c r="N21" s="421">
        <f t="shared" si="2"/>
        <v>100</v>
      </c>
      <c r="O21" s="383"/>
      <c r="P21" s="384">
        <v>39.299999999999997</v>
      </c>
      <c r="Q21" s="384">
        <v>37.5</v>
      </c>
      <c r="R21" s="385">
        <f t="shared" si="3"/>
        <v>76.8</v>
      </c>
      <c r="S21" s="334">
        <v>2</v>
      </c>
      <c r="T21" s="357"/>
      <c r="V21" s="343" t="s">
        <v>505</v>
      </c>
      <c r="W21" s="334" t="s">
        <v>17</v>
      </c>
      <c r="X21" s="334" t="s">
        <v>336</v>
      </c>
      <c r="Y21" s="344">
        <v>39.299999999999997</v>
      </c>
      <c r="Z21" s="334" t="s">
        <v>506</v>
      </c>
      <c r="AA21" s="334" t="s">
        <v>20</v>
      </c>
      <c r="AB21" s="334" t="s">
        <v>12</v>
      </c>
      <c r="AC21" s="334">
        <v>37.5</v>
      </c>
      <c r="AD21" s="343"/>
      <c r="AG21" s="344"/>
      <c r="AL21" s="343"/>
      <c r="AO21" s="344"/>
      <c r="AP21" s="343"/>
      <c r="AS21" s="344"/>
      <c r="AW21" s="344"/>
      <c r="BA21" s="345"/>
    </row>
    <row r="22" spans="1:53" s="334" customFormat="1" x14ac:dyDescent="0.15">
      <c r="A22" s="386">
        <v>1967</v>
      </c>
      <c r="B22" s="355"/>
      <c r="C22" s="812" t="s">
        <v>685</v>
      </c>
      <c r="D22" s="812"/>
      <c r="E22" s="334">
        <v>3</v>
      </c>
      <c r="G22" s="419"/>
      <c r="H22" s="334">
        <v>4</v>
      </c>
      <c r="I22" s="334">
        <v>4</v>
      </c>
      <c r="J22" s="435">
        <v>8</v>
      </c>
      <c r="K22" s="384">
        <f t="shared" si="1"/>
        <v>0</v>
      </c>
      <c r="L22" s="384">
        <f t="shared" si="1"/>
        <v>50</v>
      </c>
      <c r="M22" s="384">
        <f t="shared" si="1"/>
        <v>50</v>
      </c>
      <c r="N22" s="421">
        <f t="shared" si="2"/>
        <v>100</v>
      </c>
      <c r="O22" s="383"/>
      <c r="P22" s="384">
        <v>39.299999999999997</v>
      </c>
      <c r="Q22" s="384">
        <v>37.5</v>
      </c>
      <c r="R22" s="385">
        <f t="shared" si="3"/>
        <v>76.8</v>
      </c>
      <c r="S22" s="334">
        <v>2</v>
      </c>
      <c r="T22" s="357"/>
      <c r="V22" s="343" t="s">
        <v>505</v>
      </c>
      <c r="W22" s="334" t="s">
        <v>17</v>
      </c>
      <c r="X22" s="334" t="s">
        <v>336</v>
      </c>
      <c r="Y22" s="344">
        <v>39.299999999999997</v>
      </c>
      <c r="Z22" s="334" t="s">
        <v>506</v>
      </c>
      <c r="AA22" s="334" t="s">
        <v>20</v>
      </c>
      <c r="AB22" s="334" t="s">
        <v>12</v>
      </c>
      <c r="AC22" s="334">
        <v>37.5</v>
      </c>
      <c r="AD22" s="343"/>
      <c r="AG22" s="344"/>
      <c r="AL22" s="343"/>
      <c r="AO22" s="344"/>
      <c r="AP22" s="343"/>
      <c r="AS22" s="344"/>
      <c r="AW22" s="344"/>
      <c r="BA22" s="345"/>
    </row>
    <row r="23" spans="1:53" s="208" customFormat="1" x14ac:dyDescent="0.15">
      <c r="A23" s="102">
        <v>1966.7142857142901</v>
      </c>
      <c r="B23" s="207">
        <v>24476</v>
      </c>
      <c r="C23" s="811" t="s">
        <v>686</v>
      </c>
      <c r="D23" s="811"/>
      <c r="E23" s="208">
        <f>365-E22</f>
        <v>362</v>
      </c>
      <c r="F23" s="208">
        <v>5</v>
      </c>
      <c r="G23" s="123"/>
      <c r="H23" s="208">
        <v>4</v>
      </c>
      <c r="I23" s="208">
        <v>4</v>
      </c>
      <c r="J23" s="134">
        <v>8</v>
      </c>
      <c r="K23" s="92">
        <f t="shared" si="1"/>
        <v>0</v>
      </c>
      <c r="L23" s="92">
        <f t="shared" si="1"/>
        <v>50</v>
      </c>
      <c r="M23" s="92">
        <f t="shared" si="1"/>
        <v>50</v>
      </c>
      <c r="N23" s="125">
        <f t="shared" si="2"/>
        <v>100</v>
      </c>
      <c r="O23" s="91"/>
      <c r="P23" s="92">
        <v>39.299999999999997</v>
      </c>
      <c r="Q23" s="92">
        <v>37.5</v>
      </c>
      <c r="R23" s="93">
        <f t="shared" si="3"/>
        <v>76.8</v>
      </c>
      <c r="S23" s="208">
        <v>2</v>
      </c>
      <c r="T23" s="81"/>
      <c r="U23" s="207">
        <v>24476</v>
      </c>
      <c r="V23" s="82" t="s">
        <v>505</v>
      </c>
      <c r="W23" s="208" t="s">
        <v>17</v>
      </c>
      <c r="X23" s="208" t="s">
        <v>336</v>
      </c>
      <c r="Y23" s="83">
        <v>39.299999999999997</v>
      </c>
      <c r="Z23" s="208" t="s">
        <v>506</v>
      </c>
      <c r="AA23" s="208" t="s">
        <v>20</v>
      </c>
      <c r="AB23" s="208" t="s">
        <v>12</v>
      </c>
      <c r="AC23" s="208">
        <v>37.5</v>
      </c>
      <c r="AD23" s="82"/>
      <c r="AG23" s="83"/>
      <c r="AL23" s="82"/>
      <c r="AO23" s="83"/>
      <c r="AP23" s="82"/>
      <c r="AS23" s="83"/>
      <c r="AW23" s="83"/>
      <c r="BA23" s="84"/>
    </row>
    <row r="24" spans="1:53" s="208" customFormat="1" x14ac:dyDescent="0.15">
      <c r="A24" s="102">
        <v>1968</v>
      </c>
      <c r="B24" s="207"/>
      <c r="C24" s="811" t="s">
        <v>686</v>
      </c>
      <c r="D24" s="811"/>
      <c r="E24" s="208">
        <v>0</v>
      </c>
      <c r="G24" s="123"/>
      <c r="H24" s="208">
        <v>4</v>
      </c>
      <c r="I24" s="208">
        <v>4</v>
      </c>
      <c r="J24" s="134">
        <v>8</v>
      </c>
      <c r="K24" s="92">
        <f t="shared" si="1"/>
        <v>0</v>
      </c>
      <c r="L24" s="92">
        <f t="shared" si="1"/>
        <v>50</v>
      </c>
      <c r="M24" s="92">
        <f t="shared" si="1"/>
        <v>50</v>
      </c>
      <c r="N24" s="125">
        <f t="shared" si="2"/>
        <v>100</v>
      </c>
      <c r="O24" s="91"/>
      <c r="P24" s="92">
        <v>39.299999999999997</v>
      </c>
      <c r="Q24" s="92">
        <v>37.5</v>
      </c>
      <c r="R24" s="93">
        <f t="shared" si="3"/>
        <v>76.8</v>
      </c>
      <c r="S24" s="208">
        <v>2</v>
      </c>
      <c r="T24" s="81"/>
      <c r="V24" s="82" t="s">
        <v>505</v>
      </c>
      <c r="W24" s="208" t="s">
        <v>17</v>
      </c>
      <c r="X24" s="208" t="s">
        <v>336</v>
      </c>
      <c r="Y24" s="83">
        <v>39.299999999999997</v>
      </c>
      <c r="Z24" s="208" t="s">
        <v>506</v>
      </c>
      <c r="AA24" s="208" t="s">
        <v>20</v>
      </c>
      <c r="AB24" s="208" t="s">
        <v>12</v>
      </c>
      <c r="AC24" s="208">
        <v>37.5</v>
      </c>
      <c r="AD24" s="82"/>
      <c r="AG24" s="83"/>
      <c r="AL24" s="82"/>
      <c r="AO24" s="83"/>
      <c r="AP24" s="82"/>
      <c r="AS24" s="83"/>
      <c r="AW24" s="83"/>
      <c r="BA24" s="84"/>
    </row>
    <row r="25" spans="1:53" s="208" customFormat="1" x14ac:dyDescent="0.15">
      <c r="A25" s="102">
        <v>1967.62857142857</v>
      </c>
      <c r="B25" s="207"/>
      <c r="C25" s="811" t="s">
        <v>686</v>
      </c>
      <c r="D25" s="811"/>
      <c r="E25" s="208">
        <v>366</v>
      </c>
      <c r="G25" s="123"/>
      <c r="H25" s="208">
        <v>4</v>
      </c>
      <c r="I25" s="208">
        <v>4</v>
      </c>
      <c r="J25" s="134">
        <v>8</v>
      </c>
      <c r="K25" s="92">
        <f t="shared" si="1"/>
        <v>0</v>
      </c>
      <c r="L25" s="92">
        <f t="shared" si="1"/>
        <v>50</v>
      </c>
      <c r="M25" s="92">
        <f t="shared" si="1"/>
        <v>50</v>
      </c>
      <c r="N25" s="125">
        <f t="shared" si="2"/>
        <v>100</v>
      </c>
      <c r="O25" s="91"/>
      <c r="P25" s="92">
        <v>39.299999999999997</v>
      </c>
      <c r="Q25" s="92">
        <v>37.5</v>
      </c>
      <c r="R25" s="93">
        <f t="shared" si="3"/>
        <v>76.8</v>
      </c>
      <c r="S25" s="208">
        <v>2</v>
      </c>
      <c r="T25" s="95">
        <v>25187</v>
      </c>
      <c r="V25" s="82" t="s">
        <v>505</v>
      </c>
      <c r="W25" s="208" t="s">
        <v>17</v>
      </c>
      <c r="X25" s="208" t="s">
        <v>336</v>
      </c>
      <c r="Y25" s="83">
        <v>39.299999999999997</v>
      </c>
      <c r="Z25" s="208" t="s">
        <v>506</v>
      </c>
      <c r="AA25" s="208" t="s">
        <v>20</v>
      </c>
      <c r="AB25" s="208" t="s">
        <v>12</v>
      </c>
      <c r="AC25" s="208">
        <v>37.5</v>
      </c>
      <c r="AD25" s="82"/>
      <c r="AG25" s="83"/>
      <c r="AL25" s="82"/>
      <c r="AO25" s="83"/>
      <c r="AP25" s="82"/>
      <c r="AS25" s="83"/>
      <c r="AW25" s="83"/>
      <c r="BA25" s="84"/>
    </row>
    <row r="26" spans="1:53" s="208" customFormat="1" x14ac:dyDescent="0.15">
      <c r="A26" s="102">
        <v>1969</v>
      </c>
      <c r="B26" s="207"/>
      <c r="C26" s="811" t="s">
        <v>686</v>
      </c>
      <c r="D26" s="811"/>
      <c r="E26" s="208">
        <v>30</v>
      </c>
      <c r="G26" s="123"/>
      <c r="H26" s="208">
        <v>4</v>
      </c>
      <c r="I26" s="208">
        <v>4</v>
      </c>
      <c r="J26" s="134">
        <v>8</v>
      </c>
      <c r="K26" s="92">
        <f t="shared" si="1"/>
        <v>0</v>
      </c>
      <c r="L26" s="92">
        <f t="shared" si="1"/>
        <v>50</v>
      </c>
      <c r="M26" s="92">
        <f t="shared" si="1"/>
        <v>50</v>
      </c>
      <c r="N26" s="125">
        <f t="shared" si="2"/>
        <v>100</v>
      </c>
      <c r="O26" s="91"/>
      <c r="P26" s="92">
        <v>39.299999999999997</v>
      </c>
      <c r="Q26" s="92">
        <v>37.5</v>
      </c>
      <c r="R26" s="93">
        <f t="shared" si="3"/>
        <v>76.8</v>
      </c>
      <c r="S26" s="208">
        <v>2</v>
      </c>
      <c r="T26" s="81"/>
      <c r="V26" s="82" t="s">
        <v>505</v>
      </c>
      <c r="W26" s="208" t="s">
        <v>17</v>
      </c>
      <c r="X26" s="208" t="s">
        <v>336</v>
      </c>
      <c r="Y26" s="83">
        <v>39.299999999999997</v>
      </c>
      <c r="Z26" s="208" t="s">
        <v>506</v>
      </c>
      <c r="AA26" s="208" t="s">
        <v>20</v>
      </c>
      <c r="AB26" s="208" t="s">
        <v>12</v>
      </c>
      <c r="AC26" s="208">
        <v>37.5</v>
      </c>
      <c r="AD26" s="82"/>
      <c r="AG26" s="83"/>
      <c r="AL26" s="82"/>
      <c r="AO26" s="83"/>
      <c r="AP26" s="82"/>
      <c r="AS26" s="83"/>
      <c r="AW26" s="83"/>
      <c r="BA26" s="84"/>
    </row>
    <row r="27" spans="1:53" s="334" customFormat="1" x14ac:dyDescent="0.15">
      <c r="A27" s="386">
        <v>1968.5428571428599</v>
      </c>
      <c r="B27" s="355">
        <v>25234</v>
      </c>
      <c r="C27" s="812" t="s">
        <v>687</v>
      </c>
      <c r="D27" s="812"/>
      <c r="E27" s="334">
        <f>365-E26</f>
        <v>335</v>
      </c>
      <c r="F27" s="334">
        <v>4</v>
      </c>
      <c r="G27" s="419">
        <v>3</v>
      </c>
      <c r="H27" s="334">
        <v>4</v>
      </c>
      <c r="J27" s="435">
        <v>7</v>
      </c>
      <c r="K27" s="384">
        <f t="shared" si="1"/>
        <v>42.857142857142854</v>
      </c>
      <c r="L27" s="384">
        <f t="shared" si="1"/>
        <v>57.142857142857139</v>
      </c>
      <c r="M27" s="384">
        <f t="shared" si="1"/>
        <v>0</v>
      </c>
      <c r="N27" s="421">
        <f t="shared" si="2"/>
        <v>100</v>
      </c>
      <c r="O27" s="383">
        <v>19.600000000000001</v>
      </c>
      <c r="P27" s="384">
        <v>37.5</v>
      </c>
      <c r="Q27" s="384"/>
      <c r="R27" s="385">
        <f t="shared" si="3"/>
        <v>57.1</v>
      </c>
      <c r="S27" s="334">
        <v>2</v>
      </c>
      <c r="T27" s="357"/>
      <c r="U27" s="355">
        <v>25234</v>
      </c>
      <c r="V27" s="343" t="s">
        <v>505</v>
      </c>
      <c r="W27" s="334" t="s">
        <v>17</v>
      </c>
      <c r="X27" s="334" t="s">
        <v>336</v>
      </c>
      <c r="Y27" s="344">
        <v>37.5</v>
      </c>
      <c r="Z27" s="334" t="s">
        <v>131</v>
      </c>
      <c r="AA27" s="334" t="s">
        <v>22</v>
      </c>
      <c r="AB27" s="334" t="s">
        <v>11</v>
      </c>
      <c r="AC27" s="334">
        <v>19.600000000000001</v>
      </c>
      <c r="AD27" s="343"/>
      <c r="AG27" s="344"/>
      <c r="AL27" s="343"/>
      <c r="AO27" s="344"/>
      <c r="AP27" s="343"/>
      <c r="AS27" s="344"/>
      <c r="AW27" s="344"/>
      <c r="BA27" s="345"/>
    </row>
    <row r="28" spans="1:53" s="334" customFormat="1" x14ac:dyDescent="0.15">
      <c r="A28" s="386">
        <v>1970</v>
      </c>
      <c r="B28" s="355"/>
      <c r="C28" s="812" t="s">
        <v>687</v>
      </c>
      <c r="D28" s="812"/>
      <c r="E28" s="334">
        <v>0</v>
      </c>
      <c r="G28" s="419">
        <v>3</v>
      </c>
      <c r="H28" s="334">
        <v>4</v>
      </c>
      <c r="J28" s="435">
        <v>7</v>
      </c>
      <c r="K28" s="384">
        <f t="shared" si="1"/>
        <v>42.857142857142854</v>
      </c>
      <c r="L28" s="384">
        <f t="shared" si="1"/>
        <v>57.142857142857139</v>
      </c>
      <c r="M28" s="384">
        <f t="shared" si="1"/>
        <v>0</v>
      </c>
      <c r="N28" s="421">
        <f t="shared" si="2"/>
        <v>100</v>
      </c>
      <c r="O28" s="383">
        <v>19.600000000000001</v>
      </c>
      <c r="P28" s="384">
        <v>37.5</v>
      </c>
      <c r="Q28" s="384"/>
      <c r="R28" s="385">
        <f t="shared" si="3"/>
        <v>57.1</v>
      </c>
      <c r="S28" s="334">
        <v>2</v>
      </c>
      <c r="T28" s="357"/>
      <c r="V28" s="343" t="s">
        <v>505</v>
      </c>
      <c r="W28" s="334" t="s">
        <v>17</v>
      </c>
      <c r="X28" s="334" t="s">
        <v>336</v>
      </c>
      <c r="Y28" s="344">
        <v>37.5</v>
      </c>
      <c r="Z28" s="334" t="s">
        <v>131</v>
      </c>
      <c r="AA28" s="334" t="s">
        <v>22</v>
      </c>
      <c r="AB28" s="334" t="s">
        <v>11</v>
      </c>
      <c r="AC28" s="334">
        <v>19.600000000000001</v>
      </c>
      <c r="AD28" s="343"/>
      <c r="AG28" s="344"/>
      <c r="AL28" s="343"/>
      <c r="AO28" s="344"/>
      <c r="AP28" s="343"/>
      <c r="AS28" s="344"/>
      <c r="AW28" s="344"/>
      <c r="BA28" s="345"/>
    </row>
    <row r="29" spans="1:53" s="334" customFormat="1" x14ac:dyDescent="0.15">
      <c r="A29" s="386">
        <v>1970</v>
      </c>
      <c r="B29" s="355"/>
      <c r="C29" s="812" t="s">
        <v>687</v>
      </c>
      <c r="D29" s="812"/>
      <c r="E29" s="334">
        <v>365</v>
      </c>
      <c r="G29" s="419">
        <v>3</v>
      </c>
      <c r="H29" s="334">
        <v>4</v>
      </c>
      <c r="J29" s="435">
        <v>7</v>
      </c>
      <c r="K29" s="384">
        <f t="shared" si="1"/>
        <v>42.857142857142854</v>
      </c>
      <c r="L29" s="384">
        <f t="shared" si="1"/>
        <v>57.142857142857139</v>
      </c>
      <c r="M29" s="384">
        <f t="shared" si="1"/>
        <v>0</v>
      </c>
      <c r="N29" s="421">
        <f t="shared" si="2"/>
        <v>100</v>
      </c>
      <c r="O29" s="383">
        <v>19.600000000000001</v>
      </c>
      <c r="P29" s="384">
        <v>37.5</v>
      </c>
      <c r="Q29" s="384"/>
      <c r="R29" s="385">
        <f t="shared" si="3"/>
        <v>57.1</v>
      </c>
      <c r="S29" s="334">
        <v>2</v>
      </c>
      <c r="T29" s="357"/>
      <c r="V29" s="343" t="s">
        <v>505</v>
      </c>
      <c r="W29" s="334" t="s">
        <v>17</v>
      </c>
      <c r="X29" s="334" t="s">
        <v>336</v>
      </c>
      <c r="Y29" s="344">
        <v>37.5</v>
      </c>
      <c r="Z29" s="334" t="s">
        <v>131</v>
      </c>
      <c r="AA29" s="334" t="s">
        <v>22</v>
      </c>
      <c r="AB29" s="334" t="s">
        <v>11</v>
      </c>
      <c r="AC29" s="334">
        <v>19.600000000000001</v>
      </c>
      <c r="AD29" s="343"/>
      <c r="AG29" s="344"/>
      <c r="AL29" s="343"/>
      <c r="AO29" s="344"/>
      <c r="AP29" s="343"/>
      <c r="AS29" s="344"/>
      <c r="AW29" s="344"/>
      <c r="BA29" s="345"/>
    </row>
    <row r="30" spans="1:53" s="334" customFormat="1" x14ac:dyDescent="0.15">
      <c r="A30" s="386">
        <v>1971</v>
      </c>
      <c r="B30" s="355"/>
      <c r="C30" s="812" t="s">
        <v>687</v>
      </c>
      <c r="D30" s="812"/>
      <c r="E30" s="334">
        <v>0</v>
      </c>
      <c r="G30" s="419">
        <v>3</v>
      </c>
      <c r="H30" s="334">
        <v>4</v>
      </c>
      <c r="J30" s="435">
        <v>7</v>
      </c>
      <c r="K30" s="384">
        <f t="shared" si="1"/>
        <v>42.857142857142854</v>
      </c>
      <c r="L30" s="384">
        <f t="shared" si="1"/>
        <v>57.142857142857139</v>
      </c>
      <c r="M30" s="384">
        <f t="shared" si="1"/>
        <v>0</v>
      </c>
      <c r="N30" s="421">
        <f t="shared" si="2"/>
        <v>100</v>
      </c>
      <c r="O30" s="383">
        <v>19.600000000000001</v>
      </c>
      <c r="P30" s="384">
        <v>37.5</v>
      </c>
      <c r="Q30" s="384"/>
      <c r="R30" s="385">
        <f t="shared" si="3"/>
        <v>57.1</v>
      </c>
      <c r="S30" s="334">
        <v>2</v>
      </c>
      <c r="T30" s="357"/>
      <c r="V30" s="343" t="s">
        <v>505</v>
      </c>
      <c r="W30" s="334" t="s">
        <v>17</v>
      </c>
      <c r="X30" s="334" t="s">
        <v>336</v>
      </c>
      <c r="Y30" s="344">
        <v>37.5</v>
      </c>
      <c r="Z30" s="334" t="s">
        <v>131</v>
      </c>
      <c r="AA30" s="334" t="s">
        <v>22</v>
      </c>
      <c r="AB30" s="334" t="s">
        <v>11</v>
      </c>
      <c r="AC30" s="334">
        <v>19.600000000000001</v>
      </c>
      <c r="AD30" s="343"/>
      <c r="AG30" s="344"/>
      <c r="AL30" s="343"/>
      <c r="AO30" s="344"/>
      <c r="AP30" s="343"/>
      <c r="AS30" s="344"/>
      <c r="AW30" s="344"/>
      <c r="BA30" s="345"/>
    </row>
    <row r="31" spans="1:53" s="334" customFormat="1" x14ac:dyDescent="0.15">
      <c r="A31" s="386">
        <v>1971</v>
      </c>
      <c r="B31" s="355"/>
      <c r="C31" s="812" t="s">
        <v>687</v>
      </c>
      <c r="D31" s="812"/>
      <c r="E31" s="334">
        <v>365</v>
      </c>
      <c r="G31" s="419">
        <v>3</v>
      </c>
      <c r="H31" s="334">
        <v>4</v>
      </c>
      <c r="J31" s="435">
        <v>7</v>
      </c>
      <c r="K31" s="384">
        <f t="shared" si="1"/>
        <v>42.857142857142854</v>
      </c>
      <c r="L31" s="384">
        <f t="shared" si="1"/>
        <v>57.142857142857139</v>
      </c>
      <c r="M31" s="384">
        <f t="shared" si="1"/>
        <v>0</v>
      </c>
      <c r="N31" s="421">
        <f t="shared" si="2"/>
        <v>100</v>
      </c>
      <c r="O31" s="383">
        <v>19.600000000000001</v>
      </c>
      <c r="P31" s="384">
        <v>37.5</v>
      </c>
      <c r="Q31" s="384"/>
      <c r="R31" s="385">
        <f t="shared" si="3"/>
        <v>57.1</v>
      </c>
      <c r="S31" s="334">
        <v>2</v>
      </c>
      <c r="T31" s="357"/>
      <c r="V31" s="343" t="s">
        <v>505</v>
      </c>
      <c r="W31" s="334" t="s">
        <v>17</v>
      </c>
      <c r="X31" s="334" t="s">
        <v>336</v>
      </c>
      <c r="Y31" s="344">
        <v>37.5</v>
      </c>
      <c r="Z31" s="334" t="s">
        <v>131</v>
      </c>
      <c r="AA31" s="334" t="s">
        <v>22</v>
      </c>
      <c r="AB31" s="334" t="s">
        <v>11</v>
      </c>
      <c r="AC31" s="334">
        <v>19.600000000000001</v>
      </c>
      <c r="AD31" s="343"/>
      <c r="AG31" s="344"/>
      <c r="AL31" s="343"/>
      <c r="AO31" s="344"/>
      <c r="AP31" s="343"/>
      <c r="AS31" s="344"/>
      <c r="AW31" s="344"/>
      <c r="BA31" s="345"/>
    </row>
    <row r="32" spans="1:53" s="334" customFormat="1" x14ac:dyDescent="0.15">
      <c r="A32" s="386">
        <v>1972</v>
      </c>
      <c r="B32" s="355"/>
      <c r="C32" s="812" t="s">
        <v>687</v>
      </c>
      <c r="D32" s="812"/>
      <c r="E32" s="334">
        <v>0</v>
      </c>
      <c r="G32" s="419">
        <v>3</v>
      </c>
      <c r="H32" s="334">
        <v>4</v>
      </c>
      <c r="J32" s="435">
        <v>7</v>
      </c>
      <c r="K32" s="384">
        <f t="shared" si="1"/>
        <v>42.857142857142854</v>
      </c>
      <c r="L32" s="384">
        <f t="shared" si="1"/>
        <v>57.142857142857139</v>
      </c>
      <c r="M32" s="384">
        <f t="shared" si="1"/>
        <v>0</v>
      </c>
      <c r="N32" s="421">
        <f t="shared" si="2"/>
        <v>100</v>
      </c>
      <c r="O32" s="383">
        <v>19.600000000000001</v>
      </c>
      <c r="P32" s="384">
        <v>37.5</v>
      </c>
      <c r="Q32" s="384"/>
      <c r="R32" s="385">
        <f t="shared" si="3"/>
        <v>57.1</v>
      </c>
      <c r="S32" s="334">
        <v>2</v>
      </c>
      <c r="T32" s="357"/>
      <c r="V32" s="343" t="s">
        <v>505</v>
      </c>
      <c r="W32" s="334" t="s">
        <v>17</v>
      </c>
      <c r="X32" s="334" t="s">
        <v>336</v>
      </c>
      <c r="Y32" s="344">
        <v>37.5</v>
      </c>
      <c r="Z32" s="334" t="s">
        <v>131</v>
      </c>
      <c r="AA32" s="334" t="s">
        <v>22</v>
      </c>
      <c r="AB32" s="334" t="s">
        <v>11</v>
      </c>
      <c r="AC32" s="334">
        <v>19.600000000000001</v>
      </c>
      <c r="AD32" s="343"/>
      <c r="AG32" s="344"/>
      <c r="AL32" s="343"/>
      <c r="AO32" s="344"/>
      <c r="AP32" s="343"/>
      <c r="AS32" s="344"/>
      <c r="AW32" s="344"/>
      <c r="BA32" s="345"/>
    </row>
    <row r="33" spans="1:53" s="334" customFormat="1" x14ac:dyDescent="0.15">
      <c r="A33" s="386">
        <v>1972</v>
      </c>
      <c r="B33" s="355"/>
      <c r="C33" s="812" t="s">
        <v>687</v>
      </c>
      <c r="D33" s="812"/>
      <c r="E33" s="334">
        <v>366</v>
      </c>
      <c r="G33" s="419">
        <v>3</v>
      </c>
      <c r="H33" s="334">
        <v>4</v>
      </c>
      <c r="J33" s="435">
        <v>7</v>
      </c>
      <c r="K33" s="384">
        <f t="shared" si="1"/>
        <v>42.857142857142854</v>
      </c>
      <c r="L33" s="384">
        <f t="shared" si="1"/>
        <v>57.142857142857139</v>
      </c>
      <c r="M33" s="384">
        <f t="shared" si="1"/>
        <v>0</v>
      </c>
      <c r="N33" s="421">
        <f t="shared" si="2"/>
        <v>100</v>
      </c>
      <c r="O33" s="383">
        <v>19.600000000000001</v>
      </c>
      <c r="P33" s="384">
        <v>37.5</v>
      </c>
      <c r="Q33" s="384"/>
      <c r="R33" s="385">
        <f t="shared" si="3"/>
        <v>57.1</v>
      </c>
      <c r="S33" s="334">
        <v>2</v>
      </c>
      <c r="T33" s="357"/>
      <c r="V33" s="343" t="s">
        <v>505</v>
      </c>
      <c r="W33" s="334" t="s">
        <v>17</v>
      </c>
      <c r="X33" s="334" t="s">
        <v>336</v>
      </c>
      <c r="Y33" s="344">
        <v>37.5</v>
      </c>
      <c r="Z33" s="334" t="s">
        <v>131</v>
      </c>
      <c r="AA33" s="334" t="s">
        <v>22</v>
      </c>
      <c r="AB33" s="334" t="s">
        <v>11</v>
      </c>
      <c r="AC33" s="334">
        <v>19.600000000000001</v>
      </c>
      <c r="AD33" s="343"/>
      <c r="AG33" s="344"/>
      <c r="AL33" s="343"/>
      <c r="AO33" s="344"/>
      <c r="AP33" s="343"/>
      <c r="AS33" s="344"/>
      <c r="AW33" s="344"/>
      <c r="BA33" s="345"/>
    </row>
    <row r="34" spans="1:53" s="334" customFormat="1" x14ac:dyDescent="0.15">
      <c r="A34" s="386">
        <v>1973</v>
      </c>
      <c r="B34" s="355"/>
      <c r="C34" s="812" t="s">
        <v>687</v>
      </c>
      <c r="D34" s="812"/>
      <c r="E34" s="334">
        <v>0</v>
      </c>
      <c r="G34" s="419">
        <v>3</v>
      </c>
      <c r="H34" s="334">
        <v>4</v>
      </c>
      <c r="J34" s="435">
        <v>7</v>
      </c>
      <c r="K34" s="384">
        <f t="shared" si="1"/>
        <v>42.857142857142854</v>
      </c>
      <c r="L34" s="384">
        <f t="shared" si="1"/>
        <v>57.142857142857139</v>
      </c>
      <c r="M34" s="384">
        <f t="shared" si="1"/>
        <v>0</v>
      </c>
      <c r="N34" s="421">
        <f t="shared" si="2"/>
        <v>100</v>
      </c>
      <c r="O34" s="383">
        <v>19.600000000000001</v>
      </c>
      <c r="P34" s="384">
        <v>37.5</v>
      </c>
      <c r="Q34" s="384"/>
      <c r="R34" s="385">
        <f t="shared" si="3"/>
        <v>57.1</v>
      </c>
      <c r="S34" s="334">
        <v>2</v>
      </c>
      <c r="T34" s="357"/>
      <c r="V34" s="343" t="s">
        <v>505</v>
      </c>
      <c r="W34" s="334" t="s">
        <v>17</v>
      </c>
      <c r="X34" s="334" t="s">
        <v>336</v>
      </c>
      <c r="Y34" s="344">
        <v>37.5</v>
      </c>
      <c r="Z34" s="334" t="s">
        <v>131</v>
      </c>
      <c r="AA34" s="334" t="s">
        <v>22</v>
      </c>
      <c r="AB34" s="334" t="s">
        <v>11</v>
      </c>
      <c r="AC34" s="334">
        <v>19.600000000000001</v>
      </c>
      <c r="AD34" s="343"/>
      <c r="AG34" s="344"/>
      <c r="AL34" s="343"/>
      <c r="AO34" s="344"/>
      <c r="AP34" s="343"/>
      <c r="AS34" s="344"/>
      <c r="AW34" s="344"/>
      <c r="BA34" s="345"/>
    </row>
    <row r="35" spans="1:53" s="334" customFormat="1" x14ac:dyDescent="0.15">
      <c r="A35" s="386">
        <v>1973</v>
      </c>
      <c r="B35" s="355"/>
      <c r="C35" s="812" t="s">
        <v>687</v>
      </c>
      <c r="D35" s="812"/>
      <c r="E35" s="334">
        <v>365</v>
      </c>
      <c r="G35" s="419">
        <v>3</v>
      </c>
      <c r="H35" s="334">
        <v>4</v>
      </c>
      <c r="J35" s="435">
        <v>7</v>
      </c>
      <c r="K35" s="384">
        <f t="shared" si="1"/>
        <v>42.857142857142854</v>
      </c>
      <c r="L35" s="384">
        <f t="shared" si="1"/>
        <v>57.142857142857139</v>
      </c>
      <c r="M35" s="384">
        <f t="shared" si="1"/>
        <v>0</v>
      </c>
      <c r="N35" s="421">
        <f t="shared" si="2"/>
        <v>100</v>
      </c>
      <c r="O35" s="383">
        <v>19.600000000000001</v>
      </c>
      <c r="P35" s="384">
        <v>37.5</v>
      </c>
      <c r="Q35" s="384"/>
      <c r="R35" s="385">
        <f t="shared" si="3"/>
        <v>57.1</v>
      </c>
      <c r="S35" s="334">
        <v>2</v>
      </c>
      <c r="T35" s="357"/>
      <c r="V35" s="343" t="s">
        <v>505</v>
      </c>
      <c r="W35" s="334" t="s">
        <v>17</v>
      </c>
      <c r="X35" s="334" t="s">
        <v>336</v>
      </c>
      <c r="Y35" s="344">
        <v>37.5</v>
      </c>
      <c r="Z35" s="334" t="s">
        <v>131</v>
      </c>
      <c r="AA35" s="334" t="s">
        <v>22</v>
      </c>
      <c r="AB35" s="334" t="s">
        <v>11</v>
      </c>
      <c r="AC35" s="334">
        <v>19.600000000000001</v>
      </c>
      <c r="AD35" s="343"/>
      <c r="AG35" s="344"/>
      <c r="AL35" s="343"/>
      <c r="AO35" s="344"/>
      <c r="AP35" s="343"/>
      <c r="AS35" s="344"/>
      <c r="AW35" s="344"/>
      <c r="BA35" s="345"/>
    </row>
    <row r="36" spans="1:53" s="334" customFormat="1" x14ac:dyDescent="0.15">
      <c r="A36" s="386">
        <v>1974</v>
      </c>
      <c r="B36" s="355"/>
      <c r="C36" s="812" t="s">
        <v>687</v>
      </c>
      <c r="D36" s="812"/>
      <c r="E36" s="334">
        <v>165</v>
      </c>
      <c r="G36" s="419">
        <v>3</v>
      </c>
      <c r="H36" s="334">
        <v>4</v>
      </c>
      <c r="J36" s="435">
        <v>7</v>
      </c>
      <c r="K36" s="384">
        <f t="shared" si="1"/>
        <v>42.857142857142854</v>
      </c>
      <c r="L36" s="384">
        <f t="shared" si="1"/>
        <v>57.142857142857139</v>
      </c>
      <c r="M36" s="384">
        <f t="shared" si="1"/>
        <v>0</v>
      </c>
      <c r="N36" s="421">
        <f t="shared" si="2"/>
        <v>100</v>
      </c>
      <c r="O36" s="383">
        <v>19.600000000000001</v>
      </c>
      <c r="P36" s="384">
        <v>37.5</v>
      </c>
      <c r="Q36" s="384"/>
      <c r="R36" s="385">
        <f t="shared" si="3"/>
        <v>57.1</v>
      </c>
      <c r="S36" s="334">
        <v>2</v>
      </c>
      <c r="T36" s="357"/>
      <c r="V36" s="343" t="s">
        <v>505</v>
      </c>
      <c r="W36" s="334" t="s">
        <v>17</v>
      </c>
      <c r="X36" s="334" t="s">
        <v>336</v>
      </c>
      <c r="Y36" s="344">
        <v>37.5</v>
      </c>
      <c r="Z36" s="334" t="s">
        <v>131</v>
      </c>
      <c r="AA36" s="334" t="s">
        <v>22</v>
      </c>
      <c r="AB36" s="334" t="s">
        <v>11</v>
      </c>
      <c r="AC36" s="334">
        <v>19.600000000000001</v>
      </c>
      <c r="AD36" s="343"/>
      <c r="AG36" s="344"/>
      <c r="AL36" s="343"/>
      <c r="AO36" s="344"/>
      <c r="AP36" s="343"/>
      <c r="AS36" s="344"/>
      <c r="AW36" s="344"/>
      <c r="BA36" s="345"/>
    </row>
    <row r="37" spans="1:53" s="208" customFormat="1" x14ac:dyDescent="0.15">
      <c r="A37" s="102">
        <v>1974</v>
      </c>
      <c r="B37" s="207">
        <v>27195</v>
      </c>
      <c r="C37" s="811" t="s">
        <v>688</v>
      </c>
      <c r="D37" s="811"/>
      <c r="E37" s="208">
        <f>365-E36</f>
        <v>200</v>
      </c>
      <c r="F37" s="208">
        <v>1</v>
      </c>
      <c r="G37" s="123">
        <v>4</v>
      </c>
      <c r="I37" s="208">
        <v>4</v>
      </c>
      <c r="J37" s="134">
        <v>8</v>
      </c>
      <c r="K37" s="92">
        <f t="shared" si="1"/>
        <v>50</v>
      </c>
      <c r="L37" s="92">
        <f t="shared" si="1"/>
        <v>0</v>
      </c>
      <c r="M37" s="92">
        <f t="shared" si="1"/>
        <v>50</v>
      </c>
      <c r="N37" s="125">
        <f t="shared" si="2"/>
        <v>100</v>
      </c>
      <c r="O37" s="91">
        <v>23.7</v>
      </c>
      <c r="P37" s="92"/>
      <c r="Q37" s="92">
        <v>28.8</v>
      </c>
      <c r="R37" s="93">
        <f t="shared" si="3"/>
        <v>52.5</v>
      </c>
      <c r="S37" s="208">
        <v>2</v>
      </c>
      <c r="T37" s="95">
        <v>27175</v>
      </c>
      <c r="U37" s="207">
        <v>27195</v>
      </c>
      <c r="V37" s="82" t="s">
        <v>131</v>
      </c>
      <c r="W37" s="208" t="s">
        <v>22</v>
      </c>
      <c r="X37" s="208" t="s">
        <v>11</v>
      </c>
      <c r="Y37" s="83">
        <v>23.7</v>
      </c>
      <c r="Z37" s="208" t="s">
        <v>506</v>
      </c>
      <c r="AA37" s="208" t="s">
        <v>20</v>
      </c>
      <c r="AB37" s="208" t="s">
        <v>12</v>
      </c>
      <c r="AC37" s="208">
        <v>28.8</v>
      </c>
      <c r="AD37" s="82"/>
      <c r="AG37" s="83"/>
      <c r="AL37" s="82"/>
      <c r="AO37" s="83"/>
      <c r="AP37" s="82"/>
      <c r="AS37" s="83"/>
      <c r="AW37" s="83"/>
      <c r="BA37" s="84"/>
    </row>
    <row r="38" spans="1:53" s="208" customFormat="1" x14ac:dyDescent="0.15">
      <c r="A38" s="102">
        <v>1975</v>
      </c>
      <c r="B38" s="207"/>
      <c r="C38" s="811" t="s">
        <v>688</v>
      </c>
      <c r="D38" s="811"/>
      <c r="E38" s="208">
        <v>0</v>
      </c>
      <c r="G38" s="123">
        <v>4</v>
      </c>
      <c r="I38" s="208">
        <v>4</v>
      </c>
      <c r="J38" s="134">
        <v>8</v>
      </c>
      <c r="K38" s="92">
        <f t="shared" si="1"/>
        <v>50</v>
      </c>
      <c r="L38" s="92">
        <f t="shared" si="1"/>
        <v>0</v>
      </c>
      <c r="M38" s="92">
        <f t="shared" si="1"/>
        <v>50</v>
      </c>
      <c r="N38" s="125">
        <f t="shared" si="2"/>
        <v>100</v>
      </c>
      <c r="O38" s="91">
        <v>23.7</v>
      </c>
      <c r="P38" s="92"/>
      <c r="Q38" s="92">
        <v>28.8</v>
      </c>
      <c r="R38" s="93">
        <f t="shared" si="3"/>
        <v>52.5</v>
      </c>
      <c r="S38" s="208">
        <v>2</v>
      </c>
      <c r="T38" s="81"/>
      <c r="V38" s="82" t="s">
        <v>131</v>
      </c>
      <c r="W38" s="208" t="s">
        <v>22</v>
      </c>
      <c r="X38" s="208" t="s">
        <v>11</v>
      </c>
      <c r="Y38" s="83">
        <v>23.7</v>
      </c>
      <c r="Z38" s="208" t="s">
        <v>506</v>
      </c>
      <c r="AA38" s="208" t="s">
        <v>20</v>
      </c>
      <c r="AB38" s="208" t="s">
        <v>12</v>
      </c>
      <c r="AC38" s="208">
        <v>28.8</v>
      </c>
      <c r="AD38" s="82"/>
      <c r="AG38" s="83"/>
      <c r="AL38" s="82"/>
      <c r="AO38" s="83"/>
      <c r="AP38" s="82"/>
      <c r="AS38" s="83"/>
      <c r="AW38" s="83"/>
      <c r="BA38" s="84"/>
    </row>
    <row r="39" spans="1:53" s="208" customFormat="1" x14ac:dyDescent="0.15">
      <c r="A39" s="102">
        <v>1975</v>
      </c>
      <c r="B39" s="207"/>
      <c r="C39" s="811" t="s">
        <v>688</v>
      </c>
      <c r="D39" s="811"/>
      <c r="E39" s="208">
        <v>365</v>
      </c>
      <c r="G39" s="123">
        <v>4</v>
      </c>
      <c r="I39" s="208">
        <v>4</v>
      </c>
      <c r="J39" s="134">
        <v>8</v>
      </c>
      <c r="K39" s="92">
        <f t="shared" si="1"/>
        <v>50</v>
      </c>
      <c r="L39" s="92">
        <f t="shared" si="1"/>
        <v>0</v>
      </c>
      <c r="M39" s="92">
        <f t="shared" si="1"/>
        <v>50</v>
      </c>
      <c r="N39" s="125">
        <f t="shared" si="2"/>
        <v>100</v>
      </c>
      <c r="O39" s="91">
        <v>23.7</v>
      </c>
      <c r="P39" s="92"/>
      <c r="Q39" s="92">
        <v>28.8</v>
      </c>
      <c r="R39" s="93">
        <f t="shared" si="3"/>
        <v>52.5</v>
      </c>
      <c r="S39" s="208">
        <v>2</v>
      </c>
      <c r="T39" s="81"/>
      <c r="V39" s="82" t="s">
        <v>131</v>
      </c>
      <c r="W39" s="208" t="s">
        <v>22</v>
      </c>
      <c r="X39" s="208" t="s">
        <v>11</v>
      </c>
      <c r="Y39" s="83">
        <v>23.7</v>
      </c>
      <c r="Z39" s="208" t="s">
        <v>506</v>
      </c>
      <c r="AA39" s="208" t="s">
        <v>20</v>
      </c>
      <c r="AB39" s="208" t="s">
        <v>12</v>
      </c>
      <c r="AC39" s="208">
        <v>28.8</v>
      </c>
      <c r="AD39" s="82"/>
      <c r="AG39" s="83"/>
      <c r="AL39" s="82"/>
      <c r="AO39" s="83"/>
      <c r="AP39" s="82"/>
      <c r="AS39" s="83"/>
      <c r="AW39" s="83"/>
      <c r="BA39" s="84"/>
    </row>
    <row r="40" spans="1:53" s="208" customFormat="1" x14ac:dyDescent="0.15">
      <c r="A40" s="102">
        <v>1976</v>
      </c>
      <c r="B40" s="207"/>
      <c r="C40" s="811" t="s">
        <v>688</v>
      </c>
      <c r="D40" s="811"/>
      <c r="E40" s="208">
        <v>0</v>
      </c>
      <c r="G40" s="123">
        <v>4</v>
      </c>
      <c r="I40" s="208">
        <v>4</v>
      </c>
      <c r="J40" s="134">
        <v>8</v>
      </c>
      <c r="K40" s="92">
        <f t="shared" si="1"/>
        <v>50</v>
      </c>
      <c r="L40" s="92">
        <f t="shared" si="1"/>
        <v>0</v>
      </c>
      <c r="M40" s="92">
        <f t="shared" si="1"/>
        <v>50</v>
      </c>
      <c r="N40" s="125">
        <f t="shared" si="2"/>
        <v>100</v>
      </c>
      <c r="O40" s="91">
        <v>23.7</v>
      </c>
      <c r="P40" s="92"/>
      <c r="Q40" s="92">
        <v>28.8</v>
      </c>
      <c r="R40" s="93">
        <f t="shared" si="3"/>
        <v>52.5</v>
      </c>
      <c r="S40" s="208">
        <v>2</v>
      </c>
      <c r="T40" s="81"/>
      <c r="V40" s="82" t="s">
        <v>131</v>
      </c>
      <c r="W40" s="208" t="s">
        <v>22</v>
      </c>
      <c r="X40" s="208" t="s">
        <v>11</v>
      </c>
      <c r="Y40" s="83">
        <v>23.7</v>
      </c>
      <c r="Z40" s="208" t="s">
        <v>506</v>
      </c>
      <c r="AA40" s="208" t="s">
        <v>20</v>
      </c>
      <c r="AB40" s="208" t="s">
        <v>12</v>
      </c>
      <c r="AC40" s="208">
        <v>28.8</v>
      </c>
      <c r="AD40" s="82"/>
      <c r="AG40" s="83"/>
      <c r="AL40" s="82"/>
      <c r="AO40" s="83"/>
      <c r="AP40" s="82"/>
      <c r="AS40" s="83"/>
      <c r="AW40" s="83"/>
      <c r="BA40" s="84"/>
    </row>
    <row r="41" spans="1:53" s="208" customFormat="1" x14ac:dyDescent="0.15">
      <c r="A41" s="102">
        <v>1976</v>
      </c>
      <c r="B41" s="207"/>
      <c r="C41" s="811" t="s">
        <v>688</v>
      </c>
      <c r="D41" s="811"/>
      <c r="E41" s="208">
        <v>366</v>
      </c>
      <c r="G41" s="123">
        <v>4</v>
      </c>
      <c r="I41" s="208">
        <v>4</v>
      </c>
      <c r="J41" s="134">
        <v>8</v>
      </c>
      <c r="K41" s="92">
        <f t="shared" si="1"/>
        <v>50</v>
      </c>
      <c r="L41" s="92">
        <f t="shared" si="1"/>
        <v>0</v>
      </c>
      <c r="M41" s="92">
        <f t="shared" si="1"/>
        <v>50</v>
      </c>
      <c r="N41" s="125">
        <f t="shared" si="2"/>
        <v>100</v>
      </c>
      <c r="O41" s="91">
        <v>23.7</v>
      </c>
      <c r="P41" s="92"/>
      <c r="Q41" s="92">
        <v>28.8</v>
      </c>
      <c r="R41" s="93">
        <f t="shared" si="3"/>
        <v>52.5</v>
      </c>
      <c r="S41" s="208">
        <v>2</v>
      </c>
      <c r="T41" s="81"/>
      <c r="V41" s="82" t="s">
        <v>131</v>
      </c>
      <c r="W41" s="208" t="s">
        <v>22</v>
      </c>
      <c r="X41" s="208" t="s">
        <v>11</v>
      </c>
      <c r="Y41" s="83">
        <v>23.7</v>
      </c>
      <c r="Z41" s="208" t="s">
        <v>506</v>
      </c>
      <c r="AA41" s="208" t="s">
        <v>20</v>
      </c>
      <c r="AB41" s="208" t="s">
        <v>12</v>
      </c>
      <c r="AC41" s="208">
        <v>28.8</v>
      </c>
      <c r="AD41" s="82"/>
      <c r="AG41" s="83"/>
      <c r="AL41" s="82"/>
      <c r="AO41" s="83"/>
      <c r="AP41" s="82"/>
      <c r="AS41" s="83"/>
      <c r="AW41" s="83"/>
      <c r="BA41" s="84"/>
    </row>
    <row r="42" spans="1:53" s="208" customFormat="1" x14ac:dyDescent="0.15">
      <c r="A42" s="102">
        <v>1977</v>
      </c>
      <c r="B42" s="207"/>
      <c r="C42" s="811" t="s">
        <v>688</v>
      </c>
      <c r="D42" s="811"/>
      <c r="E42" s="208">
        <v>0</v>
      </c>
      <c r="G42" s="123">
        <v>4</v>
      </c>
      <c r="I42" s="208">
        <v>4</v>
      </c>
      <c r="J42" s="134">
        <v>8</v>
      </c>
      <c r="K42" s="92">
        <f t="shared" si="1"/>
        <v>50</v>
      </c>
      <c r="L42" s="92">
        <f t="shared" si="1"/>
        <v>0</v>
      </c>
      <c r="M42" s="92">
        <f t="shared" si="1"/>
        <v>50</v>
      </c>
      <c r="N42" s="125">
        <f t="shared" si="2"/>
        <v>100</v>
      </c>
      <c r="O42" s="91">
        <v>23.7</v>
      </c>
      <c r="P42" s="92"/>
      <c r="Q42" s="92">
        <v>28.8</v>
      </c>
      <c r="R42" s="93">
        <f t="shared" si="3"/>
        <v>52.5</v>
      </c>
      <c r="S42" s="208">
        <v>2</v>
      </c>
      <c r="T42" s="81"/>
      <c r="V42" s="82" t="s">
        <v>131</v>
      </c>
      <c r="W42" s="208" t="s">
        <v>22</v>
      </c>
      <c r="X42" s="208" t="s">
        <v>11</v>
      </c>
      <c r="Y42" s="83">
        <v>23.7</v>
      </c>
      <c r="Z42" s="208" t="s">
        <v>506</v>
      </c>
      <c r="AA42" s="208" t="s">
        <v>20</v>
      </c>
      <c r="AB42" s="208" t="s">
        <v>12</v>
      </c>
      <c r="AC42" s="208">
        <v>28.8</v>
      </c>
      <c r="AD42" s="82"/>
      <c r="AG42" s="83"/>
      <c r="AL42" s="82"/>
      <c r="AO42" s="83"/>
      <c r="AP42" s="82"/>
      <c r="AS42" s="83"/>
      <c r="AW42" s="83"/>
      <c r="BA42" s="84"/>
    </row>
    <row r="43" spans="1:53" s="208" customFormat="1" x14ac:dyDescent="0.15">
      <c r="A43" s="102">
        <v>1977</v>
      </c>
      <c r="B43" s="207"/>
      <c r="C43" s="811" t="s">
        <v>688</v>
      </c>
      <c r="D43" s="811"/>
      <c r="E43" s="208">
        <v>365</v>
      </c>
      <c r="G43" s="123">
        <v>4</v>
      </c>
      <c r="I43" s="208">
        <v>4</v>
      </c>
      <c r="J43" s="134">
        <v>8</v>
      </c>
      <c r="K43" s="92">
        <f t="shared" si="1"/>
        <v>50</v>
      </c>
      <c r="L43" s="92">
        <f t="shared" si="1"/>
        <v>0</v>
      </c>
      <c r="M43" s="92">
        <f t="shared" si="1"/>
        <v>50</v>
      </c>
      <c r="N43" s="125">
        <f t="shared" si="2"/>
        <v>100</v>
      </c>
      <c r="O43" s="91">
        <v>23.7</v>
      </c>
      <c r="P43" s="92"/>
      <c r="Q43" s="92">
        <v>28.8</v>
      </c>
      <c r="R43" s="93">
        <f t="shared" si="3"/>
        <v>52.5</v>
      </c>
      <c r="S43" s="208">
        <v>2</v>
      </c>
      <c r="T43" s="81"/>
      <c r="V43" s="82" t="s">
        <v>131</v>
      </c>
      <c r="W43" s="208" t="s">
        <v>22</v>
      </c>
      <c r="X43" s="208" t="s">
        <v>11</v>
      </c>
      <c r="Y43" s="83">
        <v>23.7</v>
      </c>
      <c r="Z43" s="208" t="s">
        <v>506</v>
      </c>
      <c r="AA43" s="208" t="s">
        <v>20</v>
      </c>
      <c r="AB43" s="208" t="s">
        <v>12</v>
      </c>
      <c r="AC43" s="208">
        <v>28.8</v>
      </c>
      <c r="AD43" s="82"/>
      <c r="AG43" s="83"/>
      <c r="AL43" s="82"/>
      <c r="AO43" s="83"/>
      <c r="AP43" s="82"/>
      <c r="AS43" s="83"/>
      <c r="AW43" s="83"/>
      <c r="BA43" s="84"/>
    </row>
    <row r="44" spans="1:53" s="208" customFormat="1" x14ac:dyDescent="0.15">
      <c r="A44" s="102">
        <v>1978</v>
      </c>
      <c r="B44" s="207"/>
      <c r="C44" s="811" t="s">
        <v>688</v>
      </c>
      <c r="D44" s="811"/>
      <c r="E44" s="208">
        <v>0</v>
      </c>
      <c r="G44" s="123">
        <v>4</v>
      </c>
      <c r="I44" s="208">
        <v>4</v>
      </c>
      <c r="J44" s="134">
        <v>8</v>
      </c>
      <c r="K44" s="92">
        <f t="shared" si="1"/>
        <v>50</v>
      </c>
      <c r="L44" s="92">
        <f t="shared" si="1"/>
        <v>0</v>
      </c>
      <c r="M44" s="92">
        <f t="shared" si="1"/>
        <v>50</v>
      </c>
      <c r="N44" s="125">
        <f t="shared" si="2"/>
        <v>100</v>
      </c>
      <c r="O44" s="91">
        <v>23.7</v>
      </c>
      <c r="P44" s="92"/>
      <c r="Q44" s="92">
        <v>28.8</v>
      </c>
      <c r="R44" s="93">
        <f t="shared" si="3"/>
        <v>52.5</v>
      </c>
      <c r="S44" s="208">
        <v>2</v>
      </c>
      <c r="T44" s="81"/>
      <c r="V44" s="82" t="s">
        <v>131</v>
      </c>
      <c r="W44" s="208" t="s">
        <v>22</v>
      </c>
      <c r="X44" s="208" t="s">
        <v>11</v>
      </c>
      <c r="Y44" s="83">
        <v>23.7</v>
      </c>
      <c r="Z44" s="208" t="s">
        <v>506</v>
      </c>
      <c r="AA44" s="208" t="s">
        <v>20</v>
      </c>
      <c r="AB44" s="208" t="s">
        <v>12</v>
      </c>
      <c r="AC44" s="208">
        <v>28.8</v>
      </c>
      <c r="AD44" s="82"/>
      <c r="AG44" s="83"/>
      <c r="AL44" s="82"/>
      <c r="AO44" s="83"/>
      <c r="AP44" s="82"/>
      <c r="AS44" s="83"/>
      <c r="AW44" s="83"/>
      <c r="BA44" s="84"/>
    </row>
    <row r="45" spans="1:53" s="208" customFormat="1" x14ac:dyDescent="0.15">
      <c r="A45" s="102">
        <v>1978</v>
      </c>
      <c r="B45" s="207"/>
      <c r="C45" s="811" t="s">
        <v>688</v>
      </c>
      <c r="D45" s="811"/>
      <c r="E45" s="208">
        <v>365</v>
      </c>
      <c r="G45" s="123">
        <v>4</v>
      </c>
      <c r="I45" s="208">
        <v>4</v>
      </c>
      <c r="J45" s="134">
        <v>8</v>
      </c>
      <c r="K45" s="92">
        <f t="shared" si="1"/>
        <v>50</v>
      </c>
      <c r="L45" s="92">
        <f t="shared" si="1"/>
        <v>0</v>
      </c>
      <c r="M45" s="92">
        <f t="shared" si="1"/>
        <v>50</v>
      </c>
      <c r="N45" s="125">
        <f t="shared" si="2"/>
        <v>100</v>
      </c>
      <c r="O45" s="91">
        <v>23.7</v>
      </c>
      <c r="P45" s="92"/>
      <c r="Q45" s="92">
        <v>28.8</v>
      </c>
      <c r="R45" s="93">
        <f t="shared" si="3"/>
        <v>52.5</v>
      </c>
      <c r="S45" s="208">
        <v>2</v>
      </c>
      <c r="T45" s="81"/>
      <c r="V45" s="82" t="s">
        <v>131</v>
      </c>
      <c r="W45" s="208" t="s">
        <v>22</v>
      </c>
      <c r="X45" s="208" t="s">
        <v>11</v>
      </c>
      <c r="Y45" s="83">
        <v>23.7</v>
      </c>
      <c r="Z45" s="208" t="s">
        <v>506</v>
      </c>
      <c r="AA45" s="208" t="s">
        <v>20</v>
      </c>
      <c r="AB45" s="208" t="s">
        <v>12</v>
      </c>
      <c r="AC45" s="208">
        <v>28.8</v>
      </c>
      <c r="AD45" s="82"/>
      <c r="AG45" s="83"/>
      <c r="AL45" s="82"/>
      <c r="AO45" s="83"/>
      <c r="AP45" s="82"/>
      <c r="AS45" s="83"/>
      <c r="AW45" s="83"/>
      <c r="BA45" s="84"/>
    </row>
    <row r="46" spans="1:53" s="208" customFormat="1" ht="8.25" customHeight="1" x14ac:dyDescent="0.15">
      <c r="A46" s="102">
        <v>1979</v>
      </c>
      <c r="B46" s="207"/>
      <c r="C46" s="811" t="s">
        <v>688</v>
      </c>
      <c r="D46" s="811"/>
      <c r="E46" s="208">
        <v>195</v>
      </c>
      <c r="G46" s="123">
        <v>4</v>
      </c>
      <c r="I46" s="208">
        <v>4</v>
      </c>
      <c r="J46" s="134">
        <v>8</v>
      </c>
      <c r="K46" s="92">
        <f t="shared" si="1"/>
        <v>50</v>
      </c>
      <c r="L46" s="92">
        <f t="shared" si="1"/>
        <v>0</v>
      </c>
      <c r="M46" s="92">
        <f t="shared" si="1"/>
        <v>50</v>
      </c>
      <c r="N46" s="125">
        <f t="shared" si="2"/>
        <v>100</v>
      </c>
      <c r="O46" s="91">
        <v>23.7</v>
      </c>
      <c r="P46" s="92"/>
      <c r="Q46" s="92">
        <v>28.8</v>
      </c>
      <c r="R46" s="93">
        <f t="shared" si="3"/>
        <v>52.5</v>
      </c>
      <c r="S46" s="208">
        <v>2</v>
      </c>
      <c r="T46" s="81"/>
      <c r="V46" s="82" t="s">
        <v>131</v>
      </c>
      <c r="W46" s="208" t="s">
        <v>22</v>
      </c>
      <c r="X46" s="208" t="s">
        <v>11</v>
      </c>
      <c r="Y46" s="83">
        <v>23.7</v>
      </c>
      <c r="Z46" s="208" t="s">
        <v>506</v>
      </c>
      <c r="AA46" s="208" t="s">
        <v>20</v>
      </c>
      <c r="AB46" s="208" t="s">
        <v>12</v>
      </c>
      <c r="AC46" s="208">
        <v>28.8</v>
      </c>
      <c r="AD46" s="82"/>
      <c r="AG46" s="83"/>
      <c r="AL46" s="82"/>
      <c r="AO46" s="83"/>
      <c r="AP46" s="82"/>
      <c r="AS46" s="83"/>
      <c r="AW46" s="83"/>
      <c r="BA46" s="84"/>
    </row>
    <row r="47" spans="1:53" s="334" customFormat="1" x14ac:dyDescent="0.15">
      <c r="A47" s="386">
        <v>1979</v>
      </c>
      <c r="B47" s="355">
        <v>29051</v>
      </c>
      <c r="C47" s="812" t="s">
        <v>689</v>
      </c>
      <c r="D47" s="812"/>
      <c r="E47" s="334">
        <f>365-E46</f>
        <v>170</v>
      </c>
      <c r="F47" s="334">
        <v>1</v>
      </c>
      <c r="G47" s="419">
        <v>5</v>
      </c>
      <c r="H47" s="334">
        <v>4</v>
      </c>
      <c r="J47" s="435">
        <v>9</v>
      </c>
      <c r="K47" s="384">
        <f t="shared" si="1"/>
        <v>55.555555555555557</v>
      </c>
      <c r="L47" s="384">
        <f t="shared" si="1"/>
        <v>44.444444444444443</v>
      </c>
      <c r="M47" s="384">
        <f t="shared" si="1"/>
        <v>0</v>
      </c>
      <c r="N47" s="421">
        <f t="shared" si="2"/>
        <v>100</v>
      </c>
      <c r="O47" s="383">
        <v>25.4</v>
      </c>
      <c r="P47" s="384">
        <v>40.700000000000003</v>
      </c>
      <c r="Q47" s="384"/>
      <c r="R47" s="385">
        <f t="shared" si="3"/>
        <v>66.099999999999994</v>
      </c>
      <c r="S47" s="334">
        <v>2</v>
      </c>
      <c r="T47" s="342">
        <v>29016</v>
      </c>
      <c r="U47" s="355">
        <v>29051</v>
      </c>
      <c r="V47" s="343" t="s">
        <v>505</v>
      </c>
      <c r="W47" s="334" t="s">
        <v>17</v>
      </c>
      <c r="X47" s="334" t="s">
        <v>336</v>
      </c>
      <c r="Y47" s="344">
        <v>40.700000000000003</v>
      </c>
      <c r="Z47" s="334" t="s">
        <v>131</v>
      </c>
      <c r="AA47" s="334" t="s">
        <v>22</v>
      </c>
      <c r="AB47" s="334" t="s">
        <v>11</v>
      </c>
      <c r="AC47" s="334">
        <v>25.4</v>
      </c>
      <c r="AD47" s="343"/>
      <c r="AG47" s="344"/>
      <c r="AL47" s="343"/>
      <c r="AO47" s="344"/>
      <c r="AP47" s="343"/>
      <c r="AS47" s="344"/>
      <c r="AW47" s="344"/>
      <c r="BA47" s="345"/>
    </row>
    <row r="48" spans="1:53" s="334" customFormat="1" x14ac:dyDescent="0.15">
      <c r="A48" s="386">
        <v>1980</v>
      </c>
      <c r="B48" s="355"/>
      <c r="C48" s="812" t="s">
        <v>689</v>
      </c>
      <c r="D48" s="812"/>
      <c r="E48" s="334">
        <v>0</v>
      </c>
      <c r="G48" s="419">
        <v>5</v>
      </c>
      <c r="H48" s="334">
        <v>4</v>
      </c>
      <c r="J48" s="435">
        <v>9</v>
      </c>
      <c r="K48" s="384">
        <f t="shared" si="1"/>
        <v>55.555555555555557</v>
      </c>
      <c r="L48" s="384">
        <f t="shared" si="1"/>
        <v>44.444444444444443</v>
      </c>
      <c r="M48" s="384">
        <f t="shared" si="1"/>
        <v>0</v>
      </c>
      <c r="N48" s="421">
        <f t="shared" si="2"/>
        <v>100</v>
      </c>
      <c r="O48" s="383">
        <v>25.4</v>
      </c>
      <c r="P48" s="384">
        <v>40.700000000000003</v>
      </c>
      <c r="Q48" s="384"/>
      <c r="R48" s="385">
        <f t="shared" si="3"/>
        <v>66.099999999999994</v>
      </c>
      <c r="S48" s="334">
        <v>2</v>
      </c>
      <c r="T48" s="357"/>
      <c r="V48" s="343" t="s">
        <v>505</v>
      </c>
      <c r="W48" s="334" t="s">
        <v>17</v>
      </c>
      <c r="X48" s="334" t="s">
        <v>336</v>
      </c>
      <c r="Y48" s="344">
        <v>40.700000000000003</v>
      </c>
      <c r="Z48" s="334" t="s">
        <v>131</v>
      </c>
      <c r="AA48" s="334" t="s">
        <v>22</v>
      </c>
      <c r="AB48" s="334" t="s">
        <v>11</v>
      </c>
      <c r="AC48" s="334">
        <v>25.4</v>
      </c>
      <c r="AD48" s="343"/>
      <c r="AG48" s="344"/>
      <c r="AL48" s="343"/>
      <c r="AO48" s="344"/>
      <c r="AP48" s="343"/>
      <c r="AS48" s="344"/>
      <c r="AW48" s="344"/>
      <c r="BA48" s="345"/>
    </row>
    <row r="49" spans="1:53" s="334" customFormat="1" x14ac:dyDescent="0.15">
      <c r="A49" s="386">
        <v>1980</v>
      </c>
      <c r="B49" s="355"/>
      <c r="C49" s="812" t="s">
        <v>689</v>
      </c>
      <c r="D49" s="812"/>
      <c r="E49" s="334">
        <v>366</v>
      </c>
      <c r="G49" s="419">
        <v>5</v>
      </c>
      <c r="H49" s="334">
        <v>4</v>
      </c>
      <c r="J49" s="435">
        <v>9</v>
      </c>
      <c r="K49" s="384">
        <f t="shared" si="1"/>
        <v>55.555555555555557</v>
      </c>
      <c r="L49" s="384">
        <f t="shared" si="1"/>
        <v>44.444444444444443</v>
      </c>
      <c r="M49" s="384">
        <f t="shared" si="1"/>
        <v>0</v>
      </c>
      <c r="N49" s="421">
        <f t="shared" si="2"/>
        <v>100</v>
      </c>
      <c r="O49" s="383">
        <v>25.4</v>
      </c>
      <c r="P49" s="384">
        <v>40.700000000000003</v>
      </c>
      <c r="Q49" s="384"/>
      <c r="R49" s="385">
        <f t="shared" si="3"/>
        <v>66.099999999999994</v>
      </c>
      <c r="S49" s="334">
        <v>2</v>
      </c>
      <c r="T49" s="357"/>
      <c r="V49" s="343" t="s">
        <v>505</v>
      </c>
      <c r="W49" s="334" t="s">
        <v>17</v>
      </c>
      <c r="X49" s="334" t="s">
        <v>336</v>
      </c>
      <c r="Y49" s="344">
        <v>40.700000000000003</v>
      </c>
      <c r="Z49" s="334" t="s">
        <v>131</v>
      </c>
      <c r="AA49" s="334" t="s">
        <v>22</v>
      </c>
      <c r="AB49" s="334" t="s">
        <v>11</v>
      </c>
      <c r="AC49" s="334">
        <v>25.4</v>
      </c>
      <c r="AD49" s="343"/>
      <c r="AG49" s="344"/>
      <c r="AL49" s="343"/>
      <c r="AO49" s="344"/>
      <c r="AP49" s="343"/>
      <c r="AS49" s="344"/>
      <c r="AW49" s="344"/>
      <c r="BA49" s="345"/>
    </row>
    <row r="50" spans="1:53" s="334" customFormat="1" x14ac:dyDescent="0.15">
      <c r="A50" s="386">
        <v>1981</v>
      </c>
      <c r="B50" s="355"/>
      <c r="C50" s="812" t="s">
        <v>689</v>
      </c>
      <c r="D50" s="812"/>
      <c r="E50" s="334">
        <v>0</v>
      </c>
      <c r="G50" s="419">
        <v>5</v>
      </c>
      <c r="H50" s="334">
        <v>4</v>
      </c>
      <c r="J50" s="435">
        <v>9</v>
      </c>
      <c r="K50" s="384">
        <f t="shared" si="1"/>
        <v>55.555555555555557</v>
      </c>
      <c r="L50" s="384">
        <f t="shared" si="1"/>
        <v>44.444444444444443</v>
      </c>
      <c r="M50" s="384">
        <f t="shared" si="1"/>
        <v>0</v>
      </c>
      <c r="N50" s="421">
        <f t="shared" si="2"/>
        <v>100</v>
      </c>
      <c r="O50" s="383">
        <v>25.4</v>
      </c>
      <c r="P50" s="384">
        <v>40.700000000000003</v>
      </c>
      <c r="Q50" s="384"/>
      <c r="R50" s="385">
        <f t="shared" si="3"/>
        <v>66.099999999999994</v>
      </c>
      <c r="S50" s="334">
        <v>2</v>
      </c>
      <c r="T50" s="357"/>
      <c r="V50" s="343" t="s">
        <v>505</v>
      </c>
      <c r="W50" s="334" t="s">
        <v>17</v>
      </c>
      <c r="X50" s="334" t="s">
        <v>336</v>
      </c>
      <c r="Y50" s="344">
        <v>40.700000000000003</v>
      </c>
      <c r="Z50" s="334" t="s">
        <v>131</v>
      </c>
      <c r="AA50" s="334" t="s">
        <v>22</v>
      </c>
      <c r="AB50" s="334" t="s">
        <v>11</v>
      </c>
      <c r="AC50" s="334">
        <v>25.4</v>
      </c>
      <c r="AD50" s="343"/>
      <c r="AG50" s="344"/>
      <c r="AL50" s="343"/>
      <c r="AO50" s="344"/>
      <c r="AP50" s="343"/>
      <c r="AS50" s="344"/>
      <c r="AW50" s="344"/>
      <c r="BA50" s="345"/>
    </row>
    <row r="51" spans="1:53" s="334" customFormat="1" x14ac:dyDescent="0.15">
      <c r="A51" s="386">
        <v>1981</v>
      </c>
      <c r="B51" s="355"/>
      <c r="C51" s="812" t="s">
        <v>689</v>
      </c>
      <c r="D51" s="812"/>
      <c r="E51" s="334">
        <v>365</v>
      </c>
      <c r="G51" s="419">
        <v>5</v>
      </c>
      <c r="H51" s="334">
        <v>4</v>
      </c>
      <c r="J51" s="435">
        <v>9</v>
      </c>
      <c r="K51" s="384">
        <f t="shared" si="1"/>
        <v>55.555555555555557</v>
      </c>
      <c r="L51" s="384">
        <f t="shared" si="1"/>
        <v>44.444444444444443</v>
      </c>
      <c r="M51" s="384">
        <f t="shared" si="1"/>
        <v>0</v>
      </c>
      <c r="N51" s="421">
        <f t="shared" si="2"/>
        <v>100</v>
      </c>
      <c r="O51" s="383">
        <v>25.4</v>
      </c>
      <c r="P51" s="384">
        <v>40.700000000000003</v>
      </c>
      <c r="Q51" s="384"/>
      <c r="R51" s="385">
        <f t="shared" si="3"/>
        <v>66.099999999999994</v>
      </c>
      <c r="S51" s="334">
        <v>2</v>
      </c>
      <c r="T51" s="357"/>
      <c r="V51" s="343" t="s">
        <v>505</v>
      </c>
      <c r="W51" s="334" t="s">
        <v>17</v>
      </c>
      <c r="X51" s="334" t="s">
        <v>336</v>
      </c>
      <c r="Y51" s="344">
        <v>40.700000000000003</v>
      </c>
      <c r="Z51" s="334" t="s">
        <v>131</v>
      </c>
      <c r="AA51" s="334" t="s">
        <v>22</v>
      </c>
      <c r="AB51" s="334" t="s">
        <v>11</v>
      </c>
      <c r="AC51" s="334">
        <v>25.4</v>
      </c>
      <c r="AD51" s="343"/>
      <c r="AG51" s="344"/>
      <c r="AL51" s="343"/>
      <c r="AO51" s="344"/>
      <c r="AP51" s="343"/>
      <c r="AS51" s="344"/>
      <c r="AW51" s="344"/>
      <c r="BA51" s="345"/>
    </row>
    <row r="52" spans="1:53" s="334" customFormat="1" x14ac:dyDescent="0.15">
      <c r="A52" s="386">
        <v>1982</v>
      </c>
      <c r="B52" s="355"/>
      <c r="C52" s="812" t="s">
        <v>689</v>
      </c>
      <c r="D52" s="812"/>
      <c r="E52" s="334">
        <v>0</v>
      </c>
      <c r="G52" s="419">
        <v>5</v>
      </c>
      <c r="H52" s="334">
        <v>4</v>
      </c>
      <c r="J52" s="435">
        <v>9</v>
      </c>
      <c r="K52" s="384">
        <f t="shared" si="1"/>
        <v>55.555555555555557</v>
      </c>
      <c r="L52" s="384">
        <f t="shared" si="1"/>
        <v>44.444444444444443</v>
      </c>
      <c r="M52" s="384">
        <f t="shared" si="1"/>
        <v>0</v>
      </c>
      <c r="N52" s="421">
        <f t="shared" si="2"/>
        <v>100</v>
      </c>
      <c r="O52" s="383">
        <v>25.4</v>
      </c>
      <c r="P52" s="384">
        <v>40.700000000000003</v>
      </c>
      <c r="Q52" s="384"/>
      <c r="R52" s="385">
        <f t="shared" si="3"/>
        <v>66.099999999999994</v>
      </c>
      <c r="S52" s="334">
        <v>2</v>
      </c>
      <c r="T52" s="357"/>
      <c r="V52" s="343" t="s">
        <v>505</v>
      </c>
      <c r="W52" s="334" t="s">
        <v>17</v>
      </c>
      <c r="X52" s="334" t="s">
        <v>336</v>
      </c>
      <c r="Y52" s="344">
        <v>40.700000000000003</v>
      </c>
      <c r="Z52" s="334" t="s">
        <v>131</v>
      </c>
      <c r="AA52" s="334" t="s">
        <v>22</v>
      </c>
      <c r="AB52" s="334" t="s">
        <v>11</v>
      </c>
      <c r="AC52" s="334">
        <v>25.4</v>
      </c>
      <c r="AD52" s="343"/>
      <c r="AG52" s="344"/>
      <c r="AL52" s="343"/>
      <c r="AO52" s="344"/>
      <c r="AP52" s="343"/>
      <c r="AS52" s="344"/>
      <c r="AW52" s="344"/>
      <c r="BA52" s="345"/>
    </row>
    <row r="53" spans="1:53" s="334" customFormat="1" x14ac:dyDescent="0.15">
      <c r="A53" s="386">
        <v>1982</v>
      </c>
      <c r="B53" s="355"/>
      <c r="C53" s="812" t="s">
        <v>689</v>
      </c>
      <c r="D53" s="812"/>
      <c r="E53" s="334">
        <v>365</v>
      </c>
      <c r="G53" s="419">
        <v>5</v>
      </c>
      <c r="H53" s="334">
        <v>4</v>
      </c>
      <c r="J53" s="435">
        <v>9</v>
      </c>
      <c r="K53" s="384">
        <f t="shared" si="1"/>
        <v>55.555555555555557</v>
      </c>
      <c r="L53" s="384">
        <f t="shared" si="1"/>
        <v>44.444444444444443</v>
      </c>
      <c r="M53" s="384">
        <f t="shared" si="1"/>
        <v>0</v>
      </c>
      <c r="N53" s="421">
        <f t="shared" si="2"/>
        <v>100</v>
      </c>
      <c r="O53" s="383">
        <v>25.4</v>
      </c>
      <c r="P53" s="384">
        <v>40.700000000000003</v>
      </c>
      <c r="Q53" s="384"/>
      <c r="R53" s="385">
        <f t="shared" si="3"/>
        <v>66.099999999999994</v>
      </c>
      <c r="S53" s="334">
        <v>2</v>
      </c>
      <c r="T53" s="357"/>
      <c r="V53" s="343" t="s">
        <v>505</v>
      </c>
      <c r="W53" s="334" t="s">
        <v>17</v>
      </c>
      <c r="X53" s="334" t="s">
        <v>336</v>
      </c>
      <c r="Y53" s="344">
        <v>40.700000000000003</v>
      </c>
      <c r="Z53" s="334" t="s">
        <v>131</v>
      </c>
      <c r="AA53" s="334" t="s">
        <v>22</v>
      </c>
      <c r="AB53" s="334" t="s">
        <v>11</v>
      </c>
      <c r="AC53" s="334">
        <v>25.4</v>
      </c>
      <c r="AD53" s="343"/>
      <c r="AG53" s="344"/>
      <c r="AL53" s="343"/>
      <c r="AO53" s="344"/>
      <c r="AP53" s="343"/>
      <c r="AS53" s="344"/>
      <c r="AW53" s="344"/>
      <c r="BA53" s="345"/>
    </row>
    <row r="54" spans="1:53" s="334" customFormat="1" x14ac:dyDescent="0.15">
      <c r="A54" s="386">
        <v>1983</v>
      </c>
      <c r="B54" s="355"/>
      <c r="C54" s="812" t="s">
        <v>689</v>
      </c>
      <c r="D54" s="812"/>
      <c r="E54" s="334">
        <v>0</v>
      </c>
      <c r="G54" s="419">
        <v>5</v>
      </c>
      <c r="H54" s="334">
        <v>4</v>
      </c>
      <c r="J54" s="435">
        <v>9</v>
      </c>
      <c r="K54" s="384">
        <f t="shared" si="1"/>
        <v>55.555555555555557</v>
      </c>
      <c r="L54" s="384">
        <f t="shared" si="1"/>
        <v>44.444444444444443</v>
      </c>
      <c r="M54" s="384">
        <f t="shared" si="1"/>
        <v>0</v>
      </c>
      <c r="N54" s="421">
        <f t="shared" si="2"/>
        <v>100</v>
      </c>
      <c r="O54" s="383">
        <v>25.4</v>
      </c>
      <c r="P54" s="384">
        <v>40.700000000000003</v>
      </c>
      <c r="Q54" s="384"/>
      <c r="R54" s="385">
        <f t="shared" si="3"/>
        <v>66.099999999999994</v>
      </c>
      <c r="S54" s="334">
        <v>2</v>
      </c>
      <c r="T54" s="357"/>
      <c r="V54" s="343" t="s">
        <v>505</v>
      </c>
      <c r="W54" s="334" t="s">
        <v>17</v>
      </c>
      <c r="X54" s="334" t="s">
        <v>336</v>
      </c>
      <c r="Y54" s="344">
        <v>40.700000000000003</v>
      </c>
      <c r="Z54" s="334" t="s">
        <v>131</v>
      </c>
      <c r="AA54" s="334" t="s">
        <v>22</v>
      </c>
      <c r="AB54" s="334" t="s">
        <v>11</v>
      </c>
      <c r="AC54" s="334">
        <v>25.4</v>
      </c>
      <c r="AD54" s="343"/>
      <c r="AG54" s="344"/>
      <c r="AL54" s="343"/>
      <c r="AO54" s="344"/>
      <c r="AP54" s="343"/>
      <c r="AS54" s="344"/>
      <c r="AW54" s="344"/>
      <c r="BA54" s="345"/>
    </row>
    <row r="55" spans="1:53" s="334" customFormat="1" x14ac:dyDescent="0.15">
      <c r="A55" s="386">
        <v>1983</v>
      </c>
      <c r="B55" s="355"/>
      <c r="C55" s="812" t="s">
        <v>689</v>
      </c>
      <c r="D55" s="812"/>
      <c r="E55" s="334">
        <v>365</v>
      </c>
      <c r="G55" s="419">
        <v>5</v>
      </c>
      <c r="H55" s="334">
        <v>4</v>
      </c>
      <c r="J55" s="435">
        <v>9</v>
      </c>
      <c r="K55" s="384">
        <f t="shared" si="1"/>
        <v>55.555555555555557</v>
      </c>
      <c r="L55" s="384">
        <f t="shared" si="1"/>
        <v>44.444444444444443</v>
      </c>
      <c r="M55" s="384">
        <f t="shared" si="1"/>
        <v>0</v>
      </c>
      <c r="N55" s="421">
        <f t="shared" si="2"/>
        <v>100</v>
      </c>
      <c r="O55" s="383">
        <v>25.4</v>
      </c>
      <c r="P55" s="384">
        <v>40.700000000000003</v>
      </c>
      <c r="Q55" s="384"/>
      <c r="R55" s="385">
        <f t="shared" si="3"/>
        <v>66.099999999999994</v>
      </c>
      <c r="S55" s="334">
        <v>2</v>
      </c>
      <c r="T55" s="357"/>
      <c r="V55" s="343" t="s">
        <v>505</v>
      </c>
      <c r="W55" s="334" t="s">
        <v>17</v>
      </c>
      <c r="X55" s="334" t="s">
        <v>336</v>
      </c>
      <c r="Y55" s="344">
        <v>40.700000000000003</v>
      </c>
      <c r="Z55" s="334" t="s">
        <v>131</v>
      </c>
      <c r="AA55" s="334" t="s">
        <v>22</v>
      </c>
      <c r="AB55" s="334" t="s">
        <v>11</v>
      </c>
      <c r="AC55" s="334">
        <v>25.4</v>
      </c>
      <c r="AD55" s="343"/>
      <c r="AG55" s="344"/>
      <c r="AL55" s="343"/>
      <c r="AO55" s="344"/>
      <c r="AP55" s="343"/>
      <c r="AS55" s="344"/>
      <c r="AW55" s="344"/>
      <c r="BA55" s="345"/>
    </row>
    <row r="56" spans="1:53" s="334" customFormat="1" x14ac:dyDescent="0.15">
      <c r="A56" s="386">
        <v>1984</v>
      </c>
      <c r="B56" s="355"/>
      <c r="C56" s="812" t="s">
        <v>689</v>
      </c>
      <c r="D56" s="812"/>
      <c r="E56" s="334">
        <v>201</v>
      </c>
      <c r="G56" s="419">
        <v>5</v>
      </c>
      <c r="H56" s="334">
        <v>4</v>
      </c>
      <c r="J56" s="435">
        <v>9</v>
      </c>
      <c r="K56" s="384">
        <f t="shared" si="1"/>
        <v>55.555555555555557</v>
      </c>
      <c r="L56" s="384">
        <f t="shared" si="1"/>
        <v>44.444444444444443</v>
      </c>
      <c r="M56" s="384">
        <f t="shared" si="1"/>
        <v>0</v>
      </c>
      <c r="N56" s="421">
        <f t="shared" si="2"/>
        <v>100</v>
      </c>
      <c r="O56" s="383">
        <v>25.4</v>
      </c>
      <c r="P56" s="384">
        <v>40.700000000000003</v>
      </c>
      <c r="Q56" s="384"/>
      <c r="R56" s="385">
        <f t="shared" si="3"/>
        <v>66.099999999999994</v>
      </c>
      <c r="S56" s="334">
        <v>2</v>
      </c>
      <c r="T56" s="357"/>
      <c r="V56" s="343" t="s">
        <v>505</v>
      </c>
      <c r="W56" s="334" t="s">
        <v>17</v>
      </c>
      <c r="X56" s="334" t="s">
        <v>336</v>
      </c>
      <c r="Y56" s="344">
        <v>40.700000000000003</v>
      </c>
      <c r="Z56" s="334" t="s">
        <v>131</v>
      </c>
      <c r="AA56" s="334" t="s">
        <v>22</v>
      </c>
      <c r="AB56" s="334" t="s">
        <v>11</v>
      </c>
      <c r="AC56" s="334">
        <v>25.4</v>
      </c>
      <c r="AD56" s="343"/>
      <c r="AG56" s="344"/>
      <c r="AL56" s="343"/>
      <c r="AO56" s="344"/>
      <c r="AP56" s="343"/>
      <c r="AS56" s="344"/>
      <c r="AW56" s="344"/>
      <c r="BA56" s="345"/>
    </row>
    <row r="57" spans="1:53" s="208" customFormat="1" x14ac:dyDescent="0.15">
      <c r="A57" s="102">
        <v>1984</v>
      </c>
      <c r="B57" s="207">
        <v>30883</v>
      </c>
      <c r="C57" s="811" t="s">
        <v>690</v>
      </c>
      <c r="D57" s="811"/>
      <c r="E57" s="208">
        <f>366-E56</f>
        <v>165</v>
      </c>
      <c r="F57" s="208">
        <v>1</v>
      </c>
      <c r="G57" s="123"/>
      <c r="H57" s="208">
        <v>5</v>
      </c>
      <c r="I57" s="208">
        <v>4</v>
      </c>
      <c r="J57" s="134">
        <v>9</v>
      </c>
      <c r="K57" s="92">
        <f t="shared" si="1"/>
        <v>0</v>
      </c>
      <c r="L57" s="92">
        <f t="shared" si="1"/>
        <v>55.555555555555557</v>
      </c>
      <c r="M57" s="92">
        <f t="shared" si="1"/>
        <v>44.444444444444443</v>
      </c>
      <c r="N57" s="125">
        <f t="shared" si="2"/>
        <v>100</v>
      </c>
      <c r="O57" s="91"/>
      <c r="P57" s="92">
        <v>39.1</v>
      </c>
      <c r="Q57" s="92">
        <v>32.799999999999997</v>
      </c>
      <c r="R57" s="93">
        <f t="shared" si="3"/>
        <v>71.900000000000006</v>
      </c>
      <c r="S57" s="208">
        <v>2</v>
      </c>
      <c r="T57" s="95">
        <v>30850</v>
      </c>
      <c r="U57" s="207">
        <v>30883</v>
      </c>
      <c r="V57" s="82" t="s">
        <v>505</v>
      </c>
      <c r="W57" s="208" t="s">
        <v>17</v>
      </c>
      <c r="X57" s="208" t="s">
        <v>336</v>
      </c>
      <c r="Y57" s="83">
        <v>39.1</v>
      </c>
      <c r="Z57" s="208" t="s">
        <v>506</v>
      </c>
      <c r="AA57" s="208" t="s">
        <v>20</v>
      </c>
      <c r="AB57" s="208" t="s">
        <v>12</v>
      </c>
      <c r="AC57" s="208">
        <v>32.799999999999997</v>
      </c>
      <c r="AD57" s="82"/>
      <c r="AG57" s="83"/>
      <c r="AL57" s="82"/>
      <c r="AO57" s="83"/>
      <c r="AP57" s="82"/>
      <c r="AS57" s="83"/>
      <c r="AW57" s="83"/>
      <c r="BA57" s="84"/>
    </row>
    <row r="58" spans="1:53" s="208" customFormat="1" x14ac:dyDescent="0.15">
      <c r="A58" s="102">
        <v>1985</v>
      </c>
      <c r="B58" s="207"/>
      <c r="C58" s="811" t="s">
        <v>690</v>
      </c>
      <c r="D58" s="811"/>
      <c r="E58" s="208">
        <v>0</v>
      </c>
      <c r="G58" s="123"/>
      <c r="H58" s="208">
        <v>5</v>
      </c>
      <c r="I58" s="208">
        <v>4</v>
      </c>
      <c r="J58" s="134">
        <v>9</v>
      </c>
      <c r="K58" s="92">
        <f t="shared" si="1"/>
        <v>0</v>
      </c>
      <c r="L58" s="92">
        <f t="shared" si="1"/>
        <v>55.555555555555557</v>
      </c>
      <c r="M58" s="92">
        <f t="shared" si="1"/>
        <v>44.444444444444443</v>
      </c>
      <c r="N58" s="125">
        <f t="shared" si="2"/>
        <v>100</v>
      </c>
      <c r="O58" s="91"/>
      <c r="P58" s="92">
        <v>39.1</v>
      </c>
      <c r="Q58" s="92">
        <v>32.799999999999997</v>
      </c>
      <c r="R58" s="93">
        <f t="shared" si="3"/>
        <v>71.900000000000006</v>
      </c>
      <c r="S58" s="208">
        <v>2</v>
      </c>
      <c r="T58" s="81"/>
      <c r="V58" s="82" t="s">
        <v>505</v>
      </c>
      <c r="W58" s="208" t="s">
        <v>17</v>
      </c>
      <c r="X58" s="208" t="s">
        <v>336</v>
      </c>
      <c r="Y58" s="83">
        <v>39.1</v>
      </c>
      <c r="Z58" s="208" t="s">
        <v>506</v>
      </c>
      <c r="AA58" s="208" t="s">
        <v>20</v>
      </c>
      <c r="AB58" s="208" t="s">
        <v>12</v>
      </c>
      <c r="AC58" s="208">
        <v>32.799999999999997</v>
      </c>
      <c r="AD58" s="82"/>
      <c r="AG58" s="83"/>
      <c r="AL58" s="82"/>
      <c r="AO58" s="83"/>
      <c r="AP58" s="82"/>
      <c r="AS58" s="83"/>
      <c r="AW58" s="83"/>
      <c r="BA58" s="84"/>
    </row>
    <row r="59" spans="1:53" s="208" customFormat="1" x14ac:dyDescent="0.15">
      <c r="A59" s="102">
        <v>1985</v>
      </c>
      <c r="B59" s="207"/>
      <c r="C59" s="811" t="s">
        <v>690</v>
      </c>
      <c r="D59" s="811"/>
      <c r="E59" s="208">
        <v>365</v>
      </c>
      <c r="G59" s="123"/>
      <c r="H59" s="208">
        <v>5</v>
      </c>
      <c r="I59" s="208">
        <v>4</v>
      </c>
      <c r="J59" s="134">
        <v>9</v>
      </c>
      <c r="K59" s="92">
        <f t="shared" si="1"/>
        <v>0</v>
      </c>
      <c r="L59" s="92">
        <f t="shared" si="1"/>
        <v>55.555555555555557</v>
      </c>
      <c r="M59" s="92">
        <f t="shared" si="1"/>
        <v>44.444444444444443</v>
      </c>
      <c r="N59" s="125">
        <f t="shared" si="2"/>
        <v>100</v>
      </c>
      <c r="O59" s="91"/>
      <c r="P59" s="92">
        <v>39.1</v>
      </c>
      <c r="Q59" s="92">
        <v>32.799999999999997</v>
      </c>
      <c r="R59" s="93">
        <f t="shared" si="3"/>
        <v>71.900000000000006</v>
      </c>
      <c r="S59" s="208">
        <v>2</v>
      </c>
      <c r="T59" s="81"/>
      <c r="V59" s="82" t="s">
        <v>505</v>
      </c>
      <c r="W59" s="208" t="s">
        <v>17</v>
      </c>
      <c r="X59" s="208" t="s">
        <v>336</v>
      </c>
      <c r="Y59" s="83">
        <v>39.1</v>
      </c>
      <c r="Z59" s="208" t="s">
        <v>506</v>
      </c>
      <c r="AA59" s="208" t="s">
        <v>20</v>
      </c>
      <c r="AB59" s="208" t="s">
        <v>12</v>
      </c>
      <c r="AC59" s="208">
        <v>32.799999999999997</v>
      </c>
      <c r="AD59" s="82"/>
      <c r="AG59" s="83"/>
      <c r="AL59" s="82"/>
      <c r="AO59" s="83"/>
      <c r="AP59" s="82"/>
      <c r="AS59" s="83"/>
      <c r="AW59" s="83"/>
      <c r="BA59" s="84"/>
    </row>
    <row r="60" spans="1:53" s="208" customFormat="1" x14ac:dyDescent="0.15">
      <c r="A60" s="102">
        <v>1986</v>
      </c>
      <c r="B60" s="207"/>
      <c r="C60" s="811" t="s">
        <v>690</v>
      </c>
      <c r="D60" s="811"/>
      <c r="E60" s="208">
        <v>0</v>
      </c>
      <c r="G60" s="123"/>
      <c r="H60" s="208">
        <v>5</v>
      </c>
      <c r="I60" s="208">
        <v>4</v>
      </c>
      <c r="J60" s="134">
        <v>9</v>
      </c>
      <c r="K60" s="92">
        <f t="shared" si="1"/>
        <v>0</v>
      </c>
      <c r="L60" s="92">
        <f t="shared" si="1"/>
        <v>55.555555555555557</v>
      </c>
      <c r="M60" s="92">
        <f t="shared" si="1"/>
        <v>44.444444444444443</v>
      </c>
      <c r="N60" s="125">
        <f t="shared" si="2"/>
        <v>100</v>
      </c>
      <c r="O60" s="91"/>
      <c r="P60" s="92">
        <v>39.1</v>
      </c>
      <c r="Q60" s="92">
        <v>32.799999999999997</v>
      </c>
      <c r="R60" s="93">
        <f t="shared" si="3"/>
        <v>71.900000000000006</v>
      </c>
      <c r="S60" s="208">
        <v>2</v>
      </c>
      <c r="T60" s="81"/>
      <c r="V60" s="82" t="s">
        <v>505</v>
      </c>
      <c r="W60" s="208" t="s">
        <v>17</v>
      </c>
      <c r="X60" s="208" t="s">
        <v>336</v>
      </c>
      <c r="Y60" s="83">
        <v>39.1</v>
      </c>
      <c r="Z60" s="208" t="s">
        <v>506</v>
      </c>
      <c r="AA60" s="208" t="s">
        <v>20</v>
      </c>
      <c r="AB60" s="208" t="s">
        <v>12</v>
      </c>
      <c r="AC60" s="208">
        <v>32.799999999999997</v>
      </c>
      <c r="AD60" s="82"/>
      <c r="AG60" s="83"/>
      <c r="AL60" s="82"/>
      <c r="AO60" s="83"/>
      <c r="AP60" s="82"/>
      <c r="AS60" s="83"/>
      <c r="AW60" s="83"/>
      <c r="BA60" s="84"/>
    </row>
    <row r="61" spans="1:53" s="208" customFormat="1" x14ac:dyDescent="0.15">
      <c r="A61" s="102">
        <v>1986</v>
      </c>
      <c r="B61" s="207"/>
      <c r="C61" s="811" t="s">
        <v>690</v>
      </c>
      <c r="D61" s="811"/>
      <c r="E61" s="208">
        <v>365</v>
      </c>
      <c r="G61" s="123"/>
      <c r="H61" s="208">
        <v>5</v>
      </c>
      <c r="I61" s="208">
        <v>4</v>
      </c>
      <c r="J61" s="134">
        <v>9</v>
      </c>
      <c r="K61" s="92">
        <f t="shared" si="1"/>
        <v>0</v>
      </c>
      <c r="L61" s="92">
        <f t="shared" si="1"/>
        <v>55.555555555555557</v>
      </c>
      <c r="M61" s="92">
        <f t="shared" si="1"/>
        <v>44.444444444444443</v>
      </c>
      <c r="N61" s="125">
        <f t="shared" si="2"/>
        <v>100</v>
      </c>
      <c r="O61" s="91"/>
      <c r="P61" s="92">
        <v>39.1</v>
      </c>
      <c r="Q61" s="92">
        <v>32.799999999999997</v>
      </c>
      <c r="R61" s="93">
        <f t="shared" si="3"/>
        <v>71.900000000000006</v>
      </c>
      <c r="S61" s="208">
        <v>2</v>
      </c>
      <c r="T61" s="81"/>
      <c r="V61" s="82" t="s">
        <v>505</v>
      </c>
      <c r="W61" s="208" t="s">
        <v>17</v>
      </c>
      <c r="X61" s="208" t="s">
        <v>336</v>
      </c>
      <c r="Y61" s="83">
        <v>39.1</v>
      </c>
      <c r="Z61" s="208" t="s">
        <v>506</v>
      </c>
      <c r="AA61" s="208" t="s">
        <v>20</v>
      </c>
      <c r="AB61" s="208" t="s">
        <v>12</v>
      </c>
      <c r="AC61" s="208">
        <v>32.799999999999997</v>
      </c>
      <c r="AD61" s="82"/>
      <c r="AG61" s="83"/>
      <c r="AL61" s="82"/>
      <c r="AO61" s="83"/>
      <c r="AP61" s="82"/>
      <c r="AS61" s="83"/>
      <c r="AW61" s="83"/>
      <c r="BA61" s="84"/>
    </row>
    <row r="62" spans="1:53" s="208" customFormat="1" x14ac:dyDescent="0.15">
      <c r="A62" s="102">
        <v>1987</v>
      </c>
      <c r="B62" s="207"/>
      <c r="C62" s="811" t="s">
        <v>690</v>
      </c>
      <c r="D62" s="811"/>
      <c r="E62" s="208">
        <v>0</v>
      </c>
      <c r="G62" s="123"/>
      <c r="H62" s="208">
        <v>5</v>
      </c>
      <c r="I62" s="208">
        <v>4</v>
      </c>
      <c r="J62" s="134">
        <v>9</v>
      </c>
      <c r="K62" s="92">
        <f t="shared" si="1"/>
        <v>0</v>
      </c>
      <c r="L62" s="92">
        <f t="shared" si="1"/>
        <v>55.555555555555557</v>
      </c>
      <c r="M62" s="92">
        <f t="shared" si="1"/>
        <v>44.444444444444443</v>
      </c>
      <c r="N62" s="125">
        <f t="shared" si="2"/>
        <v>100</v>
      </c>
      <c r="O62" s="91"/>
      <c r="P62" s="92">
        <v>39.1</v>
      </c>
      <c r="Q62" s="92">
        <v>32.799999999999997</v>
      </c>
      <c r="R62" s="93">
        <f t="shared" si="3"/>
        <v>71.900000000000006</v>
      </c>
      <c r="S62" s="208">
        <v>2</v>
      </c>
      <c r="T62" s="81"/>
      <c r="V62" s="82" t="s">
        <v>505</v>
      </c>
      <c r="W62" s="208" t="s">
        <v>17</v>
      </c>
      <c r="X62" s="208" t="s">
        <v>336</v>
      </c>
      <c r="Y62" s="83">
        <v>39.1</v>
      </c>
      <c r="Z62" s="208" t="s">
        <v>506</v>
      </c>
      <c r="AA62" s="208" t="s">
        <v>20</v>
      </c>
      <c r="AB62" s="208" t="s">
        <v>12</v>
      </c>
      <c r="AC62" s="208">
        <v>32.799999999999997</v>
      </c>
      <c r="AD62" s="82"/>
      <c r="AG62" s="83"/>
      <c r="AL62" s="82"/>
      <c r="AO62" s="83"/>
      <c r="AP62" s="82"/>
      <c r="AS62" s="83"/>
      <c r="AW62" s="83"/>
      <c r="BA62" s="84"/>
    </row>
    <row r="63" spans="1:53" s="208" customFormat="1" x14ac:dyDescent="0.15">
      <c r="A63" s="102">
        <v>1987</v>
      </c>
      <c r="B63" s="207"/>
      <c r="C63" s="811" t="s">
        <v>690</v>
      </c>
      <c r="D63" s="811"/>
      <c r="E63" s="208">
        <v>365</v>
      </c>
      <c r="G63" s="123"/>
      <c r="H63" s="208">
        <v>5</v>
      </c>
      <c r="I63" s="208">
        <v>4</v>
      </c>
      <c r="J63" s="134">
        <v>9</v>
      </c>
      <c r="K63" s="92">
        <f t="shared" si="1"/>
        <v>0</v>
      </c>
      <c r="L63" s="92">
        <f t="shared" si="1"/>
        <v>55.555555555555557</v>
      </c>
      <c r="M63" s="92">
        <f t="shared" si="1"/>
        <v>44.444444444444443</v>
      </c>
      <c r="N63" s="125">
        <f t="shared" si="2"/>
        <v>100</v>
      </c>
      <c r="O63" s="91"/>
      <c r="P63" s="92">
        <v>39.1</v>
      </c>
      <c r="Q63" s="92">
        <v>32.799999999999997</v>
      </c>
      <c r="R63" s="93">
        <f t="shared" si="3"/>
        <v>71.900000000000006</v>
      </c>
      <c r="S63" s="208">
        <v>2</v>
      </c>
      <c r="T63" s="81"/>
      <c r="V63" s="82" t="s">
        <v>505</v>
      </c>
      <c r="W63" s="208" t="s">
        <v>17</v>
      </c>
      <c r="X63" s="208" t="s">
        <v>336</v>
      </c>
      <c r="Y63" s="83">
        <v>39.1</v>
      </c>
      <c r="Z63" s="208" t="s">
        <v>506</v>
      </c>
      <c r="AA63" s="208" t="s">
        <v>20</v>
      </c>
      <c r="AB63" s="208" t="s">
        <v>12</v>
      </c>
      <c r="AC63" s="208">
        <v>32.799999999999997</v>
      </c>
      <c r="AD63" s="82"/>
      <c r="AG63" s="83"/>
      <c r="AL63" s="82"/>
      <c r="AO63" s="83"/>
      <c r="AP63" s="82"/>
      <c r="AS63" s="83"/>
      <c r="AW63" s="83"/>
      <c r="BA63" s="84"/>
    </row>
    <row r="64" spans="1:53" s="208" customFormat="1" x14ac:dyDescent="0.15">
      <c r="A64" s="102">
        <v>1988</v>
      </c>
      <c r="B64" s="207"/>
      <c r="C64" s="811" t="s">
        <v>690</v>
      </c>
      <c r="D64" s="811"/>
      <c r="E64" s="208">
        <v>0</v>
      </c>
      <c r="G64" s="123"/>
      <c r="H64" s="208">
        <v>5</v>
      </c>
      <c r="I64" s="208">
        <v>4</v>
      </c>
      <c r="J64" s="134">
        <v>9</v>
      </c>
      <c r="K64" s="92">
        <f t="shared" si="1"/>
        <v>0</v>
      </c>
      <c r="L64" s="92">
        <f t="shared" si="1"/>
        <v>55.555555555555557</v>
      </c>
      <c r="M64" s="92">
        <f t="shared" si="1"/>
        <v>44.444444444444443</v>
      </c>
      <c r="N64" s="125">
        <f t="shared" si="2"/>
        <v>100</v>
      </c>
      <c r="O64" s="91"/>
      <c r="P64" s="92">
        <v>39.1</v>
      </c>
      <c r="Q64" s="92">
        <v>32.799999999999997</v>
      </c>
      <c r="R64" s="93">
        <f t="shared" si="3"/>
        <v>71.900000000000006</v>
      </c>
      <c r="S64" s="208">
        <v>2</v>
      </c>
      <c r="T64" s="81"/>
      <c r="V64" s="82" t="s">
        <v>505</v>
      </c>
      <c r="W64" s="208" t="s">
        <v>17</v>
      </c>
      <c r="X64" s="208" t="s">
        <v>336</v>
      </c>
      <c r="Y64" s="83">
        <v>39.1</v>
      </c>
      <c r="Z64" s="208" t="s">
        <v>506</v>
      </c>
      <c r="AA64" s="208" t="s">
        <v>20</v>
      </c>
      <c r="AB64" s="208" t="s">
        <v>12</v>
      </c>
      <c r="AC64" s="208">
        <v>32.799999999999997</v>
      </c>
      <c r="AD64" s="82"/>
      <c r="AG64" s="83"/>
      <c r="AL64" s="82"/>
      <c r="AO64" s="83"/>
      <c r="AP64" s="82"/>
      <c r="AS64" s="83"/>
      <c r="AW64" s="83"/>
      <c r="BA64" s="84"/>
    </row>
    <row r="65" spans="1:53" s="208" customFormat="1" x14ac:dyDescent="0.15">
      <c r="A65" s="102">
        <v>1988</v>
      </c>
      <c r="B65" s="207"/>
      <c r="C65" s="811" t="s">
        <v>690</v>
      </c>
      <c r="D65" s="811"/>
      <c r="E65" s="208">
        <v>366</v>
      </c>
      <c r="G65" s="123"/>
      <c r="H65" s="208">
        <v>5</v>
      </c>
      <c r="I65" s="208">
        <v>4</v>
      </c>
      <c r="J65" s="134">
        <v>9</v>
      </c>
      <c r="K65" s="92">
        <f t="shared" si="1"/>
        <v>0</v>
      </c>
      <c r="L65" s="92">
        <f t="shared" si="1"/>
        <v>55.555555555555557</v>
      </c>
      <c r="M65" s="92">
        <f t="shared" si="1"/>
        <v>44.444444444444443</v>
      </c>
      <c r="N65" s="125">
        <f t="shared" si="2"/>
        <v>100</v>
      </c>
      <c r="O65" s="91"/>
      <c r="P65" s="92">
        <v>39.1</v>
      </c>
      <c r="Q65" s="92">
        <v>32.799999999999997</v>
      </c>
      <c r="R65" s="93">
        <f t="shared" si="3"/>
        <v>71.900000000000006</v>
      </c>
      <c r="S65" s="208">
        <v>2</v>
      </c>
      <c r="T65" s="81"/>
      <c r="V65" s="82" t="s">
        <v>505</v>
      </c>
      <c r="W65" s="208" t="s">
        <v>17</v>
      </c>
      <c r="X65" s="208" t="s">
        <v>336</v>
      </c>
      <c r="Y65" s="83">
        <v>39.1</v>
      </c>
      <c r="Z65" s="208" t="s">
        <v>506</v>
      </c>
      <c r="AA65" s="208" t="s">
        <v>20</v>
      </c>
      <c r="AB65" s="208" t="s">
        <v>12</v>
      </c>
      <c r="AC65" s="208">
        <v>32.799999999999997</v>
      </c>
      <c r="AD65" s="82"/>
      <c r="AG65" s="83"/>
      <c r="AL65" s="82"/>
      <c r="AO65" s="83"/>
      <c r="AP65" s="82"/>
      <c r="AS65" s="83"/>
      <c r="AW65" s="83"/>
      <c r="BA65" s="84"/>
    </row>
    <row r="66" spans="1:53" s="208" customFormat="1" x14ac:dyDescent="0.15">
      <c r="A66" s="102">
        <v>1989</v>
      </c>
      <c r="B66" s="207"/>
      <c r="C66" s="811" t="s">
        <v>690</v>
      </c>
      <c r="D66" s="811"/>
      <c r="E66" s="208">
        <v>194</v>
      </c>
      <c r="G66" s="123"/>
      <c r="H66" s="208">
        <v>5</v>
      </c>
      <c r="I66" s="208">
        <v>4</v>
      </c>
      <c r="J66" s="134">
        <v>9</v>
      </c>
      <c r="K66" s="92">
        <f t="shared" si="1"/>
        <v>0</v>
      </c>
      <c r="L66" s="92">
        <f t="shared" si="1"/>
        <v>55.555555555555557</v>
      </c>
      <c r="M66" s="92">
        <f t="shared" si="1"/>
        <v>44.444444444444443</v>
      </c>
      <c r="N66" s="125">
        <f t="shared" si="2"/>
        <v>100</v>
      </c>
      <c r="O66" s="91"/>
      <c r="P66" s="92">
        <v>39.1</v>
      </c>
      <c r="Q66" s="92">
        <v>32.799999999999997</v>
      </c>
      <c r="R66" s="93">
        <f t="shared" si="3"/>
        <v>71.900000000000006</v>
      </c>
      <c r="S66" s="208">
        <v>2</v>
      </c>
      <c r="T66" s="81"/>
      <c r="V66" s="82" t="s">
        <v>505</v>
      </c>
      <c r="W66" s="208" t="s">
        <v>17</v>
      </c>
      <c r="X66" s="208" t="s">
        <v>336</v>
      </c>
      <c r="Y66" s="83">
        <v>39.1</v>
      </c>
      <c r="Z66" s="208" t="s">
        <v>506</v>
      </c>
      <c r="AA66" s="208" t="s">
        <v>20</v>
      </c>
      <c r="AB66" s="208" t="s">
        <v>12</v>
      </c>
      <c r="AC66" s="208">
        <v>32.799999999999997</v>
      </c>
      <c r="AD66" s="82"/>
      <c r="AG66" s="83"/>
      <c r="AL66" s="82"/>
      <c r="AO66" s="83"/>
      <c r="AP66" s="82"/>
      <c r="AS66" s="83"/>
      <c r="AW66" s="83"/>
      <c r="BA66" s="84"/>
    </row>
    <row r="67" spans="1:53" s="104" customFormat="1" x14ac:dyDescent="0.15">
      <c r="A67" s="201">
        <v>1989</v>
      </c>
      <c r="B67" s="407">
        <v>32703</v>
      </c>
      <c r="C67" s="818" t="s">
        <v>691</v>
      </c>
      <c r="D67" s="818"/>
      <c r="E67" s="104">
        <f>365-E66</f>
        <v>171</v>
      </c>
      <c r="F67" s="104">
        <v>1</v>
      </c>
      <c r="G67" s="447"/>
      <c r="H67" s="104">
        <v>6</v>
      </c>
      <c r="I67" s="104">
        <v>4</v>
      </c>
      <c r="J67" s="448">
        <v>10</v>
      </c>
      <c r="K67" s="403">
        <f t="shared" si="1"/>
        <v>0</v>
      </c>
      <c r="L67" s="404">
        <f t="shared" si="1"/>
        <v>60</v>
      </c>
      <c r="M67" s="404">
        <f t="shared" si="1"/>
        <v>40</v>
      </c>
      <c r="N67" s="426">
        <f t="shared" si="2"/>
        <v>100</v>
      </c>
      <c r="O67" s="403"/>
      <c r="P67" s="404">
        <v>36.700000000000003</v>
      </c>
      <c r="Q67" s="404">
        <v>30</v>
      </c>
      <c r="R67" s="405">
        <f t="shared" si="3"/>
        <v>66.7</v>
      </c>
      <c r="S67" s="334">
        <v>2</v>
      </c>
      <c r="T67" s="406">
        <v>32677</v>
      </c>
      <c r="U67" s="407">
        <v>32703</v>
      </c>
      <c r="V67" s="105" t="s">
        <v>505</v>
      </c>
      <c r="W67" s="104" t="s">
        <v>17</v>
      </c>
      <c r="X67" s="104" t="s">
        <v>336</v>
      </c>
      <c r="Y67" s="106">
        <v>36.700000000000003</v>
      </c>
      <c r="Z67" s="104" t="s">
        <v>506</v>
      </c>
      <c r="AA67" s="104" t="s">
        <v>20</v>
      </c>
      <c r="AB67" s="104" t="s">
        <v>12</v>
      </c>
      <c r="AC67" s="106">
        <v>30</v>
      </c>
      <c r="AD67" s="105"/>
      <c r="AG67" s="106"/>
      <c r="AL67" s="105"/>
      <c r="AO67" s="106"/>
      <c r="AP67" s="105"/>
      <c r="AS67" s="106"/>
      <c r="AW67" s="106"/>
      <c r="BA67" s="107"/>
    </row>
    <row r="68" spans="1:53" s="334" customFormat="1" x14ac:dyDescent="0.15">
      <c r="A68" s="334">
        <v>1990</v>
      </c>
      <c r="C68" s="812" t="s">
        <v>691</v>
      </c>
      <c r="D68" s="812"/>
      <c r="E68" s="334">
        <v>0</v>
      </c>
      <c r="G68" s="419"/>
      <c r="H68" s="334">
        <v>6</v>
      </c>
      <c r="I68" s="334">
        <v>4</v>
      </c>
      <c r="J68" s="435">
        <v>10</v>
      </c>
      <c r="K68" s="384">
        <f t="shared" si="1"/>
        <v>0</v>
      </c>
      <c r="L68" s="384">
        <f t="shared" si="1"/>
        <v>60</v>
      </c>
      <c r="M68" s="384">
        <f t="shared" si="1"/>
        <v>40</v>
      </c>
      <c r="N68" s="421">
        <f t="shared" si="2"/>
        <v>100</v>
      </c>
      <c r="O68" s="383"/>
      <c r="P68" s="384">
        <v>36.700000000000003</v>
      </c>
      <c r="Q68" s="384">
        <v>30</v>
      </c>
      <c r="R68" s="385">
        <f t="shared" si="3"/>
        <v>66.7</v>
      </c>
      <c r="S68" s="457">
        <v>2</v>
      </c>
      <c r="T68" s="357"/>
      <c r="V68" s="343" t="s">
        <v>505</v>
      </c>
      <c r="W68" s="334" t="s">
        <v>17</v>
      </c>
      <c r="X68" s="334" t="s">
        <v>336</v>
      </c>
      <c r="Y68" s="344">
        <v>36.700000000000003</v>
      </c>
      <c r="Z68" s="334" t="s">
        <v>506</v>
      </c>
      <c r="AA68" s="334" t="s">
        <v>20</v>
      </c>
      <c r="AB68" s="334" t="s">
        <v>12</v>
      </c>
      <c r="AC68" s="334">
        <v>30</v>
      </c>
      <c r="AD68" s="343"/>
      <c r="AG68" s="344"/>
      <c r="AL68" s="343"/>
      <c r="AO68" s="344"/>
      <c r="AP68" s="343"/>
      <c r="AS68" s="344"/>
      <c r="AW68" s="344"/>
      <c r="BA68" s="345"/>
    </row>
    <row r="69" spans="1:53" s="334" customFormat="1" x14ac:dyDescent="0.15">
      <c r="A69" s="334">
        <v>1990</v>
      </c>
      <c r="C69" s="812" t="s">
        <v>691</v>
      </c>
      <c r="D69" s="812"/>
      <c r="E69" s="334">
        <f>365-E68</f>
        <v>365</v>
      </c>
      <c r="G69" s="419"/>
      <c r="H69" s="334">
        <v>6</v>
      </c>
      <c r="I69" s="334">
        <v>4</v>
      </c>
      <c r="J69" s="435">
        <v>10</v>
      </c>
      <c r="K69" s="384">
        <f t="shared" si="1"/>
        <v>0</v>
      </c>
      <c r="L69" s="384">
        <f t="shared" si="1"/>
        <v>60</v>
      </c>
      <c r="M69" s="384">
        <f t="shared" si="1"/>
        <v>40</v>
      </c>
      <c r="N69" s="421">
        <f t="shared" si="2"/>
        <v>100</v>
      </c>
      <c r="O69" s="383"/>
      <c r="P69" s="384">
        <v>36.700000000000003</v>
      </c>
      <c r="Q69" s="384">
        <v>30</v>
      </c>
      <c r="R69" s="385">
        <f t="shared" si="3"/>
        <v>66.7</v>
      </c>
      <c r="S69" s="334">
        <v>2</v>
      </c>
      <c r="T69" s="357"/>
      <c r="V69" s="343" t="s">
        <v>505</v>
      </c>
      <c r="W69" s="334" t="s">
        <v>17</v>
      </c>
      <c r="X69" s="334" t="s">
        <v>336</v>
      </c>
      <c r="Y69" s="344">
        <v>36.700000000000003</v>
      </c>
      <c r="Z69" s="334" t="s">
        <v>506</v>
      </c>
      <c r="AA69" s="334" t="s">
        <v>20</v>
      </c>
      <c r="AB69" s="334" t="s">
        <v>12</v>
      </c>
      <c r="AC69" s="334">
        <v>30</v>
      </c>
      <c r="AD69" s="343"/>
      <c r="AG69" s="344"/>
      <c r="AL69" s="343"/>
      <c r="AO69" s="344"/>
      <c r="AP69" s="343"/>
      <c r="AS69" s="344"/>
      <c r="AW69" s="344"/>
      <c r="BA69" s="345"/>
    </row>
    <row r="70" spans="1:53" s="334" customFormat="1" x14ac:dyDescent="0.15">
      <c r="A70" s="334">
        <v>1991</v>
      </c>
      <c r="C70" s="812" t="s">
        <v>691</v>
      </c>
      <c r="D70" s="812"/>
      <c r="E70" s="334">
        <v>0</v>
      </c>
      <c r="G70" s="419"/>
      <c r="H70" s="334">
        <v>6</v>
      </c>
      <c r="I70" s="334">
        <v>4</v>
      </c>
      <c r="J70" s="435">
        <v>10</v>
      </c>
      <c r="K70" s="384">
        <f t="shared" si="1"/>
        <v>0</v>
      </c>
      <c r="L70" s="384">
        <f t="shared" si="1"/>
        <v>60</v>
      </c>
      <c r="M70" s="384">
        <f t="shared" si="1"/>
        <v>40</v>
      </c>
      <c r="N70" s="421">
        <f t="shared" si="2"/>
        <v>100</v>
      </c>
      <c r="O70" s="383"/>
      <c r="P70" s="384">
        <v>36.700000000000003</v>
      </c>
      <c r="Q70" s="384">
        <v>30</v>
      </c>
      <c r="R70" s="385">
        <f t="shared" si="3"/>
        <v>66.7</v>
      </c>
      <c r="S70" s="334">
        <v>2</v>
      </c>
      <c r="T70" s="357"/>
      <c r="V70" s="343" t="s">
        <v>505</v>
      </c>
      <c r="W70" s="334" t="s">
        <v>17</v>
      </c>
      <c r="X70" s="334" t="s">
        <v>336</v>
      </c>
      <c r="Y70" s="344">
        <v>36.700000000000003</v>
      </c>
      <c r="Z70" s="334" t="s">
        <v>506</v>
      </c>
      <c r="AA70" s="334" t="s">
        <v>20</v>
      </c>
      <c r="AB70" s="334" t="s">
        <v>12</v>
      </c>
      <c r="AC70" s="334">
        <v>30</v>
      </c>
      <c r="AD70" s="343"/>
      <c r="AG70" s="344"/>
      <c r="AL70" s="343"/>
      <c r="AO70" s="344"/>
      <c r="AP70" s="343"/>
      <c r="AS70" s="344"/>
      <c r="AW70" s="344"/>
      <c r="BA70" s="345"/>
    </row>
    <row r="71" spans="1:53" s="334" customFormat="1" x14ac:dyDescent="0.15">
      <c r="A71" s="334">
        <v>1991</v>
      </c>
      <c r="C71" s="812" t="s">
        <v>691</v>
      </c>
      <c r="D71" s="812"/>
      <c r="E71" s="334">
        <f>365-E70</f>
        <v>365</v>
      </c>
      <c r="G71" s="419"/>
      <c r="H71" s="334">
        <v>6</v>
      </c>
      <c r="I71" s="334">
        <v>4</v>
      </c>
      <c r="J71" s="435">
        <v>10</v>
      </c>
      <c r="K71" s="384">
        <f t="shared" si="1"/>
        <v>0</v>
      </c>
      <c r="L71" s="384">
        <f t="shared" si="1"/>
        <v>60</v>
      </c>
      <c r="M71" s="384">
        <f t="shared" si="1"/>
        <v>40</v>
      </c>
      <c r="N71" s="421">
        <f t="shared" si="2"/>
        <v>100</v>
      </c>
      <c r="O71" s="383"/>
      <c r="P71" s="384">
        <v>36.700000000000003</v>
      </c>
      <c r="Q71" s="384">
        <v>30</v>
      </c>
      <c r="R71" s="385">
        <f t="shared" si="3"/>
        <v>66.7</v>
      </c>
      <c r="S71" s="334">
        <v>2</v>
      </c>
      <c r="T71" s="357"/>
      <c r="V71" s="343" t="s">
        <v>505</v>
      </c>
      <c r="W71" s="334" t="s">
        <v>17</v>
      </c>
      <c r="X71" s="334" t="s">
        <v>336</v>
      </c>
      <c r="Y71" s="344">
        <v>36.700000000000003</v>
      </c>
      <c r="Z71" s="334" t="s">
        <v>506</v>
      </c>
      <c r="AA71" s="334" t="s">
        <v>20</v>
      </c>
      <c r="AB71" s="334" t="s">
        <v>12</v>
      </c>
      <c r="AC71" s="334">
        <v>30</v>
      </c>
      <c r="AD71" s="343"/>
      <c r="AG71" s="344"/>
      <c r="AL71" s="343"/>
      <c r="AO71" s="344"/>
      <c r="AP71" s="343"/>
      <c r="AS71" s="344"/>
      <c r="AW71" s="344"/>
      <c r="BA71" s="345"/>
    </row>
    <row r="72" spans="1:53" s="334" customFormat="1" x14ac:dyDescent="0.15">
      <c r="A72" s="334">
        <v>1992</v>
      </c>
      <c r="C72" s="812" t="s">
        <v>691</v>
      </c>
      <c r="D72" s="812"/>
      <c r="E72" s="334">
        <v>0</v>
      </c>
      <c r="G72" s="419"/>
      <c r="H72" s="334">
        <v>6</v>
      </c>
      <c r="I72" s="334">
        <v>4</v>
      </c>
      <c r="J72" s="435">
        <v>10</v>
      </c>
      <c r="K72" s="384">
        <f t="shared" si="1"/>
        <v>0</v>
      </c>
      <c r="L72" s="384">
        <f t="shared" si="1"/>
        <v>60</v>
      </c>
      <c r="M72" s="384">
        <f t="shared" si="1"/>
        <v>40</v>
      </c>
      <c r="N72" s="421">
        <f t="shared" si="2"/>
        <v>100</v>
      </c>
      <c r="O72" s="383"/>
      <c r="P72" s="384">
        <v>36.700000000000003</v>
      </c>
      <c r="Q72" s="384">
        <v>30</v>
      </c>
      <c r="R72" s="385">
        <f t="shared" si="3"/>
        <v>66.7</v>
      </c>
      <c r="S72" s="334">
        <v>2</v>
      </c>
      <c r="T72" s="357"/>
      <c r="V72" s="343" t="s">
        <v>505</v>
      </c>
      <c r="W72" s="334" t="s">
        <v>17</v>
      </c>
      <c r="X72" s="334" t="s">
        <v>336</v>
      </c>
      <c r="Y72" s="344">
        <v>36.700000000000003</v>
      </c>
      <c r="Z72" s="334" t="s">
        <v>506</v>
      </c>
      <c r="AA72" s="334" t="s">
        <v>20</v>
      </c>
      <c r="AB72" s="334" t="s">
        <v>12</v>
      </c>
      <c r="AC72" s="334">
        <v>30</v>
      </c>
      <c r="AD72" s="343"/>
      <c r="AG72" s="344"/>
      <c r="AL72" s="343"/>
      <c r="AO72" s="344"/>
      <c r="AP72" s="343"/>
      <c r="AS72" s="344"/>
      <c r="AW72" s="344"/>
      <c r="BA72" s="345"/>
    </row>
    <row r="73" spans="1:53" s="334" customFormat="1" x14ac:dyDescent="0.15">
      <c r="A73" s="334">
        <v>1992</v>
      </c>
      <c r="C73" s="812" t="s">
        <v>691</v>
      </c>
      <c r="D73" s="812"/>
      <c r="E73" s="334">
        <v>366</v>
      </c>
      <c r="G73" s="419"/>
      <c r="H73" s="334">
        <v>6</v>
      </c>
      <c r="I73" s="334">
        <v>4</v>
      </c>
      <c r="J73" s="435">
        <v>10</v>
      </c>
      <c r="K73" s="384">
        <f t="shared" ref="K73:M115" si="4">G73/$J73*100</f>
        <v>0</v>
      </c>
      <c r="L73" s="384">
        <f t="shared" si="4"/>
        <v>60</v>
      </c>
      <c r="M73" s="384">
        <f t="shared" si="4"/>
        <v>40</v>
      </c>
      <c r="N73" s="421">
        <f t="shared" ref="N73:N115" si="5">K73+L73+M73</f>
        <v>100</v>
      </c>
      <c r="O73" s="383"/>
      <c r="P73" s="384">
        <v>36.700000000000003</v>
      </c>
      <c r="Q73" s="384">
        <v>30</v>
      </c>
      <c r="R73" s="385">
        <f t="shared" ref="R73:R113" si="6">O73+P73+Q73</f>
        <v>66.7</v>
      </c>
      <c r="S73" s="334">
        <v>2</v>
      </c>
      <c r="T73" s="357"/>
      <c r="V73" s="343" t="s">
        <v>505</v>
      </c>
      <c r="W73" s="334" t="s">
        <v>17</v>
      </c>
      <c r="X73" s="334" t="s">
        <v>336</v>
      </c>
      <c r="Y73" s="344">
        <v>36.700000000000003</v>
      </c>
      <c r="Z73" s="334" t="s">
        <v>506</v>
      </c>
      <c r="AA73" s="334" t="s">
        <v>20</v>
      </c>
      <c r="AB73" s="334" t="s">
        <v>12</v>
      </c>
      <c r="AC73" s="334">
        <v>30</v>
      </c>
      <c r="AD73" s="343"/>
      <c r="AG73" s="344"/>
      <c r="AL73" s="343"/>
      <c r="AO73" s="344"/>
      <c r="AP73" s="343"/>
      <c r="AS73" s="344"/>
      <c r="AW73" s="344"/>
      <c r="BA73" s="345"/>
    </row>
    <row r="74" spans="1:53" s="334" customFormat="1" x14ac:dyDescent="0.15">
      <c r="A74" s="334">
        <v>1993</v>
      </c>
      <c r="C74" s="812" t="s">
        <v>691</v>
      </c>
      <c r="D74" s="812"/>
      <c r="E74" s="334">
        <v>0</v>
      </c>
      <c r="G74" s="419"/>
      <c r="H74" s="334">
        <v>6</v>
      </c>
      <c r="I74" s="334">
        <v>4</v>
      </c>
      <c r="J74" s="435">
        <v>10</v>
      </c>
      <c r="K74" s="384">
        <f t="shared" si="4"/>
        <v>0</v>
      </c>
      <c r="L74" s="384">
        <f t="shared" si="4"/>
        <v>60</v>
      </c>
      <c r="M74" s="384">
        <f t="shared" si="4"/>
        <v>40</v>
      </c>
      <c r="N74" s="421">
        <f t="shared" si="5"/>
        <v>100</v>
      </c>
      <c r="O74" s="383"/>
      <c r="P74" s="384">
        <v>36.700000000000003</v>
      </c>
      <c r="Q74" s="384">
        <v>30</v>
      </c>
      <c r="R74" s="385">
        <f t="shared" si="6"/>
        <v>66.7</v>
      </c>
      <c r="S74" s="334">
        <v>2</v>
      </c>
      <c r="T74" s="357"/>
      <c r="V74" s="343" t="s">
        <v>505</v>
      </c>
      <c r="W74" s="334" t="s">
        <v>17</v>
      </c>
      <c r="X74" s="334" t="s">
        <v>336</v>
      </c>
      <c r="Y74" s="344">
        <v>36.700000000000003</v>
      </c>
      <c r="Z74" s="334" t="s">
        <v>506</v>
      </c>
      <c r="AA74" s="334" t="s">
        <v>20</v>
      </c>
      <c r="AB74" s="334" t="s">
        <v>12</v>
      </c>
      <c r="AC74" s="334">
        <v>30</v>
      </c>
      <c r="AD74" s="343"/>
      <c r="AG74" s="344"/>
      <c r="AL74" s="343"/>
      <c r="AO74" s="344"/>
      <c r="AP74" s="343"/>
      <c r="AS74" s="344"/>
      <c r="AW74" s="344"/>
      <c r="BA74" s="345"/>
    </row>
    <row r="75" spans="1:53" s="334" customFormat="1" x14ac:dyDescent="0.15">
      <c r="A75" s="334">
        <v>1993</v>
      </c>
      <c r="C75" s="812" t="s">
        <v>691</v>
      </c>
      <c r="D75" s="812"/>
      <c r="E75" s="334">
        <f>365-E74</f>
        <v>365</v>
      </c>
      <c r="G75" s="419"/>
      <c r="H75" s="334">
        <v>6</v>
      </c>
      <c r="I75" s="334">
        <v>4</v>
      </c>
      <c r="J75" s="435">
        <v>10</v>
      </c>
      <c r="K75" s="384">
        <f t="shared" si="4"/>
        <v>0</v>
      </c>
      <c r="L75" s="384">
        <f t="shared" si="4"/>
        <v>60</v>
      </c>
      <c r="M75" s="384">
        <f t="shared" si="4"/>
        <v>40</v>
      </c>
      <c r="N75" s="421">
        <f t="shared" si="5"/>
        <v>100</v>
      </c>
      <c r="O75" s="383"/>
      <c r="P75" s="384">
        <v>36.700000000000003</v>
      </c>
      <c r="Q75" s="384">
        <v>30</v>
      </c>
      <c r="R75" s="385">
        <f t="shared" si="6"/>
        <v>66.7</v>
      </c>
      <c r="S75" s="334">
        <v>2</v>
      </c>
      <c r="T75" s="357"/>
      <c r="V75" s="343" t="s">
        <v>505</v>
      </c>
      <c r="W75" s="334" t="s">
        <v>17</v>
      </c>
      <c r="X75" s="334" t="s">
        <v>336</v>
      </c>
      <c r="Y75" s="344">
        <v>36.700000000000003</v>
      </c>
      <c r="Z75" s="334" t="s">
        <v>506</v>
      </c>
      <c r="AA75" s="334" t="s">
        <v>20</v>
      </c>
      <c r="AB75" s="334" t="s">
        <v>12</v>
      </c>
      <c r="AC75" s="334">
        <v>30</v>
      </c>
      <c r="AD75" s="343"/>
      <c r="AG75" s="344"/>
      <c r="AL75" s="343"/>
      <c r="AO75" s="344"/>
      <c r="AP75" s="343"/>
      <c r="AS75" s="344"/>
      <c r="AW75" s="344"/>
      <c r="BA75" s="345"/>
    </row>
    <row r="76" spans="1:53" s="334" customFormat="1" x14ac:dyDescent="0.15">
      <c r="A76" s="334">
        <v>1994</v>
      </c>
      <c r="C76" s="812" t="s">
        <v>691</v>
      </c>
      <c r="D76" s="812"/>
      <c r="E76" s="334">
        <v>193</v>
      </c>
      <c r="G76" s="419"/>
      <c r="H76" s="334">
        <v>6</v>
      </c>
      <c r="I76" s="334">
        <v>4</v>
      </c>
      <c r="J76" s="435">
        <v>10</v>
      </c>
      <c r="K76" s="384">
        <f t="shared" si="4"/>
        <v>0</v>
      </c>
      <c r="L76" s="384">
        <f t="shared" si="4"/>
        <v>60</v>
      </c>
      <c r="M76" s="384">
        <f t="shared" si="4"/>
        <v>40</v>
      </c>
      <c r="N76" s="421">
        <f t="shared" si="5"/>
        <v>100</v>
      </c>
      <c r="O76" s="383"/>
      <c r="P76" s="384">
        <v>36.700000000000003</v>
      </c>
      <c r="Q76" s="384">
        <v>30</v>
      </c>
      <c r="R76" s="385">
        <f t="shared" si="6"/>
        <v>66.7</v>
      </c>
      <c r="S76" s="334">
        <v>2</v>
      </c>
      <c r="T76" s="357"/>
      <c r="V76" s="343" t="s">
        <v>505</v>
      </c>
      <c r="W76" s="334" t="s">
        <v>17</v>
      </c>
      <c r="X76" s="334" t="s">
        <v>336</v>
      </c>
      <c r="Y76" s="344">
        <v>36.700000000000003</v>
      </c>
      <c r="Z76" s="334" t="s">
        <v>506</v>
      </c>
      <c r="AA76" s="334" t="s">
        <v>20</v>
      </c>
      <c r="AB76" s="334" t="s">
        <v>12</v>
      </c>
      <c r="AC76" s="334">
        <v>30</v>
      </c>
      <c r="AD76" s="343"/>
      <c r="AG76" s="344"/>
      <c r="AL76" s="343"/>
      <c r="AO76" s="344"/>
      <c r="AP76" s="343"/>
      <c r="AS76" s="344"/>
      <c r="AW76" s="344"/>
      <c r="BA76" s="345"/>
    </row>
    <row r="77" spans="1:53" s="208" customFormat="1" x14ac:dyDescent="0.15">
      <c r="A77" s="208">
        <v>1994</v>
      </c>
      <c r="B77" s="207">
        <v>34528</v>
      </c>
      <c r="C77" s="811" t="s">
        <v>692</v>
      </c>
      <c r="D77" s="811"/>
      <c r="E77" s="208">
        <f>365-E76</f>
        <v>172</v>
      </c>
      <c r="F77" s="208">
        <v>1</v>
      </c>
      <c r="G77" s="123"/>
      <c r="H77" s="208">
        <v>6</v>
      </c>
      <c r="I77" s="208">
        <v>6</v>
      </c>
      <c r="J77" s="134">
        <v>12</v>
      </c>
      <c r="K77" s="92">
        <f t="shared" si="4"/>
        <v>0</v>
      </c>
      <c r="L77" s="92">
        <f t="shared" si="4"/>
        <v>50</v>
      </c>
      <c r="M77" s="92">
        <f t="shared" si="4"/>
        <v>50</v>
      </c>
      <c r="N77" s="125">
        <f t="shared" si="5"/>
        <v>100</v>
      </c>
      <c r="O77" s="91"/>
      <c r="P77" s="92">
        <v>35</v>
      </c>
      <c r="Q77" s="92">
        <v>28.3</v>
      </c>
      <c r="R77" s="93">
        <f t="shared" si="6"/>
        <v>63.3</v>
      </c>
      <c r="S77" s="208">
        <v>2</v>
      </c>
      <c r="T77" s="95">
        <v>34497</v>
      </c>
      <c r="U77" s="207">
        <v>34528</v>
      </c>
      <c r="V77" s="82" t="s">
        <v>505</v>
      </c>
      <c r="W77" s="208" t="s">
        <v>17</v>
      </c>
      <c r="X77" s="208" t="s">
        <v>336</v>
      </c>
      <c r="Y77" s="83">
        <v>35</v>
      </c>
      <c r="Z77" s="208" t="s">
        <v>506</v>
      </c>
      <c r="AA77" s="208" t="s">
        <v>20</v>
      </c>
      <c r="AB77" s="208" t="s">
        <v>12</v>
      </c>
      <c r="AC77" s="208">
        <v>28.3</v>
      </c>
      <c r="AD77" s="82"/>
      <c r="AG77" s="83"/>
      <c r="AL77" s="82"/>
      <c r="AO77" s="83"/>
      <c r="AP77" s="82"/>
      <c r="AS77" s="83"/>
      <c r="AW77" s="83"/>
      <c r="BA77" s="84"/>
    </row>
    <row r="78" spans="1:53" s="208" customFormat="1" x14ac:dyDescent="0.15">
      <c r="A78" s="208">
        <v>1995</v>
      </c>
      <c r="C78" s="811" t="s">
        <v>692</v>
      </c>
      <c r="D78" s="811"/>
      <c r="E78" s="208">
        <v>25</v>
      </c>
      <c r="G78" s="123"/>
      <c r="H78" s="208">
        <v>6</v>
      </c>
      <c r="I78" s="208">
        <v>6</v>
      </c>
      <c r="J78" s="134">
        <v>12</v>
      </c>
      <c r="K78" s="92">
        <f t="shared" si="4"/>
        <v>0</v>
      </c>
      <c r="L78" s="92">
        <f t="shared" si="4"/>
        <v>50</v>
      </c>
      <c r="M78" s="92">
        <f t="shared" si="4"/>
        <v>50</v>
      </c>
      <c r="N78" s="125">
        <f t="shared" si="5"/>
        <v>100</v>
      </c>
      <c r="O78" s="91"/>
      <c r="P78" s="92">
        <v>35</v>
      </c>
      <c r="Q78" s="92">
        <v>28.3</v>
      </c>
      <c r="R78" s="93">
        <f t="shared" si="6"/>
        <v>63.3</v>
      </c>
      <c r="S78" s="208">
        <v>2</v>
      </c>
      <c r="T78" s="81"/>
      <c r="V78" s="82" t="s">
        <v>505</v>
      </c>
      <c r="W78" s="208" t="s">
        <v>17</v>
      </c>
      <c r="X78" s="208" t="s">
        <v>336</v>
      </c>
      <c r="Y78" s="83">
        <v>35</v>
      </c>
      <c r="Z78" s="208" t="s">
        <v>506</v>
      </c>
      <c r="AA78" s="208" t="s">
        <v>20</v>
      </c>
      <c r="AB78" s="208" t="s">
        <v>12</v>
      </c>
      <c r="AC78" s="208">
        <v>28.3</v>
      </c>
      <c r="AD78" s="82"/>
      <c r="AG78" s="83"/>
      <c r="AL78" s="82"/>
      <c r="AO78" s="83"/>
      <c r="AP78" s="82"/>
      <c r="AS78" s="83"/>
      <c r="AW78" s="83"/>
      <c r="BA78" s="84"/>
    </row>
    <row r="79" spans="1:53" s="334" customFormat="1" x14ac:dyDescent="0.15">
      <c r="A79" s="334">
        <v>1995</v>
      </c>
      <c r="B79" s="355">
        <v>34725</v>
      </c>
      <c r="C79" s="812" t="s">
        <v>693</v>
      </c>
      <c r="D79" s="812"/>
      <c r="E79" s="334">
        <f>365-E78</f>
        <v>340</v>
      </c>
      <c r="F79" s="334">
        <v>2</v>
      </c>
      <c r="G79" s="419"/>
      <c r="H79" s="334">
        <v>6</v>
      </c>
      <c r="I79" s="334">
        <v>6</v>
      </c>
      <c r="J79" s="435">
        <v>12</v>
      </c>
      <c r="K79" s="384">
        <f t="shared" si="4"/>
        <v>0</v>
      </c>
      <c r="L79" s="384">
        <f t="shared" si="4"/>
        <v>50</v>
      </c>
      <c r="M79" s="384">
        <f t="shared" si="4"/>
        <v>50</v>
      </c>
      <c r="N79" s="421">
        <f t="shared" si="5"/>
        <v>100</v>
      </c>
      <c r="O79" s="383"/>
      <c r="P79" s="384">
        <v>35</v>
      </c>
      <c r="Q79" s="384">
        <v>28.3</v>
      </c>
      <c r="R79" s="385">
        <f t="shared" si="6"/>
        <v>63.3</v>
      </c>
      <c r="S79" s="334">
        <v>2</v>
      </c>
      <c r="T79" s="357"/>
      <c r="U79" s="355">
        <v>34725</v>
      </c>
      <c r="V79" s="343" t="s">
        <v>505</v>
      </c>
      <c r="W79" s="334" t="s">
        <v>17</v>
      </c>
      <c r="X79" s="334" t="s">
        <v>336</v>
      </c>
      <c r="Y79" s="344">
        <v>35</v>
      </c>
      <c r="Z79" s="334" t="s">
        <v>506</v>
      </c>
      <c r="AA79" s="334" t="s">
        <v>20</v>
      </c>
      <c r="AB79" s="334" t="s">
        <v>12</v>
      </c>
      <c r="AC79" s="334">
        <v>28.3</v>
      </c>
      <c r="AD79" s="343"/>
      <c r="AG79" s="344"/>
      <c r="AL79" s="343"/>
      <c r="AO79" s="344"/>
      <c r="AP79" s="343"/>
      <c r="AS79" s="344"/>
      <c r="AW79" s="344"/>
      <c r="BA79" s="345"/>
    </row>
    <row r="80" spans="1:53" s="334" customFormat="1" x14ac:dyDescent="0.15">
      <c r="A80" s="334">
        <v>1996</v>
      </c>
      <c r="C80" s="812" t="s">
        <v>693</v>
      </c>
      <c r="D80" s="812"/>
      <c r="E80" s="334">
        <v>0</v>
      </c>
      <c r="G80" s="419"/>
      <c r="H80" s="334">
        <v>6</v>
      </c>
      <c r="I80" s="334">
        <v>6</v>
      </c>
      <c r="J80" s="435">
        <v>12</v>
      </c>
      <c r="K80" s="384">
        <f t="shared" si="4"/>
        <v>0</v>
      </c>
      <c r="L80" s="384">
        <f t="shared" si="4"/>
        <v>50</v>
      </c>
      <c r="M80" s="384">
        <f t="shared" si="4"/>
        <v>50</v>
      </c>
      <c r="N80" s="421">
        <f t="shared" si="5"/>
        <v>100</v>
      </c>
      <c r="O80" s="383"/>
      <c r="P80" s="384">
        <v>35</v>
      </c>
      <c r="Q80" s="384">
        <v>28.3</v>
      </c>
      <c r="R80" s="385">
        <f t="shared" si="6"/>
        <v>63.3</v>
      </c>
      <c r="S80" s="334">
        <v>2</v>
      </c>
      <c r="T80" s="357"/>
      <c r="V80" s="343" t="s">
        <v>505</v>
      </c>
      <c r="W80" s="334" t="s">
        <v>17</v>
      </c>
      <c r="X80" s="334" t="s">
        <v>336</v>
      </c>
      <c r="Y80" s="344">
        <v>35</v>
      </c>
      <c r="Z80" s="334" t="s">
        <v>506</v>
      </c>
      <c r="AA80" s="334" t="s">
        <v>20</v>
      </c>
      <c r="AB80" s="334" t="s">
        <v>12</v>
      </c>
      <c r="AC80" s="334">
        <v>28.3</v>
      </c>
      <c r="AD80" s="343"/>
      <c r="AG80" s="344"/>
      <c r="AL80" s="343"/>
      <c r="AO80" s="344"/>
      <c r="AP80" s="343"/>
      <c r="AS80" s="344"/>
      <c r="AW80" s="344"/>
      <c r="BA80" s="345"/>
    </row>
    <row r="81" spans="1:53" s="334" customFormat="1" x14ac:dyDescent="0.15">
      <c r="A81" s="334">
        <v>1996</v>
      </c>
      <c r="C81" s="812" t="s">
        <v>693</v>
      </c>
      <c r="D81" s="812"/>
      <c r="E81" s="334">
        <v>366</v>
      </c>
      <c r="G81" s="419"/>
      <c r="H81" s="334">
        <v>6</v>
      </c>
      <c r="I81" s="334">
        <v>6</v>
      </c>
      <c r="J81" s="435">
        <v>12</v>
      </c>
      <c r="K81" s="384">
        <f t="shared" si="4"/>
        <v>0</v>
      </c>
      <c r="L81" s="384">
        <f t="shared" si="4"/>
        <v>50</v>
      </c>
      <c r="M81" s="384">
        <f t="shared" si="4"/>
        <v>50</v>
      </c>
      <c r="N81" s="421">
        <f t="shared" si="5"/>
        <v>100</v>
      </c>
      <c r="O81" s="383"/>
      <c r="P81" s="384">
        <v>35</v>
      </c>
      <c r="Q81" s="384">
        <v>28.3</v>
      </c>
      <c r="R81" s="385">
        <f t="shared" si="6"/>
        <v>63.3</v>
      </c>
      <c r="S81" s="334">
        <v>2</v>
      </c>
      <c r="T81" s="357"/>
      <c r="V81" s="343" t="s">
        <v>505</v>
      </c>
      <c r="W81" s="334" t="s">
        <v>17</v>
      </c>
      <c r="X81" s="334" t="s">
        <v>336</v>
      </c>
      <c r="Y81" s="344">
        <v>35</v>
      </c>
      <c r="Z81" s="334" t="s">
        <v>506</v>
      </c>
      <c r="AA81" s="334" t="s">
        <v>20</v>
      </c>
      <c r="AB81" s="334" t="s">
        <v>12</v>
      </c>
      <c r="AC81" s="334">
        <v>28.3</v>
      </c>
      <c r="AD81" s="343"/>
      <c r="AG81" s="344"/>
      <c r="AL81" s="343"/>
      <c r="AO81" s="344"/>
      <c r="AP81" s="343"/>
      <c r="AS81" s="344"/>
      <c r="AW81" s="344"/>
      <c r="BA81" s="345"/>
    </row>
    <row r="82" spans="1:53" s="334" customFormat="1" x14ac:dyDescent="0.15">
      <c r="A82" s="334">
        <v>1997</v>
      </c>
      <c r="C82" s="812" t="s">
        <v>693</v>
      </c>
      <c r="D82" s="812"/>
      <c r="E82" s="334">
        <v>0</v>
      </c>
      <c r="G82" s="419"/>
      <c r="H82" s="334">
        <v>6</v>
      </c>
      <c r="I82" s="334">
        <v>6</v>
      </c>
      <c r="J82" s="435">
        <v>12</v>
      </c>
      <c r="K82" s="384">
        <f t="shared" si="4"/>
        <v>0</v>
      </c>
      <c r="L82" s="384">
        <f t="shared" si="4"/>
        <v>50</v>
      </c>
      <c r="M82" s="384">
        <f t="shared" si="4"/>
        <v>50</v>
      </c>
      <c r="N82" s="421">
        <f t="shared" si="5"/>
        <v>100</v>
      </c>
      <c r="O82" s="383"/>
      <c r="P82" s="384">
        <v>35</v>
      </c>
      <c r="Q82" s="384">
        <v>28.3</v>
      </c>
      <c r="R82" s="385">
        <f t="shared" si="6"/>
        <v>63.3</v>
      </c>
      <c r="S82" s="334">
        <v>2</v>
      </c>
      <c r="T82" s="357"/>
      <c r="V82" s="343" t="s">
        <v>505</v>
      </c>
      <c r="W82" s="334" t="s">
        <v>17</v>
      </c>
      <c r="X82" s="334" t="s">
        <v>336</v>
      </c>
      <c r="Y82" s="344">
        <v>35</v>
      </c>
      <c r="Z82" s="334" t="s">
        <v>506</v>
      </c>
      <c r="AA82" s="334" t="s">
        <v>20</v>
      </c>
      <c r="AB82" s="334" t="s">
        <v>12</v>
      </c>
      <c r="AC82" s="334">
        <v>28.3</v>
      </c>
      <c r="AD82" s="343"/>
      <c r="AG82" s="344"/>
      <c r="AL82" s="343"/>
      <c r="AO82" s="344"/>
      <c r="AP82" s="343"/>
      <c r="AS82" s="344"/>
      <c r="AW82" s="344"/>
      <c r="BA82" s="345"/>
    </row>
    <row r="83" spans="1:53" s="334" customFormat="1" x14ac:dyDescent="0.15">
      <c r="A83" s="334">
        <v>1997</v>
      </c>
      <c r="C83" s="812" t="s">
        <v>693</v>
      </c>
      <c r="D83" s="812"/>
      <c r="E83" s="334">
        <f>365-E82</f>
        <v>365</v>
      </c>
      <c r="G83" s="419"/>
      <c r="H83" s="334">
        <v>6</v>
      </c>
      <c r="I83" s="334">
        <v>6</v>
      </c>
      <c r="J83" s="435">
        <v>12</v>
      </c>
      <c r="K83" s="384">
        <f t="shared" si="4"/>
        <v>0</v>
      </c>
      <c r="L83" s="384">
        <f t="shared" si="4"/>
        <v>50</v>
      </c>
      <c r="M83" s="384">
        <f t="shared" si="4"/>
        <v>50</v>
      </c>
      <c r="N83" s="421">
        <f t="shared" si="5"/>
        <v>100</v>
      </c>
      <c r="O83" s="383"/>
      <c r="P83" s="384">
        <v>35</v>
      </c>
      <c r="Q83" s="384">
        <v>28.3</v>
      </c>
      <c r="R83" s="385">
        <f t="shared" si="6"/>
        <v>63.3</v>
      </c>
      <c r="S83" s="334">
        <v>2</v>
      </c>
      <c r="T83" s="357"/>
      <c r="V83" s="343" t="s">
        <v>505</v>
      </c>
      <c r="W83" s="334" t="s">
        <v>17</v>
      </c>
      <c r="X83" s="334" t="s">
        <v>336</v>
      </c>
      <c r="Y83" s="344">
        <v>35</v>
      </c>
      <c r="Z83" s="334" t="s">
        <v>506</v>
      </c>
      <c r="AA83" s="334" t="s">
        <v>20</v>
      </c>
      <c r="AB83" s="334" t="s">
        <v>12</v>
      </c>
      <c r="AC83" s="334">
        <v>28.3</v>
      </c>
      <c r="AD83" s="343"/>
      <c r="AG83" s="344"/>
      <c r="AL83" s="343"/>
      <c r="AO83" s="344"/>
      <c r="AP83" s="343"/>
      <c r="AS83" s="344"/>
      <c r="AW83" s="344"/>
      <c r="BA83" s="345"/>
    </row>
    <row r="84" spans="1:53" s="334" customFormat="1" x14ac:dyDescent="0.15">
      <c r="A84" s="334">
        <v>1998</v>
      </c>
      <c r="C84" s="812" t="s">
        <v>693</v>
      </c>
      <c r="D84" s="812"/>
      <c r="E84" s="334">
        <v>0</v>
      </c>
      <c r="G84" s="419"/>
      <c r="H84" s="334">
        <v>6</v>
      </c>
      <c r="I84" s="334">
        <v>6</v>
      </c>
      <c r="J84" s="435">
        <v>12</v>
      </c>
      <c r="K84" s="384">
        <f t="shared" si="4"/>
        <v>0</v>
      </c>
      <c r="L84" s="384">
        <f t="shared" si="4"/>
        <v>50</v>
      </c>
      <c r="M84" s="384">
        <f t="shared" si="4"/>
        <v>50</v>
      </c>
      <c r="N84" s="421">
        <f t="shared" si="5"/>
        <v>100</v>
      </c>
      <c r="O84" s="383"/>
      <c r="P84" s="384">
        <v>35</v>
      </c>
      <c r="Q84" s="384">
        <v>28.3</v>
      </c>
      <c r="R84" s="385">
        <f t="shared" si="6"/>
        <v>63.3</v>
      </c>
      <c r="S84" s="334">
        <v>2</v>
      </c>
      <c r="T84" s="357"/>
      <c r="V84" s="343" t="s">
        <v>505</v>
      </c>
      <c r="W84" s="334" t="s">
        <v>17</v>
      </c>
      <c r="X84" s="334" t="s">
        <v>336</v>
      </c>
      <c r="Y84" s="344">
        <v>35</v>
      </c>
      <c r="Z84" s="334" t="s">
        <v>506</v>
      </c>
      <c r="AA84" s="334" t="s">
        <v>20</v>
      </c>
      <c r="AB84" s="334" t="s">
        <v>12</v>
      </c>
      <c r="AC84" s="334">
        <v>28.3</v>
      </c>
      <c r="AD84" s="343"/>
      <c r="AG84" s="344"/>
      <c r="AL84" s="343"/>
      <c r="AO84" s="344"/>
      <c r="AP84" s="343"/>
      <c r="AS84" s="344"/>
      <c r="AW84" s="344"/>
      <c r="BA84" s="345"/>
    </row>
    <row r="85" spans="1:53" s="334" customFormat="1" x14ac:dyDescent="0.15">
      <c r="A85" s="334">
        <v>1998</v>
      </c>
      <c r="C85" s="812" t="s">
        <v>693</v>
      </c>
      <c r="D85" s="812"/>
      <c r="E85" s="334">
        <f>365-E84</f>
        <v>365</v>
      </c>
      <c r="G85" s="419"/>
      <c r="H85" s="334">
        <v>6</v>
      </c>
      <c r="I85" s="334">
        <v>6</v>
      </c>
      <c r="J85" s="435">
        <v>12</v>
      </c>
      <c r="K85" s="384">
        <f t="shared" si="4"/>
        <v>0</v>
      </c>
      <c r="L85" s="384">
        <f t="shared" si="4"/>
        <v>50</v>
      </c>
      <c r="M85" s="384">
        <f t="shared" si="4"/>
        <v>50</v>
      </c>
      <c r="N85" s="421">
        <f t="shared" si="5"/>
        <v>100</v>
      </c>
      <c r="O85" s="383"/>
      <c r="P85" s="384">
        <v>35</v>
      </c>
      <c r="Q85" s="384">
        <v>28.3</v>
      </c>
      <c r="R85" s="385">
        <f t="shared" si="6"/>
        <v>63.3</v>
      </c>
      <c r="S85" s="334">
        <v>2</v>
      </c>
      <c r="T85" s="357"/>
      <c r="V85" s="343" t="s">
        <v>505</v>
      </c>
      <c r="W85" s="334" t="s">
        <v>17</v>
      </c>
      <c r="X85" s="334" t="s">
        <v>336</v>
      </c>
      <c r="Y85" s="344">
        <v>35</v>
      </c>
      <c r="Z85" s="334" t="s">
        <v>506</v>
      </c>
      <c r="AA85" s="334" t="s">
        <v>20</v>
      </c>
      <c r="AB85" s="334" t="s">
        <v>12</v>
      </c>
      <c r="AC85" s="334">
        <v>28.3</v>
      </c>
      <c r="AD85" s="343"/>
      <c r="AG85" s="344"/>
      <c r="AL85" s="343"/>
      <c r="AO85" s="344"/>
      <c r="AP85" s="343"/>
      <c r="AS85" s="344"/>
      <c r="AW85" s="344"/>
      <c r="BA85" s="345"/>
    </row>
    <row r="86" spans="1:53" s="334" customFormat="1" x14ac:dyDescent="0.15">
      <c r="A86" s="334">
        <v>1999</v>
      </c>
      <c r="C86" s="812" t="s">
        <v>693</v>
      </c>
      <c r="D86" s="812"/>
      <c r="E86" s="334">
        <v>249</v>
      </c>
      <c r="G86" s="419"/>
      <c r="H86" s="334">
        <v>6</v>
      </c>
      <c r="I86" s="334">
        <v>6</v>
      </c>
      <c r="J86" s="435">
        <v>12</v>
      </c>
      <c r="K86" s="384">
        <f t="shared" si="4"/>
        <v>0</v>
      </c>
      <c r="L86" s="384">
        <f t="shared" si="4"/>
        <v>50</v>
      </c>
      <c r="M86" s="384">
        <f t="shared" si="4"/>
        <v>50</v>
      </c>
      <c r="N86" s="421">
        <f t="shared" si="5"/>
        <v>100</v>
      </c>
      <c r="O86" s="383"/>
      <c r="P86" s="384">
        <v>35</v>
      </c>
      <c r="Q86" s="384">
        <v>28.3</v>
      </c>
      <c r="R86" s="385">
        <f t="shared" si="6"/>
        <v>63.3</v>
      </c>
      <c r="S86" s="334">
        <v>2</v>
      </c>
      <c r="T86" s="357"/>
      <c r="V86" s="343" t="s">
        <v>505</v>
      </c>
      <c r="W86" s="334" t="s">
        <v>17</v>
      </c>
      <c r="X86" s="334" t="s">
        <v>336</v>
      </c>
      <c r="Y86" s="344">
        <v>35</v>
      </c>
      <c r="Z86" s="334" t="s">
        <v>506</v>
      </c>
      <c r="AA86" s="334" t="s">
        <v>20</v>
      </c>
      <c r="AB86" s="334" t="s">
        <v>12</v>
      </c>
      <c r="AC86" s="334">
        <v>28.3</v>
      </c>
      <c r="AD86" s="343"/>
      <c r="AG86" s="344"/>
      <c r="AL86" s="343"/>
      <c r="AO86" s="344"/>
      <c r="AP86" s="343"/>
      <c r="AS86" s="344"/>
      <c r="AW86" s="344"/>
      <c r="BA86" s="345"/>
    </row>
    <row r="87" spans="1:53" s="208" customFormat="1" x14ac:dyDescent="0.15">
      <c r="A87" s="208">
        <v>1999</v>
      </c>
      <c r="B87" s="207">
        <v>36410</v>
      </c>
      <c r="C87" s="811" t="s">
        <v>694</v>
      </c>
      <c r="D87" s="811"/>
      <c r="E87" s="208">
        <f>365-E86</f>
        <v>116</v>
      </c>
      <c r="F87" s="208">
        <v>1</v>
      </c>
      <c r="G87" s="123">
        <v>7</v>
      </c>
      <c r="H87" s="208">
        <v>7</v>
      </c>
      <c r="J87" s="134">
        <v>14</v>
      </c>
      <c r="K87" s="92">
        <f t="shared" si="4"/>
        <v>50</v>
      </c>
      <c r="L87" s="92">
        <f t="shared" si="4"/>
        <v>50</v>
      </c>
      <c r="M87" s="92">
        <f t="shared" si="4"/>
        <v>0</v>
      </c>
      <c r="N87" s="125">
        <f t="shared" si="5"/>
        <v>100</v>
      </c>
      <c r="O87" s="91">
        <v>25</v>
      </c>
      <c r="P87" s="92">
        <v>31.7</v>
      </c>
      <c r="Q87" s="92"/>
      <c r="R87" s="93">
        <f t="shared" si="6"/>
        <v>56.7</v>
      </c>
      <c r="S87" s="208">
        <v>2</v>
      </c>
      <c r="T87" s="95">
        <v>36324</v>
      </c>
      <c r="U87" s="207">
        <v>36410</v>
      </c>
      <c r="V87" s="82" t="s">
        <v>505</v>
      </c>
      <c r="W87" s="208" t="s">
        <v>17</v>
      </c>
      <c r="X87" s="208" t="s">
        <v>336</v>
      </c>
      <c r="Y87" s="83">
        <v>31.7</v>
      </c>
      <c r="Z87" s="208" t="s">
        <v>131</v>
      </c>
      <c r="AA87" s="208" t="s">
        <v>22</v>
      </c>
      <c r="AB87" s="208" t="s">
        <v>11</v>
      </c>
      <c r="AC87" s="208">
        <v>25</v>
      </c>
      <c r="AD87" s="82"/>
      <c r="AG87" s="83"/>
      <c r="AL87" s="82"/>
      <c r="AO87" s="83"/>
      <c r="AP87" s="82"/>
      <c r="AS87" s="83"/>
      <c r="AW87" s="83"/>
      <c r="BA87" s="84"/>
    </row>
    <row r="88" spans="1:53" s="208" customFormat="1" x14ac:dyDescent="0.15">
      <c r="A88" s="208">
        <v>2000</v>
      </c>
      <c r="C88" s="811" t="s">
        <v>694</v>
      </c>
      <c r="D88" s="811"/>
      <c r="E88" s="208">
        <v>0</v>
      </c>
      <c r="G88" s="123">
        <v>7</v>
      </c>
      <c r="H88" s="208">
        <v>7</v>
      </c>
      <c r="J88" s="134">
        <v>14</v>
      </c>
      <c r="K88" s="92">
        <f t="shared" si="4"/>
        <v>50</v>
      </c>
      <c r="L88" s="92">
        <f t="shared" si="4"/>
        <v>50</v>
      </c>
      <c r="M88" s="92">
        <f t="shared" si="4"/>
        <v>0</v>
      </c>
      <c r="N88" s="125">
        <f t="shared" si="5"/>
        <v>100</v>
      </c>
      <c r="O88" s="91">
        <v>25</v>
      </c>
      <c r="P88" s="92">
        <v>31.7</v>
      </c>
      <c r="Q88" s="92"/>
      <c r="R88" s="93">
        <f t="shared" si="6"/>
        <v>56.7</v>
      </c>
      <c r="S88" s="208">
        <v>2</v>
      </c>
      <c r="T88" s="81"/>
      <c r="V88" s="82" t="s">
        <v>505</v>
      </c>
      <c r="W88" s="208" t="s">
        <v>17</v>
      </c>
      <c r="X88" s="208" t="s">
        <v>336</v>
      </c>
      <c r="Y88" s="83">
        <v>31.7</v>
      </c>
      <c r="Z88" s="208" t="s">
        <v>131</v>
      </c>
      <c r="AA88" s="208" t="s">
        <v>22</v>
      </c>
      <c r="AB88" s="208" t="s">
        <v>11</v>
      </c>
      <c r="AC88" s="208">
        <v>25</v>
      </c>
      <c r="AD88" s="82"/>
      <c r="AG88" s="83"/>
      <c r="AL88" s="82"/>
      <c r="AO88" s="83"/>
      <c r="AP88" s="82"/>
      <c r="AS88" s="83"/>
      <c r="AW88" s="83"/>
      <c r="BA88" s="84"/>
    </row>
    <row r="89" spans="1:53" s="208" customFormat="1" x14ac:dyDescent="0.15">
      <c r="A89" s="208">
        <v>2000</v>
      </c>
      <c r="C89" s="811" t="s">
        <v>694</v>
      </c>
      <c r="D89" s="811"/>
      <c r="E89" s="208">
        <v>366</v>
      </c>
      <c r="G89" s="123">
        <v>7</v>
      </c>
      <c r="H89" s="208">
        <v>7</v>
      </c>
      <c r="J89" s="134">
        <v>14</v>
      </c>
      <c r="K89" s="92">
        <f t="shared" si="4"/>
        <v>50</v>
      </c>
      <c r="L89" s="92">
        <f t="shared" si="4"/>
        <v>50</v>
      </c>
      <c r="M89" s="92">
        <f t="shared" si="4"/>
        <v>0</v>
      </c>
      <c r="N89" s="125">
        <f t="shared" si="5"/>
        <v>100</v>
      </c>
      <c r="O89" s="91">
        <v>25</v>
      </c>
      <c r="P89" s="92">
        <v>31.7</v>
      </c>
      <c r="Q89" s="92"/>
      <c r="R89" s="93">
        <f t="shared" si="6"/>
        <v>56.7</v>
      </c>
      <c r="S89" s="208">
        <v>2</v>
      </c>
      <c r="T89" s="81"/>
      <c r="V89" s="82" t="s">
        <v>505</v>
      </c>
      <c r="W89" s="208" t="s">
        <v>17</v>
      </c>
      <c r="X89" s="208" t="s">
        <v>336</v>
      </c>
      <c r="Y89" s="83">
        <v>31.7</v>
      </c>
      <c r="Z89" s="208" t="s">
        <v>131</v>
      </c>
      <c r="AA89" s="208" t="s">
        <v>22</v>
      </c>
      <c r="AB89" s="208" t="s">
        <v>11</v>
      </c>
      <c r="AC89" s="208">
        <v>25</v>
      </c>
      <c r="AD89" s="82"/>
      <c r="AG89" s="83"/>
      <c r="AL89" s="82"/>
      <c r="AO89" s="83"/>
      <c r="AP89" s="82"/>
      <c r="AS89" s="83"/>
      <c r="AW89" s="83"/>
      <c r="BA89" s="84"/>
    </row>
    <row r="90" spans="1:53" s="208" customFormat="1" x14ac:dyDescent="0.15">
      <c r="A90" s="208">
        <v>2001</v>
      </c>
      <c r="C90" s="811" t="s">
        <v>694</v>
      </c>
      <c r="D90" s="811"/>
      <c r="E90" s="208">
        <v>0</v>
      </c>
      <c r="G90" s="123">
        <v>7</v>
      </c>
      <c r="H90" s="208">
        <v>7</v>
      </c>
      <c r="J90" s="134">
        <v>14</v>
      </c>
      <c r="K90" s="92">
        <f t="shared" si="4"/>
        <v>50</v>
      </c>
      <c r="L90" s="92">
        <f t="shared" si="4"/>
        <v>50</v>
      </c>
      <c r="M90" s="92">
        <f t="shared" si="4"/>
        <v>0</v>
      </c>
      <c r="N90" s="125">
        <f t="shared" si="5"/>
        <v>100</v>
      </c>
      <c r="O90" s="91">
        <v>25</v>
      </c>
      <c r="P90" s="92">
        <v>31.7</v>
      </c>
      <c r="Q90" s="92"/>
      <c r="R90" s="93">
        <f t="shared" si="6"/>
        <v>56.7</v>
      </c>
      <c r="S90" s="208">
        <v>2</v>
      </c>
      <c r="T90" s="81"/>
      <c r="V90" s="82" t="s">
        <v>505</v>
      </c>
      <c r="W90" s="208" t="s">
        <v>17</v>
      </c>
      <c r="X90" s="208" t="s">
        <v>336</v>
      </c>
      <c r="Y90" s="83">
        <v>31.7</v>
      </c>
      <c r="Z90" s="208" t="s">
        <v>131</v>
      </c>
      <c r="AA90" s="208" t="s">
        <v>22</v>
      </c>
      <c r="AB90" s="208" t="s">
        <v>11</v>
      </c>
      <c r="AC90" s="208">
        <v>25</v>
      </c>
      <c r="AD90" s="82"/>
      <c r="AG90" s="83"/>
      <c r="AL90" s="82"/>
      <c r="AO90" s="83"/>
      <c r="AP90" s="82"/>
      <c r="AS90" s="83"/>
      <c r="AW90" s="83"/>
      <c r="BA90" s="84"/>
    </row>
    <row r="91" spans="1:53" s="208" customFormat="1" x14ac:dyDescent="0.15">
      <c r="A91" s="208">
        <v>2001</v>
      </c>
      <c r="C91" s="811" t="s">
        <v>694</v>
      </c>
      <c r="D91" s="811"/>
      <c r="E91" s="208">
        <f>365-E90</f>
        <v>365</v>
      </c>
      <c r="G91" s="123">
        <v>7</v>
      </c>
      <c r="H91" s="208">
        <v>7</v>
      </c>
      <c r="J91" s="134">
        <v>14</v>
      </c>
      <c r="K91" s="92">
        <f t="shared" si="4"/>
        <v>50</v>
      </c>
      <c r="L91" s="92">
        <f t="shared" si="4"/>
        <v>50</v>
      </c>
      <c r="M91" s="92">
        <f t="shared" si="4"/>
        <v>0</v>
      </c>
      <c r="N91" s="125">
        <f t="shared" si="5"/>
        <v>100</v>
      </c>
      <c r="O91" s="91">
        <v>25</v>
      </c>
      <c r="P91" s="92">
        <v>31.7</v>
      </c>
      <c r="Q91" s="92"/>
      <c r="R91" s="93">
        <f t="shared" si="6"/>
        <v>56.7</v>
      </c>
      <c r="S91" s="208">
        <v>2</v>
      </c>
      <c r="T91" s="81"/>
      <c r="V91" s="82" t="s">
        <v>505</v>
      </c>
      <c r="W91" s="208" t="s">
        <v>17</v>
      </c>
      <c r="X91" s="208" t="s">
        <v>336</v>
      </c>
      <c r="Y91" s="83">
        <v>31.7</v>
      </c>
      <c r="Z91" s="208" t="s">
        <v>131</v>
      </c>
      <c r="AA91" s="208" t="s">
        <v>22</v>
      </c>
      <c r="AB91" s="208" t="s">
        <v>11</v>
      </c>
      <c r="AC91" s="208">
        <v>25</v>
      </c>
      <c r="AD91" s="82"/>
      <c r="AG91" s="83"/>
      <c r="AL91" s="82"/>
      <c r="AO91" s="83"/>
      <c r="AP91" s="82"/>
      <c r="AS91" s="83"/>
      <c r="AW91" s="83"/>
      <c r="BA91" s="84"/>
    </row>
    <row r="92" spans="1:53" s="208" customFormat="1" x14ac:dyDescent="0.15">
      <c r="A92" s="208">
        <v>2002</v>
      </c>
      <c r="C92" s="811" t="s">
        <v>694</v>
      </c>
      <c r="D92" s="811"/>
      <c r="E92" s="208">
        <v>0</v>
      </c>
      <c r="G92" s="123">
        <v>7</v>
      </c>
      <c r="H92" s="208">
        <v>7</v>
      </c>
      <c r="J92" s="134">
        <v>14</v>
      </c>
      <c r="K92" s="92">
        <f t="shared" si="4"/>
        <v>50</v>
      </c>
      <c r="L92" s="92">
        <f t="shared" si="4"/>
        <v>50</v>
      </c>
      <c r="M92" s="92">
        <f t="shared" si="4"/>
        <v>0</v>
      </c>
      <c r="N92" s="125">
        <f t="shared" si="5"/>
        <v>100</v>
      </c>
      <c r="O92" s="91">
        <v>25</v>
      </c>
      <c r="P92" s="92">
        <v>31.7</v>
      </c>
      <c r="Q92" s="92"/>
      <c r="R92" s="93">
        <f t="shared" si="6"/>
        <v>56.7</v>
      </c>
      <c r="S92" s="208">
        <v>2</v>
      </c>
      <c r="T92" s="81"/>
      <c r="V92" s="82" t="s">
        <v>505</v>
      </c>
      <c r="W92" s="208" t="s">
        <v>17</v>
      </c>
      <c r="X92" s="208" t="s">
        <v>336</v>
      </c>
      <c r="Y92" s="83">
        <v>31.7</v>
      </c>
      <c r="Z92" s="208" t="s">
        <v>131</v>
      </c>
      <c r="AA92" s="208" t="s">
        <v>22</v>
      </c>
      <c r="AB92" s="208" t="s">
        <v>11</v>
      </c>
      <c r="AC92" s="208">
        <v>25</v>
      </c>
      <c r="AD92" s="82"/>
      <c r="AG92" s="83"/>
      <c r="AL92" s="82"/>
      <c r="AO92" s="83"/>
      <c r="AP92" s="82"/>
      <c r="AS92" s="83"/>
      <c r="AW92" s="83"/>
      <c r="BA92" s="84"/>
    </row>
    <row r="93" spans="1:53" s="208" customFormat="1" x14ac:dyDescent="0.15">
      <c r="A93" s="208">
        <v>2002</v>
      </c>
      <c r="C93" s="811" t="s">
        <v>694</v>
      </c>
      <c r="D93" s="811"/>
      <c r="E93" s="208">
        <f>365-E92</f>
        <v>365</v>
      </c>
      <c r="G93" s="123">
        <v>7</v>
      </c>
      <c r="H93" s="208">
        <v>7</v>
      </c>
      <c r="J93" s="134">
        <v>14</v>
      </c>
      <c r="K93" s="92">
        <f t="shared" si="4"/>
        <v>50</v>
      </c>
      <c r="L93" s="92">
        <f t="shared" si="4"/>
        <v>50</v>
      </c>
      <c r="M93" s="92">
        <f t="shared" si="4"/>
        <v>0</v>
      </c>
      <c r="N93" s="125">
        <f t="shared" si="5"/>
        <v>100</v>
      </c>
      <c r="O93" s="91">
        <v>25</v>
      </c>
      <c r="P93" s="92">
        <v>31.7</v>
      </c>
      <c r="Q93" s="92"/>
      <c r="R93" s="93">
        <f t="shared" si="6"/>
        <v>56.7</v>
      </c>
      <c r="S93" s="208">
        <v>2</v>
      </c>
      <c r="T93" s="81"/>
      <c r="V93" s="82" t="s">
        <v>505</v>
      </c>
      <c r="W93" s="208" t="s">
        <v>17</v>
      </c>
      <c r="X93" s="208" t="s">
        <v>336</v>
      </c>
      <c r="Y93" s="83">
        <v>31.7</v>
      </c>
      <c r="Z93" s="208" t="s">
        <v>131</v>
      </c>
      <c r="AA93" s="208" t="s">
        <v>22</v>
      </c>
      <c r="AB93" s="208" t="s">
        <v>11</v>
      </c>
      <c r="AC93" s="208">
        <v>25</v>
      </c>
      <c r="AD93" s="82"/>
      <c r="AG93" s="83"/>
      <c r="AL93" s="82"/>
      <c r="AO93" s="83"/>
      <c r="AP93" s="82"/>
      <c r="AS93" s="83"/>
      <c r="AW93" s="83"/>
      <c r="BA93" s="84"/>
    </row>
    <row r="94" spans="1:53" s="208" customFormat="1" x14ac:dyDescent="0.15">
      <c r="A94" s="208">
        <v>2003</v>
      </c>
      <c r="C94" s="811" t="s">
        <v>694</v>
      </c>
      <c r="D94" s="811"/>
      <c r="E94" s="208">
        <v>0</v>
      </c>
      <c r="G94" s="123">
        <v>7</v>
      </c>
      <c r="H94" s="208">
        <v>7</v>
      </c>
      <c r="J94" s="134">
        <v>14</v>
      </c>
      <c r="K94" s="92">
        <f t="shared" si="4"/>
        <v>50</v>
      </c>
      <c r="L94" s="92">
        <f t="shared" si="4"/>
        <v>50</v>
      </c>
      <c r="M94" s="92">
        <f t="shared" si="4"/>
        <v>0</v>
      </c>
      <c r="N94" s="125">
        <f t="shared" si="5"/>
        <v>100</v>
      </c>
      <c r="O94" s="91">
        <v>25</v>
      </c>
      <c r="P94" s="92">
        <v>31.7</v>
      </c>
      <c r="Q94" s="92"/>
      <c r="R94" s="93">
        <f t="shared" si="6"/>
        <v>56.7</v>
      </c>
      <c r="S94" s="208">
        <v>2</v>
      </c>
      <c r="T94" s="81"/>
      <c r="V94" s="82" t="s">
        <v>505</v>
      </c>
      <c r="W94" s="208" t="s">
        <v>17</v>
      </c>
      <c r="X94" s="208" t="s">
        <v>336</v>
      </c>
      <c r="Y94" s="83">
        <v>31.7</v>
      </c>
      <c r="Z94" s="208" t="s">
        <v>131</v>
      </c>
      <c r="AA94" s="208" t="s">
        <v>22</v>
      </c>
      <c r="AB94" s="208" t="s">
        <v>11</v>
      </c>
      <c r="AC94" s="208">
        <v>25</v>
      </c>
      <c r="AD94" s="82"/>
      <c r="AG94" s="83"/>
      <c r="AL94" s="82"/>
      <c r="AO94" s="83"/>
      <c r="AP94" s="82"/>
      <c r="AS94" s="83"/>
      <c r="AW94" s="83"/>
      <c r="BA94" s="84"/>
    </row>
    <row r="95" spans="1:53" s="208" customFormat="1" x14ac:dyDescent="0.15">
      <c r="A95" s="208">
        <v>2003</v>
      </c>
      <c r="C95" s="811" t="s">
        <v>694</v>
      </c>
      <c r="D95" s="811"/>
      <c r="E95" s="208">
        <f>365-E94</f>
        <v>365</v>
      </c>
      <c r="G95" s="123">
        <v>7</v>
      </c>
      <c r="H95" s="208">
        <v>7</v>
      </c>
      <c r="J95" s="134">
        <v>14</v>
      </c>
      <c r="K95" s="92">
        <f t="shared" si="4"/>
        <v>50</v>
      </c>
      <c r="L95" s="92">
        <f t="shared" si="4"/>
        <v>50</v>
      </c>
      <c r="M95" s="92">
        <f t="shared" si="4"/>
        <v>0</v>
      </c>
      <c r="N95" s="125">
        <f t="shared" si="5"/>
        <v>100</v>
      </c>
      <c r="O95" s="91">
        <v>25</v>
      </c>
      <c r="P95" s="92">
        <v>31.7</v>
      </c>
      <c r="Q95" s="92"/>
      <c r="R95" s="93">
        <f t="shared" si="6"/>
        <v>56.7</v>
      </c>
      <c r="S95" s="208">
        <v>2</v>
      </c>
      <c r="T95" s="81"/>
      <c r="V95" s="82" t="s">
        <v>505</v>
      </c>
      <c r="W95" s="208" t="s">
        <v>17</v>
      </c>
      <c r="X95" s="208" t="s">
        <v>336</v>
      </c>
      <c r="Y95" s="83">
        <v>31.7</v>
      </c>
      <c r="Z95" s="208" t="s">
        <v>131</v>
      </c>
      <c r="AA95" s="208" t="s">
        <v>22</v>
      </c>
      <c r="AB95" s="208" t="s">
        <v>11</v>
      </c>
      <c r="AC95" s="208">
        <v>25</v>
      </c>
      <c r="AD95" s="82"/>
      <c r="AG95" s="83"/>
      <c r="AL95" s="82"/>
      <c r="AO95" s="83"/>
      <c r="AP95" s="82"/>
      <c r="AS95" s="83"/>
      <c r="AW95" s="83"/>
      <c r="BA95" s="84"/>
    </row>
    <row r="96" spans="1:53" s="208" customFormat="1" x14ac:dyDescent="0.15">
      <c r="A96" s="208">
        <v>2004</v>
      </c>
      <c r="C96" s="811" t="s">
        <v>694</v>
      </c>
      <c r="D96" s="811"/>
      <c r="E96" s="208">
        <v>212</v>
      </c>
      <c r="G96" s="123">
        <v>7</v>
      </c>
      <c r="H96" s="208">
        <v>7</v>
      </c>
      <c r="J96" s="134">
        <v>14</v>
      </c>
      <c r="K96" s="92">
        <f t="shared" si="4"/>
        <v>50</v>
      </c>
      <c r="L96" s="92">
        <f t="shared" si="4"/>
        <v>50</v>
      </c>
      <c r="M96" s="92">
        <f t="shared" si="4"/>
        <v>0</v>
      </c>
      <c r="N96" s="125">
        <f t="shared" si="5"/>
        <v>100</v>
      </c>
      <c r="O96" s="91">
        <v>25</v>
      </c>
      <c r="P96" s="92">
        <v>31.7</v>
      </c>
      <c r="Q96" s="92"/>
      <c r="R96" s="93">
        <f t="shared" si="6"/>
        <v>56.7</v>
      </c>
      <c r="S96" s="208">
        <v>2</v>
      </c>
      <c r="T96" s="81"/>
      <c r="V96" s="82" t="s">
        <v>505</v>
      </c>
      <c r="W96" s="208" t="s">
        <v>17</v>
      </c>
      <c r="X96" s="208" t="s">
        <v>336</v>
      </c>
      <c r="Y96" s="83">
        <v>31.7</v>
      </c>
      <c r="Z96" s="208" t="s">
        <v>131</v>
      </c>
      <c r="AA96" s="208" t="s">
        <v>22</v>
      </c>
      <c r="AB96" s="208" t="s">
        <v>11</v>
      </c>
      <c r="AC96" s="208">
        <v>25</v>
      </c>
      <c r="AD96" s="82"/>
      <c r="AG96" s="83"/>
      <c r="AL96" s="82"/>
      <c r="AO96" s="83"/>
      <c r="AP96" s="82"/>
      <c r="AS96" s="83"/>
      <c r="AW96" s="83"/>
      <c r="BA96" s="84"/>
    </row>
    <row r="97" spans="1:53" s="334" customFormat="1" x14ac:dyDescent="0.15">
      <c r="A97" s="334">
        <v>2004</v>
      </c>
      <c r="B97" s="355">
        <v>38199</v>
      </c>
      <c r="C97" s="812" t="s">
        <v>695</v>
      </c>
      <c r="D97" s="812"/>
      <c r="E97" s="334">
        <f>366-E96</f>
        <v>154</v>
      </c>
      <c r="F97" s="334">
        <v>1</v>
      </c>
      <c r="G97" s="419"/>
      <c r="H97" s="334">
        <v>9</v>
      </c>
      <c r="I97" s="334">
        <v>6</v>
      </c>
      <c r="J97" s="435">
        <v>15</v>
      </c>
      <c r="K97" s="384">
        <f t="shared" si="4"/>
        <v>0</v>
      </c>
      <c r="L97" s="384">
        <f t="shared" si="4"/>
        <v>60</v>
      </c>
      <c r="M97" s="384">
        <f t="shared" si="4"/>
        <v>40</v>
      </c>
      <c r="N97" s="421">
        <f t="shared" si="5"/>
        <v>100</v>
      </c>
      <c r="O97" s="383"/>
      <c r="P97" s="384">
        <v>40</v>
      </c>
      <c r="Q97" s="384">
        <v>23.3</v>
      </c>
      <c r="R97" s="385">
        <f t="shared" si="6"/>
        <v>63.3</v>
      </c>
      <c r="S97" s="334">
        <v>2</v>
      </c>
      <c r="T97" s="342">
        <v>38151</v>
      </c>
      <c r="U97" s="355">
        <v>38199</v>
      </c>
      <c r="V97" s="343" t="s">
        <v>505</v>
      </c>
      <c r="W97" s="334" t="s">
        <v>17</v>
      </c>
      <c r="X97" s="334" t="s">
        <v>336</v>
      </c>
      <c r="Y97" s="344">
        <v>40</v>
      </c>
      <c r="Z97" s="334" t="s">
        <v>506</v>
      </c>
      <c r="AA97" s="334" t="s">
        <v>20</v>
      </c>
      <c r="AB97" s="334" t="s">
        <v>12</v>
      </c>
      <c r="AC97" s="334">
        <v>23.3</v>
      </c>
      <c r="AD97" s="343"/>
      <c r="AG97" s="344"/>
      <c r="AL97" s="343"/>
      <c r="AO97" s="344"/>
      <c r="AP97" s="343"/>
      <c r="AS97" s="344"/>
      <c r="AW97" s="344"/>
      <c r="BA97" s="345"/>
    </row>
    <row r="98" spans="1:53" s="334" customFormat="1" x14ac:dyDescent="0.15">
      <c r="A98" s="334">
        <v>2005</v>
      </c>
      <c r="C98" s="812" t="s">
        <v>695</v>
      </c>
      <c r="D98" s="812"/>
      <c r="E98" s="334">
        <v>0</v>
      </c>
      <c r="G98" s="419"/>
      <c r="H98" s="334">
        <v>9</v>
      </c>
      <c r="I98" s="334">
        <v>6</v>
      </c>
      <c r="J98" s="435">
        <v>15</v>
      </c>
      <c r="K98" s="384">
        <f t="shared" si="4"/>
        <v>0</v>
      </c>
      <c r="L98" s="384">
        <f t="shared" si="4"/>
        <v>60</v>
      </c>
      <c r="M98" s="384">
        <f t="shared" si="4"/>
        <v>40</v>
      </c>
      <c r="N98" s="421">
        <f t="shared" si="5"/>
        <v>100</v>
      </c>
      <c r="O98" s="383"/>
      <c r="P98" s="384">
        <v>40</v>
      </c>
      <c r="Q98" s="384">
        <v>23.3</v>
      </c>
      <c r="R98" s="385">
        <f t="shared" si="6"/>
        <v>63.3</v>
      </c>
      <c r="S98" s="334">
        <v>2</v>
      </c>
      <c r="T98" s="357"/>
      <c r="V98" s="343" t="s">
        <v>505</v>
      </c>
      <c r="W98" s="334" t="s">
        <v>17</v>
      </c>
      <c r="X98" s="334" t="s">
        <v>336</v>
      </c>
      <c r="Y98" s="344">
        <v>40</v>
      </c>
      <c r="Z98" s="334" t="s">
        <v>506</v>
      </c>
      <c r="AA98" s="334" t="s">
        <v>20</v>
      </c>
      <c r="AB98" s="334" t="s">
        <v>12</v>
      </c>
      <c r="AC98" s="334">
        <v>23.3</v>
      </c>
      <c r="AD98" s="343"/>
      <c r="AG98" s="344"/>
      <c r="AL98" s="343"/>
      <c r="AO98" s="344"/>
      <c r="AP98" s="343"/>
      <c r="AS98" s="344"/>
      <c r="AW98" s="344"/>
      <c r="BA98" s="345"/>
    </row>
    <row r="99" spans="1:53" s="334" customFormat="1" x14ac:dyDescent="0.15">
      <c r="A99" s="334">
        <v>2005</v>
      </c>
      <c r="C99" s="812" t="s">
        <v>695</v>
      </c>
      <c r="D99" s="812"/>
      <c r="E99" s="334">
        <f>365-E98</f>
        <v>365</v>
      </c>
      <c r="G99" s="419"/>
      <c r="H99" s="334">
        <v>9</v>
      </c>
      <c r="I99" s="334">
        <v>6</v>
      </c>
      <c r="J99" s="435">
        <v>15</v>
      </c>
      <c r="K99" s="384">
        <f t="shared" si="4"/>
        <v>0</v>
      </c>
      <c r="L99" s="384">
        <f t="shared" si="4"/>
        <v>60</v>
      </c>
      <c r="M99" s="384">
        <f t="shared" si="4"/>
        <v>40</v>
      </c>
      <c r="N99" s="421">
        <f t="shared" si="5"/>
        <v>100</v>
      </c>
      <c r="O99" s="383"/>
      <c r="P99" s="384">
        <v>40</v>
      </c>
      <c r="Q99" s="384">
        <v>23.3</v>
      </c>
      <c r="R99" s="385">
        <f t="shared" si="6"/>
        <v>63.3</v>
      </c>
      <c r="S99" s="334">
        <v>2</v>
      </c>
      <c r="T99" s="357"/>
      <c r="V99" s="343" t="s">
        <v>505</v>
      </c>
      <c r="W99" s="334" t="s">
        <v>17</v>
      </c>
      <c r="X99" s="334" t="s">
        <v>336</v>
      </c>
      <c r="Y99" s="344">
        <v>40</v>
      </c>
      <c r="Z99" s="334" t="s">
        <v>506</v>
      </c>
      <c r="AA99" s="334" t="s">
        <v>20</v>
      </c>
      <c r="AB99" s="334" t="s">
        <v>12</v>
      </c>
      <c r="AC99" s="334">
        <v>23.3</v>
      </c>
      <c r="AD99" s="343"/>
      <c r="AG99" s="344"/>
      <c r="AL99" s="343"/>
      <c r="AO99" s="344"/>
      <c r="AP99" s="343"/>
      <c r="AS99" s="344"/>
      <c r="AW99" s="344"/>
      <c r="BA99" s="345"/>
    </row>
    <row r="100" spans="1:53" s="334" customFormat="1" x14ac:dyDescent="0.15">
      <c r="A100" s="334">
        <v>2006</v>
      </c>
      <c r="C100" s="812" t="s">
        <v>695</v>
      </c>
      <c r="D100" s="812"/>
      <c r="E100" s="334">
        <v>0</v>
      </c>
      <c r="G100" s="419"/>
      <c r="H100" s="334">
        <v>9</v>
      </c>
      <c r="I100" s="334">
        <v>6</v>
      </c>
      <c r="J100" s="435">
        <v>15</v>
      </c>
      <c r="K100" s="384">
        <f t="shared" si="4"/>
        <v>0</v>
      </c>
      <c r="L100" s="384">
        <f t="shared" si="4"/>
        <v>60</v>
      </c>
      <c r="M100" s="384">
        <f t="shared" si="4"/>
        <v>40</v>
      </c>
      <c r="N100" s="421">
        <f t="shared" si="5"/>
        <v>100</v>
      </c>
      <c r="O100" s="383"/>
      <c r="P100" s="384">
        <v>40</v>
      </c>
      <c r="Q100" s="384">
        <v>23.3</v>
      </c>
      <c r="R100" s="385">
        <f t="shared" si="6"/>
        <v>63.3</v>
      </c>
      <c r="S100" s="334">
        <v>2</v>
      </c>
      <c r="T100" s="357"/>
      <c r="V100" s="343" t="s">
        <v>505</v>
      </c>
      <c r="W100" s="334" t="s">
        <v>17</v>
      </c>
      <c r="X100" s="334" t="s">
        <v>336</v>
      </c>
      <c r="Y100" s="344">
        <v>40</v>
      </c>
      <c r="Z100" s="334" t="s">
        <v>506</v>
      </c>
      <c r="AA100" s="334" t="s">
        <v>20</v>
      </c>
      <c r="AB100" s="334" t="s">
        <v>12</v>
      </c>
      <c r="AC100" s="334">
        <v>23.3</v>
      </c>
      <c r="AD100" s="343"/>
      <c r="AG100" s="344"/>
      <c r="AL100" s="343"/>
      <c r="AO100" s="344"/>
      <c r="AP100" s="343"/>
      <c r="AS100" s="344"/>
      <c r="AW100" s="344"/>
      <c r="BA100" s="345"/>
    </row>
    <row r="101" spans="1:53" s="334" customFormat="1" x14ac:dyDescent="0.15">
      <c r="A101" s="334">
        <v>2006</v>
      </c>
      <c r="C101" s="812" t="s">
        <v>695</v>
      </c>
      <c r="D101" s="812"/>
      <c r="E101" s="334">
        <f>365-E100</f>
        <v>365</v>
      </c>
      <c r="G101" s="419"/>
      <c r="H101" s="334">
        <v>9</v>
      </c>
      <c r="I101" s="334">
        <v>6</v>
      </c>
      <c r="J101" s="435">
        <v>15</v>
      </c>
      <c r="K101" s="384">
        <f t="shared" si="4"/>
        <v>0</v>
      </c>
      <c r="L101" s="384">
        <f t="shared" si="4"/>
        <v>60</v>
      </c>
      <c r="M101" s="384">
        <f t="shared" si="4"/>
        <v>40</v>
      </c>
      <c r="N101" s="421">
        <f t="shared" si="5"/>
        <v>100</v>
      </c>
      <c r="O101" s="383"/>
      <c r="P101" s="384">
        <v>40</v>
      </c>
      <c r="Q101" s="384">
        <v>23.3</v>
      </c>
      <c r="R101" s="385">
        <f t="shared" si="6"/>
        <v>63.3</v>
      </c>
      <c r="S101" s="334">
        <v>2</v>
      </c>
      <c r="T101" s="357"/>
      <c r="V101" s="343" t="s">
        <v>505</v>
      </c>
      <c r="W101" s="334" t="s">
        <v>17</v>
      </c>
      <c r="X101" s="334" t="s">
        <v>336</v>
      </c>
      <c r="Y101" s="344">
        <v>40</v>
      </c>
      <c r="Z101" s="334" t="s">
        <v>506</v>
      </c>
      <c r="AA101" s="334" t="s">
        <v>20</v>
      </c>
      <c r="AB101" s="334" t="s">
        <v>12</v>
      </c>
      <c r="AC101" s="334">
        <v>23.3</v>
      </c>
      <c r="AD101" s="343"/>
      <c r="AG101" s="344"/>
      <c r="AL101" s="343"/>
      <c r="AO101" s="344"/>
      <c r="AP101" s="343"/>
      <c r="AS101" s="344"/>
      <c r="AW101" s="344"/>
      <c r="BA101" s="345"/>
    </row>
    <row r="102" spans="1:53" s="334" customFormat="1" x14ac:dyDescent="0.15">
      <c r="A102" s="334">
        <v>2007</v>
      </c>
      <c r="C102" s="812" t="s">
        <v>695</v>
      </c>
      <c r="D102" s="812"/>
      <c r="E102" s="334">
        <v>0</v>
      </c>
      <c r="G102" s="419"/>
      <c r="H102" s="334">
        <v>9</v>
      </c>
      <c r="I102" s="334">
        <v>6</v>
      </c>
      <c r="J102" s="435">
        <v>15</v>
      </c>
      <c r="K102" s="384">
        <f t="shared" si="4"/>
        <v>0</v>
      </c>
      <c r="L102" s="384">
        <f t="shared" si="4"/>
        <v>60</v>
      </c>
      <c r="M102" s="384">
        <f t="shared" si="4"/>
        <v>40</v>
      </c>
      <c r="N102" s="421">
        <f t="shared" si="5"/>
        <v>100</v>
      </c>
      <c r="O102" s="383"/>
      <c r="P102" s="384">
        <v>40</v>
      </c>
      <c r="Q102" s="384">
        <v>23.3</v>
      </c>
      <c r="R102" s="385">
        <f t="shared" si="6"/>
        <v>63.3</v>
      </c>
      <c r="S102" s="334">
        <v>2</v>
      </c>
      <c r="T102" s="357"/>
      <c r="V102" s="343" t="s">
        <v>505</v>
      </c>
      <c r="W102" s="334" t="s">
        <v>17</v>
      </c>
      <c r="X102" s="334" t="s">
        <v>336</v>
      </c>
      <c r="Y102" s="344">
        <v>40</v>
      </c>
      <c r="Z102" s="334" t="s">
        <v>506</v>
      </c>
      <c r="AA102" s="334" t="s">
        <v>20</v>
      </c>
      <c r="AB102" s="334" t="s">
        <v>12</v>
      </c>
      <c r="AC102" s="334">
        <v>23.3</v>
      </c>
      <c r="AD102" s="343"/>
      <c r="AG102" s="344"/>
      <c r="AL102" s="343"/>
      <c r="AO102" s="344"/>
      <c r="AP102" s="343"/>
      <c r="AS102" s="344"/>
      <c r="AW102" s="344"/>
      <c r="BA102" s="345"/>
    </row>
    <row r="103" spans="1:53" s="334" customFormat="1" x14ac:dyDescent="0.15">
      <c r="A103" s="334">
        <v>2007</v>
      </c>
      <c r="C103" s="812" t="s">
        <v>695</v>
      </c>
      <c r="D103" s="812"/>
      <c r="E103" s="334">
        <v>365</v>
      </c>
      <c r="G103" s="419"/>
      <c r="H103" s="334">
        <v>9</v>
      </c>
      <c r="I103" s="334">
        <v>6</v>
      </c>
      <c r="J103" s="435">
        <v>15</v>
      </c>
      <c r="K103" s="384">
        <f t="shared" si="4"/>
        <v>0</v>
      </c>
      <c r="L103" s="384">
        <f t="shared" si="4"/>
        <v>60</v>
      </c>
      <c r="M103" s="384">
        <f t="shared" si="4"/>
        <v>40</v>
      </c>
      <c r="N103" s="421">
        <f t="shared" si="5"/>
        <v>100</v>
      </c>
      <c r="O103" s="383"/>
      <c r="P103" s="384">
        <v>40</v>
      </c>
      <c r="Q103" s="384">
        <v>23.3</v>
      </c>
      <c r="R103" s="385">
        <f t="shared" si="6"/>
        <v>63.3</v>
      </c>
      <c r="S103" s="334">
        <v>2</v>
      </c>
      <c r="T103" s="357"/>
      <c r="V103" s="343" t="s">
        <v>505</v>
      </c>
      <c r="W103" s="334" t="s">
        <v>17</v>
      </c>
      <c r="X103" s="334" t="s">
        <v>336</v>
      </c>
      <c r="Y103" s="344">
        <v>40</v>
      </c>
      <c r="Z103" s="334" t="s">
        <v>506</v>
      </c>
      <c r="AA103" s="334" t="s">
        <v>20</v>
      </c>
      <c r="AB103" s="334" t="s">
        <v>12</v>
      </c>
      <c r="AC103" s="334">
        <v>23.3</v>
      </c>
      <c r="AD103" s="343"/>
      <c r="AG103" s="344"/>
      <c r="AL103" s="343"/>
      <c r="AO103" s="344"/>
      <c r="AP103" s="343"/>
      <c r="AS103" s="344"/>
      <c r="AW103" s="344"/>
      <c r="BA103" s="345"/>
    </row>
    <row r="104" spans="1:53" s="334" customFormat="1" x14ac:dyDescent="0.15">
      <c r="A104" s="334">
        <v>2008</v>
      </c>
      <c r="C104" s="812" t="s">
        <v>695</v>
      </c>
      <c r="D104" s="812"/>
      <c r="E104" s="334">
        <v>0</v>
      </c>
      <c r="G104" s="419"/>
      <c r="H104" s="334">
        <v>9</v>
      </c>
      <c r="I104" s="334">
        <v>6</v>
      </c>
      <c r="J104" s="435">
        <v>15</v>
      </c>
      <c r="K104" s="384">
        <f t="shared" si="4"/>
        <v>0</v>
      </c>
      <c r="L104" s="384">
        <f t="shared" si="4"/>
        <v>60</v>
      </c>
      <c r="M104" s="384">
        <f t="shared" si="4"/>
        <v>40</v>
      </c>
      <c r="N104" s="421">
        <f t="shared" si="5"/>
        <v>100</v>
      </c>
      <c r="O104" s="383"/>
      <c r="P104" s="384">
        <v>40</v>
      </c>
      <c r="Q104" s="384">
        <v>23.3</v>
      </c>
      <c r="R104" s="385">
        <f t="shared" si="6"/>
        <v>63.3</v>
      </c>
      <c r="S104" s="334">
        <v>2</v>
      </c>
      <c r="T104" s="357"/>
      <c r="V104" s="343" t="s">
        <v>505</v>
      </c>
      <c r="W104" s="334" t="s">
        <v>17</v>
      </c>
      <c r="X104" s="334" t="s">
        <v>336</v>
      </c>
      <c r="Y104" s="344">
        <v>40</v>
      </c>
      <c r="Z104" s="334" t="s">
        <v>506</v>
      </c>
      <c r="AA104" s="334" t="s">
        <v>20</v>
      </c>
      <c r="AB104" s="334" t="s">
        <v>12</v>
      </c>
      <c r="AC104" s="334">
        <v>23.3</v>
      </c>
      <c r="AD104" s="343"/>
      <c r="AG104" s="344"/>
      <c r="AL104" s="343"/>
      <c r="AO104" s="344"/>
      <c r="AP104" s="343"/>
      <c r="AS104" s="344"/>
      <c r="AW104" s="344"/>
      <c r="BA104" s="345"/>
    </row>
    <row r="105" spans="1:53" s="334" customFormat="1" x14ac:dyDescent="0.15">
      <c r="A105" s="334">
        <v>2008</v>
      </c>
      <c r="C105" s="812" t="s">
        <v>695</v>
      </c>
      <c r="D105" s="812"/>
      <c r="E105" s="334">
        <v>366</v>
      </c>
      <c r="G105" s="419"/>
      <c r="H105" s="334">
        <v>9</v>
      </c>
      <c r="I105" s="334">
        <v>6</v>
      </c>
      <c r="J105" s="435">
        <v>15</v>
      </c>
      <c r="K105" s="384">
        <f t="shared" si="4"/>
        <v>0</v>
      </c>
      <c r="L105" s="384">
        <f t="shared" si="4"/>
        <v>60</v>
      </c>
      <c r="M105" s="384">
        <f t="shared" si="4"/>
        <v>40</v>
      </c>
      <c r="N105" s="421">
        <f t="shared" si="5"/>
        <v>100</v>
      </c>
      <c r="O105" s="383"/>
      <c r="P105" s="384">
        <v>40</v>
      </c>
      <c r="Q105" s="384">
        <v>23.3</v>
      </c>
      <c r="R105" s="385">
        <f t="shared" si="6"/>
        <v>63.3</v>
      </c>
      <c r="S105" s="334">
        <v>2</v>
      </c>
      <c r="T105" s="357"/>
      <c r="V105" s="343" t="s">
        <v>505</v>
      </c>
      <c r="W105" s="334" t="s">
        <v>17</v>
      </c>
      <c r="X105" s="334" t="s">
        <v>336</v>
      </c>
      <c r="Y105" s="344">
        <v>40</v>
      </c>
      <c r="Z105" s="334" t="s">
        <v>506</v>
      </c>
      <c r="AA105" s="334" t="s">
        <v>20</v>
      </c>
      <c r="AB105" s="334" t="s">
        <v>12</v>
      </c>
      <c r="AC105" s="334">
        <v>23.3</v>
      </c>
      <c r="AD105" s="343"/>
      <c r="AG105" s="344"/>
      <c r="AL105" s="343"/>
      <c r="AO105" s="344"/>
      <c r="AP105" s="343"/>
      <c r="AS105" s="344"/>
      <c r="AW105" s="344"/>
      <c r="BA105" s="345"/>
    </row>
    <row r="106" spans="1:53" s="334" customFormat="1" x14ac:dyDescent="0.15">
      <c r="A106" s="334">
        <v>2009</v>
      </c>
      <c r="C106" s="812" t="s">
        <v>695</v>
      </c>
      <c r="D106" s="812"/>
      <c r="E106" s="334">
        <v>203</v>
      </c>
      <c r="G106" s="419"/>
      <c r="H106" s="334">
        <v>9</v>
      </c>
      <c r="I106" s="334">
        <v>6</v>
      </c>
      <c r="J106" s="435">
        <v>15</v>
      </c>
      <c r="K106" s="384">
        <f t="shared" si="4"/>
        <v>0</v>
      </c>
      <c r="L106" s="384">
        <f t="shared" si="4"/>
        <v>60</v>
      </c>
      <c r="M106" s="384">
        <f t="shared" si="4"/>
        <v>40</v>
      </c>
      <c r="N106" s="421">
        <f t="shared" si="5"/>
        <v>100</v>
      </c>
      <c r="O106" s="383"/>
      <c r="P106" s="384">
        <v>40</v>
      </c>
      <c r="Q106" s="384">
        <v>23.3</v>
      </c>
      <c r="R106" s="385">
        <f t="shared" si="6"/>
        <v>63.3</v>
      </c>
      <c r="S106" s="334">
        <v>2</v>
      </c>
      <c r="T106" s="357"/>
      <c r="V106" s="343" t="s">
        <v>505</v>
      </c>
      <c r="W106" s="334" t="s">
        <v>17</v>
      </c>
      <c r="X106" s="334" t="s">
        <v>336</v>
      </c>
      <c r="Y106" s="344">
        <v>40</v>
      </c>
      <c r="Z106" s="334" t="s">
        <v>506</v>
      </c>
      <c r="AA106" s="334" t="s">
        <v>20</v>
      </c>
      <c r="AB106" s="334" t="s">
        <v>12</v>
      </c>
      <c r="AC106" s="334">
        <v>23.3</v>
      </c>
      <c r="AD106" s="343"/>
      <c r="AG106" s="344"/>
      <c r="AL106" s="343"/>
      <c r="AO106" s="344"/>
      <c r="AP106" s="343"/>
      <c r="AS106" s="344"/>
      <c r="AW106" s="344"/>
      <c r="BA106" s="345"/>
    </row>
    <row r="107" spans="1:53" s="208" customFormat="1" x14ac:dyDescent="0.15">
      <c r="A107" s="208">
        <v>2009</v>
      </c>
      <c r="B107" s="207">
        <v>40017</v>
      </c>
      <c r="C107" s="811" t="s">
        <v>696</v>
      </c>
      <c r="D107" s="811"/>
      <c r="E107" s="208">
        <f>365-E106</f>
        <v>162</v>
      </c>
      <c r="F107" s="208">
        <v>1</v>
      </c>
      <c r="G107" s="123"/>
      <c r="H107" s="208">
        <v>9</v>
      </c>
      <c r="I107" s="208">
        <v>6</v>
      </c>
      <c r="J107" s="134">
        <v>15</v>
      </c>
      <c r="K107" s="92">
        <f t="shared" si="4"/>
        <v>0</v>
      </c>
      <c r="L107" s="92">
        <f t="shared" si="4"/>
        <v>60</v>
      </c>
      <c r="M107" s="92">
        <f t="shared" si="4"/>
        <v>40</v>
      </c>
      <c r="N107" s="125">
        <f t="shared" si="5"/>
        <v>100</v>
      </c>
      <c r="O107" s="91"/>
      <c r="P107" s="92">
        <v>43.3</v>
      </c>
      <c r="Q107" s="92">
        <v>21.7</v>
      </c>
      <c r="R107" s="93">
        <f t="shared" si="6"/>
        <v>65</v>
      </c>
      <c r="S107" s="208">
        <v>2</v>
      </c>
      <c r="T107" s="95">
        <v>39971</v>
      </c>
      <c r="U107" s="207">
        <v>40017</v>
      </c>
      <c r="V107" s="82" t="s">
        <v>505</v>
      </c>
      <c r="W107" s="208" t="s">
        <v>17</v>
      </c>
      <c r="X107" s="208" t="s">
        <v>336</v>
      </c>
      <c r="Y107" s="83">
        <v>43.3</v>
      </c>
      <c r="Z107" s="208" t="s">
        <v>506</v>
      </c>
      <c r="AA107" s="208" t="s">
        <v>20</v>
      </c>
      <c r="AB107" s="208" t="s">
        <v>12</v>
      </c>
      <c r="AC107" s="208">
        <v>21.7</v>
      </c>
      <c r="AD107" s="82"/>
      <c r="AG107" s="83"/>
      <c r="AL107" s="82"/>
      <c r="AO107" s="83"/>
      <c r="AP107" s="82"/>
      <c r="AS107" s="83"/>
      <c r="AW107" s="83"/>
      <c r="BA107" s="84"/>
    </row>
    <row r="108" spans="1:53" s="208" customFormat="1" x14ac:dyDescent="0.15">
      <c r="A108" s="208">
        <v>2010</v>
      </c>
      <c r="C108" s="811" t="s">
        <v>696</v>
      </c>
      <c r="D108" s="811"/>
      <c r="E108" s="208">
        <v>0</v>
      </c>
      <c r="G108" s="123"/>
      <c r="H108" s="208">
        <v>9</v>
      </c>
      <c r="I108" s="208">
        <v>6</v>
      </c>
      <c r="J108" s="134">
        <v>15</v>
      </c>
      <c r="K108" s="92">
        <f t="shared" si="4"/>
        <v>0</v>
      </c>
      <c r="L108" s="92">
        <f t="shared" si="4"/>
        <v>60</v>
      </c>
      <c r="M108" s="92">
        <f t="shared" si="4"/>
        <v>40</v>
      </c>
      <c r="N108" s="125">
        <f t="shared" si="5"/>
        <v>100</v>
      </c>
      <c r="O108" s="91"/>
      <c r="P108" s="92">
        <v>43.3</v>
      </c>
      <c r="Q108" s="92">
        <v>21.7</v>
      </c>
      <c r="R108" s="93">
        <f t="shared" si="6"/>
        <v>65</v>
      </c>
      <c r="S108" s="208">
        <v>2</v>
      </c>
      <c r="T108" s="81"/>
      <c r="V108" s="82" t="s">
        <v>505</v>
      </c>
      <c r="W108" s="208" t="s">
        <v>17</v>
      </c>
      <c r="X108" s="208" t="s">
        <v>336</v>
      </c>
      <c r="Y108" s="83">
        <v>43.3</v>
      </c>
      <c r="Z108" s="208" t="s">
        <v>506</v>
      </c>
      <c r="AA108" s="208" t="s">
        <v>20</v>
      </c>
      <c r="AB108" s="208" t="s">
        <v>12</v>
      </c>
      <c r="AC108" s="208">
        <v>21.7</v>
      </c>
      <c r="AD108" s="82"/>
      <c r="AG108" s="83"/>
      <c r="AL108" s="82"/>
      <c r="AO108" s="83"/>
      <c r="AP108" s="82"/>
      <c r="AS108" s="83"/>
      <c r="AW108" s="83"/>
      <c r="BA108" s="84"/>
    </row>
    <row r="109" spans="1:53" s="208" customFormat="1" x14ac:dyDescent="0.15">
      <c r="A109" s="208">
        <v>2010</v>
      </c>
      <c r="C109" s="811" t="s">
        <v>696</v>
      </c>
      <c r="D109" s="811"/>
      <c r="E109" s="208">
        <v>365</v>
      </c>
      <c r="G109" s="123"/>
      <c r="H109" s="208">
        <v>9</v>
      </c>
      <c r="I109" s="208">
        <v>6</v>
      </c>
      <c r="J109" s="134">
        <v>15</v>
      </c>
      <c r="K109" s="92">
        <f t="shared" si="4"/>
        <v>0</v>
      </c>
      <c r="L109" s="92">
        <f t="shared" si="4"/>
        <v>60</v>
      </c>
      <c r="M109" s="92">
        <f t="shared" si="4"/>
        <v>40</v>
      </c>
      <c r="N109" s="125">
        <f t="shared" si="5"/>
        <v>100</v>
      </c>
      <c r="O109" s="91"/>
      <c r="P109" s="92">
        <v>43.3</v>
      </c>
      <c r="Q109" s="92">
        <v>21.7</v>
      </c>
      <c r="R109" s="93">
        <f t="shared" si="6"/>
        <v>65</v>
      </c>
      <c r="S109" s="208">
        <v>2</v>
      </c>
      <c r="T109" s="81"/>
      <c r="V109" s="82" t="s">
        <v>505</v>
      </c>
      <c r="W109" s="208" t="s">
        <v>17</v>
      </c>
      <c r="X109" s="208" t="s">
        <v>336</v>
      </c>
      <c r="Y109" s="83">
        <v>43.3</v>
      </c>
      <c r="Z109" s="208" t="s">
        <v>506</v>
      </c>
      <c r="AA109" s="208" t="s">
        <v>20</v>
      </c>
      <c r="AB109" s="208" t="s">
        <v>12</v>
      </c>
      <c r="AC109" s="208">
        <v>21.7</v>
      </c>
      <c r="AD109" s="82"/>
      <c r="AG109" s="83"/>
      <c r="AL109" s="82"/>
      <c r="AO109" s="83"/>
      <c r="AP109" s="82"/>
      <c r="AS109" s="83"/>
      <c r="AW109" s="83"/>
      <c r="BA109" s="84"/>
    </row>
    <row r="110" spans="1:53" s="208" customFormat="1" x14ac:dyDescent="0.15">
      <c r="A110" s="208">
        <v>2011</v>
      </c>
      <c r="C110" s="811" t="s">
        <v>696</v>
      </c>
      <c r="D110" s="811"/>
      <c r="E110" s="208">
        <v>0</v>
      </c>
      <c r="G110" s="123"/>
      <c r="H110" s="208">
        <v>9</v>
      </c>
      <c r="I110" s="208">
        <v>6</v>
      </c>
      <c r="J110" s="134">
        <v>15</v>
      </c>
      <c r="K110" s="92">
        <f t="shared" si="4"/>
        <v>0</v>
      </c>
      <c r="L110" s="92">
        <f t="shared" si="4"/>
        <v>60</v>
      </c>
      <c r="M110" s="92">
        <f t="shared" si="4"/>
        <v>40</v>
      </c>
      <c r="N110" s="125">
        <f t="shared" si="5"/>
        <v>100</v>
      </c>
      <c r="O110" s="91"/>
      <c r="P110" s="92">
        <v>43.3</v>
      </c>
      <c r="Q110" s="92">
        <v>21.7</v>
      </c>
      <c r="R110" s="93">
        <f t="shared" si="6"/>
        <v>65</v>
      </c>
      <c r="S110" s="208">
        <v>2</v>
      </c>
      <c r="T110" s="81"/>
      <c r="V110" s="82" t="s">
        <v>505</v>
      </c>
      <c r="W110" s="208" t="s">
        <v>17</v>
      </c>
      <c r="X110" s="208" t="s">
        <v>336</v>
      </c>
      <c r="Y110" s="83">
        <v>43.3</v>
      </c>
      <c r="Z110" s="208" t="s">
        <v>506</v>
      </c>
      <c r="AA110" s="208" t="s">
        <v>20</v>
      </c>
      <c r="AB110" s="208" t="s">
        <v>12</v>
      </c>
      <c r="AC110" s="208">
        <v>21.7</v>
      </c>
      <c r="AD110" s="82"/>
      <c r="AG110" s="83"/>
      <c r="AL110" s="82"/>
      <c r="AO110" s="83"/>
      <c r="AP110" s="82"/>
      <c r="AS110" s="83"/>
      <c r="AW110" s="83"/>
      <c r="BA110" s="84"/>
    </row>
    <row r="111" spans="1:53" s="208" customFormat="1" x14ac:dyDescent="0.15">
      <c r="A111" s="208">
        <v>2011</v>
      </c>
      <c r="C111" s="811" t="s">
        <v>696</v>
      </c>
      <c r="D111" s="811"/>
      <c r="E111" s="208">
        <v>365</v>
      </c>
      <c r="G111" s="123"/>
      <c r="H111" s="208">
        <v>9</v>
      </c>
      <c r="I111" s="208">
        <v>6</v>
      </c>
      <c r="J111" s="134">
        <v>15</v>
      </c>
      <c r="K111" s="92">
        <f t="shared" si="4"/>
        <v>0</v>
      </c>
      <c r="L111" s="92">
        <f t="shared" si="4"/>
        <v>60</v>
      </c>
      <c r="M111" s="92">
        <f t="shared" si="4"/>
        <v>40</v>
      </c>
      <c r="N111" s="125">
        <f t="shared" si="5"/>
        <v>100</v>
      </c>
      <c r="O111" s="91"/>
      <c r="P111" s="92">
        <v>43.3</v>
      </c>
      <c r="Q111" s="92">
        <v>21.7</v>
      </c>
      <c r="R111" s="93">
        <f t="shared" si="6"/>
        <v>65</v>
      </c>
      <c r="S111" s="208">
        <v>2</v>
      </c>
      <c r="T111" s="81"/>
      <c r="V111" s="82" t="s">
        <v>505</v>
      </c>
      <c r="W111" s="208" t="s">
        <v>17</v>
      </c>
      <c r="X111" s="208" t="s">
        <v>336</v>
      </c>
      <c r="Y111" s="83">
        <v>43.3</v>
      </c>
      <c r="Z111" s="208" t="s">
        <v>506</v>
      </c>
      <c r="AA111" s="208" t="s">
        <v>20</v>
      </c>
      <c r="AB111" s="208" t="s">
        <v>12</v>
      </c>
      <c r="AC111" s="208">
        <v>21.7</v>
      </c>
      <c r="AD111" s="82"/>
      <c r="AG111" s="83"/>
      <c r="AL111" s="82"/>
      <c r="AO111" s="83"/>
      <c r="AP111" s="82"/>
      <c r="AS111" s="83"/>
      <c r="AW111" s="83"/>
      <c r="BA111" s="84"/>
    </row>
    <row r="112" spans="1:53" s="208" customFormat="1" x14ac:dyDescent="0.15">
      <c r="A112" s="208">
        <v>2012</v>
      </c>
      <c r="C112" s="811" t="s">
        <v>696</v>
      </c>
      <c r="D112" s="811"/>
      <c r="E112" s="208">
        <v>0</v>
      </c>
      <c r="G112" s="123"/>
      <c r="H112" s="208">
        <v>9</v>
      </c>
      <c r="I112" s="208">
        <v>6</v>
      </c>
      <c r="J112" s="134">
        <v>15</v>
      </c>
      <c r="K112" s="92">
        <f t="shared" si="4"/>
        <v>0</v>
      </c>
      <c r="L112" s="92">
        <f t="shared" si="4"/>
        <v>60</v>
      </c>
      <c r="M112" s="92">
        <f t="shared" si="4"/>
        <v>40</v>
      </c>
      <c r="N112" s="125">
        <f t="shared" si="5"/>
        <v>100</v>
      </c>
      <c r="O112" s="91"/>
      <c r="P112" s="92">
        <v>43.3</v>
      </c>
      <c r="Q112" s="92">
        <v>21.7</v>
      </c>
      <c r="R112" s="93">
        <f t="shared" si="6"/>
        <v>65</v>
      </c>
      <c r="S112" s="208">
        <v>2</v>
      </c>
      <c r="T112" s="81"/>
      <c r="V112" s="82" t="s">
        <v>505</v>
      </c>
      <c r="W112" s="208" t="s">
        <v>17</v>
      </c>
      <c r="X112" s="208" t="s">
        <v>336</v>
      </c>
      <c r="Y112" s="83">
        <v>43.3</v>
      </c>
      <c r="Z112" s="208" t="s">
        <v>506</v>
      </c>
      <c r="AA112" s="208" t="s">
        <v>20</v>
      </c>
      <c r="AB112" s="208" t="s">
        <v>12</v>
      </c>
      <c r="AC112" s="208">
        <v>21.7</v>
      </c>
      <c r="AD112" s="82"/>
      <c r="AG112" s="83"/>
      <c r="AL112" s="82"/>
      <c r="AO112" s="83"/>
      <c r="AP112" s="82"/>
      <c r="AS112" s="83"/>
      <c r="AW112" s="83"/>
      <c r="BA112" s="84"/>
    </row>
    <row r="113" spans="1:53" s="208" customFormat="1" x14ac:dyDescent="0.15">
      <c r="A113" s="208">
        <v>2012</v>
      </c>
      <c r="C113" s="811" t="s">
        <v>696</v>
      </c>
      <c r="D113" s="811"/>
      <c r="E113" s="208">
        <v>366</v>
      </c>
      <c r="G113" s="123"/>
      <c r="H113" s="208">
        <v>9</v>
      </c>
      <c r="I113" s="208">
        <v>6</v>
      </c>
      <c r="J113" s="134">
        <v>15</v>
      </c>
      <c r="K113" s="92">
        <f t="shared" si="4"/>
        <v>0</v>
      </c>
      <c r="L113" s="92">
        <f t="shared" si="4"/>
        <v>60</v>
      </c>
      <c r="M113" s="92">
        <f t="shared" si="4"/>
        <v>40</v>
      </c>
      <c r="N113" s="125">
        <f t="shared" si="5"/>
        <v>100</v>
      </c>
      <c r="O113" s="91"/>
      <c r="P113" s="92">
        <v>43.3</v>
      </c>
      <c r="Q113" s="92">
        <v>21.7</v>
      </c>
      <c r="R113" s="93">
        <f t="shared" si="6"/>
        <v>65</v>
      </c>
      <c r="S113" s="208">
        <v>2</v>
      </c>
      <c r="T113" s="81"/>
      <c r="V113" s="82" t="s">
        <v>505</v>
      </c>
      <c r="W113" s="208" t="s">
        <v>17</v>
      </c>
      <c r="X113" s="208" t="s">
        <v>336</v>
      </c>
      <c r="Y113" s="83">
        <v>43.3</v>
      </c>
      <c r="Z113" s="208" t="s">
        <v>506</v>
      </c>
      <c r="AA113" s="208" t="s">
        <v>20</v>
      </c>
      <c r="AB113" s="208" t="s">
        <v>12</v>
      </c>
      <c r="AC113" s="208">
        <v>21.7</v>
      </c>
      <c r="AD113" s="82"/>
      <c r="AG113" s="83"/>
      <c r="AL113" s="82"/>
      <c r="AO113" s="83"/>
      <c r="AP113" s="82"/>
      <c r="AS113" s="83"/>
      <c r="AW113" s="83"/>
      <c r="BA113" s="84"/>
    </row>
    <row r="114" spans="1:53" s="305" customFormat="1" x14ac:dyDescent="0.15">
      <c r="A114" s="305">
        <v>2013</v>
      </c>
      <c r="C114" s="811" t="s">
        <v>696</v>
      </c>
      <c r="D114" s="811"/>
      <c r="E114" s="305">
        <v>337</v>
      </c>
      <c r="G114" s="123"/>
      <c r="H114" s="305">
        <v>9</v>
      </c>
      <c r="I114" s="305">
        <v>6</v>
      </c>
      <c r="J114" s="134">
        <v>15</v>
      </c>
      <c r="K114" s="92">
        <f t="shared" si="4"/>
        <v>0</v>
      </c>
      <c r="L114" s="92">
        <f t="shared" si="4"/>
        <v>60</v>
      </c>
      <c r="M114" s="92">
        <f t="shared" si="4"/>
        <v>40</v>
      </c>
      <c r="N114" s="125">
        <f t="shared" si="5"/>
        <v>100</v>
      </c>
      <c r="O114" s="91"/>
      <c r="P114" s="92">
        <v>43.3</v>
      </c>
      <c r="Q114" s="92">
        <v>21.7</v>
      </c>
      <c r="R114" s="93">
        <f>O114+P114+Q114</f>
        <v>65</v>
      </c>
      <c r="S114" s="305">
        <v>2</v>
      </c>
      <c r="T114" s="81"/>
      <c r="V114" s="82" t="s">
        <v>505</v>
      </c>
      <c r="W114" s="305" t="s">
        <v>17</v>
      </c>
      <c r="X114" s="305" t="s">
        <v>336</v>
      </c>
      <c r="Y114" s="83">
        <v>43.3</v>
      </c>
      <c r="Z114" s="305" t="s">
        <v>506</v>
      </c>
      <c r="AA114" s="305" t="s">
        <v>20</v>
      </c>
      <c r="AB114" s="305" t="s">
        <v>12</v>
      </c>
      <c r="AC114" s="305">
        <v>21.7</v>
      </c>
      <c r="AD114" s="82"/>
      <c r="AG114" s="83"/>
      <c r="AL114" s="82"/>
      <c r="AO114" s="83"/>
      <c r="AP114" s="82"/>
      <c r="AS114" s="83"/>
      <c r="AW114" s="83"/>
      <c r="BA114" s="84"/>
    </row>
    <row r="115" spans="1:53" s="334" customFormat="1" x14ac:dyDescent="0.15">
      <c r="A115" s="334">
        <v>2013</v>
      </c>
      <c r="B115" s="355">
        <v>41612</v>
      </c>
      <c r="C115" s="812" t="s">
        <v>1263</v>
      </c>
      <c r="D115" s="812"/>
      <c r="E115" s="334">
        <f>365-E114</f>
        <v>28</v>
      </c>
      <c r="F115" s="334">
        <v>1</v>
      </c>
      <c r="G115" s="419">
        <v>7</v>
      </c>
      <c r="I115" s="334">
        <v>11</v>
      </c>
      <c r="J115" s="435">
        <v>18</v>
      </c>
      <c r="K115" s="384">
        <f>G115/$J115*100</f>
        <v>38.888888888888893</v>
      </c>
      <c r="L115" s="384">
        <f t="shared" si="4"/>
        <v>0</v>
      </c>
      <c r="M115" s="384">
        <f t="shared" si="4"/>
        <v>61.111111111111114</v>
      </c>
      <c r="N115" s="421">
        <f t="shared" si="5"/>
        <v>100</v>
      </c>
      <c r="O115" s="383">
        <v>21.7</v>
      </c>
      <c r="P115" s="384"/>
      <c r="Q115" s="384">
        <v>31.7</v>
      </c>
      <c r="R115" s="385">
        <f>O115+P115+Q115</f>
        <v>53.4</v>
      </c>
      <c r="S115" s="334">
        <v>2</v>
      </c>
      <c r="T115" s="342">
        <v>41567</v>
      </c>
      <c r="U115" s="355">
        <v>41612</v>
      </c>
      <c r="V115" s="343" t="s">
        <v>131</v>
      </c>
      <c r="W115" s="334" t="s">
        <v>22</v>
      </c>
      <c r="X115" s="334" t="s">
        <v>11</v>
      </c>
      <c r="Y115" s="344">
        <v>21.7</v>
      </c>
      <c r="Z115" s="334" t="s">
        <v>506</v>
      </c>
      <c r="AA115" s="334" t="s">
        <v>20</v>
      </c>
      <c r="AB115" s="334" t="s">
        <v>12</v>
      </c>
      <c r="AC115" s="334">
        <v>21.7</v>
      </c>
      <c r="AD115" s="343" t="s">
        <v>1278</v>
      </c>
      <c r="AE115" s="334" t="s">
        <v>1264</v>
      </c>
      <c r="AF115" s="334" t="s">
        <v>12</v>
      </c>
      <c r="AG115" s="344">
        <v>10</v>
      </c>
      <c r="AL115" s="343"/>
      <c r="AO115" s="344"/>
      <c r="AP115" s="343"/>
      <c r="AS115" s="344"/>
      <c r="AW115" s="344"/>
      <c r="BA115" s="345"/>
    </row>
    <row r="116" spans="1:53" s="561" customFormat="1" x14ac:dyDescent="0.15">
      <c r="A116" s="561">
        <v>2014</v>
      </c>
      <c r="B116" s="558"/>
      <c r="C116" s="812" t="s">
        <v>1263</v>
      </c>
      <c r="D116" s="812"/>
      <c r="E116" s="561">
        <v>0</v>
      </c>
      <c r="G116" s="497">
        <v>7</v>
      </c>
      <c r="I116" s="561">
        <v>11</v>
      </c>
      <c r="J116" s="499">
        <v>18</v>
      </c>
      <c r="K116" s="495">
        <f>G116/$J116*100</f>
        <v>38.888888888888893</v>
      </c>
      <c r="L116" s="495">
        <f>H116/$J116*100</f>
        <v>0</v>
      </c>
      <c r="M116" s="495">
        <f>I116/$J116*100</f>
        <v>61.111111111111114</v>
      </c>
      <c r="N116" s="498">
        <f>K116+L116+M116</f>
        <v>100</v>
      </c>
      <c r="O116" s="494">
        <v>21.7</v>
      </c>
      <c r="P116" s="495"/>
      <c r="Q116" s="495">
        <v>31.7</v>
      </c>
      <c r="R116" s="496">
        <f>O116+P116+Q116</f>
        <v>53.4</v>
      </c>
      <c r="S116" s="561">
        <v>2</v>
      </c>
      <c r="T116" s="487"/>
      <c r="U116" s="558"/>
      <c r="V116" s="488" t="s">
        <v>131</v>
      </c>
      <c r="W116" s="561" t="s">
        <v>22</v>
      </c>
      <c r="X116" s="561" t="s">
        <v>11</v>
      </c>
      <c r="Y116" s="489">
        <v>21.7</v>
      </c>
      <c r="Z116" s="561" t="s">
        <v>506</v>
      </c>
      <c r="AA116" s="561" t="s">
        <v>20</v>
      </c>
      <c r="AB116" s="561" t="s">
        <v>12</v>
      </c>
      <c r="AC116" s="561">
        <v>21.7</v>
      </c>
      <c r="AD116" s="488" t="s">
        <v>1278</v>
      </c>
      <c r="AE116" s="561" t="s">
        <v>1264</v>
      </c>
      <c r="AF116" s="561" t="s">
        <v>12</v>
      </c>
      <c r="AG116" s="489">
        <v>10</v>
      </c>
      <c r="AL116" s="488"/>
      <c r="AO116" s="489"/>
      <c r="AP116" s="488"/>
      <c r="AS116" s="489"/>
      <c r="AW116" s="489"/>
      <c r="BA116" s="490"/>
    </row>
    <row r="117" spans="1:53" s="561" customFormat="1" x14ac:dyDescent="0.15">
      <c r="A117" s="561">
        <v>2014</v>
      </c>
      <c r="B117" s="558"/>
      <c r="C117" s="812" t="s">
        <v>1263</v>
      </c>
      <c r="D117" s="812"/>
      <c r="E117" s="561">
        <v>365</v>
      </c>
      <c r="G117" s="497">
        <v>7</v>
      </c>
      <c r="I117" s="561">
        <v>11</v>
      </c>
      <c r="J117" s="499">
        <v>18</v>
      </c>
      <c r="K117" s="495">
        <f>G117/$J117*100</f>
        <v>38.888888888888893</v>
      </c>
      <c r="L117" s="495">
        <f>H117/$J117*100</f>
        <v>0</v>
      </c>
      <c r="M117" s="495">
        <f>I117/$J117*100</f>
        <v>61.111111111111114</v>
      </c>
      <c r="N117" s="498">
        <f>K117+L117+M117</f>
        <v>100</v>
      </c>
      <c r="O117" s="494">
        <v>21.7</v>
      </c>
      <c r="P117" s="495"/>
      <c r="Q117" s="495">
        <v>31.7</v>
      </c>
      <c r="R117" s="496">
        <f>O117+P117+Q117</f>
        <v>53.4</v>
      </c>
      <c r="S117" s="561">
        <v>2</v>
      </c>
      <c r="T117" s="487"/>
      <c r="U117" s="558"/>
      <c r="V117" s="488" t="s">
        <v>131</v>
      </c>
      <c r="W117" s="561" t="s">
        <v>22</v>
      </c>
      <c r="X117" s="561" t="s">
        <v>11</v>
      </c>
      <c r="Y117" s="489">
        <v>21.7</v>
      </c>
      <c r="Z117" s="561" t="s">
        <v>506</v>
      </c>
      <c r="AA117" s="561" t="s">
        <v>20</v>
      </c>
      <c r="AB117" s="561" t="s">
        <v>12</v>
      </c>
      <c r="AC117" s="561">
        <v>21.7</v>
      </c>
      <c r="AD117" s="488" t="s">
        <v>1278</v>
      </c>
      <c r="AE117" s="561" t="s">
        <v>1264</v>
      </c>
      <c r="AF117" s="561" t="s">
        <v>12</v>
      </c>
      <c r="AG117" s="489">
        <v>10</v>
      </c>
      <c r="AL117" s="488"/>
      <c r="AO117" s="489"/>
      <c r="AP117" s="488"/>
      <c r="AS117" s="489"/>
      <c r="AW117" s="489"/>
      <c r="BA117" s="490"/>
    </row>
    <row r="118" spans="1:53" s="742" customFormat="1" x14ac:dyDescent="0.15">
      <c r="A118" s="742">
        <v>2015</v>
      </c>
      <c r="B118" s="737"/>
      <c r="C118" s="812" t="s">
        <v>1263</v>
      </c>
      <c r="D118" s="812"/>
      <c r="E118" s="742">
        <v>0</v>
      </c>
      <c r="G118" s="649">
        <v>7</v>
      </c>
      <c r="I118" s="742">
        <v>11</v>
      </c>
      <c r="J118" s="651">
        <v>18</v>
      </c>
      <c r="K118" s="647">
        <f t="shared" ref="K118:K119" si="7">G118/$J118*100</f>
        <v>38.888888888888893</v>
      </c>
      <c r="L118" s="647">
        <f t="shared" ref="L118:L119" si="8">H118/$J118*100</f>
        <v>0</v>
      </c>
      <c r="M118" s="647">
        <f t="shared" ref="M118:M119" si="9">I118/$J118*100</f>
        <v>61.111111111111114</v>
      </c>
      <c r="N118" s="650">
        <f t="shared" ref="N118:N119" si="10">K118+L118+M118</f>
        <v>100</v>
      </c>
      <c r="O118" s="646">
        <v>21.7</v>
      </c>
      <c r="P118" s="647"/>
      <c r="Q118" s="647">
        <v>31.7</v>
      </c>
      <c r="R118" s="648">
        <f>O118+P118+Q118</f>
        <v>53.4</v>
      </c>
      <c r="S118" s="742">
        <v>2</v>
      </c>
      <c r="T118" s="487"/>
      <c r="U118" s="737"/>
      <c r="V118" s="641" t="s">
        <v>131</v>
      </c>
      <c r="W118" s="742" t="s">
        <v>22</v>
      </c>
      <c r="X118" s="742" t="s">
        <v>11</v>
      </c>
      <c r="Y118" s="642">
        <v>21.7</v>
      </c>
      <c r="Z118" s="742" t="s">
        <v>506</v>
      </c>
      <c r="AA118" s="742" t="s">
        <v>20</v>
      </c>
      <c r="AB118" s="742" t="s">
        <v>12</v>
      </c>
      <c r="AC118" s="742">
        <v>21.7</v>
      </c>
      <c r="AD118" s="641" t="s">
        <v>1278</v>
      </c>
      <c r="AE118" s="742" t="s">
        <v>1264</v>
      </c>
      <c r="AF118" s="742" t="s">
        <v>12</v>
      </c>
      <c r="AG118" s="642">
        <v>10</v>
      </c>
      <c r="AL118" s="641"/>
      <c r="AO118" s="642"/>
      <c r="AP118" s="641"/>
      <c r="AS118" s="642"/>
      <c r="AW118" s="642"/>
      <c r="BA118" s="643"/>
    </row>
    <row r="119" spans="1:53" s="742" customFormat="1" x14ac:dyDescent="0.15">
      <c r="A119" s="742">
        <v>2015</v>
      </c>
      <c r="B119" s="737"/>
      <c r="C119" s="812" t="s">
        <v>1263</v>
      </c>
      <c r="D119" s="812"/>
      <c r="E119" s="742">
        <v>365</v>
      </c>
      <c r="G119" s="649">
        <v>7</v>
      </c>
      <c r="I119" s="742">
        <v>11</v>
      </c>
      <c r="J119" s="651">
        <v>18</v>
      </c>
      <c r="K119" s="647">
        <f t="shared" si="7"/>
        <v>38.888888888888893</v>
      </c>
      <c r="L119" s="647">
        <f t="shared" si="8"/>
        <v>0</v>
      </c>
      <c r="M119" s="647">
        <f t="shared" si="9"/>
        <v>61.111111111111114</v>
      </c>
      <c r="N119" s="650">
        <f t="shared" si="10"/>
        <v>100</v>
      </c>
      <c r="O119" s="646">
        <v>21.7</v>
      </c>
      <c r="P119" s="647"/>
      <c r="Q119" s="647">
        <v>31.7</v>
      </c>
      <c r="R119" s="648">
        <f t="shared" ref="R119" si="11">O119+P119+Q119</f>
        <v>53.4</v>
      </c>
      <c r="S119" s="742">
        <v>2</v>
      </c>
      <c r="T119" s="487"/>
      <c r="U119" s="737"/>
      <c r="V119" s="641" t="s">
        <v>131</v>
      </c>
      <c r="W119" s="742" t="s">
        <v>22</v>
      </c>
      <c r="X119" s="742" t="s">
        <v>11</v>
      </c>
      <c r="Y119" s="642">
        <v>21.7</v>
      </c>
      <c r="Z119" s="742" t="s">
        <v>506</v>
      </c>
      <c r="AA119" s="742" t="s">
        <v>20</v>
      </c>
      <c r="AB119" s="742" t="s">
        <v>12</v>
      </c>
      <c r="AC119" s="742">
        <v>21.7</v>
      </c>
      <c r="AD119" s="641" t="s">
        <v>1278</v>
      </c>
      <c r="AE119" s="742" t="s">
        <v>1264</v>
      </c>
      <c r="AF119" s="742" t="s">
        <v>12</v>
      </c>
      <c r="AG119" s="642">
        <v>10</v>
      </c>
      <c r="AL119" s="641"/>
      <c r="AO119" s="642"/>
      <c r="AP119" s="641"/>
      <c r="AS119" s="642"/>
      <c r="AW119" s="642"/>
      <c r="BA119" s="643"/>
    </row>
    <row r="122" spans="1:53" s="2" customFormat="1" ht="18" customHeight="1" x14ac:dyDescent="0.2">
      <c r="B122" s="22" t="s">
        <v>1284</v>
      </c>
      <c r="H122" s="6"/>
    </row>
    <row r="123" spans="1:53" s="2" customFormat="1" ht="9" customHeight="1" x14ac:dyDescent="0.15">
      <c r="H123" s="6"/>
    </row>
    <row r="124" spans="1:53" s="364" customFormat="1" ht="9" customHeight="1" x14ac:dyDescent="0.15">
      <c r="A124" s="362"/>
      <c r="B124" s="363" t="s">
        <v>1235</v>
      </c>
      <c r="C124" s="363"/>
      <c r="D124" s="363"/>
      <c r="E124" s="363"/>
      <c r="F124" s="363"/>
      <c r="G124" s="363" t="s">
        <v>1236</v>
      </c>
      <c r="H124" s="363"/>
      <c r="I124" s="363"/>
      <c r="J124" s="363"/>
      <c r="K124" s="363"/>
      <c r="L124" s="363"/>
      <c r="M124" s="363"/>
      <c r="N124" s="363"/>
      <c r="R124" s="802" t="s">
        <v>1237</v>
      </c>
      <c r="S124" s="802"/>
      <c r="T124" s="802"/>
      <c r="U124" s="802"/>
      <c r="V124" s="802"/>
      <c r="W124" s="802"/>
      <c r="X124" s="365"/>
      <c r="Y124" s="365"/>
      <c r="AA124" s="365"/>
      <c r="AB124" s="365"/>
      <c r="AC124" s="365"/>
      <c r="AD124" s="365"/>
    </row>
    <row r="125" spans="1:53" s="369" customFormat="1" ht="9" customHeight="1" x14ac:dyDescent="0.15">
      <c r="A125" s="366"/>
      <c r="B125" s="367" t="s">
        <v>1239</v>
      </c>
      <c r="C125" s="368"/>
      <c r="D125" s="368"/>
      <c r="E125" s="368"/>
      <c r="F125" s="368"/>
      <c r="G125" s="367" t="s">
        <v>1238</v>
      </c>
      <c r="H125" s="368"/>
      <c r="I125" s="368"/>
      <c r="J125" s="368"/>
      <c r="K125" s="368"/>
      <c r="L125" s="368"/>
      <c r="M125" s="368"/>
      <c r="N125" s="368"/>
      <c r="R125" s="370" t="s">
        <v>1240</v>
      </c>
      <c r="S125" s="371"/>
      <c r="T125" s="372"/>
      <c r="U125" s="372"/>
      <c r="V125" s="372"/>
      <c r="W125" s="370" t="s">
        <v>1241</v>
      </c>
      <c r="X125" s="372"/>
      <c r="Y125" s="372"/>
      <c r="AA125" s="372"/>
      <c r="AB125" s="372"/>
      <c r="AC125" s="372"/>
      <c r="AD125" s="372"/>
    </row>
    <row r="126" spans="1:53" s="351" customFormat="1" ht="12" customHeight="1" x14ac:dyDescent="0.15">
      <c r="A126" s="373" t="s">
        <v>3</v>
      </c>
      <c r="B126" s="374" t="s">
        <v>8</v>
      </c>
      <c r="C126" s="374" t="s">
        <v>9</v>
      </c>
      <c r="D126" s="374" t="s">
        <v>10</v>
      </c>
      <c r="E126" s="375" t="s">
        <v>1215</v>
      </c>
      <c r="F126" s="374"/>
      <c r="G126" s="351" t="s">
        <v>3</v>
      </c>
      <c r="H126" s="803" t="s">
        <v>0</v>
      </c>
      <c r="I126" s="803"/>
      <c r="J126" s="803" t="s">
        <v>1</v>
      </c>
      <c r="K126" s="803"/>
      <c r="L126" s="803" t="s">
        <v>2</v>
      </c>
      <c r="M126" s="803"/>
      <c r="N126" s="804" t="s">
        <v>1215</v>
      </c>
      <c r="O126" s="804"/>
      <c r="P126" s="376"/>
      <c r="Q126" s="376"/>
      <c r="R126" s="377" t="s">
        <v>3</v>
      </c>
      <c r="S126" s="378" t="s">
        <v>136</v>
      </c>
      <c r="T126" s="376" t="s">
        <v>134</v>
      </c>
      <c r="U126" s="374" t="s">
        <v>135</v>
      </c>
      <c r="V126" s="376"/>
      <c r="W126" s="379" t="s">
        <v>26</v>
      </c>
    </row>
    <row r="127" spans="1:53" s="273" customFormat="1" x14ac:dyDescent="0.15">
      <c r="A127" s="273">
        <v>1959</v>
      </c>
      <c r="B127" s="260">
        <f>(K6*($E6/365)) + (K7*($E7/365))</f>
        <v>36.399217221135025</v>
      </c>
      <c r="C127" s="260">
        <f>(L6*($E6/365)) + (L7*($E7/365))</f>
        <v>56.066536203522496</v>
      </c>
      <c r="D127" s="260">
        <f>(M6*($E6/365)) + (M7*($E7/365))</f>
        <v>7.5342465753424657</v>
      </c>
      <c r="E127" s="261">
        <f>B127+C127+D127</f>
        <v>99.999999999999986</v>
      </c>
      <c r="G127" s="273">
        <v>1959</v>
      </c>
      <c r="H127" s="819">
        <f>(O6/$R6*100*($E6/365))+(O7/$R7*100*($E7/365))</f>
        <v>29.229674435153889</v>
      </c>
      <c r="I127" s="819"/>
      <c r="J127" s="819">
        <f>(P6/$R6*100*($E6/365))+(P7/$R7*100*($E7/365))</f>
        <v>65.924690725344988</v>
      </c>
      <c r="K127" s="819"/>
      <c r="L127" s="819">
        <f>(Q6/$R6*100*($E6/365))+(Q7/$R7*100*($E7/365))</f>
        <v>4.8456348395011242</v>
      </c>
      <c r="M127" s="819"/>
      <c r="N127" s="813">
        <f>H127+J127+L127</f>
        <v>100.00000000000001</v>
      </c>
      <c r="O127" s="813"/>
      <c r="R127" s="273">
        <v>1959</v>
      </c>
      <c r="S127" s="260">
        <f>(O6*($E6/365)) + (O7*($E7/365))</f>
        <v>18.005479452054793</v>
      </c>
      <c r="T127" s="260">
        <f>(P6*($E6/365)) + (P7*($E7/365))</f>
        <v>41.846575342465748</v>
      </c>
      <c r="U127" s="260">
        <f>(Q6*($E6/365)) + (Q7*($E7/365))</f>
        <v>3.5712328767123283</v>
      </c>
      <c r="V127" s="274"/>
      <c r="W127" s="274">
        <f>S127+T127+U127</f>
        <v>63.42328767123287</v>
      </c>
    </row>
    <row r="128" spans="1:53" x14ac:dyDescent="0.15">
      <c r="A128" s="1">
        <v>1960</v>
      </c>
      <c r="B128" s="8">
        <f>(K8*($E8/366))+(K9*($E9/366))</f>
        <v>42.857142857142854</v>
      </c>
      <c r="C128" s="8">
        <f>(L8*($E8/366))+(L9*($E9/366))</f>
        <v>57.142857142857139</v>
      </c>
      <c r="D128" s="8">
        <f>(M8*($E8/366))+(M9*($E9/366))</f>
        <v>0</v>
      </c>
      <c r="E128" s="48">
        <f>B128+C128+D128</f>
        <v>100</v>
      </c>
      <c r="G128" s="1">
        <v>1960</v>
      </c>
      <c r="H128" s="809">
        <f>(O8/$R8*100*($E8/366))+(O9/$R9*100*($E9/366))</f>
        <v>34.415584415584419</v>
      </c>
      <c r="I128" s="809"/>
      <c r="J128" s="809">
        <f>(P8/$R8*100*($E8/366))+(P9/$R9*100*($E9/366))</f>
        <v>65.584415584415595</v>
      </c>
      <c r="K128" s="809"/>
      <c r="L128" s="809">
        <f>(Q8/$R8*100*($E8/366))+(Q9/$R9*100*($E9/366))</f>
        <v>0</v>
      </c>
      <c r="M128" s="809"/>
      <c r="N128" s="810">
        <f>H128+J128+L128</f>
        <v>100.00000000000001</v>
      </c>
      <c r="O128" s="810"/>
      <c r="R128" s="1">
        <v>1960</v>
      </c>
      <c r="S128" s="8">
        <f>(O8*($E8/366))+(O9*($E9/366))</f>
        <v>21.2</v>
      </c>
      <c r="T128" s="8">
        <f>(P8*($E8/366))+(P9*($E9/366))</f>
        <v>40.4</v>
      </c>
      <c r="U128" s="8">
        <f>(Q8*($E8/366))+(Q9*($E9/366))</f>
        <v>0</v>
      </c>
      <c r="V128" s="7"/>
      <c r="W128" s="7">
        <f>S128+T128+U128</f>
        <v>61.599999999999994</v>
      </c>
    </row>
    <row r="129" spans="1:23" x14ac:dyDescent="0.15">
      <c r="A129" s="1">
        <v>1961</v>
      </c>
      <c r="B129" s="8">
        <f>(K10*($E10/365))+(K11*($E11/365))</f>
        <v>42.857142857142854</v>
      </c>
      <c r="C129" s="8">
        <f>(L10*($E10/365))+(L11*($E11/365))</f>
        <v>57.142857142857139</v>
      </c>
      <c r="D129" s="8">
        <f>(M10*($E10/365))+(M11*($E11/365))</f>
        <v>0</v>
      </c>
      <c r="E129" s="48">
        <f t="shared" ref="E129:E181" si="12">B129+C129+D129</f>
        <v>100</v>
      </c>
      <c r="G129" s="1">
        <v>1961</v>
      </c>
      <c r="H129" s="809">
        <f>(O10/$R10*100*($E10/365))+(O11/$R11*100*($E11/365))</f>
        <v>34.415584415584419</v>
      </c>
      <c r="I129" s="809"/>
      <c r="J129" s="809">
        <f>(P10/$R10*100*($E10/365))+(P11/$R11*100*($E11/365))</f>
        <v>65.584415584415595</v>
      </c>
      <c r="K129" s="809"/>
      <c r="L129" s="809">
        <f>(Q10/$R10*100*($E10/365))+(Q11/$R11*100*($E11/365))</f>
        <v>0</v>
      </c>
      <c r="M129" s="809"/>
      <c r="N129" s="781">
        <f t="shared" ref="N129:N180" si="13">H129+J129+L129</f>
        <v>100.00000000000001</v>
      </c>
      <c r="O129" s="781"/>
      <c r="R129" s="1">
        <v>1961</v>
      </c>
      <c r="S129" s="8">
        <f>(O10*($E10/365))+(O11*($E11/365))</f>
        <v>21.2</v>
      </c>
      <c r="T129" s="8">
        <f>(P10*($E10/365))+(P11*($E11/365))</f>
        <v>40.4</v>
      </c>
      <c r="U129" s="8">
        <f>(Q10*($E10/365))+(Q11*($E11/365))</f>
        <v>0</v>
      </c>
      <c r="V129" s="7"/>
      <c r="W129" s="7">
        <f t="shared" ref="W129:W181" si="14">S129+T129+U129</f>
        <v>61.599999999999994</v>
      </c>
    </row>
    <row r="130" spans="1:23" x14ac:dyDescent="0.15">
      <c r="A130" s="1">
        <v>1962</v>
      </c>
      <c r="B130" s="8">
        <f>(K12*($E12/365))+(K13*($E13/365))</f>
        <v>42.857142857142854</v>
      </c>
      <c r="C130" s="8">
        <f>(L12*($E12/365))+(L13*($E13/365))</f>
        <v>57.142857142857139</v>
      </c>
      <c r="D130" s="8">
        <f>(M12*($E12/365))+(M13*($E13/365))</f>
        <v>0</v>
      </c>
      <c r="E130" s="48">
        <f t="shared" si="12"/>
        <v>100</v>
      </c>
      <c r="G130" s="1">
        <v>1962</v>
      </c>
      <c r="H130" s="809">
        <f>(O12/$R12*100*($E12/365))+(O13/$R13*100*($E13/365))</f>
        <v>34.415584415584419</v>
      </c>
      <c r="I130" s="809"/>
      <c r="J130" s="809">
        <f>(P12/$R12*100*($E12/365))+(P13/$R13*100*($E13/365))</f>
        <v>65.584415584415595</v>
      </c>
      <c r="K130" s="809"/>
      <c r="L130" s="809">
        <f>(Q12/$R12*100*($E12/365))+(Q13/$R13*100*($E13/365))</f>
        <v>0</v>
      </c>
      <c r="M130" s="809"/>
      <c r="N130" s="781">
        <f t="shared" si="13"/>
        <v>100.00000000000001</v>
      </c>
      <c r="O130" s="781"/>
      <c r="R130" s="1">
        <v>1962</v>
      </c>
      <c r="S130" s="8">
        <f>(O12*($E12/365))+(O13*($E13/365))</f>
        <v>21.2</v>
      </c>
      <c r="T130" s="8">
        <f>(P12*($E12/365))+(P13*($E13/365))</f>
        <v>40.4</v>
      </c>
      <c r="U130" s="8">
        <f>(Q12*($E12/365))+(Q13*($E13/365))</f>
        <v>0</v>
      </c>
      <c r="V130" s="7"/>
      <c r="W130" s="7">
        <f t="shared" si="14"/>
        <v>61.599999999999994</v>
      </c>
    </row>
    <row r="131" spans="1:23" x14ac:dyDescent="0.15">
      <c r="A131" s="1">
        <v>1963</v>
      </c>
      <c r="B131" s="8">
        <f>(K14*($E14/365))+(K15*($E15/365))</f>
        <v>42.857142857142854</v>
      </c>
      <c r="C131" s="8">
        <f>(L14*($E14/365))+(L15*($E15/365))</f>
        <v>57.142857142857139</v>
      </c>
      <c r="D131" s="8">
        <f>(M14*($E14/365))+(M15*($E15/365))</f>
        <v>0</v>
      </c>
      <c r="E131" s="48">
        <f t="shared" si="12"/>
        <v>100</v>
      </c>
      <c r="G131" s="1">
        <v>1963</v>
      </c>
      <c r="H131" s="809">
        <f>(O14/$R14*100*($E14/365))+(O15/$R15*100*($E15/365))</f>
        <v>34.415584415584419</v>
      </c>
      <c r="I131" s="809"/>
      <c r="J131" s="809">
        <f>(P14/$R14*100*($E14/365))+(P15/$R15*100*($E15/365))</f>
        <v>65.584415584415595</v>
      </c>
      <c r="K131" s="809"/>
      <c r="L131" s="809">
        <f>(Q14/$R14*100*($E14/365))+(Q15/$R15*100*($E15/365))</f>
        <v>0</v>
      </c>
      <c r="M131" s="809"/>
      <c r="N131" s="781">
        <f t="shared" si="13"/>
        <v>100.00000000000001</v>
      </c>
      <c r="O131" s="781"/>
      <c r="R131" s="1">
        <v>1963</v>
      </c>
      <c r="S131" s="8">
        <f>(O14*($E14/365))+(O15*($E15/365))</f>
        <v>21.2</v>
      </c>
      <c r="T131" s="8">
        <f>(P14*($E14/365))+(P15*($E15/365))</f>
        <v>40.4</v>
      </c>
      <c r="U131" s="8">
        <f>(Q14*($E14/365))+(Q15*($E15/365))</f>
        <v>0</v>
      </c>
      <c r="V131" s="7"/>
      <c r="W131" s="7">
        <f t="shared" si="14"/>
        <v>61.599999999999994</v>
      </c>
    </row>
    <row r="132" spans="1:23" x14ac:dyDescent="0.15">
      <c r="A132" s="1">
        <v>1964</v>
      </c>
      <c r="B132" s="8">
        <f>(K16*($E16/366))+(K17*($E17/366))</f>
        <v>23.302107728337237</v>
      </c>
      <c r="C132" s="8">
        <f>(L16*($E16/366))+(L17*($E17/366))</f>
        <v>53.883684621389541</v>
      </c>
      <c r="D132" s="8">
        <f>(M16*($E16/366))+(M17*($E17/366))</f>
        <v>22.814207650273225</v>
      </c>
      <c r="E132" s="48">
        <f t="shared" si="12"/>
        <v>100</v>
      </c>
      <c r="G132" s="1">
        <v>1964</v>
      </c>
      <c r="H132" s="809">
        <f>(O16/$R16*100*($E16/366))+(O17/$R17*100*($E17/366))</f>
        <v>18.712298630331421</v>
      </c>
      <c r="I132" s="809"/>
      <c r="J132" s="809">
        <f>(P16/$R16*100*($E16/366))+(P17/$R17*100*($E17/366))</f>
        <v>59.008201711198652</v>
      </c>
      <c r="K132" s="809"/>
      <c r="L132" s="809">
        <f>(Q16/$R16*100*($E16/366))+(Q17/$R17*100*($E17/366))</f>
        <v>22.279499658469945</v>
      </c>
      <c r="M132" s="809"/>
      <c r="N132" s="781">
        <f t="shared" si="13"/>
        <v>100.00000000000001</v>
      </c>
      <c r="O132" s="781"/>
      <c r="R132" s="1">
        <v>1964</v>
      </c>
      <c r="S132" s="8">
        <f>(O16*($E16/366))+(O17*($E17/366))</f>
        <v>11.526775956284153</v>
      </c>
      <c r="T132" s="8">
        <f>(P16*($E16/366))+(P17*($E17/366))</f>
        <v>39.898087431693988</v>
      </c>
      <c r="U132" s="8">
        <f>(Q16*($E16/366))+(Q17*($E17/366))</f>
        <v>17.110655737704917</v>
      </c>
      <c r="V132" s="7"/>
      <c r="W132" s="7">
        <f t="shared" si="14"/>
        <v>68.535519125683066</v>
      </c>
    </row>
    <row r="133" spans="1:23" x14ac:dyDescent="0.15">
      <c r="A133" s="1">
        <v>1965</v>
      </c>
      <c r="B133" s="8">
        <f>(K18*($E18/365))+(K19*($E19/365))</f>
        <v>0</v>
      </c>
      <c r="C133" s="8">
        <f>(L18*($E18/365))+(L19*($E19/365))</f>
        <v>50</v>
      </c>
      <c r="D133" s="8">
        <f>(M18*($E18/365))+(M19*($E19/365))</f>
        <v>50</v>
      </c>
      <c r="E133" s="48">
        <f t="shared" si="12"/>
        <v>100</v>
      </c>
      <c r="G133" s="1">
        <v>1965</v>
      </c>
      <c r="H133" s="809">
        <f>(O18/$R18*100*($E18/365))+(O19/$R19*100*($E19/365))</f>
        <v>0</v>
      </c>
      <c r="I133" s="809"/>
      <c r="J133" s="809">
        <f>(P18/$R18*100*($E18/365))+(P19/$R19*100*($E19/365))</f>
        <v>51.171875</v>
      </c>
      <c r="K133" s="809"/>
      <c r="L133" s="809">
        <f>(Q18/$R18*100*($E18/365))+(Q19/$R19*100*($E19/365))</f>
        <v>48.828125</v>
      </c>
      <c r="M133" s="809"/>
      <c r="N133" s="781">
        <f t="shared" si="13"/>
        <v>100</v>
      </c>
      <c r="O133" s="781"/>
      <c r="R133" s="1">
        <v>1965</v>
      </c>
      <c r="S133" s="8">
        <f>(O18*($E18/365))+(O19*($E19/365))</f>
        <v>0</v>
      </c>
      <c r="T133" s="8">
        <f>(P18*($E18/365))+(P19*($E19/365))</f>
        <v>39.299999999999997</v>
      </c>
      <c r="U133" s="8">
        <f>(Q18*($E18/365))+(Q19*($E19/365))</f>
        <v>37.5</v>
      </c>
      <c r="V133" s="7"/>
      <c r="W133" s="7">
        <f t="shared" si="14"/>
        <v>76.8</v>
      </c>
    </row>
    <row r="134" spans="1:23" x14ac:dyDescent="0.15">
      <c r="A134" s="1">
        <v>1966</v>
      </c>
      <c r="B134" s="8">
        <f>(K20*($E20/365))+(K21*($E21/365))</f>
        <v>0</v>
      </c>
      <c r="C134" s="8">
        <f>(L20*($E20/365))+(L21*($E21/365))</f>
        <v>50</v>
      </c>
      <c r="D134" s="8">
        <f>(M20*($E20/365))+(M21*($E21/365))</f>
        <v>50</v>
      </c>
      <c r="E134" s="48">
        <f t="shared" si="12"/>
        <v>100</v>
      </c>
      <c r="G134" s="1">
        <v>1966</v>
      </c>
      <c r="H134" s="809">
        <f>(O20/$R20*100*($E20/365))+(O21/$R21*100*($E21/365))</f>
        <v>0</v>
      </c>
      <c r="I134" s="809"/>
      <c r="J134" s="809">
        <f>(P20/$R20*100*($E20/365))+(P21/$R21*100*($E21/365))</f>
        <v>51.171875</v>
      </c>
      <c r="K134" s="809"/>
      <c r="L134" s="809">
        <f>(Q20/$R20*100*($E20/365))+(Q21/$R21*100*($E21/365))</f>
        <v>48.828125</v>
      </c>
      <c r="M134" s="809"/>
      <c r="N134" s="781">
        <f t="shared" si="13"/>
        <v>100</v>
      </c>
      <c r="O134" s="781"/>
      <c r="R134" s="1">
        <v>1966</v>
      </c>
      <c r="S134" s="8">
        <f>(O20*($E20/365))+(O21*($E21/365))</f>
        <v>0</v>
      </c>
      <c r="T134" s="8">
        <f>(P20*($E20/365))+(P21*($E21/365))</f>
        <v>39.299999999999997</v>
      </c>
      <c r="U134" s="8">
        <f>(Q20*($E20/365))+(Q21*($E21/365))</f>
        <v>37.5</v>
      </c>
      <c r="V134" s="7"/>
      <c r="W134" s="7">
        <f t="shared" si="14"/>
        <v>76.8</v>
      </c>
    </row>
    <row r="135" spans="1:23" x14ac:dyDescent="0.15">
      <c r="A135" s="1">
        <v>1967</v>
      </c>
      <c r="B135" s="8">
        <f>(K22*($E22/365))+(K23*($E23/365))</f>
        <v>0</v>
      </c>
      <c r="C135" s="8">
        <f>(L22*($E22/365))+(L23*($E23/365))</f>
        <v>50.000000000000007</v>
      </c>
      <c r="D135" s="8">
        <f>(M22*($E22/365))+(M23*($E23/365))</f>
        <v>50.000000000000007</v>
      </c>
      <c r="E135" s="48">
        <f t="shared" si="12"/>
        <v>100.00000000000001</v>
      </c>
      <c r="G135" s="1">
        <v>1967</v>
      </c>
      <c r="H135" s="809">
        <f>(O22/$R22*100*($E22/365))+(O23/$R23*100*($E23/365))</f>
        <v>0</v>
      </c>
      <c r="I135" s="809"/>
      <c r="J135" s="809">
        <f>(P22/$R22*100*($E22/365))+(P23/$R23*100*($E23/365))</f>
        <v>51.171875</v>
      </c>
      <c r="K135" s="809"/>
      <c r="L135" s="809">
        <f>(Q22/$R22*100*($E22/365))+(Q23/$R23*100*($E23/365))</f>
        <v>48.828125</v>
      </c>
      <c r="M135" s="809"/>
      <c r="N135" s="781">
        <f t="shared" si="13"/>
        <v>100</v>
      </c>
      <c r="O135" s="781"/>
      <c r="R135" s="1">
        <v>1967</v>
      </c>
      <c r="S135" s="8">
        <f>(O22*($E22/365))+(O23*($E23/365))</f>
        <v>0</v>
      </c>
      <c r="T135" s="8">
        <f>(P22*($E22/365))+(P23*($E23/365))</f>
        <v>39.299999999999997</v>
      </c>
      <c r="U135" s="8">
        <f>(Q22*($E22/365))+(Q23*($E23/365))</f>
        <v>37.5</v>
      </c>
      <c r="V135" s="7"/>
      <c r="W135" s="7">
        <f t="shared" si="14"/>
        <v>76.8</v>
      </c>
    </row>
    <row r="136" spans="1:23" x14ac:dyDescent="0.15">
      <c r="A136" s="1">
        <v>1968</v>
      </c>
      <c r="B136" s="8">
        <f>(K24*($E24/366))+(K25*($E25/366))</f>
        <v>0</v>
      </c>
      <c r="C136" s="8">
        <f>(L24*($E24/366))+(L25*($E25/366))</f>
        <v>50</v>
      </c>
      <c r="D136" s="8">
        <f>(M24*($E24/366))+(M25*($E25/366))</f>
        <v>50</v>
      </c>
      <c r="E136" s="48">
        <f t="shared" si="12"/>
        <v>100</v>
      </c>
      <c r="G136" s="1">
        <v>1968</v>
      </c>
      <c r="H136" s="809">
        <f>(O24/$R24*100*($E24/366))+(O25/$R25*100*($E25/366))</f>
        <v>0</v>
      </c>
      <c r="I136" s="809"/>
      <c r="J136" s="809">
        <f>(P24/$R24*100*($E24/366))+(P25/$R25*100*($E25/366))</f>
        <v>51.171875</v>
      </c>
      <c r="K136" s="809"/>
      <c r="L136" s="809">
        <f>(Q24/$R24*100*($E24/366))+(Q25/$R25*100*($E25/366))</f>
        <v>48.828125</v>
      </c>
      <c r="M136" s="809"/>
      <c r="N136" s="781">
        <f t="shared" si="13"/>
        <v>100</v>
      </c>
      <c r="O136" s="781"/>
      <c r="R136" s="1">
        <v>1968</v>
      </c>
      <c r="S136" s="8">
        <f>(O24*($E24/366))+(O25*($E25/366))</f>
        <v>0</v>
      </c>
      <c r="T136" s="8">
        <f>(P24*($E24/366))+(P25*($E25/366))</f>
        <v>39.299999999999997</v>
      </c>
      <c r="U136" s="8">
        <f>(Q24*($E24/366))+(Q25*($E25/366))</f>
        <v>37.5</v>
      </c>
      <c r="V136" s="7"/>
      <c r="W136" s="7">
        <f t="shared" si="14"/>
        <v>76.8</v>
      </c>
    </row>
    <row r="137" spans="1:23" x14ac:dyDescent="0.15">
      <c r="A137" s="1">
        <v>1969</v>
      </c>
      <c r="B137" s="8">
        <f>(K26*($E26/365))+(K27*($E27/365))</f>
        <v>39.334637964774949</v>
      </c>
      <c r="C137" s="8">
        <f>(L26*($E26/365))+(L27*($E27/365))</f>
        <v>56.55577299412915</v>
      </c>
      <c r="D137" s="8">
        <f>(M26*($E26/365))+(M27*($E27/365))</f>
        <v>4.10958904109589</v>
      </c>
      <c r="E137" s="48">
        <f t="shared" si="12"/>
        <v>99.999999999999986</v>
      </c>
      <c r="G137" s="1">
        <v>1969</v>
      </c>
      <c r="H137" s="809">
        <f>(O26/$R26*100*($E26/365))+(O27/$R27*100*($E27/365))</f>
        <v>31.504450255499851</v>
      </c>
      <c r="I137" s="809"/>
      <c r="J137" s="809">
        <f>(P26/$R26*100*($E26/365))+(P27/$R27*100*($E27/365))</f>
        <v>64.482279196554941</v>
      </c>
      <c r="K137" s="809"/>
      <c r="L137" s="809">
        <f>(Q26/$R26*100*($E26/365))+(Q27/$R27*100*($E27/365))</f>
        <v>4.0132705479452051</v>
      </c>
      <c r="M137" s="809"/>
      <c r="N137" s="781">
        <f t="shared" si="13"/>
        <v>100</v>
      </c>
      <c r="O137" s="781"/>
      <c r="R137" s="1">
        <v>1969</v>
      </c>
      <c r="S137" s="8">
        <f>(O26*($E26/365))+(O27*($E27/365))</f>
        <v>17.989041095890414</v>
      </c>
      <c r="T137" s="8">
        <f>(P26*($E26/365))+(P27*($E27/365))</f>
        <v>37.647945205479452</v>
      </c>
      <c r="U137" s="8">
        <f>(Q26*($E26/365))+(Q27*($E27/365))</f>
        <v>3.0821917808219177</v>
      </c>
      <c r="V137" s="7"/>
      <c r="W137" s="7">
        <f t="shared" si="14"/>
        <v>58.719178082191782</v>
      </c>
    </row>
    <row r="138" spans="1:23" x14ac:dyDescent="0.15">
      <c r="A138" s="1">
        <v>1970</v>
      </c>
      <c r="B138" s="8">
        <f>(K28*($E28/365))+(K29*($E29/365))</f>
        <v>42.857142857142854</v>
      </c>
      <c r="C138" s="8">
        <f>(L28*($E28/365))+(L29*($E29/365))</f>
        <v>57.142857142857139</v>
      </c>
      <c r="D138" s="8">
        <f>(M28*($E28/365))+(M29*($E29/365))</f>
        <v>0</v>
      </c>
      <c r="E138" s="48">
        <f t="shared" si="12"/>
        <v>100</v>
      </c>
      <c r="G138" s="1">
        <v>1970</v>
      </c>
      <c r="H138" s="809">
        <f>(O28/$R28*100*($E28/365))+(O29/$R29*100*($E29/365))</f>
        <v>34.32574430823118</v>
      </c>
      <c r="I138" s="809"/>
      <c r="J138" s="809">
        <f>(P28/$R28*100*($E28/365))+(P29/$R29*100*($E29/365))</f>
        <v>65.67425569176882</v>
      </c>
      <c r="K138" s="809"/>
      <c r="L138" s="809">
        <f>(Q28/$R28*100*($E28/365))+(Q29/$R29*100*($E29/365))</f>
        <v>0</v>
      </c>
      <c r="M138" s="809"/>
      <c r="N138" s="781">
        <f t="shared" si="13"/>
        <v>100</v>
      </c>
      <c r="O138" s="781"/>
      <c r="R138" s="1">
        <v>1970</v>
      </c>
      <c r="S138" s="8">
        <f>(O28*($E28/365))+(O29*($E29/365))</f>
        <v>19.600000000000001</v>
      </c>
      <c r="T138" s="8">
        <f>(P28*($E28/365))+(P29*($E29/365))</f>
        <v>37.5</v>
      </c>
      <c r="U138" s="8">
        <f>(Q28*($E28/365))+(Q29*($E29/365))</f>
        <v>0</v>
      </c>
      <c r="V138" s="7"/>
      <c r="W138" s="7">
        <f t="shared" si="14"/>
        <v>57.1</v>
      </c>
    </row>
    <row r="139" spans="1:23" x14ac:dyDescent="0.15">
      <c r="A139" s="1">
        <v>1971</v>
      </c>
      <c r="B139" s="8">
        <f>(K30*($E30/365))+(K31*($E31/365))</f>
        <v>42.857142857142854</v>
      </c>
      <c r="C139" s="8">
        <f>(L30*($E30/365))+(L31*($E31/365))</f>
        <v>57.142857142857139</v>
      </c>
      <c r="D139" s="8">
        <f>(M30*($E30/365))+(M31*($E31/365))</f>
        <v>0</v>
      </c>
      <c r="E139" s="48">
        <f t="shared" si="12"/>
        <v>100</v>
      </c>
      <c r="G139" s="1">
        <v>1971</v>
      </c>
      <c r="H139" s="809">
        <f>(O30/$R30*100*($E30/365))+(O31/$R31*100*($E31/365))</f>
        <v>34.32574430823118</v>
      </c>
      <c r="I139" s="809"/>
      <c r="J139" s="809">
        <f>(P30/$R30*100*($E30/365))+(P31/$R31*100*($E31/365))</f>
        <v>65.67425569176882</v>
      </c>
      <c r="K139" s="809"/>
      <c r="L139" s="809">
        <f>(Q30/$R30*100*($E30/365))+(Q31/$R31*100*($E31/365))</f>
        <v>0</v>
      </c>
      <c r="M139" s="809"/>
      <c r="N139" s="781">
        <f t="shared" si="13"/>
        <v>100</v>
      </c>
      <c r="O139" s="781"/>
      <c r="R139" s="1">
        <v>1971</v>
      </c>
      <c r="S139" s="8">
        <f>(O30*($E30/365))+(O31*($E31/365))</f>
        <v>19.600000000000001</v>
      </c>
      <c r="T139" s="8">
        <f>(P30*($E30/365))+(P31*($E31/365))</f>
        <v>37.5</v>
      </c>
      <c r="U139" s="8">
        <f>(Q30*($E30/365))+(Q31*($E31/365))</f>
        <v>0</v>
      </c>
      <c r="V139" s="7"/>
      <c r="W139" s="7">
        <f t="shared" si="14"/>
        <v>57.1</v>
      </c>
    </row>
    <row r="140" spans="1:23" x14ac:dyDescent="0.15">
      <c r="A140" s="1">
        <v>1972</v>
      </c>
      <c r="B140" s="8">
        <f>(K32*($E32/366))+(K33*($E33/366))</f>
        <v>42.857142857142854</v>
      </c>
      <c r="C140" s="8">
        <f>(L32*($E32/366))+(L33*($E33/366))</f>
        <v>57.142857142857139</v>
      </c>
      <c r="D140" s="8">
        <f>(M32*($E32/366))+(M33*($E33/366))</f>
        <v>0</v>
      </c>
      <c r="E140" s="48">
        <f t="shared" si="12"/>
        <v>100</v>
      </c>
      <c r="G140" s="1">
        <v>1972</v>
      </c>
      <c r="H140" s="809">
        <f>(O32/$R32*100*($E32/366))+(O33/$R33*100*($E33/366))</f>
        <v>34.32574430823118</v>
      </c>
      <c r="I140" s="809"/>
      <c r="J140" s="809">
        <f>(P32/$R32*100*($E32/366))+(P33/$R33*100*($E33/366))</f>
        <v>65.67425569176882</v>
      </c>
      <c r="K140" s="809"/>
      <c r="L140" s="809">
        <f>(Q32/$R32*100*($E32/366))+(Q33/$R33*100*($E33/366))</f>
        <v>0</v>
      </c>
      <c r="M140" s="809"/>
      <c r="N140" s="781">
        <f t="shared" si="13"/>
        <v>100</v>
      </c>
      <c r="O140" s="781"/>
      <c r="R140" s="1">
        <v>1972</v>
      </c>
      <c r="S140" s="8">
        <f>(O32*($E32/366))+(O33*($E33/366))</f>
        <v>19.600000000000001</v>
      </c>
      <c r="T140" s="8">
        <f>(P32*($E32/366))+(P33*($E33/366))</f>
        <v>37.5</v>
      </c>
      <c r="U140" s="8">
        <f>(Q32*($E32/366))+(Q33*($E33/366))</f>
        <v>0</v>
      </c>
      <c r="V140" s="7"/>
      <c r="W140" s="7">
        <f t="shared" si="14"/>
        <v>57.1</v>
      </c>
    </row>
    <row r="141" spans="1:23" x14ac:dyDescent="0.15">
      <c r="A141" s="1">
        <v>1973</v>
      </c>
      <c r="B141" s="8">
        <f>(K34*($E34/365))+(K35*($E35/365))</f>
        <v>42.857142857142854</v>
      </c>
      <c r="C141" s="8">
        <f>(L34*($E34/365))+(L35*($E35/365))</f>
        <v>57.142857142857139</v>
      </c>
      <c r="D141" s="8">
        <f>(M34*($E34/365))+(M35*($E35/365))</f>
        <v>0</v>
      </c>
      <c r="E141" s="48">
        <f t="shared" si="12"/>
        <v>100</v>
      </c>
      <c r="G141" s="1">
        <v>1973</v>
      </c>
      <c r="H141" s="809">
        <f>(O34/$R34*100*($E34/365))+(O35/$R35*100*($E35/365))</f>
        <v>34.32574430823118</v>
      </c>
      <c r="I141" s="809"/>
      <c r="J141" s="809">
        <f>(P34/$R34*100*($E34/365))+(P35/$R35*100*($E35/365))</f>
        <v>65.67425569176882</v>
      </c>
      <c r="K141" s="809"/>
      <c r="L141" s="809">
        <f>(Q34/$R34*100*($E34/365))+(Q35/$R35*100*($E35/365))</f>
        <v>0</v>
      </c>
      <c r="M141" s="809"/>
      <c r="N141" s="781">
        <f t="shared" si="13"/>
        <v>100</v>
      </c>
      <c r="O141" s="781"/>
      <c r="R141" s="1">
        <v>1973</v>
      </c>
      <c r="S141" s="8">
        <f>(O34*($E34/365))+(O35*($E35/365))</f>
        <v>19.600000000000001</v>
      </c>
      <c r="T141" s="8">
        <f>(P34*($E34/365))+(P35*($E35/365))</f>
        <v>37.5</v>
      </c>
      <c r="U141" s="8">
        <f>(Q34*($E34/365))+(Q35*($E35/365))</f>
        <v>0</v>
      </c>
      <c r="V141" s="7"/>
      <c r="W141" s="7">
        <f t="shared" si="14"/>
        <v>57.1</v>
      </c>
    </row>
    <row r="142" spans="1:23" x14ac:dyDescent="0.15">
      <c r="A142" s="1">
        <v>1974</v>
      </c>
      <c r="B142" s="8">
        <f>(K36*($E36/365))+(K37*($E37/365))</f>
        <v>46.771037181996078</v>
      </c>
      <c r="C142" s="8">
        <f>(L36*($E36/365))+(L37*($E37/365))</f>
        <v>25.831702544031309</v>
      </c>
      <c r="D142" s="8">
        <f>(M36*($E36/365))+(M37*($E37/365))</f>
        <v>27.397260273972602</v>
      </c>
      <c r="E142" s="48">
        <f t="shared" si="12"/>
        <v>99.999999999999986</v>
      </c>
      <c r="G142" s="1">
        <v>1974</v>
      </c>
      <c r="H142" s="809">
        <f>(O36/$R36*100*($E36/365))+(O37/$R37*100*($E37/365))</f>
        <v>40.252929423094713</v>
      </c>
      <c r="I142" s="809"/>
      <c r="J142" s="809">
        <f>(P36/$R36*100*($E36/365))+(P37/$R37*100*($E37/365))</f>
        <v>29.68836216203248</v>
      </c>
      <c r="K142" s="809"/>
      <c r="L142" s="809">
        <f>(Q36/$R36*100*($E36/365))+(Q37/$R37*100*($E37/365))</f>
        <v>30.0587084148728</v>
      </c>
      <c r="M142" s="809"/>
      <c r="N142" s="781">
        <f t="shared" si="13"/>
        <v>99.999999999999986</v>
      </c>
      <c r="O142" s="781"/>
      <c r="R142" s="1">
        <v>1974</v>
      </c>
      <c r="S142" s="8">
        <f>(O36*($E36/365))+(O37*($E37/365))</f>
        <v>21.846575342465751</v>
      </c>
      <c r="T142" s="8">
        <f>(P36*($E36/365))+(P37*($E37/365))</f>
        <v>16.952054794520546</v>
      </c>
      <c r="U142" s="8">
        <f>(Q36*($E36/365))+(Q37*($E37/365))</f>
        <v>15.780821917808218</v>
      </c>
      <c r="V142" s="7"/>
      <c r="W142" s="7">
        <f t="shared" si="14"/>
        <v>54.579452054794515</v>
      </c>
    </row>
    <row r="143" spans="1:23" x14ac:dyDescent="0.15">
      <c r="A143" s="1">
        <v>1975</v>
      </c>
      <c r="B143" s="8">
        <f>(K38*($E38/365))+(K39*($E39/365))</f>
        <v>50</v>
      </c>
      <c r="C143" s="8">
        <f>(L38*($E38/365))+(L39*($E39/365))</f>
        <v>0</v>
      </c>
      <c r="D143" s="8">
        <f>(M38*($E38/365))+(M39*($E39/365))</f>
        <v>50</v>
      </c>
      <c r="E143" s="48">
        <f t="shared" si="12"/>
        <v>100</v>
      </c>
      <c r="G143" s="1">
        <v>1975</v>
      </c>
      <c r="H143" s="809">
        <f>(O38/$R38*100*($E38/365))+(O39/$R39*100*($E39/365))</f>
        <v>45.142857142857139</v>
      </c>
      <c r="I143" s="809"/>
      <c r="J143" s="809">
        <f>(P38/$R38*100*($E38/365))+(P39/$R39*100*($E39/365))</f>
        <v>0</v>
      </c>
      <c r="K143" s="809"/>
      <c r="L143" s="809">
        <f>(Q38/$R38*100*($E38/365))+(Q39/$R39*100*($E39/365))</f>
        <v>54.857142857142861</v>
      </c>
      <c r="M143" s="809"/>
      <c r="N143" s="781">
        <f t="shared" si="13"/>
        <v>100</v>
      </c>
      <c r="O143" s="781"/>
      <c r="R143" s="1">
        <v>1975</v>
      </c>
      <c r="S143" s="8">
        <f>(O38*($E38/365))+(O39*($E39/365))</f>
        <v>23.7</v>
      </c>
      <c r="T143" s="8">
        <f>(P38*($E38/365))+(P39*($E39/365))</f>
        <v>0</v>
      </c>
      <c r="U143" s="8">
        <f>(Q38*($E38/365))+(Q39*($E39/365))</f>
        <v>28.8</v>
      </c>
      <c r="V143" s="7"/>
      <c r="W143" s="7">
        <f t="shared" si="14"/>
        <v>52.5</v>
      </c>
    </row>
    <row r="144" spans="1:23" x14ac:dyDescent="0.15">
      <c r="A144" s="1">
        <v>1976</v>
      </c>
      <c r="B144" s="8">
        <f>(K40*($E40/366))+(K41*($E41/366))</f>
        <v>50</v>
      </c>
      <c r="C144" s="8">
        <f>(L40*($E40/366))+(L41*($E41/366))</f>
        <v>0</v>
      </c>
      <c r="D144" s="8">
        <f>(M40*($E40/366))+(M41*($E41/366))</f>
        <v>50</v>
      </c>
      <c r="E144" s="48">
        <f t="shared" si="12"/>
        <v>100</v>
      </c>
      <c r="G144" s="1">
        <v>1976</v>
      </c>
      <c r="H144" s="809">
        <f>(O40/$R40*100*($E40/366))+(O41/$R41*100*($E41/366))</f>
        <v>45.142857142857139</v>
      </c>
      <c r="I144" s="809"/>
      <c r="J144" s="809">
        <f>(P40/$R40*100*($E40/366))+(P41/$R41*100*($E41/366))</f>
        <v>0</v>
      </c>
      <c r="K144" s="809"/>
      <c r="L144" s="809">
        <f>(Q40/$R40*100*($E40/366))+(Q41/$R41*100*($E41/366))</f>
        <v>54.857142857142861</v>
      </c>
      <c r="M144" s="809"/>
      <c r="N144" s="781">
        <f t="shared" si="13"/>
        <v>100</v>
      </c>
      <c r="O144" s="781"/>
      <c r="R144" s="1">
        <v>1976</v>
      </c>
      <c r="S144" s="8">
        <f>(O40*($E40/366))+(O41*($E41/366))</f>
        <v>23.7</v>
      </c>
      <c r="T144" s="8">
        <f>(P40*($E40/366))+(P41*($E41/366))</f>
        <v>0</v>
      </c>
      <c r="U144" s="8">
        <f>(Q40*($E40/366))+(Q41*($E41/366))</f>
        <v>28.8</v>
      </c>
      <c r="V144" s="7"/>
      <c r="W144" s="7">
        <f t="shared" si="14"/>
        <v>52.5</v>
      </c>
    </row>
    <row r="145" spans="1:23" x14ac:dyDescent="0.15">
      <c r="A145" s="1">
        <v>1977</v>
      </c>
      <c r="B145" s="8">
        <f>(K42*($E42/365))+(K43*($E43/365))</f>
        <v>50</v>
      </c>
      <c r="C145" s="8">
        <f>(L42*($E42/365))+(L43*($E43/365))</f>
        <v>0</v>
      </c>
      <c r="D145" s="8">
        <f>(M42*($E42/365))+(M43*($E43/365))</f>
        <v>50</v>
      </c>
      <c r="E145" s="48">
        <f t="shared" si="12"/>
        <v>100</v>
      </c>
      <c r="G145" s="1">
        <v>1977</v>
      </c>
      <c r="H145" s="809">
        <f>(O42/$R42*100*($E42/365))+(O43/$R43*100*($E43/365))</f>
        <v>45.142857142857139</v>
      </c>
      <c r="I145" s="809"/>
      <c r="J145" s="809">
        <f>(P42/$R42*100*($E42/365))+(P43/$R43*100*($E43/365))</f>
        <v>0</v>
      </c>
      <c r="K145" s="809"/>
      <c r="L145" s="809">
        <f>(Q42/$R42*100*($E42/365))+(Q43/$R43*100*($E43/365))</f>
        <v>54.857142857142861</v>
      </c>
      <c r="M145" s="809"/>
      <c r="N145" s="781">
        <f t="shared" si="13"/>
        <v>100</v>
      </c>
      <c r="O145" s="781"/>
      <c r="R145" s="1">
        <v>1977</v>
      </c>
      <c r="S145" s="8">
        <f>(O42*($E42/365))+(O43*($E43/365))</f>
        <v>23.7</v>
      </c>
      <c r="T145" s="8">
        <f>(P42*($E42/365))+(P43*($E43/365))</f>
        <v>0</v>
      </c>
      <c r="U145" s="8">
        <f>(Q42*($E42/365))+(Q43*($E43/365))</f>
        <v>28.8</v>
      </c>
      <c r="V145" s="7"/>
      <c r="W145" s="7">
        <f t="shared" si="14"/>
        <v>52.5</v>
      </c>
    </row>
    <row r="146" spans="1:23" x14ac:dyDescent="0.15">
      <c r="A146" s="1">
        <v>1978</v>
      </c>
      <c r="B146" s="8">
        <f>(K44*($E44/365))+(K45*($E45/365))</f>
        <v>50</v>
      </c>
      <c r="C146" s="8">
        <f>(L44*($E44/365))+(L45*($E45/365))</f>
        <v>0</v>
      </c>
      <c r="D146" s="8">
        <f>(M44*($E44/365))+(M45*($E45/365))</f>
        <v>50</v>
      </c>
      <c r="E146" s="48">
        <f t="shared" si="12"/>
        <v>100</v>
      </c>
      <c r="G146" s="1">
        <v>1978</v>
      </c>
      <c r="H146" s="809">
        <f>(O44/$R44*100*($E44/365))+(O45/$R45*100*($E45/365))</f>
        <v>45.142857142857139</v>
      </c>
      <c r="I146" s="809"/>
      <c r="J146" s="809">
        <f>(P44/$R44*100*($E44/365))+(P45/$R45*100*($E45/365))</f>
        <v>0</v>
      </c>
      <c r="K146" s="809"/>
      <c r="L146" s="809">
        <f>(Q44/$R44*100*($E44/365))+(Q45/$R45*100*($E45/365))</f>
        <v>54.857142857142861</v>
      </c>
      <c r="M146" s="809"/>
      <c r="N146" s="781">
        <f t="shared" si="13"/>
        <v>100</v>
      </c>
      <c r="O146" s="781"/>
      <c r="R146" s="1">
        <v>1978</v>
      </c>
      <c r="S146" s="8">
        <f>(O44*($E44/365))+(O45*($E45/365))</f>
        <v>23.7</v>
      </c>
      <c r="T146" s="8">
        <f>(P44*($E44/365))+(P45*($E45/365))</f>
        <v>0</v>
      </c>
      <c r="U146" s="8">
        <f>(Q44*($E44/365))+(Q45*($E45/365))</f>
        <v>28.8</v>
      </c>
      <c r="V146" s="7"/>
      <c r="W146" s="7">
        <f t="shared" si="14"/>
        <v>52.5</v>
      </c>
    </row>
    <row r="147" spans="1:23" x14ac:dyDescent="0.15">
      <c r="A147" s="1">
        <v>1979</v>
      </c>
      <c r="B147" s="8">
        <f>(K46*($E46/365))+(K47*($E47/365))</f>
        <v>52.587519025875196</v>
      </c>
      <c r="C147" s="8">
        <f>(L46*($E46/365))+(L47*($E47/365))</f>
        <v>20.700152207001519</v>
      </c>
      <c r="D147" s="8">
        <f>(M46*($E46/365))+(M47*($E47/365))</f>
        <v>26.712328767123289</v>
      </c>
      <c r="E147" s="48">
        <f t="shared" si="12"/>
        <v>100</v>
      </c>
      <c r="G147" s="1">
        <v>1979</v>
      </c>
      <c r="H147" s="809">
        <f>(O46/$R46*100*($E46/365))+(O47/$R47*100*($E47/365))</f>
        <v>42.014749638068395</v>
      </c>
      <c r="I147" s="809"/>
      <c r="J147" s="809">
        <f>(P46/$R46*100*($E46/365))+(P47/$R47*100*($E47/365))</f>
        <v>28.678009657430632</v>
      </c>
      <c r="K147" s="809"/>
      <c r="L147" s="809">
        <f>(Q46/$R46*100*($E46/365))+(Q47/$R47*100*($E47/365))</f>
        <v>29.30724070450098</v>
      </c>
      <c r="M147" s="809"/>
      <c r="N147" s="781">
        <f t="shared" si="13"/>
        <v>100.00000000000001</v>
      </c>
      <c r="O147" s="781"/>
      <c r="R147" s="1">
        <v>1979</v>
      </c>
      <c r="S147" s="8">
        <f>(O46*($E46/365))+(O47*($E47/365))</f>
        <v>24.491780821917807</v>
      </c>
      <c r="T147" s="8">
        <f>(P46*($E46/365))+(P47*($E47/365))</f>
        <v>18.956164383561646</v>
      </c>
      <c r="U147" s="8">
        <f>(Q46*($E46/365))+(Q47*($E47/365))</f>
        <v>15.386301369863014</v>
      </c>
      <c r="V147" s="7"/>
      <c r="W147" s="7">
        <f t="shared" si="14"/>
        <v>58.834246575342469</v>
      </c>
    </row>
    <row r="148" spans="1:23" x14ac:dyDescent="0.15">
      <c r="A148" s="1">
        <v>1980</v>
      </c>
      <c r="B148" s="8">
        <f>(K48*($E48/366))+(K49*($E49/366))</f>
        <v>55.555555555555557</v>
      </c>
      <c r="C148" s="8">
        <f>(L48*($E48/366))+(L49*($E49/366))</f>
        <v>44.444444444444443</v>
      </c>
      <c r="D148" s="8">
        <f>(M48*($E48/366))+(M49*($E49/366))</f>
        <v>0</v>
      </c>
      <c r="E148" s="48">
        <f t="shared" si="12"/>
        <v>100</v>
      </c>
      <c r="G148" s="1">
        <v>1980</v>
      </c>
      <c r="H148" s="809">
        <f>(O48/$R48*100*($E48/366))+(O49/$R49*100*($E49/366))</f>
        <v>38.426626323751897</v>
      </c>
      <c r="I148" s="809"/>
      <c r="J148" s="809">
        <f>(P48/$R48*100*($E48/366))+(P49/$R49*100*($E49/366))</f>
        <v>61.573373676248124</v>
      </c>
      <c r="K148" s="809"/>
      <c r="L148" s="809">
        <f>(Q48/$R48*100*($E48/366))+(Q49/$R49*100*($E49/366))</f>
        <v>0</v>
      </c>
      <c r="M148" s="809"/>
      <c r="N148" s="781">
        <f t="shared" si="13"/>
        <v>100.00000000000003</v>
      </c>
      <c r="O148" s="781"/>
      <c r="R148" s="1">
        <v>1980</v>
      </c>
      <c r="S148" s="8">
        <f>(O48*($E48/366))+(O49*($E49/366))</f>
        <v>25.4</v>
      </c>
      <c r="T148" s="8">
        <f>(P48*($E48/366))+(P49*($E49/366))</f>
        <v>40.700000000000003</v>
      </c>
      <c r="U148" s="8">
        <f>(Q48*($E48/366))+(Q49*($E49/366))</f>
        <v>0</v>
      </c>
      <c r="V148" s="7"/>
      <c r="W148" s="7">
        <f t="shared" si="14"/>
        <v>66.099999999999994</v>
      </c>
    </row>
    <row r="149" spans="1:23" x14ac:dyDescent="0.15">
      <c r="A149" s="1">
        <v>1981</v>
      </c>
      <c r="B149" s="8">
        <f>(K50*($E50/365))+(K51*($E51/365))</f>
        <v>55.555555555555557</v>
      </c>
      <c r="C149" s="8">
        <f>(L50*($E50/365))+(L51*($E51/365))</f>
        <v>44.444444444444443</v>
      </c>
      <c r="D149" s="8">
        <f>(M50*($E50/365))+(M51*($E51/365))</f>
        <v>0</v>
      </c>
      <c r="E149" s="48">
        <f t="shared" si="12"/>
        <v>100</v>
      </c>
      <c r="G149" s="1">
        <v>1981</v>
      </c>
      <c r="H149" s="809">
        <f>(O50/$R50*100*($E50/365))+(O51/$R51*100*($E51/365))</f>
        <v>38.426626323751897</v>
      </c>
      <c r="I149" s="809"/>
      <c r="J149" s="809">
        <f>(P50/$R50*100*($E50/365))+(P51/$R51*100*($E51/365))</f>
        <v>61.573373676248124</v>
      </c>
      <c r="K149" s="809"/>
      <c r="L149" s="809">
        <f>(Q50/$R50*100*($E50/365))+(Q51/$R51*100*($E51/365))</f>
        <v>0</v>
      </c>
      <c r="M149" s="809"/>
      <c r="N149" s="781">
        <f t="shared" si="13"/>
        <v>100.00000000000003</v>
      </c>
      <c r="O149" s="781"/>
      <c r="R149" s="1">
        <v>1981</v>
      </c>
      <c r="S149" s="8">
        <f>(O50*($E50/365))+(O51*($E51/365))</f>
        <v>25.4</v>
      </c>
      <c r="T149" s="8">
        <f>(P50*($E50/365))+(P51*($E51/365))</f>
        <v>40.700000000000003</v>
      </c>
      <c r="U149" s="8">
        <f>(Q50*($E50/365))+(Q51*($E51/365))</f>
        <v>0</v>
      </c>
      <c r="V149" s="7"/>
      <c r="W149" s="7">
        <f t="shared" si="14"/>
        <v>66.099999999999994</v>
      </c>
    </row>
    <row r="150" spans="1:23" x14ac:dyDescent="0.15">
      <c r="A150" s="1">
        <v>1982</v>
      </c>
      <c r="B150" s="8">
        <f>(K52*($E52/365))+(K53*($E53/365))</f>
        <v>55.555555555555557</v>
      </c>
      <c r="C150" s="8">
        <f>(L52*($E52/365))+(L53*($E53/365))</f>
        <v>44.444444444444443</v>
      </c>
      <c r="D150" s="8">
        <f>(M52*($E52/365))+(M53*($E53/365))</f>
        <v>0</v>
      </c>
      <c r="E150" s="48">
        <f t="shared" si="12"/>
        <v>100</v>
      </c>
      <c r="G150" s="1">
        <v>1982</v>
      </c>
      <c r="H150" s="809">
        <f>(O52/$R52*100*($E52/365))+(O53/$R53*100*($E53/365))</f>
        <v>38.426626323751897</v>
      </c>
      <c r="I150" s="809"/>
      <c r="J150" s="809">
        <f>(P52/$R52*100*($E52/365))+(P53/$R53*100*($E53/365))</f>
        <v>61.573373676248124</v>
      </c>
      <c r="K150" s="809"/>
      <c r="L150" s="809">
        <f>(Q52/$R52*100*($E52/365))+(Q53/$R53*100*($E53/365))</f>
        <v>0</v>
      </c>
      <c r="M150" s="809"/>
      <c r="N150" s="781">
        <f t="shared" si="13"/>
        <v>100.00000000000003</v>
      </c>
      <c r="O150" s="781"/>
      <c r="R150" s="1">
        <v>1982</v>
      </c>
      <c r="S150" s="8">
        <f>(O52*($E52/365))+(O53*($E53/365))</f>
        <v>25.4</v>
      </c>
      <c r="T150" s="8">
        <f>(P52*($E52/365))+(P53*($E53/365))</f>
        <v>40.700000000000003</v>
      </c>
      <c r="U150" s="8">
        <f>(Q52*($E52/365))+(Q53*($E53/365))</f>
        <v>0</v>
      </c>
      <c r="V150" s="7"/>
      <c r="W150" s="7">
        <f t="shared" si="14"/>
        <v>66.099999999999994</v>
      </c>
    </row>
    <row r="151" spans="1:23" x14ac:dyDescent="0.15">
      <c r="A151" s="1">
        <v>1983</v>
      </c>
      <c r="B151" s="8">
        <f>(K54*($E54/365))+(K55*($E55/365))</f>
        <v>55.555555555555557</v>
      </c>
      <c r="C151" s="8">
        <f>(L54*($E54/365))+(L55*($E55/365))</f>
        <v>44.444444444444443</v>
      </c>
      <c r="D151" s="8">
        <f>(M54*($E54/365))+(M55*($E55/365))</f>
        <v>0</v>
      </c>
      <c r="E151" s="48">
        <f t="shared" si="12"/>
        <v>100</v>
      </c>
      <c r="G151" s="1">
        <v>1983</v>
      </c>
      <c r="H151" s="809">
        <f>(O54/$R54*100*($E54/365))+(O55/$R55*100*($E55/365))</f>
        <v>38.426626323751897</v>
      </c>
      <c r="I151" s="809"/>
      <c r="J151" s="809">
        <f>(P54/$R54*100*($E54/365))+(P55/$R55*100*($E55/365))</f>
        <v>61.573373676248124</v>
      </c>
      <c r="K151" s="809"/>
      <c r="L151" s="809">
        <f>(Q54/$R54*100*($E54/365))+(Q55/$R55*100*($E55/365))</f>
        <v>0</v>
      </c>
      <c r="M151" s="809"/>
      <c r="N151" s="781">
        <f t="shared" si="13"/>
        <v>100.00000000000003</v>
      </c>
      <c r="O151" s="781"/>
      <c r="R151" s="1">
        <v>1983</v>
      </c>
      <c r="S151" s="8">
        <f>(O54*($E54/365))+(O55*($E55/365))</f>
        <v>25.4</v>
      </c>
      <c r="T151" s="8">
        <f>(P54*($E54/365))+(P55*($E55/365))</f>
        <v>40.700000000000003</v>
      </c>
      <c r="U151" s="8">
        <f>(Q54*($E54/365))+(Q55*($E55/365))</f>
        <v>0</v>
      </c>
      <c r="V151" s="7"/>
      <c r="W151" s="7">
        <f t="shared" si="14"/>
        <v>66.099999999999994</v>
      </c>
    </row>
    <row r="152" spans="1:23" x14ac:dyDescent="0.15">
      <c r="A152" s="1">
        <v>1984</v>
      </c>
      <c r="B152" s="8">
        <f>(K56*($E56/366))+(K57*($E57/366))</f>
        <v>30.510018214936252</v>
      </c>
      <c r="C152" s="8">
        <f>(L56*($E56/366))+(L57*($E57/366))</f>
        <v>49.453551912568308</v>
      </c>
      <c r="D152" s="8">
        <f>(M56*($E56/366))+(M57*($E57/366))</f>
        <v>20.036429872495447</v>
      </c>
      <c r="E152" s="48">
        <f t="shared" si="12"/>
        <v>100.00000000000001</v>
      </c>
      <c r="G152" s="1">
        <v>1984</v>
      </c>
      <c r="H152" s="809">
        <f>(O56/$R56*100*($E56/366))+(O57/$R57*100*($E57/366))</f>
        <v>21.103147243371946</v>
      </c>
      <c r="I152" s="809"/>
      <c r="J152" s="809">
        <f>(P56/$R56*100*($E56/366))+(P57/$R57*100*($E57/366))</f>
        <v>58.330948381243317</v>
      </c>
      <c r="K152" s="809"/>
      <c r="L152" s="809">
        <f>(Q56/$R56*100*($E56/366))+(Q57/$R57*100*($E57/366))</f>
        <v>20.565904375384754</v>
      </c>
      <c r="M152" s="809"/>
      <c r="N152" s="781">
        <f t="shared" si="13"/>
        <v>100.00000000000003</v>
      </c>
      <c r="O152" s="781"/>
      <c r="R152" s="1">
        <v>1984</v>
      </c>
      <c r="S152" s="8">
        <f>(O56*($E56/366))+(O57*($E57/366))</f>
        <v>13.949180327868852</v>
      </c>
      <c r="T152" s="8">
        <f>(P56*($E56/366))+(P57*($E57/366))</f>
        <v>39.978688524590169</v>
      </c>
      <c r="U152" s="8">
        <f>(Q56*($E56/366))+(Q57*($E57/366))</f>
        <v>14.786885245901638</v>
      </c>
      <c r="V152" s="7"/>
      <c r="W152" s="7">
        <f t="shared" si="14"/>
        <v>68.714754098360658</v>
      </c>
    </row>
    <row r="153" spans="1:23" x14ac:dyDescent="0.15">
      <c r="A153" s="1">
        <v>1985</v>
      </c>
      <c r="B153" s="8">
        <f>(K58*($E58/365))+(K59*($E59/365))</f>
        <v>0</v>
      </c>
      <c r="C153" s="8">
        <f>(L58*($E58/365))+(L59*($E59/365))</f>
        <v>55.555555555555557</v>
      </c>
      <c r="D153" s="8">
        <f>(M58*($E58/365))+(M59*($E59/365))</f>
        <v>44.444444444444443</v>
      </c>
      <c r="E153" s="48">
        <f t="shared" si="12"/>
        <v>100</v>
      </c>
      <c r="G153" s="1">
        <v>1985</v>
      </c>
      <c r="H153" s="809">
        <f>(O58/$R58*100*($E58/365))+(O59/$R59*100*($E59/365))</f>
        <v>0</v>
      </c>
      <c r="I153" s="809"/>
      <c r="J153" s="809">
        <f>(P58/$R58*100*($E58/365))+(P59/$R59*100*($E59/365))</f>
        <v>54.381084840055628</v>
      </c>
      <c r="K153" s="809"/>
      <c r="L153" s="809">
        <f>(Q58/$R58*100*($E58/365))+(Q59/$R59*100*($E59/365))</f>
        <v>45.618915159944365</v>
      </c>
      <c r="M153" s="809"/>
      <c r="N153" s="781">
        <f t="shared" si="13"/>
        <v>100</v>
      </c>
      <c r="O153" s="781"/>
      <c r="R153" s="1">
        <v>1985</v>
      </c>
      <c r="S153" s="8">
        <f>(O58*($E58/365))+(O59*($E59/365))</f>
        <v>0</v>
      </c>
      <c r="T153" s="8">
        <f>(P58*($E58/365))+(P59*($E59/365))</f>
        <v>39.1</v>
      </c>
      <c r="U153" s="8">
        <f>(Q58*($E58/365))+(Q59*($E59/365))</f>
        <v>32.799999999999997</v>
      </c>
      <c r="V153" s="7"/>
      <c r="W153" s="7">
        <f t="shared" si="14"/>
        <v>71.900000000000006</v>
      </c>
    </row>
    <row r="154" spans="1:23" x14ac:dyDescent="0.15">
      <c r="A154" s="1">
        <v>1986</v>
      </c>
      <c r="B154" s="8">
        <f>(K60*($E60/365))+(K61*($E61/365))</f>
        <v>0</v>
      </c>
      <c r="C154" s="8">
        <f>(L60*($E60/365))+(L61*($E61/365))</f>
        <v>55.555555555555557</v>
      </c>
      <c r="D154" s="8">
        <f>(M60*($E60/365))+(M61*($E61/365))</f>
        <v>44.444444444444443</v>
      </c>
      <c r="E154" s="48">
        <f t="shared" si="12"/>
        <v>100</v>
      </c>
      <c r="G154" s="1">
        <v>1986</v>
      </c>
      <c r="H154" s="809">
        <f>(O60/$R60*100*($E60/365))+(O61/$R61*100*($E61/365))</f>
        <v>0</v>
      </c>
      <c r="I154" s="809"/>
      <c r="J154" s="809">
        <f>(P60/$R60*100*($E60/365))+(P61/$R61*100*($E61/365))</f>
        <v>54.381084840055628</v>
      </c>
      <c r="K154" s="809"/>
      <c r="L154" s="809">
        <f>(Q60/$R60*100*($E60/365))+(Q61/$R61*100*($E61/365))</f>
        <v>45.618915159944365</v>
      </c>
      <c r="M154" s="809"/>
      <c r="N154" s="781">
        <f t="shared" si="13"/>
        <v>100</v>
      </c>
      <c r="O154" s="781"/>
      <c r="R154" s="1">
        <v>1986</v>
      </c>
      <c r="S154" s="8">
        <f>(O60*($E60/365))+(O61*($E61/365))</f>
        <v>0</v>
      </c>
      <c r="T154" s="8">
        <f>(P60*($E60/365))+(P61*($E61/365))</f>
        <v>39.1</v>
      </c>
      <c r="U154" s="8">
        <f>(Q60*($E60/365))+(Q61*($E61/365))</f>
        <v>32.799999999999997</v>
      </c>
      <c r="V154" s="7"/>
      <c r="W154" s="7">
        <f t="shared" si="14"/>
        <v>71.900000000000006</v>
      </c>
    </row>
    <row r="155" spans="1:23" x14ac:dyDescent="0.15">
      <c r="A155" s="1">
        <v>1987</v>
      </c>
      <c r="B155" s="8">
        <f>(K62*($E62/365))+(K63*($E63/365))</f>
        <v>0</v>
      </c>
      <c r="C155" s="8">
        <f>(L62*($E62/365))+(L63*($E63/365))</f>
        <v>55.555555555555557</v>
      </c>
      <c r="D155" s="8">
        <f>(M62*($E62/365))+(M63*($E63/365))</f>
        <v>44.444444444444443</v>
      </c>
      <c r="E155" s="48">
        <f t="shared" si="12"/>
        <v>100</v>
      </c>
      <c r="G155" s="1">
        <v>1987</v>
      </c>
      <c r="H155" s="809">
        <f>(O62/$R62*100*($E62/365))+(O63/$R63*100*($E63/365))</f>
        <v>0</v>
      </c>
      <c r="I155" s="809"/>
      <c r="J155" s="809">
        <f>(P62/$R62*100*($E62/365))+(P63/$R63*100*($E63/365))</f>
        <v>54.381084840055628</v>
      </c>
      <c r="K155" s="809"/>
      <c r="L155" s="809">
        <f>(Q62/$R62*100*($E62/365))+(Q63/$R63*100*($E63/365))</f>
        <v>45.618915159944365</v>
      </c>
      <c r="M155" s="809"/>
      <c r="N155" s="781">
        <f t="shared" si="13"/>
        <v>100</v>
      </c>
      <c r="O155" s="781"/>
      <c r="R155" s="1">
        <v>1987</v>
      </c>
      <c r="S155" s="8">
        <f>(O62*($E62/365))+(O63*($E63/365))</f>
        <v>0</v>
      </c>
      <c r="T155" s="8">
        <f>(P62*($E62/365))+(P63*($E63/365))</f>
        <v>39.1</v>
      </c>
      <c r="U155" s="8">
        <f>(Q62*($E62/365))+(Q63*($E63/365))</f>
        <v>32.799999999999997</v>
      </c>
      <c r="V155" s="7"/>
      <c r="W155" s="7">
        <f t="shared" si="14"/>
        <v>71.900000000000006</v>
      </c>
    </row>
    <row r="156" spans="1:23" x14ac:dyDescent="0.15">
      <c r="A156" s="1">
        <v>1988</v>
      </c>
      <c r="B156" s="8">
        <f>(K64*($E64/366))+(K65*($E65/366))</f>
        <v>0</v>
      </c>
      <c r="C156" s="8">
        <f>(L64*($E64/366))+(L65*($E65/366))</f>
        <v>55.555555555555557</v>
      </c>
      <c r="D156" s="8">
        <f>(M64*($E64/366))+(M65*($E65/366))</f>
        <v>44.444444444444443</v>
      </c>
      <c r="E156" s="48">
        <f t="shared" si="12"/>
        <v>100</v>
      </c>
      <c r="G156" s="1">
        <v>1988</v>
      </c>
      <c r="H156" s="809">
        <f>(O64/$R64*100*($E64/366))+(O65/$R65*100*($E65/366))</f>
        <v>0</v>
      </c>
      <c r="I156" s="809"/>
      <c r="J156" s="809">
        <f>(P64/$R64*100*($E64/366))+(P65/$R65*100*($E65/366))</f>
        <v>54.381084840055628</v>
      </c>
      <c r="K156" s="809"/>
      <c r="L156" s="809">
        <f>(Q64/$R64*100*($E64/366))+(Q65/$R65*100*($E65/366))</f>
        <v>45.618915159944365</v>
      </c>
      <c r="M156" s="809"/>
      <c r="N156" s="781">
        <f t="shared" si="13"/>
        <v>100</v>
      </c>
      <c r="O156" s="781"/>
      <c r="R156" s="1">
        <v>1988</v>
      </c>
      <c r="S156" s="8">
        <f>(O64*($E64/366))+(O65*($E65/366))</f>
        <v>0</v>
      </c>
      <c r="T156" s="8">
        <f>(P64*($E64/366))+(P65*($E65/366))</f>
        <v>39.1</v>
      </c>
      <c r="U156" s="8">
        <f>(Q64*($E64/366))+(Q65*($E65/366))</f>
        <v>32.799999999999997</v>
      </c>
      <c r="V156" s="7"/>
      <c r="W156" s="7">
        <f t="shared" si="14"/>
        <v>71.900000000000006</v>
      </c>
    </row>
    <row r="157" spans="1:23" x14ac:dyDescent="0.15">
      <c r="A157" s="1">
        <v>1989</v>
      </c>
      <c r="B157" s="8">
        <f>(K66*($E66/365))+(K67*($E67/365))</f>
        <v>0</v>
      </c>
      <c r="C157" s="8">
        <f>(L66*($E66/365))+(L67*($E67/365))</f>
        <v>57.637747336377473</v>
      </c>
      <c r="D157" s="8">
        <f>(M66*($E66/365))+(M67*($E67/365))</f>
        <v>42.362252663622527</v>
      </c>
      <c r="E157" s="48">
        <f t="shared" si="12"/>
        <v>100</v>
      </c>
      <c r="G157" s="1">
        <v>1989</v>
      </c>
      <c r="H157" s="809">
        <f>(O66/$R66*100*($E66/365))+(O67/$R67*100*($E67/365))</f>
        <v>0</v>
      </c>
      <c r="I157" s="809"/>
      <c r="J157" s="809">
        <f>(P66/$R66*100*($E66/365))+(P67/$R67*100*($E67/365))</f>
        <v>54.681578181321058</v>
      </c>
      <c r="K157" s="809"/>
      <c r="L157" s="809">
        <f>(Q66/$R66*100*($E66/365))+(Q67/$R67*100*($E67/365))</f>
        <v>45.318421818678942</v>
      </c>
      <c r="M157" s="809"/>
      <c r="N157" s="781">
        <f t="shared" si="13"/>
        <v>100</v>
      </c>
      <c r="O157" s="781"/>
      <c r="R157" s="1">
        <v>1989</v>
      </c>
      <c r="S157" s="8">
        <f>(O66*($E66/365))+(O67*($E67/365))</f>
        <v>0</v>
      </c>
      <c r="T157" s="8">
        <f>(P66*($E66/365))+(P67*($E67/365))</f>
        <v>37.97561643835617</v>
      </c>
      <c r="U157" s="8">
        <f>(Q66*($E66/365))+(Q67*($E67/365))</f>
        <v>31.48821917808219</v>
      </c>
      <c r="V157" s="7"/>
      <c r="W157" s="7">
        <f t="shared" si="14"/>
        <v>69.463835616438359</v>
      </c>
    </row>
    <row r="158" spans="1:23" x14ac:dyDescent="0.15">
      <c r="A158" s="1">
        <v>1990</v>
      </c>
      <c r="B158" s="8">
        <f>(K68*($E68/365))+(K69*($E69/365))</f>
        <v>0</v>
      </c>
      <c r="C158" s="8">
        <f>(L68*($E68/365))+(L69*($E69/365))</f>
        <v>60</v>
      </c>
      <c r="D158" s="8">
        <f>(M68*($E68/365))+(M69*($E69/365))</f>
        <v>40</v>
      </c>
      <c r="E158" s="48">
        <f t="shared" si="12"/>
        <v>100</v>
      </c>
      <c r="G158" s="1">
        <v>1990</v>
      </c>
      <c r="H158" s="809">
        <f>(O68/$R68*100*($E68/365))+(O69/$R69*100*($E69/365))</f>
        <v>0</v>
      </c>
      <c r="I158" s="809"/>
      <c r="J158" s="809">
        <f>(P68/$R68*100*($E68/365))+(P69/$R69*100*($E69/365))</f>
        <v>55.022488755622192</v>
      </c>
      <c r="K158" s="809"/>
      <c r="L158" s="809">
        <f>(Q68/$R68*100*($E68/365))+(Q69/$R69*100*($E69/365))</f>
        <v>44.977511244377808</v>
      </c>
      <c r="M158" s="809"/>
      <c r="N158" s="781">
        <f t="shared" si="13"/>
        <v>100</v>
      </c>
      <c r="O158" s="781"/>
      <c r="R158" s="1">
        <v>1990</v>
      </c>
      <c r="S158" s="8">
        <f>(O68*($E68/365))+(O69*($E69/365))</f>
        <v>0</v>
      </c>
      <c r="T158" s="8">
        <f>(P68*($E68/365))+(P69*($E69/365))</f>
        <v>36.700000000000003</v>
      </c>
      <c r="U158" s="8">
        <f>(Q68*($E68/365))+(Q69*($E69/365))</f>
        <v>30</v>
      </c>
      <c r="V158" s="7"/>
      <c r="W158" s="7">
        <f t="shared" si="14"/>
        <v>66.7</v>
      </c>
    </row>
    <row r="159" spans="1:23" x14ac:dyDescent="0.15">
      <c r="A159" s="1">
        <v>1991</v>
      </c>
      <c r="B159" s="8">
        <f>(K70*($E70/365))+(K71*($E71/365))</f>
        <v>0</v>
      </c>
      <c r="C159" s="8">
        <f>(L70*($E70/365))+(L71*($E71/365))</f>
        <v>60</v>
      </c>
      <c r="D159" s="8">
        <f>(M70*($E70/365))+(M71*($E71/365))</f>
        <v>40</v>
      </c>
      <c r="E159" s="48">
        <f t="shared" si="12"/>
        <v>100</v>
      </c>
      <c r="G159" s="1">
        <v>1991</v>
      </c>
      <c r="H159" s="809">
        <f>(O70/$R70*100*($E70/365))+(O71/$R71*100*($E71/365))</f>
        <v>0</v>
      </c>
      <c r="I159" s="809"/>
      <c r="J159" s="809">
        <f>(P70/$R70*100*($E70/365))+(P71/$R71*100*($E71/365))</f>
        <v>55.022488755622192</v>
      </c>
      <c r="K159" s="809"/>
      <c r="L159" s="809">
        <f>(Q70/$R70*100*($E70/365))+(Q71/$R71*100*($E71/365))</f>
        <v>44.977511244377808</v>
      </c>
      <c r="M159" s="809"/>
      <c r="N159" s="781">
        <f t="shared" si="13"/>
        <v>100</v>
      </c>
      <c r="O159" s="781"/>
      <c r="R159" s="1">
        <v>1991</v>
      </c>
      <c r="S159" s="8">
        <f>(O70*($E70/365))+(O71*($E71/365))</f>
        <v>0</v>
      </c>
      <c r="T159" s="8">
        <f>(P70*($E70/365))+(P71*($E71/365))</f>
        <v>36.700000000000003</v>
      </c>
      <c r="U159" s="8">
        <f>(Q70*($E70/365))+(Q71*($E71/365))</f>
        <v>30</v>
      </c>
      <c r="V159" s="7"/>
      <c r="W159" s="7">
        <f t="shared" si="14"/>
        <v>66.7</v>
      </c>
    </row>
    <row r="160" spans="1:23" x14ac:dyDescent="0.15">
      <c r="A160" s="1">
        <v>1992</v>
      </c>
      <c r="B160" s="8">
        <f>(K72*($E72/366))+(K73*($E73/366))</f>
        <v>0</v>
      </c>
      <c r="C160" s="8">
        <f>(L72*($E72/366))+(L73*($E73/366))</f>
        <v>60</v>
      </c>
      <c r="D160" s="8">
        <f>(M72*($E72/366))+(M73*($E73/366))</f>
        <v>40</v>
      </c>
      <c r="E160" s="48">
        <f t="shared" si="12"/>
        <v>100</v>
      </c>
      <c r="G160" s="1">
        <v>1992</v>
      </c>
      <c r="H160" s="809">
        <f>(O72/$R72*100*($E72/366))+(O73/$R73*100*($E73/366))</f>
        <v>0</v>
      </c>
      <c r="I160" s="809"/>
      <c r="J160" s="809">
        <f>(P72/$R72*100*($E72/366))+(P73/$R73*100*($E73/366))</f>
        <v>55.022488755622192</v>
      </c>
      <c r="K160" s="809"/>
      <c r="L160" s="809">
        <f>(Q72/$R72*100*($E72/366))+(Q73/$R73*100*($E73/366))</f>
        <v>44.977511244377808</v>
      </c>
      <c r="M160" s="809"/>
      <c r="N160" s="781">
        <f t="shared" si="13"/>
        <v>100</v>
      </c>
      <c r="O160" s="781"/>
      <c r="R160" s="1">
        <v>1992</v>
      </c>
      <c r="S160" s="8">
        <f>(O72*($E72/366))+(O73*($E73/366))</f>
        <v>0</v>
      </c>
      <c r="T160" s="8">
        <f>(P72*($E72/366))+(P73*($E73/366))</f>
        <v>36.700000000000003</v>
      </c>
      <c r="U160" s="8">
        <f>(Q72*($E72/366))+(Q73*($E73/366))</f>
        <v>30</v>
      </c>
      <c r="V160" s="7"/>
      <c r="W160" s="7">
        <f t="shared" si="14"/>
        <v>66.7</v>
      </c>
    </row>
    <row r="161" spans="1:23" x14ac:dyDescent="0.15">
      <c r="A161" s="1">
        <v>1993</v>
      </c>
      <c r="B161" s="8">
        <f>(K74*($E74/365))+(K75*($E75/365))</f>
        <v>0</v>
      </c>
      <c r="C161" s="8">
        <f>(L74*($E74/365))+(L75*($E75/365))</f>
        <v>60</v>
      </c>
      <c r="D161" s="8">
        <f>(M74*($E74/365))+(M75*($E75/365))</f>
        <v>40</v>
      </c>
      <c r="E161" s="48">
        <f t="shared" si="12"/>
        <v>100</v>
      </c>
      <c r="G161" s="1">
        <v>1993</v>
      </c>
      <c r="H161" s="809">
        <f>(O74/$R74*100*($E74/365))+(O75/$R75*100*($E75/365))</f>
        <v>0</v>
      </c>
      <c r="I161" s="809"/>
      <c r="J161" s="809">
        <f>(P74/$R74*100*($E74/365))+(P75/$R75*100*($E75/365))</f>
        <v>55.022488755622192</v>
      </c>
      <c r="K161" s="809"/>
      <c r="L161" s="809">
        <f>(Q74/$R74*100*($E74/365))+(Q75/$R75*100*($E75/365))</f>
        <v>44.977511244377808</v>
      </c>
      <c r="M161" s="809"/>
      <c r="N161" s="781">
        <f t="shared" si="13"/>
        <v>100</v>
      </c>
      <c r="O161" s="781"/>
      <c r="R161" s="1">
        <v>1993</v>
      </c>
      <c r="S161" s="8">
        <f>(O74*($E74/365))+(O75*($E75/365))</f>
        <v>0</v>
      </c>
      <c r="T161" s="8">
        <f>(P74*($E74/365))+(P75*($E75/365))</f>
        <v>36.700000000000003</v>
      </c>
      <c r="U161" s="8">
        <f>(Q74*($E74/365))+(Q75*($E75/365))</f>
        <v>30</v>
      </c>
      <c r="V161" s="7"/>
      <c r="W161" s="7">
        <f t="shared" si="14"/>
        <v>66.7</v>
      </c>
    </row>
    <row r="162" spans="1:23" x14ac:dyDescent="0.15">
      <c r="A162" s="1">
        <v>1994</v>
      </c>
      <c r="B162" s="8">
        <f>(K76*($E76/365))+(K77*($E77/365))</f>
        <v>0</v>
      </c>
      <c r="C162" s="8">
        <f>(L76*($E76/365))+(L77*($E77/365))</f>
        <v>55.287671232876718</v>
      </c>
      <c r="D162" s="8">
        <f>(M76*($E76/365))+(M77*($E77/365))</f>
        <v>44.712328767123296</v>
      </c>
      <c r="E162" s="48">
        <f t="shared" si="12"/>
        <v>100.00000000000001</v>
      </c>
      <c r="G162" s="1">
        <v>1994</v>
      </c>
      <c r="H162" s="809">
        <f>(O76/$R76*100*($E76/365))+(O77/$R77*100*($E77/365))</f>
        <v>0</v>
      </c>
      <c r="I162" s="809"/>
      <c r="J162" s="809">
        <f>(P76/$R76*100*($E76/365))+(P77/$R77*100*($E77/365))</f>
        <v>55.149613403387256</v>
      </c>
      <c r="K162" s="809"/>
      <c r="L162" s="809">
        <f>(Q76/$R76*100*($E76/365))+(Q77/$R77*100*($E77/365))</f>
        <v>44.850386596612751</v>
      </c>
      <c r="M162" s="809"/>
      <c r="N162" s="781">
        <f t="shared" si="13"/>
        <v>100</v>
      </c>
      <c r="O162" s="781"/>
      <c r="R162" s="1">
        <v>1994</v>
      </c>
      <c r="S162" s="8">
        <f>(O76*($E76/365))+(O77*($E77/365))</f>
        <v>0</v>
      </c>
      <c r="T162" s="8">
        <f>(P76*($E76/365))+(P77*($E77/365))</f>
        <v>35.89890410958904</v>
      </c>
      <c r="U162" s="8">
        <f>(Q76*($E76/365))+(Q77*($E77/365))</f>
        <v>29.198904109589044</v>
      </c>
      <c r="V162" s="7"/>
      <c r="W162" s="7">
        <f t="shared" si="14"/>
        <v>65.097808219178091</v>
      </c>
    </row>
    <row r="163" spans="1:23" x14ac:dyDescent="0.15">
      <c r="A163" s="1">
        <v>1995</v>
      </c>
      <c r="B163" s="8">
        <f>(K78*($E78/365))+(K79*($E79/365))</f>
        <v>0</v>
      </c>
      <c r="C163" s="8">
        <f>(L78*($E78/365))+(L79*($E79/365))</f>
        <v>50</v>
      </c>
      <c r="D163" s="8">
        <f>(M78*($E78/365))+(M79*($E79/365))</f>
        <v>50</v>
      </c>
      <c r="E163" s="48">
        <f t="shared" si="12"/>
        <v>100</v>
      </c>
      <c r="G163" s="1">
        <v>1995</v>
      </c>
      <c r="H163" s="809">
        <f>(O78/$R78*100*($E78/365))+(O79/$R79*100*($E79/365))</f>
        <v>0</v>
      </c>
      <c r="I163" s="809"/>
      <c r="J163" s="809">
        <f>(P78/$R78*100*($E78/365))+(P79/$R79*100*($E79/365))</f>
        <v>55.292259083728275</v>
      </c>
      <c r="K163" s="809"/>
      <c r="L163" s="809">
        <f>(Q78/$R78*100*($E78/365))+(Q79/$R79*100*($E79/365))</f>
        <v>44.707740916271717</v>
      </c>
      <c r="M163" s="809"/>
      <c r="N163" s="781">
        <f t="shared" si="13"/>
        <v>100</v>
      </c>
      <c r="O163" s="781"/>
      <c r="R163" s="1">
        <v>1995</v>
      </c>
      <c r="S163" s="8">
        <f>(O78*($E78/365))+(O79*($E79/365))</f>
        <v>0</v>
      </c>
      <c r="T163" s="8">
        <f>(P78*($E78/365))+(P79*($E79/365))</f>
        <v>35</v>
      </c>
      <c r="U163" s="8">
        <f>(Q78*($E78/365))+(Q79*($E79/365))</f>
        <v>28.299999999999997</v>
      </c>
      <c r="V163" s="7"/>
      <c r="W163" s="7">
        <f t="shared" si="14"/>
        <v>63.3</v>
      </c>
    </row>
    <row r="164" spans="1:23" x14ac:dyDescent="0.15">
      <c r="A164" s="1">
        <v>1996</v>
      </c>
      <c r="B164" s="8">
        <f>(K80*($E80/366))+(K81*($E81/366))</f>
        <v>0</v>
      </c>
      <c r="C164" s="8">
        <f>(L80*($E80/366))+(L81*($E81/366))</f>
        <v>50</v>
      </c>
      <c r="D164" s="8">
        <f>(M80*($E80/366))+(M81*($E81/366))</f>
        <v>50</v>
      </c>
      <c r="E164" s="48">
        <f t="shared" si="12"/>
        <v>100</v>
      </c>
      <c r="G164" s="1">
        <v>1996</v>
      </c>
      <c r="H164" s="809">
        <f>(O80/$R80*100*($E80/366))+(O81/$R81*100*($E81/366))</f>
        <v>0</v>
      </c>
      <c r="I164" s="809"/>
      <c r="J164" s="809">
        <f>(P80/$R80*100*($E80/366))+(P81/$R81*100*($E81/366))</f>
        <v>55.292259083728283</v>
      </c>
      <c r="K164" s="809"/>
      <c r="L164" s="809">
        <f>(Q80/$R80*100*($E80/366))+(Q81/$R81*100*($E81/366))</f>
        <v>44.707740916271725</v>
      </c>
      <c r="M164" s="809"/>
      <c r="N164" s="781">
        <f t="shared" si="13"/>
        <v>100</v>
      </c>
      <c r="O164" s="781"/>
      <c r="R164" s="1">
        <v>1996</v>
      </c>
      <c r="S164" s="8">
        <f>(O80*($E80/366))+(O81*($E81/366))</f>
        <v>0</v>
      </c>
      <c r="T164" s="8">
        <f>(P80*($E80/366))+(P81*($E81/366))</f>
        <v>35</v>
      </c>
      <c r="U164" s="8">
        <f>(Q80*($E80/366))+(Q81*($E81/366))</f>
        <v>28.3</v>
      </c>
      <c r="V164" s="7"/>
      <c r="W164" s="7">
        <f t="shared" si="14"/>
        <v>63.3</v>
      </c>
    </row>
    <row r="165" spans="1:23" x14ac:dyDescent="0.15">
      <c r="A165" s="1">
        <v>1997</v>
      </c>
      <c r="B165" s="8">
        <f>(K82*($E82/365))+(K83*($E83/365))</f>
        <v>0</v>
      </c>
      <c r="C165" s="8">
        <f>(L82*($E82/365))+(L83*($E83/365))</f>
        <v>50</v>
      </c>
      <c r="D165" s="8">
        <f>(M82*($E82/365))+(M83*($E83/365))</f>
        <v>50</v>
      </c>
      <c r="E165" s="48">
        <f t="shared" si="12"/>
        <v>100</v>
      </c>
      <c r="G165" s="1">
        <v>1997</v>
      </c>
      <c r="H165" s="809">
        <f>(O82/$R82*100*($E82/365))+(O83/$R83*100*($E83/365))</f>
        <v>0</v>
      </c>
      <c r="I165" s="809"/>
      <c r="J165" s="809">
        <f>(P82/$R82*100*($E82/365))+(P83/$R83*100*($E83/365))</f>
        <v>55.292259083728283</v>
      </c>
      <c r="K165" s="809"/>
      <c r="L165" s="809">
        <f>(Q82/$R82*100*($E82/365))+(Q83/$R83*100*($E83/365))</f>
        <v>44.707740916271725</v>
      </c>
      <c r="M165" s="809"/>
      <c r="N165" s="781">
        <f t="shared" si="13"/>
        <v>100</v>
      </c>
      <c r="O165" s="781"/>
      <c r="R165" s="1">
        <v>1997</v>
      </c>
      <c r="S165" s="8">
        <f>(O82*($E82/365))+(O83*($E83/365))</f>
        <v>0</v>
      </c>
      <c r="T165" s="8">
        <f>(P82*($E82/365))+(P83*($E83/365))</f>
        <v>35</v>
      </c>
      <c r="U165" s="8">
        <f>(Q82*($E82/365))+(Q83*($E83/365))</f>
        <v>28.3</v>
      </c>
      <c r="V165" s="7"/>
      <c r="W165" s="7">
        <f t="shared" si="14"/>
        <v>63.3</v>
      </c>
    </row>
    <row r="166" spans="1:23" x14ac:dyDescent="0.15">
      <c r="A166" s="1">
        <v>1998</v>
      </c>
      <c r="B166" s="8">
        <f>(K84*($E84/365))+(K85*($E85/365))</f>
        <v>0</v>
      </c>
      <c r="C166" s="8">
        <f>(L84*($E84/365))+(L85*($E85/365))</f>
        <v>50</v>
      </c>
      <c r="D166" s="8">
        <f>(M84*($E84/365))+(M85*($E85/365))</f>
        <v>50</v>
      </c>
      <c r="E166" s="48">
        <f t="shared" si="12"/>
        <v>100</v>
      </c>
      <c r="G166" s="1">
        <v>1998</v>
      </c>
      <c r="H166" s="809">
        <f>(O84/$R84*100*($E84/365))+(O85/$R85*100*($E85/365))</f>
        <v>0</v>
      </c>
      <c r="I166" s="809"/>
      <c r="J166" s="809">
        <f>(P84/$R84*100*($E84/365))+(P85/$R85*100*($E85/365))</f>
        <v>55.292259083728283</v>
      </c>
      <c r="K166" s="809"/>
      <c r="L166" s="809">
        <f>(Q84/$R84*100*($E84/365))+(Q85/$R85*100*($E85/365))</f>
        <v>44.707740916271725</v>
      </c>
      <c r="M166" s="809"/>
      <c r="N166" s="781">
        <f t="shared" si="13"/>
        <v>100</v>
      </c>
      <c r="O166" s="781"/>
      <c r="R166" s="1">
        <v>1998</v>
      </c>
      <c r="S166" s="8">
        <f>(O84*($E84/365))+(O85*($E85/365))</f>
        <v>0</v>
      </c>
      <c r="T166" s="8">
        <f>(P84*($E84/365))+(P85*($E85/365))</f>
        <v>35</v>
      </c>
      <c r="U166" s="8">
        <f>(Q84*($E84/365))+(Q85*($E85/365))</f>
        <v>28.3</v>
      </c>
      <c r="V166" s="7"/>
      <c r="W166" s="7">
        <f t="shared" si="14"/>
        <v>63.3</v>
      </c>
    </row>
    <row r="167" spans="1:23" x14ac:dyDescent="0.15">
      <c r="A167" s="1">
        <v>1999</v>
      </c>
      <c r="B167" s="8">
        <f>(K86*($E86/365))+(K87*($E87/365))</f>
        <v>15.890410958904111</v>
      </c>
      <c r="C167" s="8">
        <f>(L86*($E86/365))+(L87*($E87/365))</f>
        <v>50</v>
      </c>
      <c r="D167" s="8">
        <f>(M86*($E86/365))+(M87*($E87/365))</f>
        <v>34.109589041095887</v>
      </c>
      <c r="E167" s="48">
        <f t="shared" si="12"/>
        <v>100</v>
      </c>
      <c r="G167" s="1">
        <v>1999</v>
      </c>
      <c r="H167" s="809">
        <f>(O86/$R86*100*($E86/365))+(O87/$R87*100*($E87/365))</f>
        <v>14.012708076635018</v>
      </c>
      <c r="I167" s="809"/>
      <c r="J167" s="809">
        <f>(P86/$R86*100*($E86/365))+(P87/$R87*100*($E87/365))</f>
        <v>55.488038531168655</v>
      </c>
      <c r="K167" s="809"/>
      <c r="L167" s="809">
        <f>(Q86/$R86*100*($E86/365))+(Q87/$R87*100*($E87/365))</f>
        <v>30.499253392196326</v>
      </c>
      <c r="M167" s="809"/>
      <c r="N167" s="781">
        <f t="shared" si="13"/>
        <v>100</v>
      </c>
      <c r="O167" s="781"/>
      <c r="R167" s="1">
        <v>1999</v>
      </c>
      <c r="S167" s="8">
        <f>(O86*($E86/365))+(O87*($E87/365))</f>
        <v>7.9452054794520555</v>
      </c>
      <c r="T167" s="8">
        <f>(P86*($E86/365))+(P87*($E87/365))</f>
        <v>33.951232876712325</v>
      </c>
      <c r="U167" s="8">
        <f>(Q86*($E86/365))+(Q87*($E87/365))</f>
        <v>19.306027397260273</v>
      </c>
      <c r="V167" s="7"/>
      <c r="W167" s="7">
        <f t="shared" si="14"/>
        <v>61.202465753424654</v>
      </c>
    </row>
    <row r="168" spans="1:23" x14ac:dyDescent="0.15">
      <c r="A168" s="1">
        <v>2000</v>
      </c>
      <c r="B168" s="8">
        <f>(K88*($E88/366))+(K89*($E89/366))</f>
        <v>50</v>
      </c>
      <c r="C168" s="8">
        <f>(L88*($E88/366))+(L89*($E89/366))</f>
        <v>50</v>
      </c>
      <c r="D168" s="8">
        <f>(M88*($E88/366))+(M89*($E89/366))</f>
        <v>0</v>
      </c>
      <c r="E168" s="48">
        <f t="shared" si="12"/>
        <v>100</v>
      </c>
      <c r="G168" s="1">
        <v>2000</v>
      </c>
      <c r="H168" s="809">
        <f>(O88/$R88*100*($E88/366))+(O89/$R89*100*($E89/366))</f>
        <v>44.091710758377424</v>
      </c>
      <c r="I168" s="809"/>
      <c r="J168" s="809">
        <f>(P88/$R88*100*($E88/366))+(P89/$R89*100*($E89/366))</f>
        <v>55.908289241622569</v>
      </c>
      <c r="K168" s="809"/>
      <c r="L168" s="809">
        <f>(Q88/$R88*100*($E88/366))+(Q89/$R89*100*($E89/366))</f>
        <v>0</v>
      </c>
      <c r="M168" s="809"/>
      <c r="N168" s="781">
        <f t="shared" si="13"/>
        <v>100</v>
      </c>
      <c r="O168" s="781"/>
      <c r="R168" s="1">
        <v>2000</v>
      </c>
      <c r="S168" s="8">
        <f>(O88*($E88/366))+(O89*($E89/366))</f>
        <v>25</v>
      </c>
      <c r="T168" s="8">
        <f>(P88*($E88/366))+(P89*($E89/366))</f>
        <v>31.7</v>
      </c>
      <c r="U168" s="8">
        <f>(Q88*($E88/366))+(Q89*($E89/366))</f>
        <v>0</v>
      </c>
      <c r="V168" s="7"/>
      <c r="W168" s="7">
        <f t="shared" si="14"/>
        <v>56.7</v>
      </c>
    </row>
    <row r="169" spans="1:23" x14ac:dyDescent="0.15">
      <c r="A169" s="1">
        <v>2001</v>
      </c>
      <c r="B169" s="8">
        <f>(K90*($E90/365))+(K91*($E91/365))</f>
        <v>50</v>
      </c>
      <c r="C169" s="8">
        <f>(L90*($E90/365))+(L91*($E91/365))</f>
        <v>50</v>
      </c>
      <c r="D169" s="8">
        <f>(M90*($E90/365))+(M91*($E91/365))</f>
        <v>0</v>
      </c>
      <c r="E169" s="48">
        <f t="shared" si="12"/>
        <v>100</v>
      </c>
      <c r="G169" s="1">
        <v>2001</v>
      </c>
      <c r="H169" s="809">
        <f>(O90/$R90*100*($E90/365))+(O91/$R91*100*($E91/365))</f>
        <v>44.091710758377424</v>
      </c>
      <c r="I169" s="809"/>
      <c r="J169" s="809">
        <f>(P90/$R90*100*($E90/365))+(P91/$R91*100*($E91/365))</f>
        <v>55.908289241622569</v>
      </c>
      <c r="K169" s="809"/>
      <c r="L169" s="809">
        <f>(Q90/$R90*100*($E90/365))+(Q91/$R91*100*($E91/365))</f>
        <v>0</v>
      </c>
      <c r="M169" s="809"/>
      <c r="N169" s="781">
        <f t="shared" si="13"/>
        <v>100</v>
      </c>
      <c r="O169" s="781"/>
      <c r="R169" s="1">
        <v>2001</v>
      </c>
      <c r="S169" s="8">
        <f>(O90*($E90/365))+(O91*($E91/365))</f>
        <v>25</v>
      </c>
      <c r="T169" s="8">
        <f>(P90*($E90/365))+(P91*($E91/365))</f>
        <v>31.7</v>
      </c>
      <c r="U169" s="8">
        <f>(Q90*($E90/365))+(Q91*($E91/365))</f>
        <v>0</v>
      </c>
      <c r="V169" s="7"/>
      <c r="W169" s="7">
        <f t="shared" si="14"/>
        <v>56.7</v>
      </c>
    </row>
    <row r="170" spans="1:23" x14ac:dyDescent="0.15">
      <c r="A170" s="1">
        <v>2002</v>
      </c>
      <c r="B170" s="8">
        <f>(K92*($E92/365))+(K93*($E93/365))</f>
        <v>50</v>
      </c>
      <c r="C170" s="8">
        <f>(L92*($E92/365))+(L93*($E93/365))</f>
        <v>50</v>
      </c>
      <c r="D170" s="8">
        <f>(M92*($E92/365))+(M93*($E93/365))</f>
        <v>0</v>
      </c>
      <c r="E170" s="48">
        <f t="shared" si="12"/>
        <v>100</v>
      </c>
      <c r="G170" s="1">
        <v>2002</v>
      </c>
      <c r="H170" s="809">
        <f>(O92/$R92*100*($E92/365))+(O93/$R93*100*($E93/365))</f>
        <v>44.091710758377424</v>
      </c>
      <c r="I170" s="809"/>
      <c r="J170" s="809">
        <f>(P92/$R92*100*($E92/365))+(P93/$R93*100*($E93/365))</f>
        <v>55.908289241622569</v>
      </c>
      <c r="K170" s="809"/>
      <c r="L170" s="809">
        <f>(Q92/$R92*100*($E92/365))+(Q93/$R93*100*($E93/365))</f>
        <v>0</v>
      </c>
      <c r="M170" s="809"/>
      <c r="N170" s="781">
        <f t="shared" si="13"/>
        <v>100</v>
      </c>
      <c r="O170" s="781"/>
      <c r="R170" s="1">
        <v>2002</v>
      </c>
      <c r="S170" s="8">
        <f>(O92*($E92/365))+(O93*($E93/365))</f>
        <v>25</v>
      </c>
      <c r="T170" s="8">
        <f>(P92*($E92/365))+(P93*($E93/365))</f>
        <v>31.7</v>
      </c>
      <c r="U170" s="8">
        <f>(Q92*($E92/365))+(Q93*($E93/365))</f>
        <v>0</v>
      </c>
      <c r="V170" s="7"/>
      <c r="W170" s="7">
        <f t="shared" si="14"/>
        <v>56.7</v>
      </c>
    </row>
    <row r="171" spans="1:23" x14ac:dyDescent="0.15">
      <c r="A171" s="1">
        <v>2003</v>
      </c>
      <c r="B171" s="8">
        <f>(K94*($E94/365))+(K95*($E95/365))</f>
        <v>50</v>
      </c>
      <c r="C171" s="8">
        <f>(L94*($E94/365))+(L95*($E95/365))</f>
        <v>50</v>
      </c>
      <c r="D171" s="8">
        <f>(M94*($E94/365))+(M95*($E95/365))</f>
        <v>0</v>
      </c>
      <c r="E171" s="48">
        <f t="shared" si="12"/>
        <v>100</v>
      </c>
      <c r="G171" s="1">
        <v>2003</v>
      </c>
      <c r="H171" s="809">
        <f>(O94/$R94*100*($E94/365))+(O95/$R95*100*($E95/365))</f>
        <v>44.091710758377424</v>
      </c>
      <c r="I171" s="809"/>
      <c r="J171" s="809">
        <f>(P94/$R94*100*($E94/365))+(P95/$R95*100*($E95/365))</f>
        <v>55.908289241622569</v>
      </c>
      <c r="K171" s="809"/>
      <c r="L171" s="809">
        <f>(Q94/$R94*100*($E94/365))+(Q95/$R95*100*($E95/365))</f>
        <v>0</v>
      </c>
      <c r="M171" s="809"/>
      <c r="N171" s="781">
        <f t="shared" si="13"/>
        <v>100</v>
      </c>
      <c r="O171" s="781"/>
      <c r="R171" s="1">
        <v>2003</v>
      </c>
      <c r="S171" s="8">
        <f>(O94*($E94/365))+(O95*($E95/365))</f>
        <v>25</v>
      </c>
      <c r="T171" s="8">
        <f>(P94*($E94/365))+(P95*($E95/365))</f>
        <v>31.7</v>
      </c>
      <c r="U171" s="8">
        <f>(Q94*($E94/365))+(Q95*($E95/365))</f>
        <v>0</v>
      </c>
      <c r="V171" s="7"/>
      <c r="W171" s="7">
        <f t="shared" si="14"/>
        <v>56.7</v>
      </c>
    </row>
    <row r="172" spans="1:23" x14ac:dyDescent="0.15">
      <c r="A172" s="1">
        <v>2004</v>
      </c>
      <c r="B172" s="8">
        <f>(K96*($E96/366))+(K97*($E97/366))</f>
        <v>28.961748633879779</v>
      </c>
      <c r="C172" s="8">
        <f>(L96*($E96/366))+(L97*($E97/366))</f>
        <v>54.207650273224047</v>
      </c>
      <c r="D172" s="8">
        <f>(M96*($E96/366))+(M97*($E97/366))</f>
        <v>16.830601092896174</v>
      </c>
      <c r="E172" s="48">
        <f t="shared" si="12"/>
        <v>100</v>
      </c>
      <c r="G172" s="1">
        <v>2004</v>
      </c>
      <c r="H172" s="809">
        <f>(O96/$R96*100*($E96/366))+(O97/$R97*100*($E97/366))</f>
        <v>25.539460876437197</v>
      </c>
      <c r="I172" s="809"/>
      <c r="J172" s="809">
        <f>(P96/$R96*100*($E96/366))+(P97/$R97*100*($E97/366))</f>
        <v>58.972663710273665</v>
      </c>
      <c r="K172" s="809"/>
      <c r="L172" s="809">
        <f>(Q96/$R96*100*($E96/366))+(Q97/$R97*100*($E97/366))</f>
        <v>15.487875413289137</v>
      </c>
      <c r="M172" s="809"/>
      <c r="N172" s="781">
        <f t="shared" si="13"/>
        <v>99.999999999999986</v>
      </c>
      <c r="O172" s="781"/>
      <c r="R172" s="1">
        <v>2004</v>
      </c>
      <c r="S172" s="8">
        <f>(O96*($E96/366))+(O97*($E97/366))</f>
        <v>14.480874316939889</v>
      </c>
      <c r="T172" s="8">
        <f>(P96*($E96/366))+(P97*($E97/366))</f>
        <v>35.192349726775959</v>
      </c>
      <c r="U172" s="8">
        <f>(Q96*($E96/366))+(Q97*($E97/366))</f>
        <v>9.8038251366120228</v>
      </c>
      <c r="V172" s="7"/>
      <c r="W172" s="7">
        <f t="shared" si="14"/>
        <v>59.477049180327867</v>
      </c>
    </row>
    <row r="173" spans="1:23" x14ac:dyDescent="0.15">
      <c r="A173" s="1">
        <v>2005</v>
      </c>
      <c r="B173" s="8">
        <f>(K98*($E98/365))+(K99*($E99/365))</f>
        <v>0</v>
      </c>
      <c r="C173" s="8">
        <f>(L98*($E98/365))+(L99*($E99/365))</f>
        <v>60</v>
      </c>
      <c r="D173" s="8">
        <f>(M98*($E98/365))+(M99*($E99/365))</f>
        <v>40</v>
      </c>
      <c r="E173" s="48">
        <f t="shared" si="12"/>
        <v>100</v>
      </c>
      <c r="G173" s="1">
        <v>2005</v>
      </c>
      <c r="H173" s="809">
        <f>(O98/$R98*100*($E98/365))+(O99/$R99*100*($E99/365))</f>
        <v>0</v>
      </c>
      <c r="I173" s="809"/>
      <c r="J173" s="809">
        <f>(P98/$R98*100*($E98/365))+(P99/$R99*100*($E99/365))</f>
        <v>63.191153238546605</v>
      </c>
      <c r="K173" s="809"/>
      <c r="L173" s="809">
        <f>(Q98/$R98*100*($E98/365))+(Q99/$R99*100*($E99/365))</f>
        <v>36.808846761453403</v>
      </c>
      <c r="M173" s="809"/>
      <c r="N173" s="781">
        <f t="shared" si="13"/>
        <v>100</v>
      </c>
      <c r="O173" s="781"/>
      <c r="R173" s="1">
        <v>2005</v>
      </c>
      <c r="S173" s="8">
        <f>(O98*($E98/365))+(O99*($E99/365))</f>
        <v>0</v>
      </c>
      <c r="T173" s="8">
        <f>(P98*($E98/365))+(P99*($E99/365))</f>
        <v>40</v>
      </c>
      <c r="U173" s="8">
        <f>(Q98*($E98/365))+(Q99*($E99/365))</f>
        <v>23.3</v>
      </c>
      <c r="V173" s="7"/>
      <c r="W173" s="7">
        <f t="shared" si="14"/>
        <v>63.3</v>
      </c>
    </row>
    <row r="174" spans="1:23" x14ac:dyDescent="0.15">
      <c r="A174" s="1">
        <v>2006</v>
      </c>
      <c r="B174" s="8">
        <f>(K100*($E100/365))+(K101*($E101/365))</f>
        <v>0</v>
      </c>
      <c r="C174" s="8">
        <f>(L100*($E100/365))+(L101*($E101/365))</f>
        <v>60</v>
      </c>
      <c r="D174" s="8">
        <f>(M100*($E100/365))+(M101*($E101/365))</f>
        <v>40</v>
      </c>
      <c r="E174" s="48">
        <f t="shared" si="12"/>
        <v>100</v>
      </c>
      <c r="G174" s="1">
        <v>2006</v>
      </c>
      <c r="H174" s="809">
        <f>(O100/$R100*100*($E100/365))+(O101/$R101*100*($E101/365))</f>
        <v>0</v>
      </c>
      <c r="I174" s="809"/>
      <c r="J174" s="809">
        <f>(P100/$R100*100*($E100/365))+(P101/$R101*100*($E101/365))</f>
        <v>63.191153238546605</v>
      </c>
      <c r="K174" s="809"/>
      <c r="L174" s="809">
        <f>(Q100/$R100*100*($E100/365))+(Q101/$R101*100*($E101/365))</f>
        <v>36.808846761453403</v>
      </c>
      <c r="M174" s="809"/>
      <c r="N174" s="781">
        <f t="shared" si="13"/>
        <v>100</v>
      </c>
      <c r="O174" s="781"/>
      <c r="R174" s="1">
        <v>2006</v>
      </c>
      <c r="S174" s="8">
        <f>(O100*($E100/365))+(O101*($E101/365))</f>
        <v>0</v>
      </c>
      <c r="T174" s="8">
        <f>(P100*($E100/365))+(P101*($E101/365))</f>
        <v>40</v>
      </c>
      <c r="U174" s="8">
        <f>(Q100*($E100/365))+(Q101*($E101/365))</f>
        <v>23.3</v>
      </c>
      <c r="V174" s="7"/>
      <c r="W174" s="7">
        <f t="shared" si="14"/>
        <v>63.3</v>
      </c>
    </row>
    <row r="175" spans="1:23" x14ac:dyDescent="0.15">
      <c r="A175" s="1">
        <v>2007</v>
      </c>
      <c r="B175" s="8">
        <f>(K102*($E102/365))+(K103*($E103/365))</f>
        <v>0</v>
      </c>
      <c r="C175" s="8">
        <f>(L102*($E102/365))+(L103*($E103/365))</f>
        <v>60</v>
      </c>
      <c r="D175" s="8">
        <f>(M102*($E102/365))+(M103*($E103/365))</f>
        <v>40</v>
      </c>
      <c r="E175" s="48">
        <f t="shared" si="12"/>
        <v>100</v>
      </c>
      <c r="G175" s="1">
        <v>2007</v>
      </c>
      <c r="H175" s="809">
        <f>(O102/$R102*100*($E102/365))+(O103/$R103*100*($E103/365))</f>
        <v>0</v>
      </c>
      <c r="I175" s="809"/>
      <c r="J175" s="809">
        <f>(P102/$R102*100*($E102/365))+(P103/$R103*100*($E103/365))</f>
        <v>63.191153238546605</v>
      </c>
      <c r="K175" s="809"/>
      <c r="L175" s="809">
        <f>(Q102/$R102*100*($E102/365))+(Q103/$R103*100*($E103/365))</f>
        <v>36.808846761453403</v>
      </c>
      <c r="M175" s="809"/>
      <c r="N175" s="781">
        <f t="shared" si="13"/>
        <v>100</v>
      </c>
      <c r="O175" s="781"/>
      <c r="R175" s="1">
        <v>2007</v>
      </c>
      <c r="S175" s="8">
        <f>(O102*($E102/365))+(O103*($E103/365))</f>
        <v>0</v>
      </c>
      <c r="T175" s="8">
        <f>(P102*($E102/365))+(P103*($E103/365))</f>
        <v>40</v>
      </c>
      <c r="U175" s="8">
        <f>(Q102*($E102/365))+(Q103*($E103/365))</f>
        <v>23.3</v>
      </c>
      <c r="V175" s="7"/>
      <c r="W175" s="7">
        <f t="shared" si="14"/>
        <v>63.3</v>
      </c>
    </row>
    <row r="176" spans="1:23" x14ac:dyDescent="0.15">
      <c r="A176" s="1">
        <v>2008</v>
      </c>
      <c r="B176" s="8">
        <f>(K104*($E104/366))+(K105*($E105/366))</f>
        <v>0</v>
      </c>
      <c r="C176" s="8">
        <f>(L104*($E104/366))+(L105*($E105/366))</f>
        <v>60</v>
      </c>
      <c r="D176" s="8">
        <f>(M104*($E104/366))+(M105*($E105/366))</f>
        <v>40</v>
      </c>
      <c r="E176" s="48">
        <f t="shared" si="12"/>
        <v>100</v>
      </c>
      <c r="G176" s="1">
        <v>2008</v>
      </c>
      <c r="H176" s="809">
        <f>(O104/$R104*100*($E104/366))+(O105/$R105*100*($E105/366))</f>
        <v>0</v>
      </c>
      <c r="I176" s="809"/>
      <c r="J176" s="809">
        <f>(P104/$R104*100*($E104/366))+(P105/$R105*100*($E105/366))</f>
        <v>63.191153238546605</v>
      </c>
      <c r="K176" s="809"/>
      <c r="L176" s="809">
        <f>(Q104/$R104*100*($E104/366))+(Q105/$R105*100*($E105/366))</f>
        <v>36.808846761453403</v>
      </c>
      <c r="M176" s="809"/>
      <c r="N176" s="781">
        <f t="shared" si="13"/>
        <v>100</v>
      </c>
      <c r="O176" s="781"/>
      <c r="R176" s="1">
        <v>2008</v>
      </c>
      <c r="S176" s="8">
        <f>(O104*($E104/366))+(O105*($E105/366))</f>
        <v>0</v>
      </c>
      <c r="T176" s="8">
        <f>(P104*($E104/366))+(P105*($E105/366))</f>
        <v>40</v>
      </c>
      <c r="U176" s="8">
        <f>(Q104*($E104/366))+(Q105*($E105/366))</f>
        <v>23.3</v>
      </c>
      <c r="V176" s="7"/>
      <c r="W176" s="7">
        <f t="shared" si="14"/>
        <v>63.3</v>
      </c>
    </row>
    <row r="177" spans="1:23" x14ac:dyDescent="0.15">
      <c r="A177" s="1">
        <v>2009</v>
      </c>
      <c r="B177" s="8">
        <f>(K106*($E106/365))+(K107*($E107/365))</f>
        <v>0</v>
      </c>
      <c r="C177" s="8">
        <f>(L106*($E106/365))+(L107*($E107/365))</f>
        <v>60</v>
      </c>
      <c r="D177" s="8">
        <f>(M106*($E106/365))+(M107*($E107/365))</f>
        <v>40</v>
      </c>
      <c r="E177" s="48">
        <f t="shared" si="12"/>
        <v>100</v>
      </c>
      <c r="G177" s="1">
        <v>2009</v>
      </c>
      <c r="H177" s="809">
        <f>(O106/$R106*100*($E106/365))+(O107/$R107*100*($E107/365))</f>
        <v>0</v>
      </c>
      <c r="I177" s="809"/>
      <c r="J177" s="809">
        <f>(P106/$R106*100*($E106/365))+(P107/$R107*100*($E107/365))</f>
        <v>64.710949082513068</v>
      </c>
      <c r="K177" s="809"/>
      <c r="L177" s="809">
        <f>(Q106/$R106*100*($E106/365))+(Q107/$R107*100*($E107/365))</f>
        <v>35.289050917486946</v>
      </c>
      <c r="M177" s="809"/>
      <c r="N177" s="781">
        <f t="shared" si="13"/>
        <v>100.00000000000001</v>
      </c>
      <c r="O177" s="781"/>
      <c r="R177" s="1">
        <v>2009</v>
      </c>
      <c r="S177" s="8">
        <f>(O106*($E106/365))+(O107*($E107/365))</f>
        <v>0</v>
      </c>
      <c r="T177" s="8">
        <f>(P106*($E106/365))+(P107*($E107/365))</f>
        <v>41.46465753424657</v>
      </c>
      <c r="U177" s="8">
        <f>(Q106*($E106/365))+(Q107*($E107/365))</f>
        <v>22.589863013698633</v>
      </c>
      <c r="V177" s="7"/>
      <c r="W177" s="7">
        <f t="shared" si="14"/>
        <v>64.054520547945202</v>
      </c>
    </row>
    <row r="178" spans="1:23" x14ac:dyDescent="0.15">
      <c r="A178" s="1">
        <v>2010</v>
      </c>
      <c r="B178" s="8">
        <f>(K108*($E108/365))+(K109*($E109/365))</f>
        <v>0</v>
      </c>
      <c r="C178" s="8">
        <f>(L108*($E108/365))+(L109*($E109/365))</f>
        <v>60</v>
      </c>
      <c r="D178" s="8">
        <f>(M108*($E108/365))+(M109*($E109/365))</f>
        <v>40</v>
      </c>
      <c r="E178" s="48">
        <f t="shared" si="12"/>
        <v>100</v>
      </c>
      <c r="G178" s="1">
        <v>2010</v>
      </c>
      <c r="H178" s="809">
        <f>(O108/$R108*100*($E108/365))+(O109/$R109*100*($E109/365))</f>
        <v>0</v>
      </c>
      <c r="I178" s="809"/>
      <c r="J178" s="809">
        <f>(P108/$R108*100*($E108/365))+(P109/$R109*100*($E109/365))</f>
        <v>66.615384615384613</v>
      </c>
      <c r="K178" s="809"/>
      <c r="L178" s="809">
        <f>(Q108/$R108*100*($E108/365))+(Q109/$R109*100*($E109/365))</f>
        <v>33.384615384615387</v>
      </c>
      <c r="M178" s="809"/>
      <c r="N178" s="781">
        <f t="shared" si="13"/>
        <v>100</v>
      </c>
      <c r="O178" s="781"/>
      <c r="R178" s="1">
        <v>2010</v>
      </c>
      <c r="S178" s="8">
        <f>(O108*($E108/365))+(O109*($E109/365))</f>
        <v>0</v>
      </c>
      <c r="T178" s="8">
        <f>(P108*($E108/365))+(P109*($E109/365))</f>
        <v>43.3</v>
      </c>
      <c r="U178" s="8">
        <f>(Q108*($E108/365))+(Q109*($E109/365))</f>
        <v>21.7</v>
      </c>
      <c r="V178" s="7"/>
      <c r="W178" s="7">
        <f t="shared" si="14"/>
        <v>65</v>
      </c>
    </row>
    <row r="179" spans="1:23" x14ac:dyDescent="0.15">
      <c r="A179" s="1">
        <v>2011</v>
      </c>
      <c r="B179" s="8">
        <f>(K110*($E110/365))+(K111*($E111/365))</f>
        <v>0</v>
      </c>
      <c r="C179" s="8">
        <f>(L110*($E110/365))+(L111*($E111/365))</f>
        <v>60</v>
      </c>
      <c r="D179" s="8">
        <f>(M110*($E110/365))+(M111*($E111/365))</f>
        <v>40</v>
      </c>
      <c r="E179" s="48">
        <f t="shared" si="12"/>
        <v>100</v>
      </c>
      <c r="G179" s="1">
        <v>2011</v>
      </c>
      <c r="H179" s="809">
        <f>(O110/$R110*100*($E110/365))+(O111/$R111*100*($E111/365))</f>
        <v>0</v>
      </c>
      <c r="I179" s="809"/>
      <c r="J179" s="809">
        <f>(P110/$R110*100*($E110/365))+(P111/$R111*100*($E111/365))</f>
        <v>66.615384615384613</v>
      </c>
      <c r="K179" s="809"/>
      <c r="L179" s="809">
        <f>(Q110/$R110*100*($E110/365))+(Q111/$R111*100*($E111/365))</f>
        <v>33.384615384615387</v>
      </c>
      <c r="M179" s="809"/>
      <c r="N179" s="781">
        <f t="shared" si="13"/>
        <v>100</v>
      </c>
      <c r="O179" s="781"/>
      <c r="R179" s="1">
        <v>2011</v>
      </c>
      <c r="S179" s="8">
        <f>(O110*($E110/365))+(O111*($E111/365))</f>
        <v>0</v>
      </c>
      <c r="T179" s="8">
        <f>(P110*($E110/365))+(P111*($E111/365))</f>
        <v>43.3</v>
      </c>
      <c r="U179" s="8">
        <f>(Q110*($E110/365))+(Q111*($E111/365))</f>
        <v>21.7</v>
      </c>
      <c r="V179" s="7"/>
      <c r="W179" s="7">
        <f t="shared" si="14"/>
        <v>65</v>
      </c>
    </row>
    <row r="180" spans="1:23" x14ac:dyDescent="0.15">
      <c r="A180" s="1">
        <v>2012</v>
      </c>
      <c r="B180" s="8">
        <f>(K112*($E112/366))+(K113*($E113/366))</f>
        <v>0</v>
      </c>
      <c r="C180" s="8">
        <f>(L112*($E112/366))+(L113*($E113/366))</f>
        <v>60</v>
      </c>
      <c r="D180" s="8">
        <f>(M112*($E112/366))+(M113*($E113/366))</f>
        <v>40</v>
      </c>
      <c r="E180" s="48">
        <f t="shared" si="12"/>
        <v>100</v>
      </c>
      <c r="G180" s="1">
        <v>2012</v>
      </c>
      <c r="H180" s="809">
        <f>(O112/$R112*100*($E112/366))+(O113/$R113*100*($E113/366))</f>
        <v>0</v>
      </c>
      <c r="I180" s="809"/>
      <c r="J180" s="809">
        <f>(P112/$R112*100*($E112/366))+(P113/$R113*100*($E113/366))</f>
        <v>66.615384615384613</v>
      </c>
      <c r="K180" s="809"/>
      <c r="L180" s="809">
        <f>(Q112/$R112*100*($E112/366))+(Q113/$R113*100*($E113/366))</f>
        <v>33.384615384615387</v>
      </c>
      <c r="M180" s="809"/>
      <c r="N180" s="781">
        <f t="shared" si="13"/>
        <v>100</v>
      </c>
      <c r="O180" s="781"/>
      <c r="R180" s="1">
        <v>2012</v>
      </c>
      <c r="S180" s="8">
        <f>(O112*($E112/366))+(O113*($E113/366))</f>
        <v>0</v>
      </c>
      <c r="T180" s="8">
        <f>(P112*($E112/366))+(P113*($E113/366))</f>
        <v>43.3</v>
      </c>
      <c r="U180" s="8">
        <f>(Q112*($E112/366))+(Q113*($E113/366))</f>
        <v>21.7</v>
      </c>
      <c r="V180" s="7"/>
      <c r="W180" s="7">
        <f t="shared" si="14"/>
        <v>65</v>
      </c>
    </row>
    <row r="181" spans="1:23" x14ac:dyDescent="0.15">
      <c r="A181" s="1">
        <v>2013</v>
      </c>
      <c r="B181" s="8">
        <f>(K114*($E114/365))+(K115*($E115/365))</f>
        <v>2.9832572298325726</v>
      </c>
      <c r="C181" s="8">
        <f>(L114*($E114/365))+(L115*($E115/365))</f>
        <v>55.397260273972599</v>
      </c>
      <c r="D181" s="8">
        <f>(M114*($E114/365))+(M115*($E115/365))</f>
        <v>41.619482496194827</v>
      </c>
      <c r="E181" s="304">
        <f t="shared" si="12"/>
        <v>100</v>
      </c>
      <c r="G181" s="1">
        <v>2013</v>
      </c>
      <c r="H181" s="809">
        <f>(O114/$R114*100*($E114/365))+(O115/$R115*100*($E115/365))</f>
        <v>3.1173362064542611</v>
      </c>
      <c r="I181" s="809"/>
      <c r="J181" s="809">
        <f>(P114/$R114*100*($E114/365))+(P115/$R115*100*($E115/365))</f>
        <v>61.50516332982086</v>
      </c>
      <c r="K181" s="809"/>
      <c r="L181" s="809">
        <f>(Q114/$R114*100*($E114/365))+(Q115/$R115*100*($E115/365))</f>
        <v>35.377500463724878</v>
      </c>
      <c r="M181" s="809"/>
      <c r="N181" s="781">
        <f>H181+J181+L181</f>
        <v>100</v>
      </c>
      <c r="O181" s="781"/>
      <c r="R181" s="1">
        <v>2013</v>
      </c>
      <c r="S181" s="8">
        <f>(O114*($E114/365))+(O115*($E115/365))</f>
        <v>1.6646575342465755</v>
      </c>
      <c r="T181" s="8">
        <f>(P114*($E114/365))+(P115*($E115/365))</f>
        <v>39.978356164383555</v>
      </c>
      <c r="U181" s="8">
        <f>(Q114*($E114/365))+(Q115*($E115/365))</f>
        <v>22.467123287671232</v>
      </c>
      <c r="W181" s="7">
        <f t="shared" si="14"/>
        <v>64.110136986301356</v>
      </c>
    </row>
    <row r="182" spans="1:23" x14ac:dyDescent="0.15">
      <c r="A182" s="1">
        <v>2014</v>
      </c>
      <c r="B182" s="8">
        <f>(K116*($E116/365))+(K117*($E117/365))</f>
        <v>38.888888888888893</v>
      </c>
      <c r="C182" s="8">
        <f>(L116*($E116/365))+(L117*($E117/365))</f>
        <v>0</v>
      </c>
      <c r="D182" s="8">
        <f>(M116*($E116/365))+(M117*($E117/365))</f>
        <v>61.111111111111114</v>
      </c>
      <c r="E182" s="559">
        <f>B182+C182+D182</f>
        <v>100</v>
      </c>
      <c r="G182" s="1">
        <v>2014</v>
      </c>
      <c r="H182" s="809">
        <f>(O116/$R116*100*($E116/365))+(O117/$R117*100*($E117/365))</f>
        <v>40.636704119850187</v>
      </c>
      <c r="I182" s="809"/>
      <c r="J182" s="809">
        <f>(P116/$R116*100*($E116/365))+(P117/$R117*100*($E117/365))</f>
        <v>0</v>
      </c>
      <c r="K182" s="809"/>
      <c r="L182" s="809">
        <f>(Q116/$R116*100*($E116/365))+(Q117/$R117*100*($E117/365))</f>
        <v>59.363295880149813</v>
      </c>
      <c r="M182" s="809"/>
      <c r="N182" s="781">
        <f>H182+J182+L182</f>
        <v>100</v>
      </c>
      <c r="O182" s="781"/>
      <c r="R182" s="1">
        <v>2014</v>
      </c>
      <c r="S182" s="8">
        <f>(O116*($E116/365))+(O117*($E117/365))</f>
        <v>21.7</v>
      </c>
      <c r="T182" s="8">
        <f>(P116*($E116/365))+(P117*($E117/365))</f>
        <v>0</v>
      </c>
      <c r="U182" s="8">
        <f>(Q116*($E116/365))+(Q117*($E117/365))</f>
        <v>31.7</v>
      </c>
      <c r="W182" s="7">
        <f>S182+T182+U182</f>
        <v>53.4</v>
      </c>
    </row>
    <row r="183" spans="1:23" s="745" customFormat="1" x14ac:dyDescent="0.15">
      <c r="A183" s="745">
        <v>2015</v>
      </c>
      <c r="B183" s="739">
        <f>(K118*($E118/365))+(K119*($E119/365))</f>
        <v>38.888888888888893</v>
      </c>
      <c r="C183" s="739">
        <f>(L118*($E118/365))+(L119*($E119/365))</f>
        <v>0</v>
      </c>
      <c r="D183" s="739">
        <f>(M118*($E118/365))+(M119*($E119/365))</f>
        <v>61.111111111111114</v>
      </c>
      <c r="E183" s="740">
        <f>B183+C183+D183</f>
        <v>100</v>
      </c>
      <c r="G183" s="745">
        <v>2015</v>
      </c>
      <c r="H183" s="809">
        <f>(O118/$R118*100*($E118/365))+(O119/$R119*100*($E119/365))</f>
        <v>40.636704119850187</v>
      </c>
      <c r="I183" s="809"/>
      <c r="J183" s="809">
        <f>(P118/$R118*100*($E118/365))+(P119/$R119*100*($E119/365))</f>
        <v>0</v>
      </c>
      <c r="K183" s="809"/>
      <c r="L183" s="809">
        <f>(Q118/$R118*100*($E118/365))+(Q119/$R119*100*($E119/365))</f>
        <v>59.363295880149813</v>
      </c>
      <c r="M183" s="809"/>
      <c r="N183" s="781">
        <f>H183+J183+L183</f>
        <v>100</v>
      </c>
      <c r="O183" s="781"/>
      <c r="R183" s="745">
        <v>2015</v>
      </c>
      <c r="S183" s="739">
        <f>(O118*($E118/365))+(O119*($E119/365))</f>
        <v>21.7</v>
      </c>
      <c r="T183" s="739">
        <f>(P118*($E118/365))+(P119*($E119/365))</f>
        <v>0</v>
      </c>
      <c r="U183" s="739">
        <f>(Q118*($E118/365))+(Q119*($E119/365))</f>
        <v>31.7</v>
      </c>
      <c r="W183" s="744">
        <f>S183+T183+U183</f>
        <v>53.4</v>
      </c>
    </row>
    <row r="184" spans="1:23" s="745" customFormat="1" x14ac:dyDescent="0.15"/>
  </sheetData>
  <mergeCells count="368">
    <mergeCell ref="AT4:AW4"/>
    <mergeCell ref="AX4:BA4"/>
    <mergeCell ref="H180:I180"/>
    <mergeCell ref="N180:O180"/>
    <mergeCell ref="N174:O174"/>
    <mergeCell ref="N175:O175"/>
    <mergeCell ref="N176:O176"/>
    <mergeCell ref="N177:O177"/>
    <mergeCell ref="N178:O178"/>
    <mergeCell ref="N179:O179"/>
    <mergeCell ref="L177:M177"/>
    <mergeCell ref="L178:M178"/>
    <mergeCell ref="N168:O168"/>
    <mergeCell ref="N169:O169"/>
    <mergeCell ref="N170:O170"/>
    <mergeCell ref="N171:O171"/>
    <mergeCell ref="N172:O172"/>
    <mergeCell ref="N173:O173"/>
    <mergeCell ref="L173:M173"/>
    <mergeCell ref="L174:M174"/>
    <mergeCell ref="N162:O162"/>
    <mergeCell ref="N163:O163"/>
    <mergeCell ref="N164:O164"/>
    <mergeCell ref="N165:O165"/>
    <mergeCell ref="N166:O166"/>
    <mergeCell ref="N167:O167"/>
    <mergeCell ref="L179:M179"/>
    <mergeCell ref="L180:M180"/>
    <mergeCell ref="N156:O156"/>
    <mergeCell ref="N157:O157"/>
    <mergeCell ref="N158:O158"/>
    <mergeCell ref="N159:O159"/>
    <mergeCell ref="N160:O160"/>
    <mergeCell ref="N161:O161"/>
    <mergeCell ref="L171:M171"/>
    <mergeCell ref="L172:M172"/>
    <mergeCell ref="L175:M175"/>
    <mergeCell ref="L176:M176"/>
    <mergeCell ref="L165:M165"/>
    <mergeCell ref="L166:M166"/>
    <mergeCell ref="L167:M167"/>
    <mergeCell ref="L168:M168"/>
    <mergeCell ref="L169:M169"/>
    <mergeCell ref="L170:M170"/>
    <mergeCell ref="J180:K180"/>
    <mergeCell ref="L156:M156"/>
    <mergeCell ref="L157:M157"/>
    <mergeCell ref="L158:M158"/>
    <mergeCell ref="L159:M159"/>
    <mergeCell ref="L160:M160"/>
    <mergeCell ref="L161:M161"/>
    <mergeCell ref="L162:M162"/>
    <mergeCell ref="L163:M163"/>
    <mergeCell ref="L164:M164"/>
    <mergeCell ref="J174:K174"/>
    <mergeCell ref="J175:K175"/>
    <mergeCell ref="J176:K176"/>
    <mergeCell ref="J177:K177"/>
    <mergeCell ref="J178:K178"/>
    <mergeCell ref="J179:K179"/>
    <mergeCell ref="J168:K168"/>
    <mergeCell ref="J169:K169"/>
    <mergeCell ref="J170:K170"/>
    <mergeCell ref="J171:K171"/>
    <mergeCell ref="J172:K172"/>
    <mergeCell ref="J173:K173"/>
    <mergeCell ref="J162:K162"/>
    <mergeCell ref="J163:K163"/>
    <mergeCell ref="J164:K164"/>
    <mergeCell ref="J165:K165"/>
    <mergeCell ref="J166:K166"/>
    <mergeCell ref="J167:K167"/>
    <mergeCell ref="J156:K156"/>
    <mergeCell ref="J157:K157"/>
    <mergeCell ref="J158:K158"/>
    <mergeCell ref="J159:K159"/>
    <mergeCell ref="J160:K160"/>
    <mergeCell ref="J161:K161"/>
    <mergeCell ref="H174:I174"/>
    <mergeCell ref="H175:I175"/>
    <mergeCell ref="H176:I176"/>
    <mergeCell ref="H177:I177"/>
    <mergeCell ref="H178:I178"/>
    <mergeCell ref="H179:I179"/>
    <mergeCell ref="H168:I168"/>
    <mergeCell ref="H169:I169"/>
    <mergeCell ref="H170:I170"/>
    <mergeCell ref="H171:I171"/>
    <mergeCell ref="H172:I172"/>
    <mergeCell ref="H173:I173"/>
    <mergeCell ref="H162:I162"/>
    <mergeCell ref="H163:I163"/>
    <mergeCell ref="H164:I164"/>
    <mergeCell ref="H165:I165"/>
    <mergeCell ref="H166:I166"/>
    <mergeCell ref="H167:I167"/>
    <mergeCell ref="H156:I156"/>
    <mergeCell ref="H157:I157"/>
    <mergeCell ref="H158:I158"/>
    <mergeCell ref="H159:I159"/>
    <mergeCell ref="H160:I160"/>
    <mergeCell ref="H161:I161"/>
    <mergeCell ref="H154:I154"/>
    <mergeCell ref="J154:K154"/>
    <mergeCell ref="L154:M154"/>
    <mergeCell ref="N154:O154"/>
    <mergeCell ref="H155:I155"/>
    <mergeCell ref="J155:K155"/>
    <mergeCell ref="L155:M155"/>
    <mergeCell ref="N155:O155"/>
    <mergeCell ref="H152:I152"/>
    <mergeCell ref="J152:K152"/>
    <mergeCell ref="L152:M152"/>
    <mergeCell ref="N152:O152"/>
    <mergeCell ref="H153:I153"/>
    <mergeCell ref="J153:K153"/>
    <mergeCell ref="L153:M153"/>
    <mergeCell ref="N153:O153"/>
    <mergeCell ref="H150:I150"/>
    <mergeCell ref="J150:K150"/>
    <mergeCell ref="L150:M150"/>
    <mergeCell ref="N150:O150"/>
    <mergeCell ref="H151:I151"/>
    <mergeCell ref="J151:K151"/>
    <mergeCell ref="L151:M151"/>
    <mergeCell ref="N151:O151"/>
    <mergeCell ref="H148:I148"/>
    <mergeCell ref="J148:K148"/>
    <mergeCell ref="L148:M148"/>
    <mergeCell ref="N148:O148"/>
    <mergeCell ref="H149:I149"/>
    <mergeCell ref="J149:K149"/>
    <mergeCell ref="L149:M149"/>
    <mergeCell ref="N149:O149"/>
    <mergeCell ref="H146:I146"/>
    <mergeCell ref="J146:K146"/>
    <mergeCell ref="L146:M146"/>
    <mergeCell ref="N146:O146"/>
    <mergeCell ref="H147:I147"/>
    <mergeCell ref="J147:K147"/>
    <mergeCell ref="L147:M147"/>
    <mergeCell ref="N147:O147"/>
    <mergeCell ref="H144:I144"/>
    <mergeCell ref="J144:K144"/>
    <mergeCell ref="L144:M144"/>
    <mergeCell ref="N144:O144"/>
    <mergeCell ref="H145:I145"/>
    <mergeCell ref="J145:K145"/>
    <mergeCell ref="L145:M145"/>
    <mergeCell ref="N145:O145"/>
    <mergeCell ref="N143:O143"/>
    <mergeCell ref="H140:I140"/>
    <mergeCell ref="J140:K140"/>
    <mergeCell ref="L140:M140"/>
    <mergeCell ref="N140:O140"/>
    <mergeCell ref="H141:I141"/>
    <mergeCell ref="J141:K141"/>
    <mergeCell ref="L141:M141"/>
    <mergeCell ref="N141:O141"/>
    <mergeCell ref="R124:W124"/>
    <mergeCell ref="H126:I126"/>
    <mergeCell ref="J126:K126"/>
    <mergeCell ref="L126:M126"/>
    <mergeCell ref="N126:O126"/>
    <mergeCell ref="H128:I128"/>
    <mergeCell ref="J128:K128"/>
    <mergeCell ref="L128:M128"/>
    <mergeCell ref="N128:O128"/>
    <mergeCell ref="H127:I127"/>
    <mergeCell ref="G3:M3"/>
    <mergeCell ref="O3:Q3"/>
    <mergeCell ref="C9:D9"/>
    <mergeCell ref="C10:D10"/>
    <mergeCell ref="A4:A5"/>
    <mergeCell ref="B4:B5"/>
    <mergeCell ref="C4:D5"/>
    <mergeCell ref="E4:E5"/>
    <mergeCell ref="F4:F5"/>
    <mergeCell ref="G4:J4"/>
    <mergeCell ref="C11:D11"/>
    <mergeCell ref="C12:D12"/>
    <mergeCell ref="Z4:AC4"/>
    <mergeCell ref="AD4:AG4"/>
    <mergeCell ref="AH4:AK4"/>
    <mergeCell ref="AL4:AO4"/>
    <mergeCell ref="U4:U5"/>
    <mergeCell ref="V4:Y4"/>
    <mergeCell ref="AP4:AS4"/>
    <mergeCell ref="C8:D8"/>
    <mergeCell ref="K4:N4"/>
    <mergeCell ref="O4:R4"/>
    <mergeCell ref="S4:S5"/>
    <mergeCell ref="T4:T5"/>
    <mergeCell ref="C7:D7"/>
    <mergeCell ref="C6:D6"/>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109:D109"/>
    <mergeCell ref="C97:D97"/>
    <mergeCell ref="C98:D98"/>
    <mergeCell ref="C99:D99"/>
    <mergeCell ref="C100:D100"/>
    <mergeCell ref="C101:D101"/>
    <mergeCell ref="C102:D102"/>
    <mergeCell ref="C110:D110"/>
    <mergeCell ref="C103:D103"/>
    <mergeCell ref="C104:D104"/>
    <mergeCell ref="C111:D111"/>
    <mergeCell ref="C112:D112"/>
    <mergeCell ref="C113:D113"/>
    <mergeCell ref="C105:D105"/>
    <mergeCell ref="C106:D106"/>
    <mergeCell ref="C107:D107"/>
    <mergeCell ref="C108:D108"/>
    <mergeCell ref="C114:D114"/>
    <mergeCell ref="C115:D115"/>
    <mergeCell ref="H181:I181"/>
    <mergeCell ref="J181:K181"/>
    <mergeCell ref="L181:M181"/>
    <mergeCell ref="J127:K127"/>
    <mergeCell ref="L127:M127"/>
    <mergeCell ref="H129:I129"/>
    <mergeCell ref="J129:K129"/>
    <mergeCell ref="L129:M129"/>
    <mergeCell ref="J130:K130"/>
    <mergeCell ref="L130:M130"/>
    <mergeCell ref="H131:I131"/>
    <mergeCell ref="J131:K131"/>
    <mergeCell ref="L131:M131"/>
    <mergeCell ref="H134:I134"/>
    <mergeCell ref="J134:K134"/>
    <mergeCell ref="L134:M134"/>
    <mergeCell ref="H135:I135"/>
    <mergeCell ref="J135:K135"/>
    <mergeCell ref="L135:M135"/>
    <mergeCell ref="H132:I132"/>
    <mergeCell ref="J132:K132"/>
    <mergeCell ref="L132:M132"/>
    <mergeCell ref="C116:D116"/>
    <mergeCell ref="C117:D117"/>
    <mergeCell ref="N181:O181"/>
    <mergeCell ref="N127:O127"/>
    <mergeCell ref="N129:O129"/>
    <mergeCell ref="H130:I130"/>
    <mergeCell ref="N130:O130"/>
    <mergeCell ref="N131:O131"/>
    <mergeCell ref="N134:O134"/>
    <mergeCell ref="N135:O135"/>
    <mergeCell ref="N132:O132"/>
    <mergeCell ref="H133:I133"/>
    <mergeCell ref="J133:K133"/>
    <mergeCell ref="L133:M133"/>
    <mergeCell ref="N133:O133"/>
    <mergeCell ref="H138:I138"/>
    <mergeCell ref="J138:K138"/>
    <mergeCell ref="L138:M138"/>
    <mergeCell ref="N138:O138"/>
    <mergeCell ref="H139:I139"/>
    <mergeCell ref="J139:K139"/>
    <mergeCell ref="L139:M139"/>
    <mergeCell ref="N139:O139"/>
    <mergeCell ref="H136:I136"/>
    <mergeCell ref="C118:D118"/>
    <mergeCell ref="C119:D119"/>
    <mergeCell ref="H183:I183"/>
    <mergeCell ref="J183:K183"/>
    <mergeCell ref="L183:M183"/>
    <mergeCell ref="N183:O183"/>
    <mergeCell ref="H182:I182"/>
    <mergeCell ref="J182:K182"/>
    <mergeCell ref="L182:M182"/>
    <mergeCell ref="N182:O182"/>
    <mergeCell ref="J136:K136"/>
    <mergeCell ref="L136:M136"/>
    <mergeCell ref="N136:O136"/>
    <mergeCell ref="H137:I137"/>
    <mergeCell ref="J137:K137"/>
    <mergeCell ref="L137:M137"/>
    <mergeCell ref="N137:O137"/>
    <mergeCell ref="H142:I142"/>
    <mergeCell ref="J142:K142"/>
    <mergeCell ref="L142:M142"/>
    <mergeCell ref="N142:O142"/>
    <mergeCell ref="H143:I143"/>
    <mergeCell ref="J143:K143"/>
    <mergeCell ref="L143:M143"/>
  </mergeCells>
  <phoneticPr fontId="0" type="noConversion"/>
  <pageMargins left="0.78740157499999996" right="0.78740157499999996" top="0.984251969" bottom="0.984251969" header="0.4921259845" footer="0.4921259845"/>
  <pageSetup paperSize="9" orientation="portrait" r:id="rId1"/>
  <headerFooter alignWithMargins="0"/>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63"/>
  <sheetViews>
    <sheetView zoomScale="120" zoomScaleNormal="120" workbookViewId="0">
      <pane xSplit="1" ySplit="5" topLeftCell="B75" activePane="bottomRight" state="frozen"/>
      <selection pane="topRight" activeCell="B1" sqref="B1"/>
      <selection pane="bottomLeft" activeCell="A6" sqref="A6"/>
      <selection pane="bottomRight" activeCell="B162" sqref="B162:C162"/>
    </sheetView>
  </sheetViews>
  <sheetFormatPr baseColWidth="10" defaultColWidth="10.7109375" defaultRowHeight="9" x14ac:dyDescent="0.15"/>
  <cols>
    <col min="1" max="1" width="5.85546875" style="1" customWidth="1"/>
    <col min="2" max="6" width="7.85546875" style="1" customWidth="1"/>
    <col min="7" max="18" width="4.5703125" style="1" customWidth="1"/>
    <col min="19" max="21" width="7.85546875" style="1" customWidth="1"/>
    <col min="22" max="53" width="5.7109375" style="1" customWidth="1"/>
    <col min="54" max="16384" width="10.7109375" style="1"/>
  </cols>
  <sheetData>
    <row r="1" spans="1:53" s="2" customFormat="1" ht="15" customHeight="1" x14ac:dyDescent="0.2">
      <c r="B1" s="22" t="s">
        <v>14</v>
      </c>
    </row>
    <row r="2" spans="1:53" s="2" customFormat="1" ht="15" customHeight="1" x14ac:dyDescent="0.2">
      <c r="B2" s="22" t="s">
        <v>62</v>
      </c>
    </row>
    <row r="3" spans="1:53" s="2" customFormat="1" x14ac:dyDescent="0.15">
      <c r="G3" s="814"/>
      <c r="H3" s="814"/>
      <c r="I3" s="814"/>
      <c r="J3" s="814"/>
      <c r="K3" s="814"/>
      <c r="L3" s="814"/>
      <c r="M3" s="814"/>
      <c r="O3" s="814"/>
      <c r="P3" s="814"/>
      <c r="Q3" s="814"/>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1" t="s">
        <v>23</v>
      </c>
      <c r="AU5" s="351" t="s">
        <v>24</v>
      </c>
      <c r="AV5" s="351" t="s">
        <v>25</v>
      </c>
      <c r="AW5" s="353" t="s">
        <v>1217</v>
      </c>
      <c r="AX5" s="351" t="s">
        <v>23</v>
      </c>
      <c r="AY5" s="351" t="s">
        <v>24</v>
      </c>
      <c r="AZ5" s="351" t="s">
        <v>25</v>
      </c>
      <c r="BA5" s="354" t="s">
        <v>1217</v>
      </c>
    </row>
    <row r="6" spans="1:53" s="16" customFormat="1" x14ac:dyDescent="0.15">
      <c r="A6" s="486">
        <v>1966</v>
      </c>
      <c r="B6" s="486"/>
      <c r="C6" s="812"/>
      <c r="D6" s="812"/>
      <c r="E6" s="486">
        <v>90</v>
      </c>
      <c r="F6" s="486"/>
      <c r="G6" s="497"/>
      <c r="H6" s="486"/>
      <c r="I6" s="486"/>
      <c r="J6" s="499"/>
      <c r="K6" s="495"/>
      <c r="L6" s="495"/>
      <c r="M6" s="495"/>
      <c r="N6" s="498"/>
      <c r="O6" s="494"/>
      <c r="P6" s="495"/>
      <c r="Q6" s="495"/>
      <c r="R6" s="496"/>
      <c r="S6" s="486"/>
      <c r="T6" s="487"/>
      <c r="U6" s="491"/>
      <c r="V6" s="488"/>
      <c r="W6" s="486"/>
      <c r="X6" s="486"/>
      <c r="Y6" s="503"/>
      <c r="Z6" s="486"/>
      <c r="AA6" s="486"/>
      <c r="AB6" s="486"/>
      <c r="AC6" s="486"/>
      <c r="AD6" s="488"/>
      <c r="AE6" s="486"/>
      <c r="AF6" s="486"/>
      <c r="AG6" s="489"/>
      <c r="AH6" s="486"/>
      <c r="AI6" s="486"/>
      <c r="AJ6" s="486"/>
      <c r="AK6" s="486"/>
      <c r="AL6" s="488"/>
      <c r="AM6" s="486"/>
      <c r="AN6" s="486"/>
      <c r="AO6" s="489"/>
      <c r="AP6" s="488"/>
      <c r="AQ6" s="486"/>
      <c r="AR6" s="486"/>
      <c r="AS6" s="489"/>
      <c r="AT6" s="486"/>
      <c r="AU6" s="486"/>
      <c r="AV6" s="486"/>
      <c r="AW6" s="489"/>
      <c r="AX6" s="486"/>
      <c r="AY6" s="486"/>
      <c r="AZ6" s="486"/>
      <c r="BA6" s="490"/>
    </row>
    <row r="7" spans="1:53" s="16" customFormat="1" x14ac:dyDescent="0.15">
      <c r="A7" s="470">
        <v>1966</v>
      </c>
      <c r="B7" s="475">
        <v>24198</v>
      </c>
      <c r="C7" s="811" t="s">
        <v>1291</v>
      </c>
      <c r="D7" s="811"/>
      <c r="E7" s="470">
        <f>365-E6</f>
        <v>275</v>
      </c>
      <c r="F7" s="470">
        <v>1</v>
      </c>
      <c r="G7" s="480"/>
      <c r="H7" s="470">
        <v>8</v>
      </c>
      <c r="I7" s="470"/>
      <c r="J7" s="482">
        <v>8</v>
      </c>
      <c r="K7" s="477">
        <f t="shared" ref="K7:K38" si="0">G7/J7*100</f>
        <v>0</v>
      </c>
      <c r="L7" s="477">
        <f t="shared" ref="L7:L38" si="1">H7/J7*100</f>
        <v>100</v>
      </c>
      <c r="M7" s="477">
        <f t="shared" ref="M7:M38" si="2">I7/J7*100</f>
        <v>0</v>
      </c>
      <c r="N7" s="481">
        <f t="shared" ref="N7:N38" si="3">K7+L7+M7</f>
        <v>100</v>
      </c>
      <c r="O7" s="476"/>
      <c r="P7" s="477">
        <v>56</v>
      </c>
      <c r="Q7" s="477"/>
      <c r="R7" s="478">
        <f t="shared" ref="R7:R38" si="4">O7+P7+Q7</f>
        <v>56</v>
      </c>
      <c r="S7" s="470">
        <v>1</v>
      </c>
      <c r="T7" s="479">
        <v>24194</v>
      </c>
      <c r="U7" s="475"/>
      <c r="V7" s="472" t="s">
        <v>1000</v>
      </c>
      <c r="W7" s="470" t="s">
        <v>17</v>
      </c>
      <c r="X7" s="470" t="s">
        <v>18</v>
      </c>
      <c r="Y7" s="485">
        <v>56</v>
      </c>
      <c r="Z7" s="470"/>
      <c r="AA7" s="470"/>
      <c r="AB7" s="470"/>
      <c r="AC7" s="470"/>
      <c r="AD7" s="472"/>
      <c r="AE7" s="470"/>
      <c r="AF7" s="470"/>
      <c r="AG7" s="473"/>
      <c r="AH7" s="470"/>
      <c r="AI7" s="470"/>
      <c r="AJ7" s="470"/>
      <c r="AK7" s="470"/>
      <c r="AL7" s="472"/>
      <c r="AM7" s="470"/>
      <c r="AN7" s="470"/>
      <c r="AO7" s="473"/>
      <c r="AP7" s="472"/>
      <c r="AQ7" s="470"/>
      <c r="AR7" s="470"/>
      <c r="AS7" s="473"/>
      <c r="AT7" s="470"/>
      <c r="AU7" s="470"/>
      <c r="AV7" s="470"/>
      <c r="AW7" s="473"/>
      <c r="AX7" s="470"/>
      <c r="AY7" s="470"/>
      <c r="AZ7" s="470"/>
      <c r="BA7" s="474"/>
    </row>
    <row r="8" spans="1:53" s="16" customFormat="1" x14ac:dyDescent="0.15">
      <c r="A8" s="470">
        <v>1967</v>
      </c>
      <c r="B8" s="475"/>
      <c r="C8" s="811" t="s">
        <v>1291</v>
      </c>
      <c r="D8" s="811"/>
      <c r="E8" s="470">
        <v>0</v>
      </c>
      <c r="F8" s="470"/>
      <c r="G8" s="480"/>
      <c r="H8" s="470">
        <v>8</v>
      </c>
      <c r="I8" s="470"/>
      <c r="J8" s="482">
        <v>8</v>
      </c>
      <c r="K8" s="477">
        <f t="shared" si="0"/>
        <v>0</v>
      </c>
      <c r="L8" s="477">
        <f t="shared" si="1"/>
        <v>100</v>
      </c>
      <c r="M8" s="477">
        <f t="shared" si="2"/>
        <v>0</v>
      </c>
      <c r="N8" s="481">
        <f t="shared" si="3"/>
        <v>100</v>
      </c>
      <c r="O8" s="476"/>
      <c r="P8" s="477">
        <v>56</v>
      </c>
      <c r="Q8" s="477"/>
      <c r="R8" s="478">
        <f t="shared" si="4"/>
        <v>56</v>
      </c>
      <c r="S8" s="470">
        <v>1</v>
      </c>
      <c r="T8" s="479"/>
      <c r="U8" s="475"/>
      <c r="V8" s="472" t="s">
        <v>1000</v>
      </c>
      <c r="W8" s="470" t="s">
        <v>17</v>
      </c>
      <c r="X8" s="470" t="s">
        <v>18</v>
      </c>
      <c r="Y8" s="485">
        <v>56</v>
      </c>
      <c r="Z8" s="470"/>
      <c r="AA8" s="470"/>
      <c r="AB8" s="470"/>
      <c r="AC8" s="470"/>
      <c r="AD8" s="472"/>
      <c r="AE8" s="470"/>
      <c r="AF8" s="470"/>
      <c r="AG8" s="473"/>
      <c r="AH8" s="470"/>
      <c r="AI8" s="470"/>
      <c r="AJ8" s="470"/>
      <c r="AK8" s="470"/>
      <c r="AL8" s="472"/>
      <c r="AM8" s="470"/>
      <c r="AN8" s="470"/>
      <c r="AO8" s="473"/>
      <c r="AP8" s="472"/>
      <c r="AQ8" s="470"/>
      <c r="AR8" s="470"/>
      <c r="AS8" s="473"/>
      <c r="AT8" s="470"/>
      <c r="AU8" s="470"/>
      <c r="AV8" s="470"/>
      <c r="AW8" s="473"/>
      <c r="AX8" s="470"/>
      <c r="AY8" s="470"/>
      <c r="AZ8" s="470"/>
      <c r="BA8" s="474"/>
    </row>
    <row r="9" spans="1:53" s="16" customFormat="1" x14ac:dyDescent="0.15">
      <c r="A9" s="470">
        <v>1967</v>
      </c>
      <c r="B9" s="475"/>
      <c r="C9" s="811" t="s">
        <v>1291</v>
      </c>
      <c r="D9" s="811"/>
      <c r="E9" s="470">
        <v>365</v>
      </c>
      <c r="F9" s="470"/>
      <c r="G9" s="480"/>
      <c r="H9" s="470">
        <v>8</v>
      </c>
      <c r="I9" s="470"/>
      <c r="J9" s="482">
        <v>8</v>
      </c>
      <c r="K9" s="477">
        <f t="shared" si="0"/>
        <v>0</v>
      </c>
      <c r="L9" s="477">
        <f t="shared" si="1"/>
        <v>100</v>
      </c>
      <c r="M9" s="477">
        <f t="shared" si="2"/>
        <v>0</v>
      </c>
      <c r="N9" s="481">
        <f t="shared" si="3"/>
        <v>100</v>
      </c>
      <c r="O9" s="476"/>
      <c r="P9" s="477">
        <v>56</v>
      </c>
      <c r="Q9" s="477"/>
      <c r="R9" s="478">
        <f t="shared" si="4"/>
        <v>56</v>
      </c>
      <c r="S9" s="470">
        <v>1</v>
      </c>
      <c r="T9" s="479"/>
      <c r="U9" s="475"/>
      <c r="V9" s="472" t="s">
        <v>1000</v>
      </c>
      <c r="W9" s="470" t="s">
        <v>17</v>
      </c>
      <c r="X9" s="470" t="s">
        <v>18</v>
      </c>
      <c r="Y9" s="485">
        <v>56</v>
      </c>
      <c r="Z9" s="470"/>
      <c r="AA9" s="470"/>
      <c r="AB9" s="470"/>
      <c r="AC9" s="470"/>
      <c r="AD9" s="472"/>
      <c r="AE9" s="470"/>
      <c r="AF9" s="470"/>
      <c r="AG9" s="473"/>
      <c r="AH9" s="470"/>
      <c r="AI9" s="470"/>
      <c r="AJ9" s="470"/>
      <c r="AK9" s="470"/>
      <c r="AL9" s="472"/>
      <c r="AM9" s="470"/>
      <c r="AN9" s="470"/>
      <c r="AO9" s="473"/>
      <c r="AP9" s="472"/>
      <c r="AQ9" s="470"/>
      <c r="AR9" s="470"/>
      <c r="AS9" s="473"/>
      <c r="AT9" s="470"/>
      <c r="AU9" s="470"/>
      <c r="AV9" s="470"/>
      <c r="AW9" s="473"/>
      <c r="AX9" s="470"/>
      <c r="AY9" s="470"/>
      <c r="AZ9" s="470"/>
      <c r="BA9" s="474"/>
    </row>
    <row r="10" spans="1:53" s="16" customFormat="1" x14ac:dyDescent="0.15">
      <c r="A10" s="470">
        <v>1968</v>
      </c>
      <c r="B10" s="475"/>
      <c r="C10" s="811" t="s">
        <v>1291</v>
      </c>
      <c r="D10" s="811"/>
      <c r="E10" s="470">
        <v>0</v>
      </c>
      <c r="F10" s="470"/>
      <c r="G10" s="480"/>
      <c r="H10" s="470">
        <v>8</v>
      </c>
      <c r="I10" s="470"/>
      <c r="J10" s="482">
        <v>8</v>
      </c>
      <c r="K10" s="477">
        <f t="shared" si="0"/>
        <v>0</v>
      </c>
      <c r="L10" s="477">
        <f t="shared" si="1"/>
        <v>100</v>
      </c>
      <c r="M10" s="477">
        <f t="shared" si="2"/>
        <v>0</v>
      </c>
      <c r="N10" s="481">
        <f t="shared" si="3"/>
        <v>100</v>
      </c>
      <c r="O10" s="476"/>
      <c r="P10" s="477">
        <v>56</v>
      </c>
      <c r="Q10" s="477"/>
      <c r="R10" s="478">
        <f t="shared" si="4"/>
        <v>56</v>
      </c>
      <c r="S10" s="470">
        <v>1</v>
      </c>
      <c r="T10" s="479"/>
      <c r="U10" s="475"/>
      <c r="V10" s="472" t="s">
        <v>1000</v>
      </c>
      <c r="W10" s="470" t="s">
        <v>17</v>
      </c>
      <c r="X10" s="470" t="s">
        <v>18</v>
      </c>
      <c r="Y10" s="485">
        <v>56</v>
      </c>
      <c r="Z10" s="470"/>
      <c r="AA10" s="470"/>
      <c r="AB10" s="470"/>
      <c r="AC10" s="470"/>
      <c r="AD10" s="472"/>
      <c r="AE10" s="470"/>
      <c r="AF10" s="470"/>
      <c r="AG10" s="473"/>
      <c r="AH10" s="470"/>
      <c r="AI10" s="470"/>
      <c r="AJ10" s="470"/>
      <c r="AK10" s="470"/>
      <c r="AL10" s="472"/>
      <c r="AM10" s="470"/>
      <c r="AN10" s="470"/>
      <c r="AO10" s="473"/>
      <c r="AP10" s="472"/>
      <c r="AQ10" s="470"/>
      <c r="AR10" s="470"/>
      <c r="AS10" s="473"/>
      <c r="AT10" s="470"/>
      <c r="AU10" s="470"/>
      <c r="AV10" s="470"/>
      <c r="AW10" s="473"/>
      <c r="AX10" s="470"/>
      <c r="AY10" s="470"/>
      <c r="AZ10" s="470"/>
      <c r="BA10" s="474"/>
    </row>
    <row r="11" spans="1:53" s="16" customFormat="1" x14ac:dyDescent="0.15">
      <c r="A11" s="470">
        <v>1968</v>
      </c>
      <c r="B11" s="475"/>
      <c r="C11" s="811" t="s">
        <v>1291</v>
      </c>
      <c r="D11" s="811"/>
      <c r="E11" s="470">
        <v>366</v>
      </c>
      <c r="F11" s="470"/>
      <c r="G11" s="480"/>
      <c r="H11" s="470">
        <v>8</v>
      </c>
      <c r="I11" s="470"/>
      <c r="J11" s="482">
        <v>8</v>
      </c>
      <c r="K11" s="477">
        <f t="shared" si="0"/>
        <v>0</v>
      </c>
      <c r="L11" s="477">
        <f t="shared" si="1"/>
        <v>100</v>
      </c>
      <c r="M11" s="477">
        <f t="shared" si="2"/>
        <v>0</v>
      </c>
      <c r="N11" s="481">
        <f t="shared" si="3"/>
        <v>100</v>
      </c>
      <c r="O11" s="476"/>
      <c r="P11" s="477">
        <v>56</v>
      </c>
      <c r="Q11" s="477"/>
      <c r="R11" s="478">
        <f t="shared" si="4"/>
        <v>56</v>
      </c>
      <c r="S11" s="470">
        <v>1</v>
      </c>
      <c r="T11" s="479"/>
      <c r="U11" s="475"/>
      <c r="V11" s="472" t="s">
        <v>1000</v>
      </c>
      <c r="W11" s="470" t="s">
        <v>17</v>
      </c>
      <c r="X11" s="470" t="s">
        <v>18</v>
      </c>
      <c r="Y11" s="485">
        <v>56</v>
      </c>
      <c r="Z11" s="470"/>
      <c r="AA11" s="470"/>
      <c r="AB11" s="470"/>
      <c r="AC11" s="470"/>
      <c r="AD11" s="472"/>
      <c r="AE11" s="470"/>
      <c r="AF11" s="470"/>
      <c r="AG11" s="473"/>
      <c r="AH11" s="470"/>
      <c r="AI11" s="470"/>
      <c r="AJ11" s="470"/>
      <c r="AK11" s="470"/>
      <c r="AL11" s="472"/>
      <c r="AM11" s="470"/>
      <c r="AN11" s="470"/>
      <c r="AO11" s="473"/>
      <c r="AP11" s="472"/>
      <c r="AQ11" s="470"/>
      <c r="AR11" s="470"/>
      <c r="AS11" s="473"/>
      <c r="AT11" s="470"/>
      <c r="AU11" s="470"/>
      <c r="AV11" s="470"/>
      <c r="AW11" s="473"/>
      <c r="AX11" s="470"/>
      <c r="AY11" s="470"/>
      <c r="AZ11" s="470"/>
      <c r="BA11" s="474"/>
    </row>
    <row r="12" spans="1:53" s="16" customFormat="1" x14ac:dyDescent="0.15">
      <c r="A12" s="470">
        <v>1969</v>
      </c>
      <c r="B12" s="475"/>
      <c r="C12" s="811" t="s">
        <v>1291</v>
      </c>
      <c r="D12" s="811"/>
      <c r="E12" s="470">
        <v>0</v>
      </c>
      <c r="F12" s="470"/>
      <c r="G12" s="480"/>
      <c r="H12" s="470">
        <v>8</v>
      </c>
      <c r="I12" s="470"/>
      <c r="J12" s="482">
        <v>8</v>
      </c>
      <c r="K12" s="477">
        <f t="shared" si="0"/>
        <v>0</v>
      </c>
      <c r="L12" s="477">
        <f t="shared" si="1"/>
        <v>100</v>
      </c>
      <c r="M12" s="477">
        <f t="shared" si="2"/>
        <v>0</v>
      </c>
      <c r="N12" s="481">
        <f t="shared" si="3"/>
        <v>100</v>
      </c>
      <c r="O12" s="476"/>
      <c r="P12" s="477">
        <v>56</v>
      </c>
      <c r="Q12" s="477"/>
      <c r="R12" s="478">
        <f t="shared" si="4"/>
        <v>56</v>
      </c>
      <c r="S12" s="470">
        <v>1</v>
      </c>
      <c r="T12" s="479"/>
      <c r="U12" s="475"/>
      <c r="V12" s="472" t="s">
        <v>1000</v>
      </c>
      <c r="W12" s="470" t="s">
        <v>17</v>
      </c>
      <c r="X12" s="470" t="s">
        <v>18</v>
      </c>
      <c r="Y12" s="485">
        <v>56</v>
      </c>
      <c r="Z12" s="470"/>
      <c r="AA12" s="470"/>
      <c r="AB12" s="470"/>
      <c r="AC12" s="470"/>
      <c r="AD12" s="472"/>
      <c r="AE12" s="470"/>
      <c r="AF12" s="470"/>
      <c r="AG12" s="473"/>
      <c r="AH12" s="470"/>
      <c r="AI12" s="470"/>
      <c r="AJ12" s="470"/>
      <c r="AK12" s="470"/>
      <c r="AL12" s="472"/>
      <c r="AM12" s="470"/>
      <c r="AN12" s="470"/>
      <c r="AO12" s="473"/>
      <c r="AP12" s="472"/>
      <c r="AQ12" s="470"/>
      <c r="AR12" s="470"/>
      <c r="AS12" s="473"/>
      <c r="AT12" s="470"/>
      <c r="AU12" s="470"/>
      <c r="AV12" s="470"/>
      <c r="AW12" s="473"/>
      <c r="AX12" s="470"/>
      <c r="AY12" s="470"/>
      <c r="AZ12" s="470"/>
      <c r="BA12" s="474"/>
    </row>
    <row r="13" spans="1:53" s="16" customFormat="1" x14ac:dyDescent="0.15">
      <c r="A13" s="470">
        <v>1969</v>
      </c>
      <c r="B13" s="475"/>
      <c r="C13" s="811" t="s">
        <v>1291</v>
      </c>
      <c r="D13" s="811"/>
      <c r="E13" s="470">
        <v>365</v>
      </c>
      <c r="F13" s="470"/>
      <c r="G13" s="480"/>
      <c r="H13" s="470">
        <v>8</v>
      </c>
      <c r="I13" s="470"/>
      <c r="J13" s="482">
        <v>8</v>
      </c>
      <c r="K13" s="477">
        <f t="shared" si="0"/>
        <v>0</v>
      </c>
      <c r="L13" s="477">
        <f t="shared" si="1"/>
        <v>100</v>
      </c>
      <c r="M13" s="477">
        <f t="shared" si="2"/>
        <v>0</v>
      </c>
      <c r="N13" s="481">
        <f t="shared" si="3"/>
        <v>100</v>
      </c>
      <c r="O13" s="476"/>
      <c r="P13" s="477">
        <v>56</v>
      </c>
      <c r="Q13" s="477"/>
      <c r="R13" s="478">
        <f t="shared" si="4"/>
        <v>56</v>
      </c>
      <c r="S13" s="470">
        <v>1</v>
      </c>
      <c r="T13" s="479"/>
      <c r="U13" s="475"/>
      <c r="V13" s="472" t="s">
        <v>1000</v>
      </c>
      <c r="W13" s="470" t="s">
        <v>17</v>
      </c>
      <c r="X13" s="470" t="s">
        <v>18</v>
      </c>
      <c r="Y13" s="485">
        <v>56</v>
      </c>
      <c r="Z13" s="470"/>
      <c r="AA13" s="470"/>
      <c r="AB13" s="470"/>
      <c r="AC13" s="470"/>
      <c r="AD13" s="472"/>
      <c r="AE13" s="470"/>
      <c r="AF13" s="470"/>
      <c r="AG13" s="473"/>
      <c r="AH13" s="470"/>
      <c r="AI13" s="470"/>
      <c r="AJ13" s="470"/>
      <c r="AK13" s="470"/>
      <c r="AL13" s="472"/>
      <c r="AM13" s="470"/>
      <c r="AN13" s="470"/>
      <c r="AO13" s="473"/>
      <c r="AP13" s="472"/>
      <c r="AQ13" s="470"/>
      <c r="AR13" s="470"/>
      <c r="AS13" s="473"/>
      <c r="AT13" s="470"/>
      <c r="AU13" s="470"/>
      <c r="AV13" s="470"/>
      <c r="AW13" s="473"/>
      <c r="AX13" s="470"/>
      <c r="AY13" s="470"/>
      <c r="AZ13" s="470"/>
      <c r="BA13" s="474"/>
    </row>
    <row r="14" spans="1:53" s="16" customFormat="1" x14ac:dyDescent="0.15">
      <c r="A14" s="470">
        <v>1970</v>
      </c>
      <c r="B14" s="475"/>
      <c r="C14" s="811" t="s">
        <v>1291</v>
      </c>
      <c r="D14" s="811"/>
      <c r="E14" s="470">
        <v>0</v>
      </c>
      <c r="F14" s="470"/>
      <c r="G14" s="480"/>
      <c r="H14" s="470">
        <v>8</v>
      </c>
      <c r="I14" s="470"/>
      <c r="J14" s="482">
        <v>8</v>
      </c>
      <c r="K14" s="477">
        <f t="shared" si="0"/>
        <v>0</v>
      </c>
      <c r="L14" s="477">
        <f t="shared" si="1"/>
        <v>100</v>
      </c>
      <c r="M14" s="477">
        <f t="shared" si="2"/>
        <v>0</v>
      </c>
      <c r="N14" s="481">
        <f t="shared" si="3"/>
        <v>100</v>
      </c>
      <c r="O14" s="476"/>
      <c r="P14" s="477">
        <v>56</v>
      </c>
      <c r="Q14" s="477"/>
      <c r="R14" s="478">
        <f t="shared" si="4"/>
        <v>56</v>
      </c>
      <c r="S14" s="470">
        <v>1</v>
      </c>
      <c r="T14" s="479"/>
      <c r="U14" s="475"/>
      <c r="V14" s="472" t="s">
        <v>1000</v>
      </c>
      <c r="W14" s="470" t="s">
        <v>17</v>
      </c>
      <c r="X14" s="470" t="s">
        <v>18</v>
      </c>
      <c r="Y14" s="485">
        <v>56</v>
      </c>
      <c r="Z14" s="470"/>
      <c r="AA14" s="470"/>
      <c r="AB14" s="470"/>
      <c r="AC14" s="470"/>
      <c r="AD14" s="472"/>
      <c r="AE14" s="470"/>
      <c r="AF14" s="470"/>
      <c r="AG14" s="473"/>
      <c r="AH14" s="470"/>
      <c r="AI14" s="470"/>
      <c r="AJ14" s="470"/>
      <c r="AK14" s="470"/>
      <c r="AL14" s="472"/>
      <c r="AM14" s="470"/>
      <c r="AN14" s="470"/>
      <c r="AO14" s="473"/>
      <c r="AP14" s="472"/>
      <c r="AQ14" s="470"/>
      <c r="AR14" s="470"/>
      <c r="AS14" s="473"/>
      <c r="AT14" s="470"/>
      <c r="AU14" s="470"/>
      <c r="AV14" s="470"/>
      <c r="AW14" s="473"/>
      <c r="AX14" s="470"/>
      <c r="AY14" s="470"/>
      <c r="AZ14" s="470"/>
      <c r="BA14" s="474"/>
    </row>
    <row r="15" spans="1:53" s="16" customFormat="1" x14ac:dyDescent="0.15">
      <c r="A15" s="470">
        <v>1970</v>
      </c>
      <c r="B15" s="475"/>
      <c r="C15" s="811" t="s">
        <v>1291</v>
      </c>
      <c r="D15" s="811"/>
      <c r="E15" s="470">
        <v>365</v>
      </c>
      <c r="F15" s="470"/>
      <c r="G15" s="480"/>
      <c r="H15" s="470">
        <v>8</v>
      </c>
      <c r="I15" s="470"/>
      <c r="J15" s="482">
        <v>8</v>
      </c>
      <c r="K15" s="477">
        <f t="shared" si="0"/>
        <v>0</v>
      </c>
      <c r="L15" s="477">
        <f t="shared" si="1"/>
        <v>100</v>
      </c>
      <c r="M15" s="477">
        <f t="shared" si="2"/>
        <v>0</v>
      </c>
      <c r="N15" s="481">
        <f t="shared" si="3"/>
        <v>100</v>
      </c>
      <c r="O15" s="476"/>
      <c r="P15" s="477">
        <v>56</v>
      </c>
      <c r="Q15" s="477"/>
      <c r="R15" s="478">
        <f t="shared" si="4"/>
        <v>56</v>
      </c>
      <c r="S15" s="470">
        <v>1</v>
      </c>
      <c r="T15" s="479"/>
      <c r="U15" s="475"/>
      <c r="V15" s="472" t="s">
        <v>1000</v>
      </c>
      <c r="W15" s="470" t="s">
        <v>17</v>
      </c>
      <c r="X15" s="470" t="s">
        <v>18</v>
      </c>
      <c r="Y15" s="485">
        <v>56</v>
      </c>
      <c r="Z15" s="470"/>
      <c r="AA15" s="470"/>
      <c r="AB15" s="470"/>
      <c r="AC15" s="470"/>
      <c r="AD15" s="472"/>
      <c r="AE15" s="470"/>
      <c r="AF15" s="470"/>
      <c r="AG15" s="473"/>
      <c r="AH15" s="470"/>
      <c r="AI15" s="470"/>
      <c r="AJ15" s="470"/>
      <c r="AK15" s="470"/>
      <c r="AL15" s="472"/>
      <c r="AM15" s="470"/>
      <c r="AN15" s="470"/>
      <c r="AO15" s="473"/>
      <c r="AP15" s="472"/>
      <c r="AQ15" s="470"/>
      <c r="AR15" s="470"/>
      <c r="AS15" s="473"/>
      <c r="AT15" s="470"/>
      <c r="AU15" s="470"/>
      <c r="AV15" s="470"/>
      <c r="AW15" s="473"/>
      <c r="AX15" s="470"/>
      <c r="AY15" s="470"/>
      <c r="AZ15" s="470"/>
      <c r="BA15" s="474"/>
    </row>
    <row r="16" spans="1:53" s="16" customFormat="1" x14ac:dyDescent="0.15">
      <c r="A16" s="470">
        <v>1971</v>
      </c>
      <c r="B16" s="475"/>
      <c r="C16" s="811" t="s">
        <v>1291</v>
      </c>
      <c r="D16" s="811"/>
      <c r="E16" s="470">
        <v>171</v>
      </c>
      <c r="F16" s="470"/>
      <c r="G16" s="480"/>
      <c r="H16" s="470">
        <v>8</v>
      </c>
      <c r="I16" s="470"/>
      <c r="J16" s="482">
        <v>8</v>
      </c>
      <c r="K16" s="477">
        <f t="shared" si="0"/>
        <v>0</v>
      </c>
      <c r="L16" s="477">
        <f t="shared" si="1"/>
        <v>100</v>
      </c>
      <c r="M16" s="477">
        <f t="shared" si="2"/>
        <v>0</v>
      </c>
      <c r="N16" s="481">
        <f t="shared" si="3"/>
        <v>100</v>
      </c>
      <c r="O16" s="476"/>
      <c r="P16" s="477">
        <v>56</v>
      </c>
      <c r="Q16" s="477"/>
      <c r="R16" s="478">
        <f t="shared" si="4"/>
        <v>56</v>
      </c>
      <c r="S16" s="470">
        <v>1</v>
      </c>
      <c r="T16" s="479"/>
      <c r="U16" s="475"/>
      <c r="V16" s="472" t="s">
        <v>1000</v>
      </c>
      <c r="W16" s="470" t="s">
        <v>17</v>
      </c>
      <c r="X16" s="470" t="s">
        <v>18</v>
      </c>
      <c r="Y16" s="485">
        <v>56</v>
      </c>
      <c r="Z16" s="470"/>
      <c r="AA16" s="470"/>
      <c r="AB16" s="470"/>
      <c r="AC16" s="470"/>
      <c r="AD16" s="472"/>
      <c r="AE16" s="470"/>
      <c r="AF16" s="470"/>
      <c r="AG16" s="473"/>
      <c r="AH16" s="470"/>
      <c r="AI16" s="470"/>
      <c r="AJ16" s="470"/>
      <c r="AK16" s="470"/>
      <c r="AL16" s="472"/>
      <c r="AM16" s="470"/>
      <c r="AN16" s="470"/>
      <c r="AO16" s="473"/>
      <c r="AP16" s="472"/>
      <c r="AQ16" s="470"/>
      <c r="AR16" s="470"/>
      <c r="AS16" s="473"/>
      <c r="AT16" s="470"/>
      <c r="AU16" s="470"/>
      <c r="AV16" s="470"/>
      <c r="AW16" s="473"/>
      <c r="AX16" s="470"/>
      <c r="AY16" s="470"/>
      <c r="AZ16" s="470"/>
      <c r="BA16" s="474"/>
    </row>
    <row r="17" spans="1:53" s="16" customFormat="1" x14ac:dyDescent="0.15">
      <c r="A17" s="486">
        <v>1971</v>
      </c>
      <c r="B17" s="491">
        <v>26105</v>
      </c>
      <c r="C17" s="812" t="s">
        <v>1292</v>
      </c>
      <c r="D17" s="812"/>
      <c r="E17" s="486">
        <f>365-E16</f>
        <v>194</v>
      </c>
      <c r="F17" s="486">
        <v>1</v>
      </c>
      <c r="G17" s="497"/>
      <c r="H17" s="486"/>
      <c r="I17" s="486">
        <v>9</v>
      </c>
      <c r="J17" s="499">
        <v>9</v>
      </c>
      <c r="K17" s="495">
        <f t="shared" si="0"/>
        <v>0</v>
      </c>
      <c r="L17" s="495">
        <f t="shared" si="1"/>
        <v>0</v>
      </c>
      <c r="M17" s="495">
        <f t="shared" si="2"/>
        <v>100</v>
      </c>
      <c r="N17" s="498">
        <f t="shared" si="3"/>
        <v>100</v>
      </c>
      <c r="O17" s="494"/>
      <c r="P17" s="495"/>
      <c r="Q17" s="495">
        <v>50.9</v>
      </c>
      <c r="R17" s="496">
        <f t="shared" si="4"/>
        <v>50.9</v>
      </c>
      <c r="S17" s="492">
        <v>1</v>
      </c>
      <c r="T17" s="487">
        <v>26098</v>
      </c>
      <c r="U17" s="491">
        <v>26105</v>
      </c>
      <c r="V17" s="488" t="s">
        <v>1003</v>
      </c>
      <c r="W17" s="486" t="s">
        <v>20</v>
      </c>
      <c r="X17" s="486" t="s">
        <v>12</v>
      </c>
      <c r="Y17" s="489">
        <v>50.9</v>
      </c>
      <c r="Z17" s="486"/>
      <c r="AA17" s="486"/>
      <c r="AB17" s="486"/>
      <c r="AC17" s="486"/>
      <c r="AD17" s="488"/>
      <c r="AE17" s="486"/>
      <c r="AF17" s="486"/>
      <c r="AG17" s="489"/>
      <c r="AH17" s="486"/>
      <c r="AI17" s="486"/>
      <c r="AJ17" s="486"/>
      <c r="AK17" s="486"/>
      <c r="AL17" s="488"/>
      <c r="AM17" s="486"/>
      <c r="AN17" s="486"/>
      <c r="AO17" s="489"/>
      <c r="AP17" s="488"/>
      <c r="AQ17" s="486"/>
      <c r="AR17" s="486"/>
      <c r="AS17" s="489"/>
      <c r="AT17" s="486"/>
      <c r="AU17" s="486"/>
      <c r="AV17" s="486"/>
      <c r="AW17" s="489"/>
      <c r="AX17" s="486"/>
      <c r="AY17" s="486"/>
      <c r="AZ17" s="486"/>
      <c r="BA17" s="490"/>
    </row>
    <row r="18" spans="1:53" s="16" customFormat="1" x14ac:dyDescent="0.15">
      <c r="A18" s="486">
        <v>1972</v>
      </c>
      <c r="B18" s="486"/>
      <c r="C18" s="812" t="s">
        <v>1292</v>
      </c>
      <c r="D18" s="812"/>
      <c r="E18" s="486">
        <v>0</v>
      </c>
      <c r="F18" s="486"/>
      <c r="G18" s="497"/>
      <c r="H18" s="486"/>
      <c r="I18" s="486">
        <v>9</v>
      </c>
      <c r="J18" s="499">
        <v>9</v>
      </c>
      <c r="K18" s="495">
        <f t="shared" si="0"/>
        <v>0</v>
      </c>
      <c r="L18" s="495">
        <f t="shared" si="1"/>
        <v>0</v>
      </c>
      <c r="M18" s="495">
        <f t="shared" si="2"/>
        <v>100</v>
      </c>
      <c r="N18" s="498">
        <f t="shared" si="3"/>
        <v>100</v>
      </c>
      <c r="O18" s="494"/>
      <c r="P18" s="495"/>
      <c r="Q18" s="495">
        <v>50.9</v>
      </c>
      <c r="R18" s="496">
        <f t="shared" si="4"/>
        <v>50.9</v>
      </c>
      <c r="S18" s="492">
        <v>1</v>
      </c>
      <c r="T18" s="492"/>
      <c r="U18" s="486"/>
      <c r="V18" s="488" t="s">
        <v>1003</v>
      </c>
      <c r="W18" s="486" t="s">
        <v>20</v>
      </c>
      <c r="X18" s="486" t="s">
        <v>12</v>
      </c>
      <c r="Y18" s="489">
        <v>50.9</v>
      </c>
      <c r="Z18" s="486"/>
      <c r="AA18" s="486"/>
      <c r="AB18" s="486"/>
      <c r="AC18" s="486"/>
      <c r="AD18" s="488"/>
      <c r="AE18" s="486"/>
      <c r="AF18" s="486"/>
      <c r="AG18" s="489"/>
      <c r="AH18" s="486"/>
      <c r="AI18" s="486"/>
      <c r="AJ18" s="486"/>
      <c r="AK18" s="486"/>
      <c r="AL18" s="488"/>
      <c r="AM18" s="486"/>
      <c r="AN18" s="486"/>
      <c r="AO18" s="489"/>
      <c r="AP18" s="488"/>
      <c r="AQ18" s="486"/>
      <c r="AR18" s="486"/>
      <c r="AS18" s="489"/>
      <c r="AT18" s="486"/>
      <c r="AU18" s="486"/>
      <c r="AV18" s="486"/>
      <c r="AW18" s="489"/>
      <c r="AX18" s="486"/>
      <c r="AY18" s="486"/>
      <c r="AZ18" s="486"/>
      <c r="BA18" s="490"/>
    </row>
    <row r="19" spans="1:53" s="16" customFormat="1" x14ac:dyDescent="0.15">
      <c r="A19" s="486">
        <v>1972</v>
      </c>
      <c r="B19" s="486"/>
      <c r="C19" s="812" t="s">
        <v>1292</v>
      </c>
      <c r="D19" s="812"/>
      <c r="E19" s="486">
        <v>366</v>
      </c>
      <c r="F19" s="486"/>
      <c r="G19" s="497"/>
      <c r="H19" s="486"/>
      <c r="I19" s="486">
        <v>9</v>
      </c>
      <c r="J19" s="499">
        <v>9</v>
      </c>
      <c r="K19" s="495">
        <f t="shared" si="0"/>
        <v>0</v>
      </c>
      <c r="L19" s="495">
        <f t="shared" si="1"/>
        <v>0</v>
      </c>
      <c r="M19" s="495">
        <f t="shared" si="2"/>
        <v>100</v>
      </c>
      <c r="N19" s="498">
        <f t="shared" si="3"/>
        <v>100</v>
      </c>
      <c r="O19" s="494"/>
      <c r="P19" s="495"/>
      <c r="Q19" s="495">
        <v>50.9</v>
      </c>
      <c r="R19" s="496">
        <f t="shared" si="4"/>
        <v>50.9</v>
      </c>
      <c r="S19" s="492">
        <v>1</v>
      </c>
      <c r="T19" s="492"/>
      <c r="U19" s="486"/>
      <c r="V19" s="488" t="s">
        <v>1003</v>
      </c>
      <c r="W19" s="486" t="s">
        <v>20</v>
      </c>
      <c r="X19" s="486" t="s">
        <v>12</v>
      </c>
      <c r="Y19" s="489">
        <v>50.9</v>
      </c>
      <c r="Z19" s="486"/>
      <c r="AA19" s="486"/>
      <c r="AB19" s="486"/>
      <c r="AC19" s="486"/>
      <c r="AD19" s="488"/>
      <c r="AE19" s="486"/>
      <c r="AF19" s="486"/>
      <c r="AG19" s="489"/>
      <c r="AH19" s="486"/>
      <c r="AI19" s="486"/>
      <c r="AJ19" s="486"/>
      <c r="AK19" s="486"/>
      <c r="AL19" s="488"/>
      <c r="AM19" s="486"/>
      <c r="AN19" s="486"/>
      <c r="AO19" s="489"/>
      <c r="AP19" s="488"/>
      <c r="AQ19" s="486"/>
      <c r="AR19" s="486"/>
      <c r="AS19" s="489"/>
      <c r="AT19" s="486"/>
      <c r="AU19" s="486"/>
      <c r="AV19" s="486"/>
      <c r="AW19" s="489"/>
      <c r="AX19" s="486"/>
      <c r="AY19" s="486"/>
      <c r="AZ19" s="486"/>
      <c r="BA19" s="490"/>
    </row>
    <row r="20" spans="1:53" s="16" customFormat="1" x14ac:dyDescent="0.15">
      <c r="A20" s="486">
        <v>1973</v>
      </c>
      <c r="B20" s="486"/>
      <c r="C20" s="812" t="s">
        <v>1292</v>
      </c>
      <c r="D20" s="812"/>
      <c r="E20" s="486">
        <v>0</v>
      </c>
      <c r="F20" s="486"/>
      <c r="G20" s="497"/>
      <c r="H20" s="486"/>
      <c r="I20" s="486">
        <v>9</v>
      </c>
      <c r="J20" s="499">
        <v>9</v>
      </c>
      <c r="K20" s="495">
        <f t="shared" si="0"/>
        <v>0</v>
      </c>
      <c r="L20" s="495">
        <f t="shared" si="1"/>
        <v>0</v>
      </c>
      <c r="M20" s="495">
        <f t="shared" si="2"/>
        <v>100</v>
      </c>
      <c r="N20" s="498">
        <f t="shared" si="3"/>
        <v>100</v>
      </c>
      <c r="O20" s="494"/>
      <c r="P20" s="495"/>
      <c r="Q20" s="495">
        <v>50.9</v>
      </c>
      <c r="R20" s="496">
        <f t="shared" si="4"/>
        <v>50.9</v>
      </c>
      <c r="S20" s="492">
        <v>1</v>
      </c>
      <c r="T20" s="492"/>
      <c r="U20" s="486"/>
      <c r="V20" s="488" t="s">
        <v>1003</v>
      </c>
      <c r="W20" s="486" t="s">
        <v>20</v>
      </c>
      <c r="X20" s="486" t="s">
        <v>12</v>
      </c>
      <c r="Y20" s="489">
        <v>50.9</v>
      </c>
      <c r="Z20" s="486"/>
      <c r="AA20" s="486"/>
      <c r="AB20" s="486"/>
      <c r="AC20" s="486"/>
      <c r="AD20" s="488"/>
      <c r="AE20" s="486"/>
      <c r="AF20" s="486"/>
      <c r="AG20" s="489"/>
      <c r="AH20" s="486"/>
      <c r="AI20" s="486"/>
      <c r="AJ20" s="486"/>
      <c r="AK20" s="486"/>
      <c r="AL20" s="488"/>
      <c r="AM20" s="486"/>
      <c r="AN20" s="486"/>
      <c r="AO20" s="489"/>
      <c r="AP20" s="488"/>
      <c r="AQ20" s="486"/>
      <c r="AR20" s="486"/>
      <c r="AS20" s="489"/>
      <c r="AT20" s="486"/>
      <c r="AU20" s="486"/>
      <c r="AV20" s="486"/>
      <c r="AW20" s="489"/>
      <c r="AX20" s="486"/>
      <c r="AY20" s="486"/>
      <c r="AZ20" s="486"/>
      <c r="BA20" s="490"/>
    </row>
    <row r="21" spans="1:53" s="16" customFormat="1" x14ac:dyDescent="0.15">
      <c r="A21" s="486">
        <v>1973</v>
      </c>
      <c r="B21" s="486"/>
      <c r="C21" s="812" t="s">
        <v>1292</v>
      </c>
      <c r="D21" s="812"/>
      <c r="E21" s="486">
        <v>365</v>
      </c>
      <c r="F21" s="486"/>
      <c r="G21" s="497"/>
      <c r="H21" s="486"/>
      <c r="I21" s="486">
        <v>9</v>
      </c>
      <c r="J21" s="499">
        <v>9</v>
      </c>
      <c r="K21" s="495">
        <f t="shared" si="0"/>
        <v>0</v>
      </c>
      <c r="L21" s="495">
        <f t="shared" si="1"/>
        <v>0</v>
      </c>
      <c r="M21" s="495">
        <f t="shared" si="2"/>
        <v>100</v>
      </c>
      <c r="N21" s="498">
        <f t="shared" si="3"/>
        <v>100</v>
      </c>
      <c r="O21" s="494"/>
      <c r="P21" s="495"/>
      <c r="Q21" s="495">
        <v>50.9</v>
      </c>
      <c r="R21" s="496">
        <f t="shared" si="4"/>
        <v>50.9</v>
      </c>
      <c r="S21" s="492">
        <v>1</v>
      </c>
      <c r="T21" s="492"/>
      <c r="U21" s="486"/>
      <c r="V21" s="488" t="s">
        <v>1003</v>
      </c>
      <c r="W21" s="486" t="s">
        <v>20</v>
      </c>
      <c r="X21" s="486" t="s">
        <v>12</v>
      </c>
      <c r="Y21" s="489">
        <v>50.9</v>
      </c>
      <c r="Z21" s="486"/>
      <c r="AA21" s="486"/>
      <c r="AB21" s="486"/>
      <c r="AC21" s="486"/>
      <c r="AD21" s="488"/>
      <c r="AE21" s="486"/>
      <c r="AF21" s="486"/>
      <c r="AG21" s="489"/>
      <c r="AH21" s="486"/>
      <c r="AI21" s="486"/>
      <c r="AJ21" s="486"/>
      <c r="AK21" s="486"/>
      <c r="AL21" s="488"/>
      <c r="AM21" s="486"/>
      <c r="AN21" s="486"/>
      <c r="AO21" s="489"/>
      <c r="AP21" s="488"/>
      <c r="AQ21" s="486"/>
      <c r="AR21" s="486"/>
      <c r="AS21" s="489"/>
      <c r="AT21" s="486"/>
      <c r="AU21" s="486"/>
      <c r="AV21" s="486"/>
      <c r="AW21" s="489"/>
      <c r="AX21" s="486"/>
      <c r="AY21" s="486"/>
      <c r="AZ21" s="486"/>
      <c r="BA21" s="490"/>
    </row>
    <row r="22" spans="1:53" s="16" customFormat="1" x14ac:dyDescent="0.15">
      <c r="A22" s="486">
        <v>1974</v>
      </c>
      <c r="B22" s="486"/>
      <c r="C22" s="812" t="s">
        <v>1292</v>
      </c>
      <c r="D22" s="812"/>
      <c r="E22" s="486">
        <v>0</v>
      </c>
      <c r="F22" s="486"/>
      <c r="G22" s="497"/>
      <c r="H22" s="486"/>
      <c r="I22" s="486">
        <v>9</v>
      </c>
      <c r="J22" s="499">
        <v>9</v>
      </c>
      <c r="K22" s="495">
        <f t="shared" si="0"/>
        <v>0</v>
      </c>
      <c r="L22" s="495">
        <f t="shared" si="1"/>
        <v>0</v>
      </c>
      <c r="M22" s="495">
        <f t="shared" si="2"/>
        <v>100</v>
      </c>
      <c r="N22" s="498">
        <f t="shared" si="3"/>
        <v>100</v>
      </c>
      <c r="O22" s="494"/>
      <c r="P22" s="495"/>
      <c r="Q22" s="495">
        <v>50.9</v>
      </c>
      <c r="R22" s="496">
        <f t="shared" si="4"/>
        <v>50.9</v>
      </c>
      <c r="S22" s="492">
        <v>1</v>
      </c>
      <c r="T22" s="492"/>
      <c r="U22" s="486"/>
      <c r="V22" s="488" t="s">
        <v>1003</v>
      </c>
      <c r="W22" s="486" t="s">
        <v>20</v>
      </c>
      <c r="X22" s="486" t="s">
        <v>12</v>
      </c>
      <c r="Y22" s="489">
        <v>50.9</v>
      </c>
      <c r="Z22" s="486"/>
      <c r="AA22" s="486"/>
      <c r="AB22" s="486"/>
      <c r="AC22" s="486"/>
      <c r="AD22" s="488"/>
      <c r="AE22" s="486"/>
      <c r="AF22" s="486"/>
      <c r="AG22" s="489"/>
      <c r="AH22" s="486"/>
      <c r="AI22" s="486"/>
      <c r="AJ22" s="486"/>
      <c r="AK22" s="486"/>
      <c r="AL22" s="488"/>
      <c r="AM22" s="486"/>
      <c r="AN22" s="486"/>
      <c r="AO22" s="489"/>
      <c r="AP22" s="488"/>
      <c r="AQ22" s="486"/>
      <c r="AR22" s="486"/>
      <c r="AS22" s="489"/>
      <c r="AT22" s="486"/>
      <c r="AU22" s="486"/>
      <c r="AV22" s="486"/>
      <c r="AW22" s="489"/>
      <c r="AX22" s="486"/>
      <c r="AY22" s="486"/>
      <c r="AZ22" s="486"/>
      <c r="BA22" s="490"/>
    </row>
    <row r="23" spans="1:53" s="16" customFormat="1" x14ac:dyDescent="0.15">
      <c r="A23" s="486">
        <v>1974</v>
      </c>
      <c r="B23" s="486"/>
      <c r="C23" s="812" t="s">
        <v>1292</v>
      </c>
      <c r="D23" s="812"/>
      <c r="E23" s="486">
        <v>365</v>
      </c>
      <c r="F23" s="486"/>
      <c r="G23" s="497"/>
      <c r="H23" s="486"/>
      <c r="I23" s="486">
        <v>9</v>
      </c>
      <c r="J23" s="499">
        <v>9</v>
      </c>
      <c r="K23" s="495">
        <f t="shared" si="0"/>
        <v>0</v>
      </c>
      <c r="L23" s="495">
        <f t="shared" si="1"/>
        <v>0</v>
      </c>
      <c r="M23" s="495">
        <f t="shared" si="2"/>
        <v>100</v>
      </c>
      <c r="N23" s="498">
        <f t="shared" si="3"/>
        <v>100</v>
      </c>
      <c r="O23" s="494"/>
      <c r="P23" s="495"/>
      <c r="Q23" s="495">
        <v>50.9</v>
      </c>
      <c r="R23" s="496">
        <f t="shared" si="4"/>
        <v>50.9</v>
      </c>
      <c r="S23" s="492">
        <v>1</v>
      </c>
      <c r="T23" s="492"/>
      <c r="U23" s="486"/>
      <c r="V23" s="488" t="s">
        <v>1003</v>
      </c>
      <c r="W23" s="486" t="s">
        <v>20</v>
      </c>
      <c r="X23" s="486" t="s">
        <v>12</v>
      </c>
      <c r="Y23" s="489">
        <v>50.9</v>
      </c>
      <c r="Z23" s="486"/>
      <c r="AA23" s="486"/>
      <c r="AB23" s="486"/>
      <c r="AC23" s="486"/>
      <c r="AD23" s="488"/>
      <c r="AE23" s="486"/>
      <c r="AF23" s="486"/>
      <c r="AG23" s="489"/>
      <c r="AH23" s="486"/>
      <c r="AI23" s="486"/>
      <c r="AJ23" s="486"/>
      <c r="AK23" s="486"/>
      <c r="AL23" s="488"/>
      <c r="AM23" s="486"/>
      <c r="AN23" s="486"/>
      <c r="AO23" s="489"/>
      <c r="AP23" s="488"/>
      <c r="AQ23" s="486"/>
      <c r="AR23" s="486"/>
      <c r="AS23" s="489"/>
      <c r="AT23" s="486"/>
      <c r="AU23" s="486"/>
      <c r="AV23" s="486"/>
      <c r="AW23" s="489"/>
      <c r="AX23" s="486"/>
      <c r="AY23" s="486"/>
      <c r="AZ23" s="486"/>
      <c r="BA23" s="490"/>
    </row>
    <row r="24" spans="1:53" s="16" customFormat="1" x14ac:dyDescent="0.15">
      <c r="A24" s="486">
        <v>1975</v>
      </c>
      <c r="B24" s="486"/>
      <c r="C24" s="812" t="s">
        <v>1292</v>
      </c>
      <c r="D24" s="812"/>
      <c r="E24" s="486">
        <v>0</v>
      </c>
      <c r="F24" s="486"/>
      <c r="G24" s="497"/>
      <c r="H24" s="486"/>
      <c r="I24" s="486">
        <v>9</v>
      </c>
      <c r="J24" s="499">
        <v>9</v>
      </c>
      <c r="K24" s="495">
        <f t="shared" si="0"/>
        <v>0</v>
      </c>
      <c r="L24" s="495">
        <f t="shared" si="1"/>
        <v>0</v>
      </c>
      <c r="M24" s="495">
        <f t="shared" si="2"/>
        <v>100</v>
      </c>
      <c r="N24" s="498">
        <f t="shared" si="3"/>
        <v>100</v>
      </c>
      <c r="O24" s="494"/>
      <c r="P24" s="495"/>
      <c r="Q24" s="495">
        <v>50.9</v>
      </c>
      <c r="R24" s="496">
        <f t="shared" si="4"/>
        <v>50.9</v>
      </c>
      <c r="S24" s="492">
        <v>1</v>
      </c>
      <c r="T24" s="492"/>
      <c r="U24" s="486"/>
      <c r="V24" s="488" t="s">
        <v>1003</v>
      </c>
      <c r="W24" s="486" t="s">
        <v>20</v>
      </c>
      <c r="X24" s="486" t="s">
        <v>12</v>
      </c>
      <c r="Y24" s="489">
        <v>50.9</v>
      </c>
      <c r="Z24" s="486"/>
      <c r="AA24" s="486"/>
      <c r="AB24" s="486"/>
      <c r="AC24" s="486"/>
      <c r="AD24" s="488"/>
      <c r="AE24" s="486"/>
      <c r="AF24" s="486"/>
      <c r="AG24" s="489"/>
      <c r="AH24" s="486"/>
      <c r="AI24" s="486"/>
      <c r="AJ24" s="486"/>
      <c r="AK24" s="486"/>
      <c r="AL24" s="488"/>
      <c r="AM24" s="486"/>
      <c r="AN24" s="486"/>
      <c r="AO24" s="489"/>
      <c r="AP24" s="488"/>
      <c r="AQ24" s="486"/>
      <c r="AR24" s="486"/>
      <c r="AS24" s="489"/>
      <c r="AT24" s="486"/>
      <c r="AU24" s="486"/>
      <c r="AV24" s="486"/>
      <c r="AW24" s="489"/>
      <c r="AX24" s="486"/>
      <c r="AY24" s="486"/>
      <c r="AZ24" s="486"/>
      <c r="BA24" s="490"/>
    </row>
    <row r="25" spans="1:53" s="16" customFormat="1" x14ac:dyDescent="0.15">
      <c r="A25" s="486">
        <v>1975</v>
      </c>
      <c r="B25" s="486"/>
      <c r="C25" s="812" t="s">
        <v>1292</v>
      </c>
      <c r="D25" s="812"/>
      <c r="E25" s="486">
        <v>365</v>
      </c>
      <c r="F25" s="486"/>
      <c r="G25" s="497"/>
      <c r="H25" s="486"/>
      <c r="I25" s="486">
        <v>9</v>
      </c>
      <c r="J25" s="499">
        <v>9</v>
      </c>
      <c r="K25" s="495">
        <f t="shared" si="0"/>
        <v>0</v>
      </c>
      <c r="L25" s="495">
        <f t="shared" si="1"/>
        <v>0</v>
      </c>
      <c r="M25" s="495">
        <f t="shared" si="2"/>
        <v>100</v>
      </c>
      <c r="N25" s="498">
        <f t="shared" si="3"/>
        <v>100</v>
      </c>
      <c r="O25" s="494"/>
      <c r="P25" s="495"/>
      <c r="Q25" s="495">
        <v>50.9</v>
      </c>
      <c r="R25" s="496">
        <f t="shared" si="4"/>
        <v>50.9</v>
      </c>
      <c r="S25" s="492">
        <v>1</v>
      </c>
      <c r="T25" s="492"/>
      <c r="U25" s="486"/>
      <c r="V25" s="488" t="s">
        <v>1003</v>
      </c>
      <c r="W25" s="486" t="s">
        <v>20</v>
      </c>
      <c r="X25" s="486" t="s">
        <v>12</v>
      </c>
      <c r="Y25" s="489">
        <v>50.9</v>
      </c>
      <c r="Z25" s="486"/>
      <c r="AA25" s="486"/>
      <c r="AB25" s="486"/>
      <c r="AC25" s="486"/>
      <c r="AD25" s="488"/>
      <c r="AE25" s="486"/>
      <c r="AF25" s="486"/>
      <c r="AG25" s="489"/>
      <c r="AH25" s="486"/>
      <c r="AI25" s="486"/>
      <c r="AJ25" s="486"/>
      <c r="AK25" s="486"/>
      <c r="AL25" s="488"/>
      <c r="AM25" s="486"/>
      <c r="AN25" s="486"/>
      <c r="AO25" s="489"/>
      <c r="AP25" s="488"/>
      <c r="AQ25" s="486"/>
      <c r="AR25" s="486"/>
      <c r="AS25" s="489"/>
      <c r="AT25" s="486"/>
      <c r="AU25" s="486"/>
      <c r="AV25" s="486"/>
      <c r="AW25" s="489"/>
      <c r="AX25" s="486"/>
      <c r="AY25" s="486"/>
      <c r="AZ25" s="486"/>
      <c r="BA25" s="490"/>
    </row>
    <row r="26" spans="1:53" s="16" customFormat="1" x14ac:dyDescent="0.15">
      <c r="A26" s="486">
        <v>1976</v>
      </c>
      <c r="B26" s="486"/>
      <c r="C26" s="812" t="s">
        <v>1292</v>
      </c>
      <c r="D26" s="812"/>
      <c r="E26" s="486">
        <v>265</v>
      </c>
      <c r="F26" s="486"/>
      <c r="G26" s="497"/>
      <c r="H26" s="486"/>
      <c r="I26" s="486">
        <v>9</v>
      </c>
      <c r="J26" s="499">
        <v>9</v>
      </c>
      <c r="K26" s="495">
        <f t="shared" si="0"/>
        <v>0</v>
      </c>
      <c r="L26" s="495">
        <f t="shared" si="1"/>
        <v>0</v>
      </c>
      <c r="M26" s="495">
        <f t="shared" si="2"/>
        <v>100</v>
      </c>
      <c r="N26" s="498">
        <f t="shared" si="3"/>
        <v>100</v>
      </c>
      <c r="O26" s="494"/>
      <c r="P26" s="495"/>
      <c r="Q26" s="495">
        <v>50.9</v>
      </c>
      <c r="R26" s="496">
        <f t="shared" si="4"/>
        <v>50.9</v>
      </c>
      <c r="S26" s="492">
        <v>1</v>
      </c>
      <c r="T26" s="492"/>
      <c r="U26" s="486"/>
      <c r="V26" s="488" t="s">
        <v>1003</v>
      </c>
      <c r="W26" s="486" t="s">
        <v>20</v>
      </c>
      <c r="X26" s="486" t="s">
        <v>12</v>
      </c>
      <c r="Y26" s="489">
        <v>50.9</v>
      </c>
      <c r="Z26" s="486"/>
      <c r="AA26" s="486"/>
      <c r="AB26" s="486"/>
      <c r="AC26" s="486"/>
      <c r="AD26" s="488"/>
      <c r="AE26" s="486"/>
      <c r="AF26" s="486"/>
      <c r="AG26" s="489"/>
      <c r="AH26" s="486"/>
      <c r="AI26" s="486"/>
      <c r="AJ26" s="486"/>
      <c r="AK26" s="486"/>
      <c r="AL26" s="488"/>
      <c r="AM26" s="486"/>
      <c r="AN26" s="486"/>
      <c r="AO26" s="489"/>
      <c r="AP26" s="488"/>
      <c r="AQ26" s="486"/>
      <c r="AR26" s="486"/>
      <c r="AS26" s="489"/>
      <c r="AT26" s="486"/>
      <c r="AU26" s="486"/>
      <c r="AV26" s="486"/>
      <c r="AW26" s="489"/>
      <c r="AX26" s="486"/>
      <c r="AY26" s="486"/>
      <c r="AZ26" s="486"/>
      <c r="BA26" s="490"/>
    </row>
    <row r="27" spans="1:53" s="16" customFormat="1" x14ac:dyDescent="0.15">
      <c r="A27" s="470">
        <v>1976</v>
      </c>
      <c r="B27" s="475">
        <v>28025</v>
      </c>
      <c r="C27" s="811" t="s">
        <v>1293</v>
      </c>
      <c r="D27" s="811"/>
      <c r="E27" s="470">
        <f>366-E26</f>
        <v>101</v>
      </c>
      <c r="F27" s="470">
        <v>1</v>
      </c>
      <c r="G27" s="480"/>
      <c r="H27" s="470"/>
      <c r="I27" s="470">
        <v>12</v>
      </c>
      <c r="J27" s="482">
        <v>12</v>
      </c>
      <c r="K27" s="477">
        <f t="shared" si="0"/>
        <v>0</v>
      </c>
      <c r="L27" s="477">
        <f t="shared" si="1"/>
        <v>0</v>
      </c>
      <c r="M27" s="477">
        <f t="shared" si="2"/>
        <v>100</v>
      </c>
      <c r="N27" s="481">
        <f t="shared" si="3"/>
        <v>100</v>
      </c>
      <c r="O27" s="476"/>
      <c r="P27" s="477"/>
      <c r="Q27" s="477">
        <v>52.3</v>
      </c>
      <c r="R27" s="478">
        <f t="shared" si="4"/>
        <v>52.3</v>
      </c>
      <c r="S27" s="470">
        <v>1</v>
      </c>
      <c r="T27" s="479">
        <v>28021</v>
      </c>
      <c r="U27" s="475">
        <v>28025</v>
      </c>
      <c r="V27" s="472" t="s">
        <v>1003</v>
      </c>
      <c r="W27" s="470" t="s">
        <v>20</v>
      </c>
      <c r="X27" s="470" t="s">
        <v>12</v>
      </c>
      <c r="Y27" s="473">
        <v>52.3</v>
      </c>
      <c r="Z27" s="470"/>
      <c r="AA27" s="470"/>
      <c r="AB27" s="470"/>
      <c r="AC27" s="470"/>
      <c r="AD27" s="472"/>
      <c r="AE27" s="470"/>
      <c r="AF27" s="470"/>
      <c r="AG27" s="473"/>
      <c r="AH27" s="470"/>
      <c r="AI27" s="470"/>
      <c r="AJ27" s="470"/>
      <c r="AK27" s="470"/>
      <c r="AL27" s="472"/>
      <c r="AM27" s="470"/>
      <c r="AN27" s="470"/>
      <c r="AO27" s="473"/>
      <c r="AP27" s="472"/>
      <c r="AQ27" s="470"/>
      <c r="AR27" s="470"/>
      <c r="AS27" s="473"/>
      <c r="AT27" s="470"/>
      <c r="AU27" s="470"/>
      <c r="AV27" s="470"/>
      <c r="AW27" s="473"/>
      <c r="AX27" s="470"/>
      <c r="AY27" s="470"/>
      <c r="AZ27" s="470"/>
      <c r="BA27" s="474"/>
    </row>
    <row r="28" spans="1:53" s="16" customFormat="1" x14ac:dyDescent="0.15">
      <c r="A28" s="470">
        <v>1977</v>
      </c>
      <c r="B28" s="475"/>
      <c r="C28" s="811" t="s">
        <v>1293</v>
      </c>
      <c r="D28" s="811"/>
      <c r="E28" s="470">
        <v>0</v>
      </c>
      <c r="F28" s="470"/>
      <c r="G28" s="480"/>
      <c r="H28" s="470"/>
      <c r="I28" s="470">
        <v>12</v>
      </c>
      <c r="J28" s="482">
        <v>12</v>
      </c>
      <c r="K28" s="477">
        <f t="shared" si="0"/>
        <v>0</v>
      </c>
      <c r="L28" s="477">
        <f t="shared" si="1"/>
        <v>0</v>
      </c>
      <c r="M28" s="477">
        <f t="shared" si="2"/>
        <v>100</v>
      </c>
      <c r="N28" s="481">
        <f t="shared" si="3"/>
        <v>100</v>
      </c>
      <c r="O28" s="476"/>
      <c r="P28" s="477"/>
      <c r="Q28" s="477">
        <v>52.3</v>
      </c>
      <c r="R28" s="478">
        <f t="shared" si="4"/>
        <v>52.3</v>
      </c>
      <c r="S28" s="470">
        <v>1</v>
      </c>
      <c r="T28" s="479"/>
      <c r="U28" s="475"/>
      <c r="V28" s="472" t="s">
        <v>1003</v>
      </c>
      <c r="W28" s="470" t="s">
        <v>20</v>
      </c>
      <c r="X28" s="470" t="s">
        <v>12</v>
      </c>
      <c r="Y28" s="473">
        <v>52.3</v>
      </c>
      <c r="Z28" s="470"/>
      <c r="AA28" s="470"/>
      <c r="AB28" s="470"/>
      <c r="AC28" s="470"/>
      <c r="AD28" s="472"/>
      <c r="AE28" s="470"/>
      <c r="AF28" s="470"/>
      <c r="AG28" s="473"/>
      <c r="AH28" s="470"/>
      <c r="AI28" s="470"/>
      <c r="AJ28" s="470"/>
      <c r="AK28" s="470"/>
      <c r="AL28" s="472"/>
      <c r="AM28" s="470"/>
      <c r="AN28" s="470"/>
      <c r="AO28" s="473"/>
      <c r="AP28" s="472"/>
      <c r="AQ28" s="470"/>
      <c r="AR28" s="470"/>
      <c r="AS28" s="473"/>
      <c r="AT28" s="470"/>
      <c r="AU28" s="470"/>
      <c r="AV28" s="470"/>
      <c r="AW28" s="473"/>
      <c r="AX28" s="470"/>
      <c r="AY28" s="470"/>
      <c r="AZ28" s="470"/>
      <c r="BA28" s="474"/>
    </row>
    <row r="29" spans="1:53" s="16" customFormat="1" x14ac:dyDescent="0.15">
      <c r="A29" s="470">
        <v>1977</v>
      </c>
      <c r="B29" s="475"/>
      <c r="C29" s="811" t="s">
        <v>1293</v>
      </c>
      <c r="D29" s="811"/>
      <c r="E29" s="470">
        <v>365</v>
      </c>
      <c r="F29" s="470"/>
      <c r="G29" s="480"/>
      <c r="H29" s="470"/>
      <c r="I29" s="470">
        <v>12</v>
      </c>
      <c r="J29" s="482">
        <v>12</v>
      </c>
      <c r="K29" s="477">
        <f t="shared" si="0"/>
        <v>0</v>
      </c>
      <c r="L29" s="477">
        <f t="shared" si="1"/>
        <v>0</v>
      </c>
      <c r="M29" s="477">
        <f t="shared" si="2"/>
        <v>100</v>
      </c>
      <c r="N29" s="481">
        <f t="shared" si="3"/>
        <v>100</v>
      </c>
      <c r="O29" s="476"/>
      <c r="P29" s="477"/>
      <c r="Q29" s="477">
        <v>52.3</v>
      </c>
      <c r="R29" s="478">
        <f t="shared" si="4"/>
        <v>52.3</v>
      </c>
      <c r="S29" s="470">
        <v>1</v>
      </c>
      <c r="T29" s="479"/>
      <c r="U29" s="475"/>
      <c r="V29" s="472" t="s">
        <v>1003</v>
      </c>
      <c r="W29" s="470" t="s">
        <v>20</v>
      </c>
      <c r="X29" s="470" t="s">
        <v>12</v>
      </c>
      <c r="Y29" s="473">
        <v>52.3</v>
      </c>
      <c r="Z29" s="470"/>
      <c r="AA29" s="470"/>
      <c r="AB29" s="470"/>
      <c r="AC29" s="470"/>
      <c r="AD29" s="472"/>
      <c r="AE29" s="470"/>
      <c r="AF29" s="470"/>
      <c r="AG29" s="473"/>
      <c r="AH29" s="470"/>
      <c r="AI29" s="470"/>
      <c r="AJ29" s="470"/>
      <c r="AK29" s="470"/>
      <c r="AL29" s="472"/>
      <c r="AM29" s="470"/>
      <c r="AN29" s="470"/>
      <c r="AO29" s="473"/>
      <c r="AP29" s="472"/>
      <c r="AQ29" s="470"/>
      <c r="AR29" s="470"/>
      <c r="AS29" s="473"/>
      <c r="AT29" s="470"/>
      <c r="AU29" s="470"/>
      <c r="AV29" s="470"/>
      <c r="AW29" s="473"/>
      <c r="AX29" s="470"/>
      <c r="AY29" s="470"/>
      <c r="AZ29" s="470"/>
      <c r="BA29" s="474"/>
    </row>
    <row r="30" spans="1:53" s="16" customFormat="1" x14ac:dyDescent="0.15">
      <c r="A30" s="470">
        <v>1978</v>
      </c>
      <c r="B30" s="475"/>
      <c r="C30" s="811" t="s">
        <v>1293</v>
      </c>
      <c r="D30" s="811"/>
      <c r="E30" s="470">
        <v>0</v>
      </c>
      <c r="F30" s="470"/>
      <c r="G30" s="480"/>
      <c r="H30" s="470"/>
      <c r="I30" s="470">
        <v>12</v>
      </c>
      <c r="J30" s="482">
        <v>12</v>
      </c>
      <c r="K30" s="477">
        <f t="shared" si="0"/>
        <v>0</v>
      </c>
      <c r="L30" s="477">
        <f t="shared" si="1"/>
        <v>0</v>
      </c>
      <c r="M30" s="477">
        <f t="shared" si="2"/>
        <v>100</v>
      </c>
      <c r="N30" s="481">
        <f t="shared" si="3"/>
        <v>100</v>
      </c>
      <c r="O30" s="476"/>
      <c r="P30" s="477"/>
      <c r="Q30" s="477">
        <v>52.3</v>
      </c>
      <c r="R30" s="478">
        <f t="shared" si="4"/>
        <v>52.3</v>
      </c>
      <c r="S30" s="470">
        <v>1</v>
      </c>
      <c r="T30" s="479"/>
      <c r="U30" s="475"/>
      <c r="V30" s="472" t="s">
        <v>1003</v>
      </c>
      <c r="W30" s="470" t="s">
        <v>20</v>
      </c>
      <c r="X30" s="470" t="s">
        <v>12</v>
      </c>
      <c r="Y30" s="473">
        <v>52.3</v>
      </c>
      <c r="Z30" s="470"/>
      <c r="AA30" s="470"/>
      <c r="AB30" s="470"/>
      <c r="AC30" s="470"/>
      <c r="AD30" s="472"/>
      <c r="AE30" s="470"/>
      <c r="AF30" s="470"/>
      <c r="AG30" s="473"/>
      <c r="AH30" s="470"/>
      <c r="AI30" s="470"/>
      <c r="AJ30" s="470"/>
      <c r="AK30" s="470"/>
      <c r="AL30" s="472"/>
      <c r="AM30" s="470"/>
      <c r="AN30" s="470"/>
      <c r="AO30" s="473"/>
      <c r="AP30" s="472"/>
      <c r="AQ30" s="470"/>
      <c r="AR30" s="470"/>
      <c r="AS30" s="473"/>
      <c r="AT30" s="470"/>
      <c r="AU30" s="470"/>
      <c r="AV30" s="470"/>
      <c r="AW30" s="473"/>
      <c r="AX30" s="470"/>
      <c r="AY30" s="470"/>
      <c r="AZ30" s="470"/>
      <c r="BA30" s="474"/>
    </row>
    <row r="31" spans="1:53" s="16" customFormat="1" x14ac:dyDescent="0.15">
      <c r="A31" s="470">
        <v>1978</v>
      </c>
      <c r="B31" s="475"/>
      <c r="C31" s="811" t="s">
        <v>1293</v>
      </c>
      <c r="D31" s="811"/>
      <c r="E31" s="470">
        <v>365</v>
      </c>
      <c r="F31" s="470"/>
      <c r="G31" s="480"/>
      <c r="H31" s="470"/>
      <c r="I31" s="470">
        <v>12</v>
      </c>
      <c r="J31" s="482">
        <v>12</v>
      </c>
      <c r="K31" s="477">
        <f t="shared" si="0"/>
        <v>0</v>
      </c>
      <c r="L31" s="477">
        <f t="shared" si="1"/>
        <v>0</v>
      </c>
      <c r="M31" s="477">
        <f t="shared" si="2"/>
        <v>100</v>
      </c>
      <c r="N31" s="481">
        <f t="shared" si="3"/>
        <v>100</v>
      </c>
      <c r="O31" s="476"/>
      <c r="P31" s="477"/>
      <c r="Q31" s="477">
        <v>52.3</v>
      </c>
      <c r="R31" s="478">
        <f t="shared" si="4"/>
        <v>52.3</v>
      </c>
      <c r="S31" s="470">
        <v>1</v>
      </c>
      <c r="T31" s="479"/>
      <c r="U31" s="475"/>
      <c r="V31" s="472" t="s">
        <v>1003</v>
      </c>
      <c r="W31" s="470" t="s">
        <v>20</v>
      </c>
      <c r="X31" s="470" t="s">
        <v>12</v>
      </c>
      <c r="Y31" s="473">
        <v>52.3</v>
      </c>
      <c r="Z31" s="470"/>
      <c r="AA31" s="470"/>
      <c r="AB31" s="470"/>
      <c r="AC31" s="470"/>
      <c r="AD31" s="472"/>
      <c r="AE31" s="470"/>
      <c r="AF31" s="470"/>
      <c r="AG31" s="473"/>
      <c r="AH31" s="470"/>
      <c r="AI31" s="470"/>
      <c r="AJ31" s="470"/>
      <c r="AK31" s="470"/>
      <c r="AL31" s="472"/>
      <c r="AM31" s="470"/>
      <c r="AN31" s="470"/>
      <c r="AO31" s="473"/>
      <c r="AP31" s="472"/>
      <c r="AQ31" s="470"/>
      <c r="AR31" s="470"/>
      <c r="AS31" s="473"/>
      <c r="AT31" s="470"/>
      <c r="AU31" s="470"/>
      <c r="AV31" s="470"/>
      <c r="AW31" s="473"/>
      <c r="AX31" s="470"/>
      <c r="AY31" s="470"/>
      <c r="AZ31" s="470"/>
      <c r="BA31" s="474"/>
    </row>
    <row r="32" spans="1:53" s="16" customFormat="1" x14ac:dyDescent="0.15">
      <c r="A32" s="470">
        <v>1979</v>
      </c>
      <c r="B32" s="475"/>
      <c r="C32" s="811" t="s">
        <v>1293</v>
      </c>
      <c r="D32" s="811"/>
      <c r="E32" s="470">
        <v>0</v>
      </c>
      <c r="F32" s="470"/>
      <c r="G32" s="480"/>
      <c r="H32" s="470"/>
      <c r="I32" s="470">
        <v>12</v>
      </c>
      <c r="J32" s="482">
        <v>12</v>
      </c>
      <c r="K32" s="477">
        <f t="shared" si="0"/>
        <v>0</v>
      </c>
      <c r="L32" s="477">
        <f t="shared" si="1"/>
        <v>0</v>
      </c>
      <c r="M32" s="477">
        <f t="shared" si="2"/>
        <v>100</v>
      </c>
      <c r="N32" s="481">
        <f t="shared" si="3"/>
        <v>100</v>
      </c>
      <c r="O32" s="476"/>
      <c r="P32" s="477"/>
      <c r="Q32" s="477">
        <v>52.3</v>
      </c>
      <c r="R32" s="478">
        <f t="shared" si="4"/>
        <v>52.3</v>
      </c>
      <c r="S32" s="470">
        <v>1</v>
      </c>
      <c r="T32" s="479"/>
      <c r="U32" s="475"/>
      <c r="V32" s="472" t="s">
        <v>1003</v>
      </c>
      <c r="W32" s="470" t="s">
        <v>20</v>
      </c>
      <c r="X32" s="470" t="s">
        <v>12</v>
      </c>
      <c r="Y32" s="473">
        <v>52.3</v>
      </c>
      <c r="Z32" s="470"/>
      <c r="AA32" s="470"/>
      <c r="AB32" s="470"/>
      <c r="AC32" s="470"/>
      <c r="AD32" s="472"/>
      <c r="AE32" s="470"/>
      <c r="AF32" s="470"/>
      <c r="AG32" s="473"/>
      <c r="AH32" s="470"/>
      <c r="AI32" s="470"/>
      <c r="AJ32" s="470"/>
      <c r="AK32" s="470"/>
      <c r="AL32" s="472"/>
      <c r="AM32" s="470"/>
      <c r="AN32" s="470"/>
      <c r="AO32" s="473"/>
      <c r="AP32" s="472"/>
      <c r="AQ32" s="470"/>
      <c r="AR32" s="470"/>
      <c r="AS32" s="473"/>
      <c r="AT32" s="470"/>
      <c r="AU32" s="470"/>
      <c r="AV32" s="470"/>
      <c r="AW32" s="473"/>
      <c r="AX32" s="470"/>
      <c r="AY32" s="470"/>
      <c r="AZ32" s="470"/>
      <c r="BA32" s="474"/>
    </row>
    <row r="33" spans="1:53" s="16" customFormat="1" x14ac:dyDescent="0.15">
      <c r="A33" s="470">
        <v>1979</v>
      </c>
      <c r="B33" s="475"/>
      <c r="C33" s="811" t="s">
        <v>1293</v>
      </c>
      <c r="D33" s="811"/>
      <c r="E33" s="470">
        <v>365</v>
      </c>
      <c r="F33" s="470"/>
      <c r="G33" s="480"/>
      <c r="H33" s="470"/>
      <c r="I33" s="470">
        <v>12</v>
      </c>
      <c r="J33" s="482">
        <v>12</v>
      </c>
      <c r="K33" s="477">
        <f t="shared" si="0"/>
        <v>0</v>
      </c>
      <c r="L33" s="477">
        <f t="shared" si="1"/>
        <v>0</v>
      </c>
      <c r="M33" s="477">
        <f t="shared" si="2"/>
        <v>100</v>
      </c>
      <c r="N33" s="481">
        <f t="shared" si="3"/>
        <v>100</v>
      </c>
      <c r="O33" s="476"/>
      <c r="P33" s="477"/>
      <c r="Q33" s="477">
        <v>52.3</v>
      </c>
      <c r="R33" s="478">
        <f t="shared" si="4"/>
        <v>52.3</v>
      </c>
      <c r="S33" s="470">
        <v>1</v>
      </c>
      <c r="T33" s="479"/>
      <c r="U33" s="475"/>
      <c r="V33" s="472" t="s">
        <v>1003</v>
      </c>
      <c r="W33" s="470" t="s">
        <v>20</v>
      </c>
      <c r="X33" s="470" t="s">
        <v>12</v>
      </c>
      <c r="Y33" s="473">
        <v>52.3</v>
      </c>
      <c r="Z33" s="470"/>
      <c r="AA33" s="470"/>
      <c r="AB33" s="470"/>
      <c r="AC33" s="470"/>
      <c r="AD33" s="472"/>
      <c r="AE33" s="470"/>
      <c r="AF33" s="470"/>
      <c r="AG33" s="473"/>
      <c r="AH33" s="470"/>
      <c r="AI33" s="470"/>
      <c r="AJ33" s="470"/>
      <c r="AK33" s="470"/>
      <c r="AL33" s="472"/>
      <c r="AM33" s="470"/>
      <c r="AN33" s="470"/>
      <c r="AO33" s="473"/>
      <c r="AP33" s="472"/>
      <c r="AQ33" s="470"/>
      <c r="AR33" s="470"/>
      <c r="AS33" s="473"/>
      <c r="AT33" s="470"/>
      <c r="AU33" s="470"/>
      <c r="AV33" s="470"/>
      <c r="AW33" s="473"/>
      <c r="AX33" s="470"/>
      <c r="AY33" s="470"/>
      <c r="AZ33" s="470"/>
      <c r="BA33" s="474"/>
    </row>
    <row r="34" spans="1:53" s="16" customFormat="1" x14ac:dyDescent="0.15">
      <c r="A34" s="470">
        <v>1980</v>
      </c>
      <c r="B34" s="475"/>
      <c r="C34" s="811" t="s">
        <v>1293</v>
      </c>
      <c r="D34" s="811"/>
      <c r="E34" s="470">
        <v>0</v>
      </c>
      <c r="F34" s="470"/>
      <c r="G34" s="480"/>
      <c r="H34" s="470"/>
      <c r="I34" s="470">
        <v>12</v>
      </c>
      <c r="J34" s="482">
        <v>12</v>
      </c>
      <c r="K34" s="477">
        <f t="shared" si="0"/>
        <v>0</v>
      </c>
      <c r="L34" s="477">
        <f t="shared" si="1"/>
        <v>0</v>
      </c>
      <c r="M34" s="477">
        <f t="shared" si="2"/>
        <v>100</v>
      </c>
      <c r="N34" s="481">
        <f t="shared" si="3"/>
        <v>100</v>
      </c>
      <c r="O34" s="476"/>
      <c r="P34" s="477"/>
      <c r="Q34" s="477">
        <v>52.3</v>
      </c>
      <c r="R34" s="478">
        <f t="shared" si="4"/>
        <v>52.3</v>
      </c>
      <c r="S34" s="470">
        <v>1</v>
      </c>
      <c r="T34" s="479"/>
      <c r="U34" s="475"/>
      <c r="V34" s="472" t="s">
        <v>1003</v>
      </c>
      <c r="W34" s="470" t="s">
        <v>20</v>
      </c>
      <c r="X34" s="470" t="s">
        <v>12</v>
      </c>
      <c r="Y34" s="473">
        <v>52.3</v>
      </c>
      <c r="Z34" s="470"/>
      <c r="AA34" s="470"/>
      <c r="AB34" s="470"/>
      <c r="AC34" s="470"/>
      <c r="AD34" s="472"/>
      <c r="AE34" s="470"/>
      <c r="AF34" s="470"/>
      <c r="AG34" s="473"/>
      <c r="AH34" s="470"/>
      <c r="AI34" s="470"/>
      <c r="AJ34" s="470"/>
      <c r="AK34" s="470"/>
      <c r="AL34" s="472"/>
      <c r="AM34" s="470"/>
      <c r="AN34" s="470"/>
      <c r="AO34" s="473"/>
      <c r="AP34" s="472"/>
      <c r="AQ34" s="470"/>
      <c r="AR34" s="470"/>
      <c r="AS34" s="473"/>
      <c r="AT34" s="470"/>
      <c r="AU34" s="470"/>
      <c r="AV34" s="470"/>
      <c r="AW34" s="473"/>
      <c r="AX34" s="470"/>
      <c r="AY34" s="470"/>
      <c r="AZ34" s="470"/>
      <c r="BA34" s="474"/>
    </row>
    <row r="35" spans="1:53" s="16" customFormat="1" x14ac:dyDescent="0.15">
      <c r="A35" s="470">
        <v>1980</v>
      </c>
      <c r="B35" s="475"/>
      <c r="C35" s="811" t="s">
        <v>1293</v>
      </c>
      <c r="D35" s="811"/>
      <c r="E35" s="470">
        <v>366</v>
      </c>
      <c r="F35" s="470"/>
      <c r="G35" s="480"/>
      <c r="H35" s="470"/>
      <c r="I35" s="470">
        <v>12</v>
      </c>
      <c r="J35" s="482">
        <v>12</v>
      </c>
      <c r="K35" s="477">
        <f t="shared" si="0"/>
        <v>0</v>
      </c>
      <c r="L35" s="477">
        <f t="shared" si="1"/>
        <v>0</v>
      </c>
      <c r="M35" s="477">
        <f t="shared" si="2"/>
        <v>100</v>
      </c>
      <c r="N35" s="481">
        <f t="shared" si="3"/>
        <v>100</v>
      </c>
      <c r="O35" s="476"/>
      <c r="P35" s="477"/>
      <c r="Q35" s="477">
        <v>52.3</v>
      </c>
      <c r="R35" s="478">
        <f t="shared" si="4"/>
        <v>52.3</v>
      </c>
      <c r="S35" s="470">
        <v>1</v>
      </c>
      <c r="T35" s="479"/>
      <c r="U35" s="475"/>
      <c r="V35" s="472" t="s">
        <v>1003</v>
      </c>
      <c r="W35" s="470" t="s">
        <v>20</v>
      </c>
      <c r="X35" s="470" t="s">
        <v>12</v>
      </c>
      <c r="Y35" s="473">
        <v>52.3</v>
      </c>
      <c r="Z35" s="470"/>
      <c r="AA35" s="470"/>
      <c r="AB35" s="470"/>
      <c r="AC35" s="470"/>
      <c r="AD35" s="472"/>
      <c r="AE35" s="470"/>
      <c r="AF35" s="470"/>
      <c r="AG35" s="473"/>
      <c r="AH35" s="470"/>
      <c r="AI35" s="470"/>
      <c r="AJ35" s="470"/>
      <c r="AK35" s="470"/>
      <c r="AL35" s="472"/>
      <c r="AM35" s="470"/>
      <c r="AN35" s="470"/>
      <c r="AO35" s="473"/>
      <c r="AP35" s="472"/>
      <c r="AQ35" s="470"/>
      <c r="AR35" s="470"/>
      <c r="AS35" s="473"/>
      <c r="AT35" s="470"/>
      <c r="AU35" s="470"/>
      <c r="AV35" s="470"/>
      <c r="AW35" s="473"/>
      <c r="AX35" s="470"/>
      <c r="AY35" s="470"/>
      <c r="AZ35" s="470"/>
      <c r="BA35" s="474"/>
    </row>
    <row r="36" spans="1:53" s="16" customFormat="1" x14ac:dyDescent="0.15">
      <c r="A36" s="470">
        <v>1981</v>
      </c>
      <c r="B36" s="475"/>
      <c r="C36" s="811" t="s">
        <v>1293</v>
      </c>
      <c r="D36" s="811"/>
      <c r="E36" s="470">
        <v>351</v>
      </c>
      <c r="F36" s="470"/>
      <c r="G36" s="480"/>
      <c r="H36" s="470"/>
      <c r="I36" s="470">
        <v>12</v>
      </c>
      <c r="J36" s="482">
        <v>12</v>
      </c>
      <c r="K36" s="477">
        <f t="shared" si="0"/>
        <v>0</v>
      </c>
      <c r="L36" s="477">
        <f t="shared" si="1"/>
        <v>0</v>
      </c>
      <c r="M36" s="477">
        <f t="shared" si="2"/>
        <v>100</v>
      </c>
      <c r="N36" s="481">
        <f t="shared" si="3"/>
        <v>100</v>
      </c>
      <c r="O36" s="476"/>
      <c r="P36" s="477"/>
      <c r="Q36" s="477">
        <v>52.3</v>
      </c>
      <c r="R36" s="478">
        <f t="shared" si="4"/>
        <v>52.3</v>
      </c>
      <c r="S36" s="470">
        <v>1</v>
      </c>
      <c r="T36" s="479"/>
      <c r="U36" s="475"/>
      <c r="V36" s="472" t="s">
        <v>1003</v>
      </c>
      <c r="W36" s="470" t="s">
        <v>20</v>
      </c>
      <c r="X36" s="470" t="s">
        <v>12</v>
      </c>
      <c r="Y36" s="473">
        <v>52.3</v>
      </c>
      <c r="Z36" s="470"/>
      <c r="AA36" s="470"/>
      <c r="AB36" s="470"/>
      <c r="AC36" s="470"/>
      <c r="AD36" s="472"/>
      <c r="AE36" s="470"/>
      <c r="AF36" s="470"/>
      <c r="AG36" s="473"/>
      <c r="AH36" s="470"/>
      <c r="AI36" s="470"/>
      <c r="AJ36" s="470"/>
      <c r="AK36" s="470"/>
      <c r="AL36" s="472"/>
      <c r="AM36" s="470"/>
      <c r="AN36" s="470"/>
      <c r="AO36" s="473"/>
      <c r="AP36" s="472"/>
      <c r="AQ36" s="470"/>
      <c r="AR36" s="470"/>
      <c r="AS36" s="473"/>
      <c r="AT36" s="470"/>
      <c r="AU36" s="470"/>
      <c r="AV36" s="470"/>
      <c r="AW36" s="473"/>
      <c r="AX36" s="470"/>
      <c r="AY36" s="470"/>
      <c r="AZ36" s="470"/>
      <c r="BA36" s="474"/>
    </row>
    <row r="37" spans="1:53" s="16" customFormat="1" x14ac:dyDescent="0.15">
      <c r="A37" s="486">
        <v>1981</v>
      </c>
      <c r="B37" s="491">
        <v>29938</v>
      </c>
      <c r="C37" s="812" t="s">
        <v>1294</v>
      </c>
      <c r="D37" s="812"/>
      <c r="E37" s="486">
        <f>365-E36</f>
        <v>14</v>
      </c>
      <c r="F37" s="486">
        <v>1</v>
      </c>
      <c r="G37" s="497"/>
      <c r="H37" s="486"/>
      <c r="I37" s="486">
        <v>14</v>
      </c>
      <c r="J37" s="499">
        <v>14</v>
      </c>
      <c r="K37" s="495">
        <f t="shared" si="0"/>
        <v>0</v>
      </c>
      <c r="L37" s="495">
        <f t="shared" si="1"/>
        <v>0</v>
      </c>
      <c r="M37" s="495">
        <f t="shared" si="2"/>
        <v>100</v>
      </c>
      <c r="N37" s="498">
        <f t="shared" si="3"/>
        <v>100</v>
      </c>
      <c r="O37" s="494"/>
      <c r="P37" s="495"/>
      <c r="Q37" s="495">
        <v>52.3</v>
      </c>
      <c r="R37" s="496">
        <f t="shared" si="4"/>
        <v>52.3</v>
      </c>
      <c r="S37" s="492">
        <v>1</v>
      </c>
      <c r="T37" s="487">
        <v>29932</v>
      </c>
      <c r="U37" s="491">
        <v>29938</v>
      </c>
      <c r="V37" s="488" t="s">
        <v>1003</v>
      </c>
      <c r="W37" s="486" t="s">
        <v>20</v>
      </c>
      <c r="X37" s="486" t="s">
        <v>12</v>
      </c>
      <c r="Y37" s="489">
        <v>47.7</v>
      </c>
      <c r="Z37" s="486"/>
      <c r="AA37" s="486"/>
      <c r="AB37" s="486"/>
      <c r="AC37" s="486"/>
      <c r="AD37" s="488"/>
      <c r="AE37" s="486"/>
      <c r="AF37" s="486"/>
      <c r="AG37" s="489"/>
      <c r="AH37" s="486"/>
      <c r="AI37" s="486"/>
      <c r="AJ37" s="486"/>
      <c r="AK37" s="486"/>
      <c r="AL37" s="488"/>
      <c r="AM37" s="486"/>
      <c r="AN37" s="486"/>
      <c r="AO37" s="489"/>
      <c r="AP37" s="488"/>
      <c r="AQ37" s="486"/>
      <c r="AR37" s="486"/>
      <c r="AS37" s="489"/>
      <c r="AT37" s="486"/>
      <c r="AU37" s="486"/>
      <c r="AV37" s="486"/>
      <c r="AW37" s="489"/>
      <c r="AX37" s="486"/>
      <c r="AY37" s="486"/>
      <c r="AZ37" s="486"/>
      <c r="BA37" s="490"/>
    </row>
    <row r="38" spans="1:53" s="16" customFormat="1" x14ac:dyDescent="0.15">
      <c r="A38" s="486">
        <v>1982</v>
      </c>
      <c r="B38" s="486"/>
      <c r="C38" s="812" t="s">
        <v>1294</v>
      </c>
      <c r="D38" s="812"/>
      <c r="E38" s="486">
        <v>0</v>
      </c>
      <c r="F38" s="486"/>
      <c r="G38" s="497"/>
      <c r="H38" s="486"/>
      <c r="I38" s="486">
        <v>14</v>
      </c>
      <c r="J38" s="499">
        <v>14</v>
      </c>
      <c r="K38" s="495">
        <f t="shared" si="0"/>
        <v>0</v>
      </c>
      <c r="L38" s="495">
        <f t="shared" si="1"/>
        <v>0</v>
      </c>
      <c r="M38" s="495">
        <f t="shared" si="2"/>
        <v>100</v>
      </c>
      <c r="N38" s="498">
        <f t="shared" si="3"/>
        <v>100</v>
      </c>
      <c r="O38" s="494"/>
      <c r="P38" s="495"/>
      <c r="Q38" s="495">
        <v>52.3</v>
      </c>
      <c r="R38" s="496">
        <f t="shared" si="4"/>
        <v>52.3</v>
      </c>
      <c r="S38" s="492">
        <v>1</v>
      </c>
      <c r="T38" s="492"/>
      <c r="U38" s="486"/>
      <c r="V38" s="488" t="s">
        <v>1003</v>
      </c>
      <c r="W38" s="486" t="s">
        <v>20</v>
      </c>
      <c r="X38" s="486" t="s">
        <v>12</v>
      </c>
      <c r="Y38" s="489">
        <v>47.7</v>
      </c>
      <c r="Z38" s="486"/>
      <c r="AA38" s="486"/>
      <c r="AB38" s="486"/>
      <c r="AC38" s="486"/>
      <c r="AD38" s="488"/>
      <c r="AE38" s="486"/>
      <c r="AF38" s="486"/>
      <c r="AG38" s="489"/>
      <c r="AH38" s="486"/>
      <c r="AI38" s="486"/>
      <c r="AJ38" s="486"/>
      <c r="AK38" s="486"/>
      <c r="AL38" s="488"/>
      <c r="AM38" s="486"/>
      <c r="AN38" s="486"/>
      <c r="AO38" s="489"/>
      <c r="AP38" s="488"/>
      <c r="AQ38" s="486"/>
      <c r="AR38" s="486"/>
      <c r="AS38" s="489"/>
      <c r="AT38" s="486"/>
      <c r="AU38" s="486"/>
      <c r="AV38" s="486"/>
      <c r="AW38" s="489"/>
      <c r="AX38" s="486"/>
      <c r="AY38" s="486"/>
      <c r="AZ38" s="486"/>
      <c r="BA38" s="490"/>
    </row>
    <row r="39" spans="1:53" s="16" customFormat="1" x14ac:dyDescent="0.15">
      <c r="A39" s="486">
        <v>1982</v>
      </c>
      <c r="B39" s="486"/>
      <c r="C39" s="812" t="s">
        <v>1294</v>
      </c>
      <c r="D39" s="812"/>
      <c r="E39" s="486">
        <v>365</v>
      </c>
      <c r="F39" s="486"/>
      <c r="G39" s="497"/>
      <c r="H39" s="486"/>
      <c r="I39" s="486">
        <v>14</v>
      </c>
      <c r="J39" s="499">
        <v>14</v>
      </c>
      <c r="K39" s="495">
        <f t="shared" ref="K39:K70" si="5">G39/J39*100</f>
        <v>0</v>
      </c>
      <c r="L39" s="495">
        <f t="shared" ref="L39:L70" si="6">H39/J39*100</f>
        <v>0</v>
      </c>
      <c r="M39" s="495">
        <f t="shared" ref="M39:M70" si="7">I39/J39*100</f>
        <v>100</v>
      </c>
      <c r="N39" s="498">
        <f t="shared" ref="N39:N70" si="8">K39+L39+M39</f>
        <v>100</v>
      </c>
      <c r="O39" s="494"/>
      <c r="P39" s="495"/>
      <c r="Q39" s="495">
        <v>52.3</v>
      </c>
      <c r="R39" s="496">
        <f t="shared" ref="R39:R70" si="9">O39+P39+Q39</f>
        <v>52.3</v>
      </c>
      <c r="S39" s="492">
        <v>1</v>
      </c>
      <c r="T39" s="492"/>
      <c r="U39" s="486"/>
      <c r="V39" s="488" t="s">
        <v>1003</v>
      </c>
      <c r="W39" s="486" t="s">
        <v>20</v>
      </c>
      <c r="X39" s="486" t="s">
        <v>12</v>
      </c>
      <c r="Y39" s="489">
        <v>47.7</v>
      </c>
      <c r="Z39" s="486"/>
      <c r="AA39" s="486"/>
      <c r="AB39" s="486"/>
      <c r="AC39" s="486"/>
      <c r="AD39" s="488"/>
      <c r="AE39" s="486"/>
      <c r="AF39" s="486"/>
      <c r="AG39" s="489"/>
      <c r="AH39" s="486"/>
      <c r="AI39" s="486"/>
      <c r="AJ39" s="486"/>
      <c r="AK39" s="486"/>
      <c r="AL39" s="488"/>
      <c r="AM39" s="486"/>
      <c r="AN39" s="486"/>
      <c r="AO39" s="489"/>
      <c r="AP39" s="488"/>
      <c r="AQ39" s="486"/>
      <c r="AR39" s="486"/>
      <c r="AS39" s="489"/>
      <c r="AT39" s="486"/>
      <c r="AU39" s="486"/>
      <c r="AV39" s="486"/>
      <c r="AW39" s="489"/>
      <c r="AX39" s="486"/>
      <c r="AY39" s="486"/>
      <c r="AZ39" s="486"/>
      <c r="BA39" s="490"/>
    </row>
    <row r="40" spans="1:53" s="16" customFormat="1" x14ac:dyDescent="0.15">
      <c r="A40" s="486">
        <v>1983</v>
      </c>
      <c r="B40" s="486"/>
      <c r="C40" s="812" t="s">
        <v>1294</v>
      </c>
      <c r="D40" s="812"/>
      <c r="E40" s="486">
        <v>0</v>
      </c>
      <c r="F40" s="486"/>
      <c r="G40" s="497"/>
      <c r="H40" s="486"/>
      <c r="I40" s="486">
        <v>14</v>
      </c>
      <c r="J40" s="499">
        <v>14</v>
      </c>
      <c r="K40" s="495">
        <f t="shared" si="5"/>
        <v>0</v>
      </c>
      <c r="L40" s="495">
        <f t="shared" si="6"/>
        <v>0</v>
      </c>
      <c r="M40" s="495">
        <f t="shared" si="7"/>
        <v>100</v>
      </c>
      <c r="N40" s="498">
        <f t="shared" si="8"/>
        <v>100</v>
      </c>
      <c r="O40" s="494"/>
      <c r="P40" s="495"/>
      <c r="Q40" s="495">
        <v>52.3</v>
      </c>
      <c r="R40" s="496">
        <f t="shared" si="9"/>
        <v>52.3</v>
      </c>
      <c r="S40" s="492">
        <v>1</v>
      </c>
      <c r="T40" s="492"/>
      <c r="U40" s="486"/>
      <c r="V40" s="488" t="s">
        <v>1003</v>
      </c>
      <c r="W40" s="486" t="s">
        <v>20</v>
      </c>
      <c r="X40" s="486" t="s">
        <v>12</v>
      </c>
      <c r="Y40" s="489">
        <v>47.7</v>
      </c>
      <c r="Z40" s="486"/>
      <c r="AA40" s="486"/>
      <c r="AB40" s="486"/>
      <c r="AC40" s="486"/>
      <c r="AD40" s="488"/>
      <c r="AE40" s="486"/>
      <c r="AF40" s="486"/>
      <c r="AG40" s="489"/>
      <c r="AH40" s="486"/>
      <c r="AI40" s="486"/>
      <c r="AJ40" s="486"/>
      <c r="AK40" s="486"/>
      <c r="AL40" s="488"/>
      <c r="AM40" s="486"/>
      <c r="AN40" s="486"/>
      <c r="AO40" s="489"/>
      <c r="AP40" s="488"/>
      <c r="AQ40" s="486"/>
      <c r="AR40" s="486"/>
      <c r="AS40" s="489"/>
      <c r="AT40" s="486"/>
      <c r="AU40" s="486"/>
      <c r="AV40" s="486"/>
      <c r="AW40" s="489"/>
      <c r="AX40" s="486"/>
      <c r="AY40" s="486"/>
      <c r="AZ40" s="486"/>
      <c r="BA40" s="490"/>
    </row>
    <row r="41" spans="1:53" s="16" customFormat="1" x14ac:dyDescent="0.15">
      <c r="A41" s="486">
        <v>1983</v>
      </c>
      <c r="B41" s="486"/>
      <c r="C41" s="812" t="s">
        <v>1294</v>
      </c>
      <c r="D41" s="812"/>
      <c r="E41" s="486">
        <v>365</v>
      </c>
      <c r="F41" s="486"/>
      <c r="G41" s="497"/>
      <c r="H41" s="486"/>
      <c r="I41" s="486">
        <v>14</v>
      </c>
      <c r="J41" s="499">
        <v>14</v>
      </c>
      <c r="K41" s="495">
        <f t="shared" si="5"/>
        <v>0</v>
      </c>
      <c r="L41" s="495">
        <f t="shared" si="6"/>
        <v>0</v>
      </c>
      <c r="M41" s="495">
        <f t="shared" si="7"/>
        <v>100</v>
      </c>
      <c r="N41" s="498">
        <f t="shared" si="8"/>
        <v>100</v>
      </c>
      <c r="O41" s="494"/>
      <c r="P41" s="495"/>
      <c r="Q41" s="495">
        <v>52.3</v>
      </c>
      <c r="R41" s="496">
        <f t="shared" si="9"/>
        <v>52.3</v>
      </c>
      <c r="S41" s="492">
        <v>1</v>
      </c>
      <c r="T41" s="492"/>
      <c r="U41" s="486"/>
      <c r="V41" s="488" t="s">
        <v>1003</v>
      </c>
      <c r="W41" s="486" t="s">
        <v>20</v>
      </c>
      <c r="X41" s="486" t="s">
        <v>12</v>
      </c>
      <c r="Y41" s="489">
        <v>47.7</v>
      </c>
      <c r="Z41" s="486"/>
      <c r="AA41" s="486"/>
      <c r="AB41" s="486"/>
      <c r="AC41" s="486"/>
      <c r="AD41" s="488"/>
      <c r="AE41" s="486"/>
      <c r="AF41" s="486"/>
      <c r="AG41" s="489"/>
      <c r="AH41" s="486"/>
      <c r="AI41" s="486"/>
      <c r="AJ41" s="486"/>
      <c r="AK41" s="486"/>
      <c r="AL41" s="488"/>
      <c r="AM41" s="486"/>
      <c r="AN41" s="486"/>
      <c r="AO41" s="489"/>
      <c r="AP41" s="488"/>
      <c r="AQ41" s="486"/>
      <c r="AR41" s="486"/>
      <c r="AS41" s="489"/>
      <c r="AT41" s="486"/>
      <c r="AU41" s="486"/>
      <c r="AV41" s="486"/>
      <c r="AW41" s="489"/>
      <c r="AX41" s="486"/>
      <c r="AY41" s="486"/>
      <c r="AZ41" s="486"/>
      <c r="BA41" s="490"/>
    </row>
    <row r="42" spans="1:53" s="16" customFormat="1" x14ac:dyDescent="0.15">
      <c r="A42" s="486">
        <v>1984</v>
      </c>
      <c r="B42" s="486"/>
      <c r="C42" s="812" t="s">
        <v>1294</v>
      </c>
      <c r="D42" s="812"/>
      <c r="E42" s="486">
        <v>357</v>
      </c>
      <c r="F42" s="486"/>
      <c r="G42" s="497"/>
      <c r="H42" s="486"/>
      <c r="I42" s="486">
        <v>14</v>
      </c>
      <c r="J42" s="499">
        <v>14</v>
      </c>
      <c r="K42" s="495">
        <f t="shared" si="5"/>
        <v>0</v>
      </c>
      <c r="L42" s="495">
        <f t="shared" si="6"/>
        <v>0</v>
      </c>
      <c r="M42" s="495">
        <f t="shared" si="7"/>
        <v>100</v>
      </c>
      <c r="N42" s="498">
        <f t="shared" si="8"/>
        <v>100</v>
      </c>
      <c r="O42" s="494"/>
      <c r="P42" s="495"/>
      <c r="Q42" s="495">
        <v>52.3</v>
      </c>
      <c r="R42" s="496">
        <f t="shared" si="9"/>
        <v>52.3</v>
      </c>
      <c r="S42" s="492">
        <v>1</v>
      </c>
      <c r="T42" s="492"/>
      <c r="U42" s="486"/>
      <c r="V42" s="488" t="s">
        <v>1003</v>
      </c>
      <c r="W42" s="486" t="s">
        <v>20</v>
      </c>
      <c r="X42" s="486" t="s">
        <v>12</v>
      </c>
      <c r="Y42" s="489">
        <v>47.7</v>
      </c>
      <c r="Z42" s="486"/>
      <c r="AA42" s="486"/>
      <c r="AB42" s="486"/>
      <c r="AC42" s="486"/>
      <c r="AD42" s="488"/>
      <c r="AE42" s="486"/>
      <c r="AF42" s="486"/>
      <c r="AG42" s="489"/>
      <c r="AH42" s="486"/>
      <c r="AI42" s="486"/>
      <c r="AJ42" s="486"/>
      <c r="AK42" s="486"/>
      <c r="AL42" s="488"/>
      <c r="AM42" s="486"/>
      <c r="AN42" s="486"/>
      <c r="AO42" s="489"/>
      <c r="AP42" s="488"/>
      <c r="AQ42" s="486"/>
      <c r="AR42" s="486"/>
      <c r="AS42" s="489"/>
      <c r="AT42" s="486"/>
      <c r="AU42" s="486"/>
      <c r="AV42" s="486"/>
      <c r="AW42" s="489"/>
      <c r="AX42" s="486"/>
      <c r="AY42" s="486"/>
      <c r="AZ42" s="486"/>
      <c r="BA42" s="490"/>
    </row>
    <row r="43" spans="1:53" s="16" customFormat="1" x14ac:dyDescent="0.15">
      <c r="A43" s="470">
        <v>1984</v>
      </c>
      <c r="B43" s="475">
        <v>31039</v>
      </c>
      <c r="C43" s="811" t="s">
        <v>1295</v>
      </c>
      <c r="D43" s="811"/>
      <c r="E43" s="470">
        <f>366-E42</f>
        <v>9</v>
      </c>
      <c r="F43" s="470">
        <v>2</v>
      </c>
      <c r="G43" s="480"/>
      <c r="H43" s="470"/>
      <c r="I43" s="470">
        <v>12</v>
      </c>
      <c r="J43" s="482">
        <v>12</v>
      </c>
      <c r="K43" s="477">
        <f t="shared" si="5"/>
        <v>0</v>
      </c>
      <c r="L43" s="477">
        <f t="shared" si="6"/>
        <v>0</v>
      </c>
      <c r="M43" s="477">
        <f t="shared" si="7"/>
        <v>100</v>
      </c>
      <c r="N43" s="481">
        <f t="shared" si="8"/>
        <v>100</v>
      </c>
      <c r="O43" s="476"/>
      <c r="P43" s="477"/>
      <c r="Q43" s="477">
        <v>52.3</v>
      </c>
      <c r="R43" s="478">
        <f t="shared" si="9"/>
        <v>52.3</v>
      </c>
      <c r="S43" s="470">
        <v>1</v>
      </c>
      <c r="T43" s="479"/>
      <c r="U43" s="475">
        <v>31039</v>
      </c>
      <c r="V43" s="472" t="s">
        <v>1003</v>
      </c>
      <c r="W43" s="470" t="s">
        <v>20</v>
      </c>
      <c r="X43" s="470" t="s">
        <v>12</v>
      </c>
      <c r="Y43" s="473">
        <v>47.7</v>
      </c>
      <c r="Z43" s="470"/>
      <c r="AA43" s="470"/>
      <c r="AB43" s="470"/>
      <c r="AC43" s="470"/>
      <c r="AD43" s="472"/>
      <c r="AE43" s="470"/>
      <c r="AF43" s="470"/>
      <c r="AG43" s="473"/>
      <c r="AH43" s="470"/>
      <c r="AI43" s="470"/>
      <c r="AJ43" s="470"/>
      <c r="AK43" s="470"/>
      <c r="AL43" s="472"/>
      <c r="AM43" s="470"/>
      <c r="AN43" s="470"/>
      <c r="AO43" s="473"/>
      <c r="AP43" s="472"/>
      <c r="AQ43" s="470"/>
      <c r="AR43" s="470"/>
      <c r="AS43" s="473"/>
      <c r="AT43" s="470"/>
      <c r="AU43" s="470"/>
      <c r="AV43" s="470"/>
      <c r="AW43" s="473"/>
      <c r="AX43" s="470"/>
      <c r="AY43" s="470"/>
      <c r="AZ43" s="470"/>
      <c r="BA43" s="474"/>
    </row>
    <row r="44" spans="1:53" s="16" customFormat="1" x14ac:dyDescent="0.15">
      <c r="A44" s="470">
        <v>1985</v>
      </c>
      <c r="B44" s="475"/>
      <c r="C44" s="811" t="s">
        <v>1295</v>
      </c>
      <c r="D44" s="811"/>
      <c r="E44" s="470">
        <v>0</v>
      </c>
      <c r="F44" s="470"/>
      <c r="G44" s="480"/>
      <c r="H44" s="470"/>
      <c r="I44" s="470">
        <v>12</v>
      </c>
      <c r="J44" s="482">
        <v>12</v>
      </c>
      <c r="K44" s="477">
        <f t="shared" si="5"/>
        <v>0</v>
      </c>
      <c r="L44" s="477">
        <f t="shared" si="6"/>
        <v>0</v>
      </c>
      <c r="M44" s="477">
        <f t="shared" si="7"/>
        <v>100</v>
      </c>
      <c r="N44" s="481">
        <f t="shared" si="8"/>
        <v>100</v>
      </c>
      <c r="O44" s="476"/>
      <c r="P44" s="477"/>
      <c r="Q44" s="477">
        <v>52.3</v>
      </c>
      <c r="R44" s="478">
        <f t="shared" si="9"/>
        <v>52.3</v>
      </c>
      <c r="S44" s="470">
        <v>1</v>
      </c>
      <c r="T44" s="479"/>
      <c r="U44" s="475"/>
      <c r="V44" s="472" t="s">
        <v>1003</v>
      </c>
      <c r="W44" s="470" t="s">
        <v>20</v>
      </c>
      <c r="X44" s="470" t="s">
        <v>12</v>
      </c>
      <c r="Y44" s="473">
        <v>47.7</v>
      </c>
      <c r="Z44" s="470"/>
      <c r="AA44" s="470"/>
      <c r="AB44" s="470"/>
      <c r="AC44" s="470"/>
      <c r="AD44" s="472"/>
      <c r="AE44" s="470"/>
      <c r="AF44" s="470"/>
      <c r="AG44" s="473"/>
      <c r="AH44" s="470"/>
      <c r="AI44" s="470"/>
      <c r="AJ44" s="470"/>
      <c r="AK44" s="470"/>
      <c r="AL44" s="472"/>
      <c r="AM44" s="470"/>
      <c r="AN44" s="470"/>
      <c r="AO44" s="473"/>
      <c r="AP44" s="472"/>
      <c r="AQ44" s="470"/>
      <c r="AR44" s="470"/>
      <c r="AS44" s="473"/>
      <c r="AT44" s="470"/>
      <c r="AU44" s="470"/>
      <c r="AV44" s="470"/>
      <c r="AW44" s="473"/>
      <c r="AX44" s="470"/>
      <c r="AY44" s="470"/>
      <c r="AZ44" s="470"/>
      <c r="BA44" s="474"/>
    </row>
    <row r="45" spans="1:53" s="16" customFormat="1" x14ac:dyDescent="0.15">
      <c r="A45" s="470">
        <v>1985</v>
      </c>
      <c r="B45" s="475"/>
      <c r="C45" s="811" t="s">
        <v>1295</v>
      </c>
      <c r="D45" s="811"/>
      <c r="E45" s="470">
        <v>365</v>
      </c>
      <c r="F45" s="470"/>
      <c r="G45" s="480"/>
      <c r="H45" s="470"/>
      <c r="I45" s="470">
        <v>12</v>
      </c>
      <c r="J45" s="482">
        <v>12</v>
      </c>
      <c r="K45" s="477">
        <f t="shared" si="5"/>
        <v>0</v>
      </c>
      <c r="L45" s="477">
        <f t="shared" si="6"/>
        <v>0</v>
      </c>
      <c r="M45" s="477">
        <f t="shared" si="7"/>
        <v>100</v>
      </c>
      <c r="N45" s="481">
        <f t="shared" si="8"/>
        <v>100</v>
      </c>
      <c r="O45" s="476"/>
      <c r="P45" s="477"/>
      <c r="Q45" s="477">
        <v>52.3</v>
      </c>
      <c r="R45" s="478">
        <f t="shared" si="9"/>
        <v>52.3</v>
      </c>
      <c r="S45" s="470">
        <v>1</v>
      </c>
      <c r="T45" s="479"/>
      <c r="U45" s="475"/>
      <c r="V45" s="472" t="s">
        <v>1003</v>
      </c>
      <c r="W45" s="470" t="s">
        <v>20</v>
      </c>
      <c r="X45" s="470" t="s">
        <v>12</v>
      </c>
      <c r="Y45" s="473">
        <v>47.7</v>
      </c>
      <c r="Z45" s="470"/>
      <c r="AA45" s="470"/>
      <c r="AB45" s="470"/>
      <c r="AC45" s="470"/>
      <c r="AD45" s="472"/>
      <c r="AE45" s="470"/>
      <c r="AF45" s="470"/>
      <c r="AG45" s="473"/>
      <c r="AH45" s="470"/>
      <c r="AI45" s="470"/>
      <c r="AJ45" s="470"/>
      <c r="AK45" s="470"/>
      <c r="AL45" s="472"/>
      <c r="AM45" s="470"/>
      <c r="AN45" s="470"/>
      <c r="AO45" s="473"/>
      <c r="AP45" s="472"/>
      <c r="AQ45" s="470"/>
      <c r="AR45" s="470"/>
      <c r="AS45" s="473"/>
      <c r="AT45" s="470"/>
      <c r="AU45" s="470"/>
      <c r="AV45" s="470"/>
      <c r="AW45" s="473"/>
      <c r="AX45" s="470"/>
      <c r="AY45" s="470"/>
      <c r="AZ45" s="470"/>
      <c r="BA45" s="474"/>
    </row>
    <row r="46" spans="1:53" s="16" customFormat="1" x14ac:dyDescent="0.15">
      <c r="A46" s="470">
        <v>1986</v>
      </c>
      <c r="B46" s="475"/>
      <c r="C46" s="811" t="s">
        <v>1295</v>
      </c>
      <c r="D46" s="811"/>
      <c r="E46" s="470">
        <v>0</v>
      </c>
      <c r="F46" s="470"/>
      <c r="G46" s="480"/>
      <c r="H46" s="470"/>
      <c r="I46" s="470">
        <v>12</v>
      </c>
      <c r="J46" s="482">
        <v>12</v>
      </c>
      <c r="K46" s="477">
        <f t="shared" si="5"/>
        <v>0</v>
      </c>
      <c r="L46" s="477">
        <f t="shared" si="6"/>
        <v>0</v>
      </c>
      <c r="M46" s="477">
        <f t="shared" si="7"/>
        <v>100</v>
      </c>
      <c r="N46" s="481">
        <f t="shared" si="8"/>
        <v>100</v>
      </c>
      <c r="O46" s="476"/>
      <c r="P46" s="477"/>
      <c r="Q46" s="477">
        <v>52.3</v>
      </c>
      <c r="R46" s="478">
        <f t="shared" si="9"/>
        <v>52.3</v>
      </c>
      <c r="S46" s="470">
        <v>1</v>
      </c>
      <c r="T46" s="479"/>
      <c r="U46" s="475"/>
      <c r="V46" s="472" t="s">
        <v>1003</v>
      </c>
      <c r="W46" s="470" t="s">
        <v>20</v>
      </c>
      <c r="X46" s="470" t="s">
        <v>12</v>
      </c>
      <c r="Y46" s="473">
        <v>47.7</v>
      </c>
      <c r="Z46" s="470"/>
      <c r="AA46" s="470"/>
      <c r="AB46" s="470"/>
      <c r="AC46" s="470"/>
      <c r="AD46" s="472"/>
      <c r="AE46" s="470"/>
      <c r="AF46" s="470"/>
      <c r="AG46" s="473"/>
      <c r="AH46" s="470"/>
      <c r="AI46" s="470"/>
      <c r="AJ46" s="470"/>
      <c r="AK46" s="470"/>
      <c r="AL46" s="472"/>
      <c r="AM46" s="470"/>
      <c r="AN46" s="470"/>
      <c r="AO46" s="473"/>
      <c r="AP46" s="472"/>
      <c r="AQ46" s="470"/>
      <c r="AR46" s="470"/>
      <c r="AS46" s="473"/>
      <c r="AT46" s="470"/>
      <c r="AU46" s="470"/>
      <c r="AV46" s="470"/>
      <c r="AW46" s="473"/>
      <c r="AX46" s="470"/>
      <c r="AY46" s="470"/>
      <c r="AZ46" s="470"/>
      <c r="BA46" s="474"/>
    </row>
    <row r="47" spans="1:53" s="16" customFormat="1" x14ac:dyDescent="0.15">
      <c r="A47" s="470">
        <v>1986</v>
      </c>
      <c r="B47" s="475"/>
      <c r="C47" s="811" t="s">
        <v>1295</v>
      </c>
      <c r="D47" s="811"/>
      <c r="E47" s="470">
        <v>365</v>
      </c>
      <c r="F47" s="470"/>
      <c r="G47" s="480"/>
      <c r="H47" s="470"/>
      <c r="I47" s="470">
        <v>12</v>
      </c>
      <c r="J47" s="482">
        <v>12</v>
      </c>
      <c r="K47" s="477">
        <f t="shared" si="5"/>
        <v>0</v>
      </c>
      <c r="L47" s="477">
        <f t="shared" si="6"/>
        <v>0</v>
      </c>
      <c r="M47" s="477">
        <f t="shared" si="7"/>
        <v>100</v>
      </c>
      <c r="N47" s="481">
        <f t="shared" si="8"/>
        <v>100</v>
      </c>
      <c r="O47" s="476"/>
      <c r="P47" s="477"/>
      <c r="Q47" s="477">
        <v>52.3</v>
      </c>
      <c r="R47" s="478">
        <f t="shared" si="9"/>
        <v>52.3</v>
      </c>
      <c r="S47" s="470">
        <v>1</v>
      </c>
      <c r="T47" s="479"/>
      <c r="U47" s="475"/>
      <c r="V47" s="472" t="s">
        <v>1003</v>
      </c>
      <c r="W47" s="470" t="s">
        <v>20</v>
      </c>
      <c r="X47" s="470" t="s">
        <v>12</v>
      </c>
      <c r="Y47" s="473">
        <v>47.7</v>
      </c>
      <c r="Z47" s="470"/>
      <c r="AA47" s="470"/>
      <c r="AB47" s="470"/>
      <c r="AC47" s="470"/>
      <c r="AD47" s="472"/>
      <c r="AE47" s="470"/>
      <c r="AF47" s="470"/>
      <c r="AG47" s="473"/>
      <c r="AH47" s="470"/>
      <c r="AI47" s="470"/>
      <c r="AJ47" s="470"/>
      <c r="AK47" s="470"/>
      <c r="AL47" s="472"/>
      <c r="AM47" s="470"/>
      <c r="AN47" s="470"/>
      <c r="AO47" s="473"/>
      <c r="AP47" s="472"/>
      <c r="AQ47" s="470"/>
      <c r="AR47" s="470"/>
      <c r="AS47" s="473"/>
      <c r="AT47" s="470"/>
      <c r="AU47" s="470"/>
      <c r="AV47" s="470"/>
      <c r="AW47" s="473"/>
      <c r="AX47" s="470"/>
      <c r="AY47" s="470"/>
      <c r="AZ47" s="470"/>
      <c r="BA47" s="474"/>
    </row>
    <row r="48" spans="1:53" s="16" customFormat="1" x14ac:dyDescent="0.15">
      <c r="A48" s="470">
        <v>1987</v>
      </c>
      <c r="B48" s="475"/>
      <c r="C48" s="811" t="s">
        <v>1295</v>
      </c>
      <c r="D48" s="811"/>
      <c r="E48" s="470">
        <v>133</v>
      </c>
      <c r="F48" s="470"/>
      <c r="G48" s="480"/>
      <c r="H48" s="470"/>
      <c r="I48" s="470">
        <v>12</v>
      </c>
      <c r="J48" s="482">
        <v>12</v>
      </c>
      <c r="K48" s="477">
        <f t="shared" si="5"/>
        <v>0</v>
      </c>
      <c r="L48" s="477">
        <f t="shared" si="6"/>
        <v>0</v>
      </c>
      <c r="M48" s="477">
        <f t="shared" si="7"/>
        <v>100</v>
      </c>
      <c r="N48" s="481">
        <f t="shared" si="8"/>
        <v>100</v>
      </c>
      <c r="O48" s="476"/>
      <c r="P48" s="477"/>
      <c r="Q48" s="477">
        <v>52.3</v>
      </c>
      <c r="R48" s="478">
        <f t="shared" si="9"/>
        <v>52.3</v>
      </c>
      <c r="S48" s="470">
        <v>1</v>
      </c>
      <c r="T48" s="479"/>
      <c r="U48" s="475"/>
      <c r="V48" s="472" t="s">
        <v>1003</v>
      </c>
      <c r="W48" s="470" t="s">
        <v>20</v>
      </c>
      <c r="X48" s="470" t="s">
        <v>12</v>
      </c>
      <c r="Y48" s="473">
        <v>47.7</v>
      </c>
      <c r="Z48" s="470"/>
      <c r="AA48" s="470"/>
      <c r="AB48" s="470"/>
      <c r="AC48" s="470"/>
      <c r="AD48" s="472"/>
      <c r="AE48" s="470"/>
      <c r="AF48" s="470"/>
      <c r="AG48" s="473"/>
      <c r="AH48" s="470"/>
      <c r="AI48" s="470"/>
      <c r="AJ48" s="470"/>
      <c r="AK48" s="470"/>
      <c r="AL48" s="472"/>
      <c r="AM48" s="470"/>
      <c r="AN48" s="470"/>
      <c r="AO48" s="473"/>
      <c r="AP48" s="472"/>
      <c r="AQ48" s="470"/>
      <c r="AR48" s="470"/>
      <c r="AS48" s="473"/>
      <c r="AT48" s="470"/>
      <c r="AU48" s="470"/>
      <c r="AV48" s="470"/>
      <c r="AW48" s="473"/>
      <c r="AX48" s="470"/>
      <c r="AY48" s="470"/>
      <c r="AZ48" s="470"/>
      <c r="BA48" s="474"/>
    </row>
    <row r="49" spans="1:53" s="16" customFormat="1" x14ac:dyDescent="0.15">
      <c r="A49" s="486">
        <v>1987</v>
      </c>
      <c r="B49" s="491">
        <v>31911</v>
      </c>
      <c r="C49" s="812" t="s">
        <v>999</v>
      </c>
      <c r="D49" s="812"/>
      <c r="E49" s="486">
        <f>365-E48</f>
        <v>232</v>
      </c>
      <c r="F49" s="486">
        <v>1</v>
      </c>
      <c r="G49" s="497"/>
      <c r="H49" s="486">
        <v>10</v>
      </c>
      <c r="I49" s="486"/>
      <c r="J49" s="499">
        <v>10</v>
      </c>
      <c r="K49" s="495">
        <f t="shared" si="5"/>
        <v>0</v>
      </c>
      <c r="L49" s="495">
        <f t="shared" si="6"/>
        <v>100</v>
      </c>
      <c r="M49" s="495">
        <f t="shared" si="7"/>
        <v>0</v>
      </c>
      <c r="N49" s="498">
        <f t="shared" si="8"/>
        <v>100</v>
      </c>
      <c r="O49" s="494"/>
      <c r="P49" s="495">
        <v>50.7</v>
      </c>
      <c r="Q49" s="495"/>
      <c r="R49" s="496">
        <f t="shared" si="9"/>
        <v>50.7</v>
      </c>
      <c r="S49" s="492">
        <v>1</v>
      </c>
      <c r="T49" s="487">
        <v>31906</v>
      </c>
      <c r="U49" s="491">
        <v>31911</v>
      </c>
      <c r="V49" s="488" t="s">
        <v>1000</v>
      </c>
      <c r="W49" s="486" t="s">
        <v>17</v>
      </c>
      <c r="X49" s="486" t="s">
        <v>18</v>
      </c>
      <c r="Y49" s="489">
        <v>50.7</v>
      </c>
      <c r="Z49" s="486"/>
      <c r="AA49" s="486"/>
      <c r="AB49" s="486"/>
      <c r="AC49" s="486"/>
      <c r="AD49" s="488"/>
      <c r="AE49" s="486"/>
      <c r="AF49" s="486"/>
      <c r="AG49" s="489"/>
      <c r="AH49" s="486"/>
      <c r="AI49" s="486"/>
      <c r="AJ49" s="486"/>
      <c r="AK49" s="486"/>
      <c r="AL49" s="488"/>
      <c r="AM49" s="486"/>
      <c r="AN49" s="486"/>
      <c r="AO49" s="489"/>
      <c r="AP49" s="488"/>
      <c r="AQ49" s="486"/>
      <c r="AR49" s="486"/>
      <c r="AS49" s="489"/>
      <c r="AT49" s="486"/>
      <c r="AU49" s="486"/>
      <c r="AV49" s="486"/>
      <c r="AW49" s="489"/>
      <c r="AX49" s="486"/>
      <c r="AY49" s="486"/>
      <c r="AZ49" s="486"/>
      <c r="BA49" s="490"/>
    </row>
    <row r="50" spans="1:53" s="16" customFormat="1" x14ac:dyDescent="0.15">
      <c r="A50" s="486">
        <v>1988</v>
      </c>
      <c r="B50" s="486"/>
      <c r="C50" s="812" t="s">
        <v>999</v>
      </c>
      <c r="D50" s="812"/>
      <c r="E50" s="486">
        <v>0</v>
      </c>
      <c r="F50" s="486"/>
      <c r="G50" s="497"/>
      <c r="H50" s="486">
        <v>10</v>
      </c>
      <c r="I50" s="486"/>
      <c r="J50" s="499">
        <v>10</v>
      </c>
      <c r="K50" s="495">
        <f t="shared" si="5"/>
        <v>0</v>
      </c>
      <c r="L50" s="495">
        <f t="shared" si="6"/>
        <v>100</v>
      </c>
      <c r="M50" s="495">
        <f t="shared" si="7"/>
        <v>0</v>
      </c>
      <c r="N50" s="498">
        <f t="shared" si="8"/>
        <v>100</v>
      </c>
      <c r="O50" s="494"/>
      <c r="P50" s="495">
        <v>50.7</v>
      </c>
      <c r="Q50" s="495"/>
      <c r="R50" s="496">
        <f t="shared" si="9"/>
        <v>50.7</v>
      </c>
      <c r="S50" s="492">
        <v>1</v>
      </c>
      <c r="T50" s="492"/>
      <c r="U50" s="486"/>
      <c r="V50" s="488" t="s">
        <v>1000</v>
      </c>
      <c r="W50" s="486" t="s">
        <v>17</v>
      </c>
      <c r="X50" s="486" t="s">
        <v>18</v>
      </c>
      <c r="Y50" s="489">
        <v>50.7</v>
      </c>
      <c r="Z50" s="486"/>
      <c r="AA50" s="486"/>
      <c r="AB50" s="486"/>
      <c r="AC50" s="486"/>
      <c r="AD50" s="488"/>
      <c r="AE50" s="486"/>
      <c r="AF50" s="486"/>
      <c r="AG50" s="489"/>
      <c r="AH50" s="486"/>
      <c r="AI50" s="486"/>
      <c r="AJ50" s="486"/>
      <c r="AK50" s="486"/>
      <c r="AL50" s="488"/>
      <c r="AM50" s="486"/>
      <c r="AN50" s="486"/>
      <c r="AO50" s="489"/>
      <c r="AP50" s="488"/>
      <c r="AQ50" s="486"/>
      <c r="AR50" s="486"/>
      <c r="AS50" s="489"/>
      <c r="AT50" s="486"/>
      <c r="AU50" s="486"/>
      <c r="AV50" s="486"/>
      <c r="AW50" s="489"/>
      <c r="AX50" s="486"/>
      <c r="AY50" s="486"/>
      <c r="AZ50" s="486"/>
      <c r="BA50" s="490"/>
    </row>
    <row r="51" spans="1:53" s="16" customFormat="1" x14ac:dyDescent="0.15">
      <c r="A51" s="486">
        <v>1988</v>
      </c>
      <c r="B51" s="486"/>
      <c r="C51" s="812" t="s">
        <v>999</v>
      </c>
      <c r="D51" s="812"/>
      <c r="E51" s="486">
        <v>366</v>
      </c>
      <c r="F51" s="486"/>
      <c r="G51" s="497"/>
      <c r="H51" s="486">
        <v>10</v>
      </c>
      <c r="I51" s="486"/>
      <c r="J51" s="499">
        <v>10</v>
      </c>
      <c r="K51" s="495">
        <f t="shared" si="5"/>
        <v>0</v>
      </c>
      <c r="L51" s="495">
        <f t="shared" si="6"/>
        <v>100</v>
      </c>
      <c r="M51" s="495">
        <f t="shared" si="7"/>
        <v>0</v>
      </c>
      <c r="N51" s="498">
        <f t="shared" si="8"/>
        <v>100</v>
      </c>
      <c r="O51" s="494"/>
      <c r="P51" s="495">
        <v>50.7</v>
      </c>
      <c r="Q51" s="495"/>
      <c r="R51" s="496">
        <f t="shared" si="9"/>
        <v>50.7</v>
      </c>
      <c r="S51" s="492">
        <v>1</v>
      </c>
      <c r="T51" s="492"/>
      <c r="U51" s="486"/>
      <c r="V51" s="488" t="s">
        <v>1000</v>
      </c>
      <c r="W51" s="486" t="s">
        <v>17</v>
      </c>
      <c r="X51" s="486" t="s">
        <v>18</v>
      </c>
      <c r="Y51" s="489">
        <v>50.7</v>
      </c>
      <c r="Z51" s="486"/>
      <c r="AA51" s="486"/>
      <c r="AB51" s="486"/>
      <c r="AC51" s="486"/>
      <c r="AD51" s="488"/>
      <c r="AE51" s="486"/>
      <c r="AF51" s="486"/>
      <c r="AG51" s="489"/>
      <c r="AH51" s="486"/>
      <c r="AI51" s="486"/>
      <c r="AJ51" s="486"/>
      <c r="AK51" s="486"/>
      <c r="AL51" s="488"/>
      <c r="AM51" s="486"/>
      <c r="AN51" s="486"/>
      <c r="AO51" s="489"/>
      <c r="AP51" s="488"/>
      <c r="AQ51" s="486"/>
      <c r="AR51" s="486"/>
      <c r="AS51" s="489"/>
      <c r="AT51" s="486"/>
      <c r="AU51" s="486"/>
      <c r="AV51" s="486"/>
      <c r="AW51" s="489"/>
      <c r="AX51" s="486"/>
      <c r="AY51" s="486"/>
      <c r="AZ51" s="486"/>
      <c r="BA51" s="490"/>
    </row>
    <row r="52" spans="1:53" s="16" customFormat="1" x14ac:dyDescent="0.15">
      <c r="A52" s="486">
        <v>1989</v>
      </c>
      <c r="B52" s="486"/>
      <c r="C52" s="812" t="s">
        <v>999</v>
      </c>
      <c r="D52" s="812"/>
      <c r="E52" s="486">
        <v>0</v>
      </c>
      <c r="F52" s="486"/>
      <c r="G52" s="497"/>
      <c r="H52" s="486">
        <v>10</v>
      </c>
      <c r="I52" s="486"/>
      <c r="J52" s="499">
        <v>10</v>
      </c>
      <c r="K52" s="495">
        <f t="shared" si="5"/>
        <v>0</v>
      </c>
      <c r="L52" s="495">
        <f t="shared" si="6"/>
        <v>100</v>
      </c>
      <c r="M52" s="495">
        <f t="shared" si="7"/>
        <v>0</v>
      </c>
      <c r="N52" s="498">
        <f t="shared" si="8"/>
        <v>100</v>
      </c>
      <c r="O52" s="494"/>
      <c r="P52" s="495">
        <v>50.7</v>
      </c>
      <c r="Q52" s="495"/>
      <c r="R52" s="496">
        <f t="shared" si="9"/>
        <v>50.7</v>
      </c>
      <c r="S52" s="492">
        <v>1</v>
      </c>
      <c r="T52" s="492"/>
      <c r="U52" s="486"/>
      <c r="V52" s="488" t="s">
        <v>1000</v>
      </c>
      <c r="W52" s="486" t="s">
        <v>17</v>
      </c>
      <c r="X52" s="486" t="s">
        <v>18</v>
      </c>
      <c r="Y52" s="489">
        <v>50.7</v>
      </c>
      <c r="Z52" s="486"/>
      <c r="AA52" s="486"/>
      <c r="AB52" s="486"/>
      <c r="AC52" s="486"/>
      <c r="AD52" s="488"/>
      <c r="AE52" s="486"/>
      <c r="AF52" s="486"/>
      <c r="AG52" s="489"/>
      <c r="AH52" s="486"/>
      <c r="AI52" s="486"/>
      <c r="AJ52" s="486"/>
      <c r="AK52" s="486"/>
      <c r="AL52" s="488"/>
      <c r="AM52" s="486"/>
      <c r="AN52" s="486"/>
      <c r="AO52" s="489"/>
      <c r="AP52" s="488"/>
      <c r="AQ52" s="486"/>
      <c r="AR52" s="486"/>
      <c r="AS52" s="489"/>
      <c r="AT52" s="486"/>
      <c r="AU52" s="486"/>
      <c r="AV52" s="486"/>
      <c r="AW52" s="489"/>
      <c r="AX52" s="486"/>
      <c r="AY52" s="486"/>
      <c r="AZ52" s="486"/>
      <c r="BA52" s="490"/>
    </row>
    <row r="53" spans="1:53" s="16" customFormat="1" x14ac:dyDescent="0.15">
      <c r="A53" s="486">
        <v>1989</v>
      </c>
      <c r="B53" s="486"/>
      <c r="C53" s="812" t="s">
        <v>999</v>
      </c>
      <c r="D53" s="812"/>
      <c r="E53" s="486">
        <v>365</v>
      </c>
      <c r="F53" s="486"/>
      <c r="G53" s="497"/>
      <c r="H53" s="486">
        <v>10</v>
      </c>
      <c r="I53" s="486"/>
      <c r="J53" s="499">
        <v>10</v>
      </c>
      <c r="K53" s="495">
        <f t="shared" si="5"/>
        <v>0</v>
      </c>
      <c r="L53" s="495">
        <f t="shared" si="6"/>
        <v>100</v>
      </c>
      <c r="M53" s="495">
        <f t="shared" si="7"/>
        <v>0</v>
      </c>
      <c r="N53" s="498">
        <f t="shared" si="8"/>
        <v>100</v>
      </c>
      <c r="O53" s="494"/>
      <c r="P53" s="495">
        <v>50.7</v>
      </c>
      <c r="Q53" s="495"/>
      <c r="R53" s="496">
        <f t="shared" si="9"/>
        <v>50.7</v>
      </c>
      <c r="S53" s="492">
        <v>1</v>
      </c>
      <c r="T53" s="492"/>
      <c r="U53" s="486"/>
      <c r="V53" s="488" t="s">
        <v>1000</v>
      </c>
      <c r="W53" s="486" t="s">
        <v>17</v>
      </c>
      <c r="X53" s="486" t="s">
        <v>18</v>
      </c>
      <c r="Y53" s="489">
        <v>50.7</v>
      </c>
      <c r="Z53" s="486"/>
      <c r="AA53" s="486"/>
      <c r="AB53" s="486"/>
      <c r="AC53" s="486"/>
      <c r="AD53" s="488"/>
      <c r="AE53" s="486"/>
      <c r="AF53" s="486"/>
      <c r="AG53" s="489"/>
      <c r="AH53" s="486"/>
      <c r="AI53" s="486"/>
      <c r="AJ53" s="486"/>
      <c r="AK53" s="486"/>
      <c r="AL53" s="488"/>
      <c r="AM53" s="486"/>
      <c r="AN53" s="486"/>
      <c r="AO53" s="489"/>
      <c r="AP53" s="488"/>
      <c r="AQ53" s="486"/>
      <c r="AR53" s="486"/>
      <c r="AS53" s="489"/>
      <c r="AT53" s="486"/>
      <c r="AU53" s="486"/>
      <c r="AV53" s="486"/>
      <c r="AW53" s="489"/>
      <c r="AX53" s="486"/>
      <c r="AY53" s="486"/>
      <c r="AZ53" s="486"/>
      <c r="BA53" s="490"/>
    </row>
    <row r="54" spans="1:53" s="16" customFormat="1" x14ac:dyDescent="0.15">
      <c r="A54" s="486">
        <v>1990</v>
      </c>
      <c r="B54" s="486"/>
      <c r="C54" s="812" t="s">
        <v>999</v>
      </c>
      <c r="D54" s="812"/>
      <c r="E54" s="486">
        <v>0</v>
      </c>
      <c r="F54" s="486"/>
      <c r="G54" s="497"/>
      <c r="H54" s="486">
        <v>10</v>
      </c>
      <c r="I54" s="486"/>
      <c r="J54" s="499">
        <v>10</v>
      </c>
      <c r="K54" s="495">
        <f t="shared" si="5"/>
        <v>0</v>
      </c>
      <c r="L54" s="495">
        <f t="shared" si="6"/>
        <v>100</v>
      </c>
      <c r="M54" s="495">
        <f t="shared" si="7"/>
        <v>0</v>
      </c>
      <c r="N54" s="498">
        <f t="shared" si="8"/>
        <v>100</v>
      </c>
      <c r="O54" s="494"/>
      <c r="P54" s="495">
        <v>50.7</v>
      </c>
      <c r="Q54" s="495"/>
      <c r="R54" s="496">
        <f t="shared" si="9"/>
        <v>50.7</v>
      </c>
      <c r="S54" s="492">
        <v>1</v>
      </c>
      <c r="T54" s="492"/>
      <c r="U54" s="486"/>
      <c r="V54" s="488" t="s">
        <v>1000</v>
      </c>
      <c r="W54" s="486" t="s">
        <v>17</v>
      </c>
      <c r="X54" s="486" t="s">
        <v>18</v>
      </c>
      <c r="Y54" s="489">
        <v>50.7</v>
      </c>
      <c r="Z54" s="486"/>
      <c r="AA54" s="486"/>
      <c r="AB54" s="486"/>
      <c r="AC54" s="486"/>
      <c r="AD54" s="488"/>
      <c r="AE54" s="486"/>
      <c r="AF54" s="486"/>
      <c r="AG54" s="489"/>
      <c r="AH54" s="486"/>
      <c r="AI54" s="486"/>
      <c r="AJ54" s="486"/>
      <c r="AK54" s="486"/>
      <c r="AL54" s="488"/>
      <c r="AM54" s="486"/>
      <c r="AN54" s="486"/>
      <c r="AO54" s="489"/>
      <c r="AP54" s="488"/>
      <c r="AQ54" s="486"/>
      <c r="AR54" s="486"/>
      <c r="AS54" s="489"/>
      <c r="AT54" s="486"/>
      <c r="AU54" s="486"/>
      <c r="AV54" s="486"/>
      <c r="AW54" s="489"/>
      <c r="AX54" s="486"/>
      <c r="AY54" s="486"/>
      <c r="AZ54" s="486"/>
      <c r="BA54" s="490"/>
    </row>
    <row r="55" spans="1:53" s="16" customFormat="1" x14ac:dyDescent="0.15">
      <c r="A55" s="486">
        <v>1990</v>
      </c>
      <c r="B55" s="486"/>
      <c r="C55" s="812" t="s">
        <v>999</v>
      </c>
      <c r="D55" s="812"/>
      <c r="E55" s="486">
        <f>365-E54</f>
        <v>365</v>
      </c>
      <c r="F55" s="486"/>
      <c r="G55" s="497"/>
      <c r="H55" s="486">
        <v>10</v>
      </c>
      <c r="I55" s="486"/>
      <c r="J55" s="499">
        <v>10</v>
      </c>
      <c r="K55" s="495">
        <f t="shared" si="5"/>
        <v>0</v>
      </c>
      <c r="L55" s="495">
        <f t="shared" si="6"/>
        <v>100</v>
      </c>
      <c r="M55" s="495">
        <f t="shared" si="7"/>
        <v>0</v>
      </c>
      <c r="N55" s="498">
        <f t="shared" si="8"/>
        <v>100</v>
      </c>
      <c r="O55" s="494"/>
      <c r="P55" s="495">
        <v>50.7</v>
      </c>
      <c r="Q55" s="495"/>
      <c r="R55" s="496">
        <f t="shared" si="9"/>
        <v>50.7</v>
      </c>
      <c r="S55" s="486">
        <v>1</v>
      </c>
      <c r="T55" s="492"/>
      <c r="U55" s="486"/>
      <c r="V55" s="488" t="s">
        <v>1000</v>
      </c>
      <c r="W55" s="486" t="s">
        <v>17</v>
      </c>
      <c r="X55" s="486" t="s">
        <v>18</v>
      </c>
      <c r="Y55" s="489">
        <v>50.7</v>
      </c>
      <c r="Z55" s="486"/>
      <c r="AA55" s="486"/>
      <c r="AB55" s="486"/>
      <c r="AC55" s="486"/>
      <c r="AD55" s="488"/>
      <c r="AE55" s="486"/>
      <c r="AF55" s="486"/>
      <c r="AG55" s="489"/>
      <c r="AH55" s="486"/>
      <c r="AI55" s="486"/>
      <c r="AJ55" s="486"/>
      <c r="AK55" s="486"/>
      <c r="AL55" s="488"/>
      <c r="AM55" s="486"/>
      <c r="AN55" s="486"/>
      <c r="AO55" s="489"/>
      <c r="AP55" s="488"/>
      <c r="AQ55" s="486"/>
      <c r="AR55" s="486"/>
      <c r="AS55" s="489"/>
      <c r="AT55" s="486"/>
      <c r="AU55" s="486"/>
      <c r="AV55" s="486"/>
      <c r="AW55" s="489"/>
      <c r="AX55" s="486"/>
      <c r="AY55" s="486"/>
      <c r="AZ55" s="486"/>
      <c r="BA55" s="490"/>
    </row>
    <row r="56" spans="1:53" s="16" customFormat="1" x14ac:dyDescent="0.15">
      <c r="A56" s="486">
        <v>1991</v>
      </c>
      <c r="B56" s="486"/>
      <c r="C56" s="812" t="s">
        <v>999</v>
      </c>
      <c r="D56" s="812"/>
      <c r="E56" s="486">
        <v>0</v>
      </c>
      <c r="F56" s="486"/>
      <c r="G56" s="497"/>
      <c r="H56" s="486">
        <v>10</v>
      </c>
      <c r="I56" s="486"/>
      <c r="J56" s="499">
        <v>10</v>
      </c>
      <c r="K56" s="495">
        <f t="shared" si="5"/>
        <v>0</v>
      </c>
      <c r="L56" s="495">
        <f t="shared" si="6"/>
        <v>100</v>
      </c>
      <c r="M56" s="495">
        <f t="shared" si="7"/>
        <v>0</v>
      </c>
      <c r="N56" s="498">
        <f t="shared" si="8"/>
        <v>100</v>
      </c>
      <c r="O56" s="494"/>
      <c r="P56" s="495">
        <v>50.7</v>
      </c>
      <c r="Q56" s="495"/>
      <c r="R56" s="496">
        <f t="shared" si="9"/>
        <v>50.7</v>
      </c>
      <c r="S56" s="486">
        <v>1</v>
      </c>
      <c r="T56" s="492"/>
      <c r="U56" s="486"/>
      <c r="V56" s="488" t="s">
        <v>1000</v>
      </c>
      <c r="W56" s="486" t="s">
        <v>17</v>
      </c>
      <c r="X56" s="486" t="s">
        <v>18</v>
      </c>
      <c r="Y56" s="489">
        <v>50.7</v>
      </c>
      <c r="Z56" s="486"/>
      <c r="AA56" s="486"/>
      <c r="AB56" s="486"/>
      <c r="AC56" s="486"/>
      <c r="AD56" s="488"/>
      <c r="AE56" s="486"/>
      <c r="AF56" s="486"/>
      <c r="AG56" s="489"/>
      <c r="AH56" s="486"/>
      <c r="AI56" s="486"/>
      <c r="AJ56" s="486"/>
      <c r="AK56" s="486"/>
      <c r="AL56" s="488"/>
      <c r="AM56" s="486"/>
      <c r="AN56" s="486"/>
      <c r="AO56" s="489"/>
      <c r="AP56" s="488"/>
      <c r="AQ56" s="486"/>
      <c r="AR56" s="486"/>
      <c r="AS56" s="489"/>
      <c r="AT56" s="486"/>
      <c r="AU56" s="486"/>
      <c r="AV56" s="486"/>
      <c r="AW56" s="489"/>
      <c r="AX56" s="486"/>
      <c r="AY56" s="486"/>
      <c r="AZ56" s="486"/>
      <c r="BA56" s="490"/>
    </row>
    <row r="57" spans="1:53" s="16" customFormat="1" x14ac:dyDescent="0.15">
      <c r="A57" s="486">
        <v>1991</v>
      </c>
      <c r="B57" s="486"/>
      <c r="C57" s="812" t="s">
        <v>999</v>
      </c>
      <c r="D57" s="812"/>
      <c r="E57" s="486">
        <f>365-E56</f>
        <v>365</v>
      </c>
      <c r="F57" s="486"/>
      <c r="G57" s="497"/>
      <c r="H57" s="486">
        <v>10</v>
      </c>
      <c r="I57" s="486"/>
      <c r="J57" s="499">
        <v>10</v>
      </c>
      <c r="K57" s="495">
        <f t="shared" si="5"/>
        <v>0</v>
      </c>
      <c r="L57" s="495">
        <f t="shared" si="6"/>
        <v>100</v>
      </c>
      <c r="M57" s="495">
        <f t="shared" si="7"/>
        <v>0</v>
      </c>
      <c r="N57" s="498">
        <f t="shared" si="8"/>
        <v>100</v>
      </c>
      <c r="O57" s="494"/>
      <c r="P57" s="495">
        <v>50.7</v>
      </c>
      <c r="Q57" s="495"/>
      <c r="R57" s="496">
        <f t="shared" si="9"/>
        <v>50.7</v>
      </c>
      <c r="S57" s="486">
        <v>1</v>
      </c>
      <c r="T57" s="492"/>
      <c r="U57" s="486"/>
      <c r="V57" s="488" t="s">
        <v>1000</v>
      </c>
      <c r="W57" s="486" t="s">
        <v>17</v>
      </c>
      <c r="X57" s="486" t="s">
        <v>18</v>
      </c>
      <c r="Y57" s="489">
        <v>50.7</v>
      </c>
      <c r="Z57" s="486"/>
      <c r="AA57" s="486"/>
      <c r="AB57" s="486"/>
      <c r="AC57" s="486"/>
      <c r="AD57" s="488"/>
      <c r="AE57" s="486"/>
      <c r="AF57" s="486"/>
      <c r="AG57" s="489"/>
      <c r="AH57" s="486"/>
      <c r="AI57" s="486"/>
      <c r="AJ57" s="486"/>
      <c r="AK57" s="486"/>
      <c r="AL57" s="488"/>
      <c r="AM57" s="486"/>
      <c r="AN57" s="486"/>
      <c r="AO57" s="489"/>
      <c r="AP57" s="488"/>
      <c r="AQ57" s="486"/>
      <c r="AR57" s="486"/>
      <c r="AS57" s="489"/>
      <c r="AT57" s="486"/>
      <c r="AU57" s="486"/>
      <c r="AV57" s="486"/>
      <c r="AW57" s="489"/>
      <c r="AX57" s="486"/>
      <c r="AY57" s="486"/>
      <c r="AZ57" s="486"/>
      <c r="BA57" s="490"/>
    </row>
    <row r="58" spans="1:53" s="16" customFormat="1" x14ac:dyDescent="0.15">
      <c r="A58" s="486">
        <v>1992</v>
      </c>
      <c r="B58" s="486"/>
      <c r="C58" s="812" t="s">
        <v>999</v>
      </c>
      <c r="D58" s="812"/>
      <c r="E58" s="486">
        <v>57</v>
      </c>
      <c r="F58" s="486"/>
      <c r="G58" s="497"/>
      <c r="H58" s="486">
        <v>10</v>
      </c>
      <c r="I58" s="486"/>
      <c r="J58" s="499">
        <v>10</v>
      </c>
      <c r="K58" s="495">
        <f t="shared" si="5"/>
        <v>0</v>
      </c>
      <c r="L58" s="495">
        <f t="shared" si="6"/>
        <v>100</v>
      </c>
      <c r="M58" s="495">
        <f t="shared" si="7"/>
        <v>0</v>
      </c>
      <c r="N58" s="498">
        <f t="shared" si="8"/>
        <v>100</v>
      </c>
      <c r="O58" s="494"/>
      <c r="P58" s="495">
        <v>50.7</v>
      </c>
      <c r="Q58" s="495"/>
      <c r="R58" s="496">
        <f t="shared" si="9"/>
        <v>50.7</v>
      </c>
      <c r="S58" s="486">
        <v>1</v>
      </c>
      <c r="T58" s="492"/>
      <c r="U58" s="486"/>
      <c r="V58" s="488" t="s">
        <v>1000</v>
      </c>
      <c r="W58" s="486" t="s">
        <v>17</v>
      </c>
      <c r="X58" s="486" t="s">
        <v>18</v>
      </c>
      <c r="Y58" s="489">
        <v>50.7</v>
      </c>
      <c r="Z58" s="486"/>
      <c r="AA58" s="486"/>
      <c r="AB58" s="486"/>
      <c r="AC58" s="486"/>
      <c r="AD58" s="488"/>
      <c r="AE58" s="486"/>
      <c r="AF58" s="486"/>
      <c r="AG58" s="489"/>
      <c r="AH58" s="486"/>
      <c r="AI58" s="486"/>
      <c r="AJ58" s="486"/>
      <c r="AK58" s="486"/>
      <c r="AL58" s="488"/>
      <c r="AM58" s="486"/>
      <c r="AN58" s="486"/>
      <c r="AO58" s="489"/>
      <c r="AP58" s="488"/>
      <c r="AQ58" s="486"/>
      <c r="AR58" s="486"/>
      <c r="AS58" s="489"/>
      <c r="AT58" s="486"/>
      <c r="AU58" s="486"/>
      <c r="AV58" s="486"/>
      <c r="AW58" s="489"/>
      <c r="AX58" s="486"/>
      <c r="AY58" s="486"/>
      <c r="AZ58" s="486"/>
      <c r="BA58" s="490"/>
    </row>
    <row r="59" spans="1:53" s="16" customFormat="1" x14ac:dyDescent="0.15">
      <c r="A59" s="470">
        <v>1992</v>
      </c>
      <c r="B59" s="475">
        <v>33661</v>
      </c>
      <c r="C59" s="811" t="s">
        <v>1001</v>
      </c>
      <c r="D59" s="811"/>
      <c r="E59" s="470">
        <f>366-E58</f>
        <v>309</v>
      </c>
      <c r="F59" s="470">
        <v>1</v>
      </c>
      <c r="G59" s="480"/>
      <c r="H59" s="470">
        <v>13</v>
      </c>
      <c r="I59" s="470"/>
      <c r="J59" s="482">
        <v>13</v>
      </c>
      <c r="K59" s="477">
        <f t="shared" si="5"/>
        <v>0</v>
      </c>
      <c r="L59" s="477">
        <f t="shared" si="6"/>
        <v>100</v>
      </c>
      <c r="M59" s="477">
        <f t="shared" si="7"/>
        <v>0</v>
      </c>
      <c r="N59" s="481">
        <f t="shared" si="8"/>
        <v>100</v>
      </c>
      <c r="O59" s="476"/>
      <c r="P59" s="477">
        <v>52.3</v>
      </c>
      <c r="Q59" s="477"/>
      <c r="R59" s="478">
        <f t="shared" si="9"/>
        <v>52.3</v>
      </c>
      <c r="S59" s="470">
        <v>1</v>
      </c>
      <c r="T59" s="479">
        <v>33656</v>
      </c>
      <c r="U59" s="475">
        <v>33661</v>
      </c>
      <c r="V59" s="472" t="s">
        <v>1000</v>
      </c>
      <c r="W59" s="470" t="s">
        <v>17</v>
      </c>
      <c r="X59" s="470" t="s">
        <v>18</v>
      </c>
      <c r="Y59" s="473">
        <v>52.3</v>
      </c>
      <c r="Z59" s="470"/>
      <c r="AA59" s="470"/>
      <c r="AB59" s="470"/>
      <c r="AC59" s="470"/>
      <c r="AD59" s="472"/>
      <c r="AE59" s="470"/>
      <c r="AF59" s="470"/>
      <c r="AG59" s="473"/>
      <c r="AH59" s="470"/>
      <c r="AI59" s="470"/>
      <c r="AJ59" s="470"/>
      <c r="AK59" s="470"/>
      <c r="AL59" s="472"/>
      <c r="AM59" s="470"/>
      <c r="AN59" s="470"/>
      <c r="AO59" s="473"/>
      <c r="AP59" s="472"/>
      <c r="AQ59" s="470"/>
      <c r="AR59" s="470"/>
      <c r="AS59" s="473"/>
      <c r="AT59" s="470"/>
      <c r="AU59" s="470"/>
      <c r="AV59" s="470"/>
      <c r="AW59" s="473"/>
      <c r="AX59" s="470"/>
      <c r="AY59" s="470"/>
      <c r="AZ59" s="470"/>
      <c r="BA59" s="474"/>
    </row>
    <row r="60" spans="1:53" s="16" customFormat="1" x14ac:dyDescent="0.15">
      <c r="A60" s="470">
        <v>1993</v>
      </c>
      <c r="B60" s="470"/>
      <c r="C60" s="811" t="s">
        <v>1001</v>
      </c>
      <c r="D60" s="811"/>
      <c r="E60" s="470">
        <v>0</v>
      </c>
      <c r="F60" s="470"/>
      <c r="G60" s="480"/>
      <c r="H60" s="470">
        <v>13</v>
      </c>
      <c r="I60" s="470"/>
      <c r="J60" s="482">
        <v>13</v>
      </c>
      <c r="K60" s="477">
        <f t="shared" si="5"/>
        <v>0</v>
      </c>
      <c r="L60" s="477">
        <f t="shared" si="6"/>
        <v>100</v>
      </c>
      <c r="M60" s="477">
        <f t="shared" si="7"/>
        <v>0</v>
      </c>
      <c r="N60" s="481">
        <f t="shared" si="8"/>
        <v>100</v>
      </c>
      <c r="O60" s="476"/>
      <c r="P60" s="477">
        <v>52.3</v>
      </c>
      <c r="Q60" s="477"/>
      <c r="R60" s="478">
        <f t="shared" si="9"/>
        <v>52.3</v>
      </c>
      <c r="S60" s="470">
        <v>1</v>
      </c>
      <c r="T60" s="471"/>
      <c r="U60" s="470"/>
      <c r="V60" s="472" t="s">
        <v>1000</v>
      </c>
      <c r="W60" s="470" t="s">
        <v>17</v>
      </c>
      <c r="X60" s="470" t="s">
        <v>18</v>
      </c>
      <c r="Y60" s="473">
        <v>52.3</v>
      </c>
      <c r="Z60" s="470"/>
      <c r="AA60" s="470"/>
      <c r="AB60" s="470"/>
      <c r="AC60" s="470"/>
      <c r="AD60" s="472"/>
      <c r="AE60" s="470"/>
      <c r="AF60" s="470"/>
      <c r="AG60" s="473"/>
      <c r="AH60" s="470"/>
      <c r="AI60" s="470"/>
      <c r="AJ60" s="470"/>
      <c r="AK60" s="470"/>
      <c r="AL60" s="472"/>
      <c r="AM60" s="470"/>
      <c r="AN60" s="470"/>
      <c r="AO60" s="473"/>
      <c r="AP60" s="472"/>
      <c r="AQ60" s="470"/>
      <c r="AR60" s="470"/>
      <c r="AS60" s="473"/>
      <c r="AT60" s="470"/>
      <c r="AU60" s="470"/>
      <c r="AV60" s="470"/>
      <c r="AW60" s="473"/>
      <c r="AX60" s="470"/>
      <c r="AY60" s="470"/>
      <c r="AZ60" s="470"/>
      <c r="BA60" s="474"/>
    </row>
    <row r="61" spans="1:53" s="16" customFormat="1" x14ac:dyDescent="0.15">
      <c r="A61" s="470">
        <v>1993</v>
      </c>
      <c r="B61" s="470"/>
      <c r="C61" s="811" t="s">
        <v>1001</v>
      </c>
      <c r="D61" s="811"/>
      <c r="E61" s="470">
        <f>365-E60</f>
        <v>365</v>
      </c>
      <c r="F61" s="470"/>
      <c r="G61" s="480"/>
      <c r="H61" s="470">
        <v>13</v>
      </c>
      <c r="I61" s="470"/>
      <c r="J61" s="482">
        <v>13</v>
      </c>
      <c r="K61" s="477">
        <f t="shared" si="5"/>
        <v>0</v>
      </c>
      <c r="L61" s="477">
        <f t="shared" si="6"/>
        <v>100</v>
      </c>
      <c r="M61" s="477">
        <f t="shared" si="7"/>
        <v>0</v>
      </c>
      <c r="N61" s="481">
        <f t="shared" si="8"/>
        <v>100</v>
      </c>
      <c r="O61" s="476"/>
      <c r="P61" s="477">
        <v>52.3</v>
      </c>
      <c r="Q61" s="477"/>
      <c r="R61" s="478">
        <f t="shared" si="9"/>
        <v>52.3</v>
      </c>
      <c r="S61" s="470">
        <v>1</v>
      </c>
      <c r="T61" s="471"/>
      <c r="U61" s="470"/>
      <c r="V61" s="472" t="s">
        <v>1000</v>
      </c>
      <c r="W61" s="470" t="s">
        <v>17</v>
      </c>
      <c r="X61" s="470" t="s">
        <v>18</v>
      </c>
      <c r="Y61" s="473">
        <v>52.3</v>
      </c>
      <c r="Z61" s="470"/>
      <c r="AA61" s="470"/>
      <c r="AB61" s="470"/>
      <c r="AC61" s="470"/>
      <c r="AD61" s="472"/>
      <c r="AE61" s="470"/>
      <c r="AF61" s="470"/>
      <c r="AG61" s="473"/>
      <c r="AH61" s="470"/>
      <c r="AI61" s="470"/>
      <c r="AJ61" s="470"/>
      <c r="AK61" s="470"/>
      <c r="AL61" s="472"/>
      <c r="AM61" s="470"/>
      <c r="AN61" s="470"/>
      <c r="AO61" s="473"/>
      <c r="AP61" s="472"/>
      <c r="AQ61" s="470"/>
      <c r="AR61" s="470"/>
      <c r="AS61" s="473"/>
      <c r="AT61" s="470"/>
      <c r="AU61" s="470"/>
      <c r="AV61" s="470"/>
      <c r="AW61" s="473"/>
      <c r="AX61" s="470"/>
      <c r="AY61" s="470"/>
      <c r="AZ61" s="470"/>
      <c r="BA61" s="474"/>
    </row>
    <row r="62" spans="1:53" s="16" customFormat="1" x14ac:dyDescent="0.15">
      <c r="A62" s="470">
        <v>1994</v>
      </c>
      <c r="B62" s="470"/>
      <c r="C62" s="811" t="s">
        <v>1001</v>
      </c>
      <c r="D62" s="811"/>
      <c r="E62" s="470">
        <v>0</v>
      </c>
      <c r="F62" s="470"/>
      <c r="G62" s="480"/>
      <c r="H62" s="470">
        <v>13</v>
      </c>
      <c r="I62" s="470"/>
      <c r="J62" s="482">
        <v>13</v>
      </c>
      <c r="K62" s="477">
        <f t="shared" si="5"/>
        <v>0</v>
      </c>
      <c r="L62" s="477">
        <f t="shared" si="6"/>
        <v>100</v>
      </c>
      <c r="M62" s="477">
        <f t="shared" si="7"/>
        <v>0</v>
      </c>
      <c r="N62" s="481">
        <f t="shared" si="8"/>
        <v>100</v>
      </c>
      <c r="O62" s="476"/>
      <c r="P62" s="477">
        <v>52.3</v>
      </c>
      <c r="Q62" s="477"/>
      <c r="R62" s="478">
        <f t="shared" si="9"/>
        <v>52.3</v>
      </c>
      <c r="S62" s="470">
        <v>1</v>
      </c>
      <c r="T62" s="471"/>
      <c r="U62" s="470"/>
      <c r="V62" s="472" t="s">
        <v>1000</v>
      </c>
      <c r="W62" s="470" t="s">
        <v>17</v>
      </c>
      <c r="X62" s="470" t="s">
        <v>18</v>
      </c>
      <c r="Y62" s="473">
        <v>52.3</v>
      </c>
      <c r="Z62" s="470"/>
      <c r="AA62" s="470"/>
      <c r="AB62" s="470"/>
      <c r="AC62" s="470"/>
      <c r="AD62" s="472"/>
      <c r="AE62" s="470"/>
      <c r="AF62" s="470"/>
      <c r="AG62" s="473"/>
      <c r="AH62" s="470"/>
      <c r="AI62" s="470"/>
      <c r="AJ62" s="470"/>
      <c r="AK62" s="470"/>
      <c r="AL62" s="472"/>
      <c r="AM62" s="470"/>
      <c r="AN62" s="470"/>
      <c r="AO62" s="473"/>
      <c r="AP62" s="472"/>
      <c r="AQ62" s="470"/>
      <c r="AR62" s="470"/>
      <c r="AS62" s="473"/>
      <c r="AT62" s="470"/>
      <c r="AU62" s="470"/>
      <c r="AV62" s="470"/>
      <c r="AW62" s="473"/>
      <c r="AX62" s="470"/>
      <c r="AY62" s="470"/>
      <c r="AZ62" s="470"/>
      <c r="BA62" s="474"/>
    </row>
    <row r="63" spans="1:53" s="16" customFormat="1" x14ac:dyDescent="0.15">
      <c r="A63" s="470">
        <v>1994</v>
      </c>
      <c r="B63" s="470"/>
      <c r="C63" s="811" t="s">
        <v>1001</v>
      </c>
      <c r="D63" s="811"/>
      <c r="E63" s="470">
        <f>365-E62</f>
        <v>365</v>
      </c>
      <c r="F63" s="470"/>
      <c r="G63" s="480"/>
      <c r="H63" s="470">
        <v>13</v>
      </c>
      <c r="I63" s="470"/>
      <c r="J63" s="482">
        <v>13</v>
      </c>
      <c r="K63" s="477">
        <f t="shared" si="5"/>
        <v>0</v>
      </c>
      <c r="L63" s="477">
        <f t="shared" si="6"/>
        <v>100</v>
      </c>
      <c r="M63" s="477">
        <f t="shared" si="7"/>
        <v>0</v>
      </c>
      <c r="N63" s="481">
        <f t="shared" si="8"/>
        <v>100</v>
      </c>
      <c r="O63" s="476"/>
      <c r="P63" s="477">
        <v>52.3</v>
      </c>
      <c r="Q63" s="477"/>
      <c r="R63" s="478">
        <f t="shared" si="9"/>
        <v>52.3</v>
      </c>
      <c r="S63" s="470">
        <v>1</v>
      </c>
      <c r="T63" s="471"/>
      <c r="U63" s="470"/>
      <c r="V63" s="472" t="s">
        <v>1000</v>
      </c>
      <c r="W63" s="470" t="s">
        <v>17</v>
      </c>
      <c r="X63" s="470" t="s">
        <v>18</v>
      </c>
      <c r="Y63" s="473">
        <v>52.3</v>
      </c>
      <c r="Z63" s="470"/>
      <c r="AA63" s="470"/>
      <c r="AB63" s="470"/>
      <c r="AC63" s="470"/>
      <c r="AD63" s="472"/>
      <c r="AE63" s="470"/>
      <c r="AF63" s="470"/>
      <c r="AG63" s="473"/>
      <c r="AH63" s="470"/>
      <c r="AI63" s="470"/>
      <c r="AJ63" s="470"/>
      <c r="AK63" s="470"/>
      <c r="AL63" s="472"/>
      <c r="AM63" s="470"/>
      <c r="AN63" s="470"/>
      <c r="AO63" s="473"/>
      <c r="AP63" s="472"/>
      <c r="AQ63" s="470"/>
      <c r="AR63" s="470"/>
      <c r="AS63" s="473"/>
      <c r="AT63" s="470"/>
      <c r="AU63" s="470"/>
      <c r="AV63" s="470"/>
      <c r="AW63" s="473"/>
      <c r="AX63" s="470"/>
      <c r="AY63" s="470"/>
      <c r="AZ63" s="470"/>
      <c r="BA63" s="474"/>
    </row>
    <row r="64" spans="1:53" s="16" customFormat="1" x14ac:dyDescent="0.15">
      <c r="A64" s="470">
        <v>1995</v>
      </c>
      <c r="B64" s="470"/>
      <c r="C64" s="811" t="s">
        <v>1001</v>
      </c>
      <c r="D64" s="811"/>
      <c r="E64" s="470">
        <v>0</v>
      </c>
      <c r="F64" s="470"/>
      <c r="G64" s="480"/>
      <c r="H64" s="470">
        <v>13</v>
      </c>
      <c r="I64" s="470"/>
      <c r="J64" s="482">
        <v>13</v>
      </c>
      <c r="K64" s="477">
        <f t="shared" si="5"/>
        <v>0</v>
      </c>
      <c r="L64" s="477">
        <f t="shared" si="6"/>
        <v>100</v>
      </c>
      <c r="M64" s="477">
        <f t="shared" si="7"/>
        <v>0</v>
      </c>
      <c r="N64" s="481">
        <f t="shared" si="8"/>
        <v>100</v>
      </c>
      <c r="O64" s="476"/>
      <c r="P64" s="477">
        <v>52.3</v>
      </c>
      <c r="Q64" s="477"/>
      <c r="R64" s="478">
        <f t="shared" si="9"/>
        <v>52.3</v>
      </c>
      <c r="S64" s="470">
        <v>1</v>
      </c>
      <c r="T64" s="471"/>
      <c r="U64" s="470"/>
      <c r="V64" s="472" t="s">
        <v>1000</v>
      </c>
      <c r="W64" s="470" t="s">
        <v>17</v>
      </c>
      <c r="X64" s="470" t="s">
        <v>18</v>
      </c>
      <c r="Y64" s="473">
        <v>52.3</v>
      </c>
      <c r="Z64" s="470"/>
      <c r="AA64" s="470"/>
      <c r="AB64" s="470"/>
      <c r="AC64" s="470"/>
      <c r="AD64" s="472"/>
      <c r="AE64" s="470"/>
      <c r="AF64" s="470"/>
      <c r="AG64" s="473"/>
      <c r="AH64" s="470"/>
      <c r="AI64" s="470"/>
      <c r="AJ64" s="470"/>
      <c r="AK64" s="470"/>
      <c r="AL64" s="472"/>
      <c r="AM64" s="470"/>
      <c r="AN64" s="470"/>
      <c r="AO64" s="473"/>
      <c r="AP64" s="472"/>
      <c r="AQ64" s="470"/>
      <c r="AR64" s="470"/>
      <c r="AS64" s="473"/>
      <c r="AT64" s="470"/>
      <c r="AU64" s="470"/>
      <c r="AV64" s="470"/>
      <c r="AW64" s="473"/>
      <c r="AX64" s="470"/>
      <c r="AY64" s="470"/>
      <c r="AZ64" s="470"/>
      <c r="BA64" s="474"/>
    </row>
    <row r="65" spans="1:53" s="16" customFormat="1" x14ac:dyDescent="0.15">
      <c r="A65" s="470">
        <v>1995</v>
      </c>
      <c r="B65" s="470"/>
      <c r="C65" s="811" t="s">
        <v>1001</v>
      </c>
      <c r="D65" s="811"/>
      <c r="E65" s="470">
        <f>365-E64</f>
        <v>365</v>
      </c>
      <c r="F65" s="470"/>
      <c r="G65" s="480"/>
      <c r="H65" s="470">
        <v>13</v>
      </c>
      <c r="I65" s="470"/>
      <c r="J65" s="482">
        <v>13</v>
      </c>
      <c r="K65" s="477">
        <f t="shared" si="5"/>
        <v>0</v>
      </c>
      <c r="L65" s="477">
        <f t="shared" si="6"/>
        <v>100</v>
      </c>
      <c r="M65" s="477">
        <f t="shared" si="7"/>
        <v>0</v>
      </c>
      <c r="N65" s="481">
        <f t="shared" si="8"/>
        <v>100</v>
      </c>
      <c r="O65" s="476"/>
      <c r="P65" s="477">
        <v>52.3</v>
      </c>
      <c r="Q65" s="477"/>
      <c r="R65" s="478">
        <f t="shared" si="9"/>
        <v>52.3</v>
      </c>
      <c r="S65" s="470">
        <v>1</v>
      </c>
      <c r="T65" s="471"/>
      <c r="U65" s="470"/>
      <c r="V65" s="472" t="s">
        <v>1000</v>
      </c>
      <c r="W65" s="470" t="s">
        <v>17</v>
      </c>
      <c r="X65" s="470" t="s">
        <v>18</v>
      </c>
      <c r="Y65" s="473">
        <v>52.3</v>
      </c>
      <c r="Z65" s="470"/>
      <c r="AA65" s="470"/>
      <c r="AB65" s="470"/>
      <c r="AC65" s="470"/>
      <c r="AD65" s="472"/>
      <c r="AE65" s="470"/>
      <c r="AF65" s="470"/>
      <c r="AG65" s="473"/>
      <c r="AH65" s="470"/>
      <c r="AI65" s="470"/>
      <c r="AJ65" s="470"/>
      <c r="AK65" s="470"/>
      <c r="AL65" s="472"/>
      <c r="AM65" s="470"/>
      <c r="AN65" s="470"/>
      <c r="AO65" s="473"/>
      <c r="AP65" s="472"/>
      <c r="AQ65" s="470"/>
      <c r="AR65" s="470"/>
      <c r="AS65" s="473"/>
      <c r="AT65" s="470"/>
      <c r="AU65" s="470"/>
      <c r="AV65" s="470"/>
      <c r="AW65" s="473"/>
      <c r="AX65" s="470"/>
      <c r="AY65" s="470"/>
      <c r="AZ65" s="470"/>
      <c r="BA65" s="474"/>
    </row>
    <row r="66" spans="1:53" s="16" customFormat="1" x14ac:dyDescent="0.15">
      <c r="A66" s="470">
        <v>1996</v>
      </c>
      <c r="B66" s="470"/>
      <c r="C66" s="811" t="s">
        <v>1001</v>
      </c>
      <c r="D66" s="811"/>
      <c r="E66" s="470">
        <v>302</v>
      </c>
      <c r="F66" s="470"/>
      <c r="G66" s="480"/>
      <c r="H66" s="470">
        <v>13</v>
      </c>
      <c r="I66" s="470"/>
      <c r="J66" s="482">
        <v>13</v>
      </c>
      <c r="K66" s="477">
        <f t="shared" si="5"/>
        <v>0</v>
      </c>
      <c r="L66" s="477">
        <f t="shared" si="6"/>
        <v>100</v>
      </c>
      <c r="M66" s="477">
        <f t="shared" si="7"/>
        <v>0</v>
      </c>
      <c r="N66" s="481">
        <f t="shared" si="8"/>
        <v>100</v>
      </c>
      <c r="O66" s="476"/>
      <c r="P66" s="477">
        <v>52.3</v>
      </c>
      <c r="Q66" s="477"/>
      <c r="R66" s="478">
        <f t="shared" si="9"/>
        <v>52.3</v>
      </c>
      <c r="S66" s="470">
        <v>1</v>
      </c>
      <c r="T66" s="471"/>
      <c r="U66" s="470"/>
      <c r="V66" s="472" t="s">
        <v>1000</v>
      </c>
      <c r="W66" s="470" t="s">
        <v>17</v>
      </c>
      <c r="X66" s="470" t="s">
        <v>18</v>
      </c>
      <c r="Y66" s="473">
        <v>52.3</v>
      </c>
      <c r="Z66" s="470"/>
      <c r="AA66" s="470"/>
      <c r="AB66" s="470"/>
      <c r="AC66" s="470"/>
      <c r="AD66" s="472"/>
      <c r="AE66" s="470"/>
      <c r="AF66" s="470"/>
      <c r="AG66" s="473"/>
      <c r="AH66" s="470"/>
      <c r="AI66" s="470"/>
      <c r="AJ66" s="470"/>
      <c r="AK66" s="470"/>
      <c r="AL66" s="472"/>
      <c r="AM66" s="470"/>
      <c r="AN66" s="470"/>
      <c r="AO66" s="473"/>
      <c r="AP66" s="472"/>
      <c r="AQ66" s="470"/>
      <c r="AR66" s="470"/>
      <c r="AS66" s="473"/>
      <c r="AT66" s="470"/>
      <c r="AU66" s="470"/>
      <c r="AV66" s="470"/>
      <c r="AW66" s="473"/>
      <c r="AX66" s="470"/>
      <c r="AY66" s="470"/>
      <c r="AZ66" s="470"/>
      <c r="BA66" s="474"/>
    </row>
    <row r="67" spans="1:53" s="16" customFormat="1" x14ac:dyDescent="0.15">
      <c r="A67" s="486">
        <v>1996</v>
      </c>
      <c r="B67" s="491">
        <v>35367</v>
      </c>
      <c r="C67" s="812" t="s">
        <v>1002</v>
      </c>
      <c r="D67" s="812"/>
      <c r="E67" s="486">
        <f>366-E66</f>
        <v>64</v>
      </c>
      <c r="F67" s="486">
        <v>1</v>
      </c>
      <c r="G67" s="497"/>
      <c r="H67" s="486"/>
      <c r="I67" s="486">
        <v>15</v>
      </c>
      <c r="J67" s="499">
        <v>15</v>
      </c>
      <c r="K67" s="495">
        <f t="shared" si="5"/>
        <v>0</v>
      </c>
      <c r="L67" s="495">
        <f t="shared" si="6"/>
        <v>0</v>
      </c>
      <c r="M67" s="495">
        <f t="shared" si="7"/>
        <v>100</v>
      </c>
      <c r="N67" s="498">
        <f t="shared" si="8"/>
        <v>100</v>
      </c>
      <c r="O67" s="494"/>
      <c r="P67" s="495"/>
      <c r="Q67" s="495">
        <v>50.7</v>
      </c>
      <c r="R67" s="496">
        <f t="shared" si="9"/>
        <v>50.7</v>
      </c>
      <c r="S67" s="486">
        <v>1</v>
      </c>
      <c r="T67" s="487">
        <v>35364</v>
      </c>
      <c r="U67" s="491">
        <v>35367</v>
      </c>
      <c r="V67" s="488" t="s">
        <v>1003</v>
      </c>
      <c r="W67" s="486" t="s">
        <v>20</v>
      </c>
      <c r="X67" s="486" t="s">
        <v>12</v>
      </c>
      <c r="Y67" s="489">
        <v>50.7</v>
      </c>
      <c r="Z67" s="486"/>
      <c r="AA67" s="486"/>
      <c r="AB67" s="486"/>
      <c r="AC67" s="486"/>
      <c r="AD67" s="488"/>
      <c r="AE67" s="486"/>
      <c r="AF67" s="486"/>
      <c r="AG67" s="489"/>
      <c r="AH67" s="486"/>
      <c r="AI67" s="486"/>
      <c r="AJ67" s="486"/>
      <c r="AK67" s="486"/>
      <c r="AL67" s="488"/>
      <c r="AM67" s="486"/>
      <c r="AN67" s="486"/>
      <c r="AO67" s="489"/>
      <c r="AP67" s="488"/>
      <c r="AQ67" s="486"/>
      <c r="AR67" s="486"/>
      <c r="AS67" s="489"/>
      <c r="AT67" s="486"/>
      <c r="AU67" s="486"/>
      <c r="AV67" s="486"/>
      <c r="AW67" s="489"/>
      <c r="AX67" s="486"/>
      <c r="AY67" s="486"/>
      <c r="AZ67" s="486"/>
      <c r="BA67" s="490"/>
    </row>
    <row r="68" spans="1:53" s="16" customFormat="1" x14ac:dyDescent="0.15">
      <c r="A68" s="486">
        <v>1997</v>
      </c>
      <c r="B68" s="486"/>
      <c r="C68" s="812" t="s">
        <v>1002</v>
      </c>
      <c r="D68" s="812"/>
      <c r="E68" s="486">
        <v>84</v>
      </c>
      <c r="F68" s="486"/>
      <c r="G68" s="497"/>
      <c r="H68" s="486"/>
      <c r="I68" s="486">
        <v>15</v>
      </c>
      <c r="J68" s="499">
        <v>15</v>
      </c>
      <c r="K68" s="495">
        <f t="shared" si="5"/>
        <v>0</v>
      </c>
      <c r="L68" s="495">
        <f t="shared" si="6"/>
        <v>0</v>
      </c>
      <c r="M68" s="495">
        <f t="shared" si="7"/>
        <v>100</v>
      </c>
      <c r="N68" s="498">
        <f t="shared" si="8"/>
        <v>100</v>
      </c>
      <c r="O68" s="494"/>
      <c r="P68" s="495"/>
      <c r="Q68" s="495">
        <v>50.7</v>
      </c>
      <c r="R68" s="496">
        <f t="shared" si="9"/>
        <v>50.7</v>
      </c>
      <c r="S68" s="486">
        <v>1</v>
      </c>
      <c r="T68" s="492"/>
      <c r="U68" s="486"/>
      <c r="V68" s="488" t="s">
        <v>1003</v>
      </c>
      <c r="W68" s="486" t="s">
        <v>20</v>
      </c>
      <c r="X68" s="486" t="s">
        <v>12</v>
      </c>
      <c r="Y68" s="489">
        <v>50.7</v>
      </c>
      <c r="Z68" s="486"/>
      <c r="AA68" s="486"/>
      <c r="AB68" s="486"/>
      <c r="AC68" s="486"/>
      <c r="AD68" s="488"/>
      <c r="AE68" s="486"/>
      <c r="AF68" s="486"/>
      <c r="AG68" s="489"/>
      <c r="AH68" s="486"/>
      <c r="AI68" s="486"/>
      <c r="AJ68" s="486"/>
      <c r="AK68" s="486"/>
      <c r="AL68" s="488"/>
      <c r="AM68" s="486"/>
      <c r="AN68" s="486"/>
      <c r="AO68" s="489"/>
      <c r="AP68" s="488"/>
      <c r="AQ68" s="486"/>
      <c r="AR68" s="486"/>
      <c r="AS68" s="489"/>
      <c r="AT68" s="486"/>
      <c r="AU68" s="486"/>
      <c r="AV68" s="486"/>
      <c r="AW68" s="489"/>
      <c r="AX68" s="486"/>
      <c r="AY68" s="486"/>
      <c r="AZ68" s="486"/>
      <c r="BA68" s="490"/>
    </row>
    <row r="69" spans="1:53" s="16" customFormat="1" x14ac:dyDescent="0.15">
      <c r="A69" s="486">
        <v>1997</v>
      </c>
      <c r="B69" s="502">
        <v>35515</v>
      </c>
      <c r="C69" s="812" t="s">
        <v>1002</v>
      </c>
      <c r="D69" s="812"/>
      <c r="E69" s="486">
        <f>365-E68</f>
        <v>281</v>
      </c>
      <c r="F69" s="501">
        <v>0</v>
      </c>
      <c r="G69" s="497"/>
      <c r="H69" s="486"/>
      <c r="I69" s="486">
        <v>14</v>
      </c>
      <c r="J69" s="499">
        <v>14</v>
      </c>
      <c r="K69" s="495">
        <f t="shared" si="5"/>
        <v>0</v>
      </c>
      <c r="L69" s="495">
        <f t="shared" si="6"/>
        <v>0</v>
      </c>
      <c r="M69" s="495">
        <f t="shared" si="7"/>
        <v>100</v>
      </c>
      <c r="N69" s="498">
        <f t="shared" si="8"/>
        <v>100</v>
      </c>
      <c r="O69" s="494"/>
      <c r="P69" s="495"/>
      <c r="Q69" s="495">
        <v>50.7</v>
      </c>
      <c r="R69" s="496">
        <f t="shared" si="9"/>
        <v>50.7</v>
      </c>
      <c r="S69" s="486">
        <v>1</v>
      </c>
      <c r="T69" s="492"/>
      <c r="U69" s="486"/>
      <c r="V69" s="488" t="s">
        <v>1003</v>
      </c>
      <c r="W69" s="486" t="s">
        <v>20</v>
      </c>
      <c r="X69" s="486" t="s">
        <v>12</v>
      </c>
      <c r="Y69" s="489">
        <v>50.7</v>
      </c>
      <c r="Z69" s="486"/>
      <c r="AA69" s="486"/>
      <c r="AB69" s="486"/>
      <c r="AC69" s="486"/>
      <c r="AD69" s="488"/>
      <c r="AE69" s="486"/>
      <c r="AF69" s="486"/>
      <c r="AG69" s="489"/>
      <c r="AH69" s="486"/>
      <c r="AI69" s="486"/>
      <c r="AJ69" s="486"/>
      <c r="AK69" s="486"/>
      <c r="AL69" s="488"/>
      <c r="AM69" s="486"/>
      <c r="AN69" s="486"/>
      <c r="AO69" s="489"/>
      <c r="AP69" s="488"/>
      <c r="AQ69" s="486"/>
      <c r="AR69" s="486"/>
      <c r="AS69" s="489"/>
      <c r="AT69" s="486"/>
      <c r="AU69" s="486"/>
      <c r="AV69" s="486"/>
      <c r="AW69" s="489"/>
      <c r="AX69" s="486"/>
      <c r="AY69" s="486"/>
      <c r="AZ69" s="486"/>
      <c r="BA69" s="490"/>
    </row>
    <row r="70" spans="1:53" s="16" customFormat="1" x14ac:dyDescent="0.15">
      <c r="A70" s="486">
        <v>1998</v>
      </c>
      <c r="B70" s="486"/>
      <c r="C70" s="812" t="s">
        <v>1002</v>
      </c>
      <c r="D70" s="812"/>
      <c r="E70" s="486">
        <v>250</v>
      </c>
      <c r="F70" s="486"/>
      <c r="G70" s="497"/>
      <c r="H70" s="486"/>
      <c r="I70" s="486">
        <v>14</v>
      </c>
      <c r="J70" s="499">
        <v>14</v>
      </c>
      <c r="K70" s="495">
        <f t="shared" si="5"/>
        <v>0</v>
      </c>
      <c r="L70" s="495">
        <f t="shared" si="6"/>
        <v>0</v>
      </c>
      <c r="M70" s="495">
        <f t="shared" si="7"/>
        <v>100</v>
      </c>
      <c r="N70" s="498">
        <f t="shared" si="8"/>
        <v>100</v>
      </c>
      <c r="O70" s="494"/>
      <c r="P70" s="495"/>
      <c r="Q70" s="495">
        <v>50.7</v>
      </c>
      <c r="R70" s="496">
        <f t="shared" si="9"/>
        <v>50.7</v>
      </c>
      <c r="S70" s="486">
        <v>1</v>
      </c>
      <c r="T70" s="492"/>
      <c r="U70" s="486"/>
      <c r="V70" s="488" t="s">
        <v>1003</v>
      </c>
      <c r="W70" s="486" t="s">
        <v>20</v>
      </c>
      <c r="X70" s="486" t="s">
        <v>12</v>
      </c>
      <c r="Y70" s="489">
        <v>50.7</v>
      </c>
      <c r="Z70" s="486"/>
      <c r="AA70" s="486"/>
      <c r="AB70" s="486"/>
      <c r="AC70" s="486"/>
      <c r="AD70" s="488"/>
      <c r="AE70" s="486"/>
      <c r="AF70" s="486"/>
      <c r="AG70" s="489"/>
      <c r="AH70" s="486"/>
      <c r="AI70" s="486"/>
      <c r="AJ70" s="486"/>
      <c r="AK70" s="486"/>
      <c r="AL70" s="488"/>
      <c r="AM70" s="486"/>
      <c r="AN70" s="486"/>
      <c r="AO70" s="489"/>
      <c r="AP70" s="488"/>
      <c r="AQ70" s="486"/>
      <c r="AR70" s="486"/>
      <c r="AS70" s="489"/>
      <c r="AT70" s="486"/>
      <c r="AU70" s="486"/>
      <c r="AV70" s="486"/>
      <c r="AW70" s="489"/>
      <c r="AX70" s="486"/>
      <c r="AY70" s="486"/>
      <c r="AZ70" s="486"/>
      <c r="BA70" s="490"/>
    </row>
    <row r="71" spans="1:53" s="16" customFormat="1" x14ac:dyDescent="0.15">
      <c r="A71" s="470">
        <v>1998</v>
      </c>
      <c r="B71" s="475">
        <v>36046</v>
      </c>
      <c r="C71" s="811" t="s">
        <v>1004</v>
      </c>
      <c r="D71" s="811"/>
      <c r="E71" s="470">
        <f>365-E70</f>
        <v>115</v>
      </c>
      <c r="F71" s="470">
        <v>1</v>
      </c>
      <c r="G71" s="480"/>
      <c r="H71" s="470">
        <v>13</v>
      </c>
      <c r="I71" s="470"/>
      <c r="J71" s="482">
        <v>13</v>
      </c>
      <c r="K71" s="477">
        <f t="shared" ref="K71:K101" si="10">G71/J71*100</f>
        <v>0</v>
      </c>
      <c r="L71" s="477">
        <f t="shared" ref="L71:L101" si="11">H71/J71*100</f>
        <v>100</v>
      </c>
      <c r="M71" s="477">
        <f t="shared" ref="M71:M101" si="12">I71/J71*100</f>
        <v>0</v>
      </c>
      <c r="N71" s="481">
        <f t="shared" ref="N71:N101" si="13">K71+L71+M71</f>
        <v>100</v>
      </c>
      <c r="O71" s="476"/>
      <c r="P71" s="477">
        <v>53.8</v>
      </c>
      <c r="Q71" s="477"/>
      <c r="R71" s="478">
        <f t="shared" ref="R71:R103" si="14">O71+P71+Q71</f>
        <v>53.8</v>
      </c>
      <c r="S71" s="470">
        <v>1</v>
      </c>
      <c r="T71" s="479">
        <v>36043</v>
      </c>
      <c r="U71" s="475">
        <v>36046</v>
      </c>
      <c r="V71" s="472" t="s">
        <v>1000</v>
      </c>
      <c r="W71" s="470" t="s">
        <v>17</v>
      </c>
      <c r="X71" s="470" t="s">
        <v>18</v>
      </c>
      <c r="Y71" s="473">
        <v>53.8</v>
      </c>
      <c r="Z71" s="470"/>
      <c r="AA71" s="470"/>
      <c r="AB71" s="470"/>
      <c r="AC71" s="470"/>
      <c r="AD71" s="472"/>
      <c r="AE71" s="470"/>
      <c r="AF71" s="470"/>
      <c r="AG71" s="473"/>
      <c r="AH71" s="470"/>
      <c r="AI71" s="470"/>
      <c r="AJ71" s="470"/>
      <c r="AK71" s="470"/>
      <c r="AL71" s="472"/>
      <c r="AM71" s="470"/>
      <c r="AN71" s="470"/>
      <c r="AO71" s="473"/>
      <c r="AP71" s="472"/>
      <c r="AQ71" s="470"/>
      <c r="AR71" s="470"/>
      <c r="AS71" s="473"/>
      <c r="AT71" s="470"/>
      <c r="AU71" s="470"/>
      <c r="AV71" s="470"/>
      <c r="AW71" s="473"/>
      <c r="AX71" s="470"/>
      <c r="AY71" s="470"/>
      <c r="AZ71" s="470"/>
      <c r="BA71" s="474"/>
    </row>
    <row r="72" spans="1:53" s="16" customFormat="1" x14ac:dyDescent="0.15">
      <c r="A72" s="470">
        <v>1999</v>
      </c>
      <c r="B72" s="470"/>
      <c r="C72" s="811" t="s">
        <v>1004</v>
      </c>
      <c r="D72" s="811"/>
      <c r="E72" s="470">
        <v>82</v>
      </c>
      <c r="F72" s="470"/>
      <c r="G72" s="480"/>
      <c r="H72" s="470">
        <v>13</v>
      </c>
      <c r="I72" s="470"/>
      <c r="J72" s="482">
        <v>13</v>
      </c>
      <c r="K72" s="477">
        <f t="shared" si="10"/>
        <v>0</v>
      </c>
      <c r="L72" s="477">
        <f t="shared" si="11"/>
        <v>100</v>
      </c>
      <c r="M72" s="477">
        <f t="shared" si="12"/>
        <v>0</v>
      </c>
      <c r="N72" s="481">
        <f t="shared" si="13"/>
        <v>100</v>
      </c>
      <c r="O72" s="476"/>
      <c r="P72" s="477">
        <v>53.8</v>
      </c>
      <c r="Q72" s="477"/>
      <c r="R72" s="478">
        <f t="shared" si="14"/>
        <v>53.8</v>
      </c>
      <c r="S72" s="470">
        <v>1</v>
      </c>
      <c r="T72" s="471"/>
      <c r="U72" s="470"/>
      <c r="V72" s="472" t="s">
        <v>1000</v>
      </c>
      <c r="W72" s="470" t="s">
        <v>17</v>
      </c>
      <c r="X72" s="470" t="s">
        <v>18</v>
      </c>
      <c r="Y72" s="473">
        <v>53.8</v>
      </c>
      <c r="Z72" s="470"/>
      <c r="AA72" s="470"/>
      <c r="AB72" s="470"/>
      <c r="AC72" s="470"/>
      <c r="AD72" s="472"/>
      <c r="AE72" s="470"/>
      <c r="AF72" s="470"/>
      <c r="AG72" s="473"/>
      <c r="AH72" s="470"/>
      <c r="AI72" s="470"/>
      <c r="AJ72" s="470"/>
      <c r="AK72" s="470"/>
      <c r="AL72" s="472"/>
      <c r="AM72" s="470"/>
      <c r="AN72" s="470"/>
      <c r="AO72" s="473"/>
      <c r="AP72" s="472"/>
      <c r="AQ72" s="470"/>
      <c r="AR72" s="470"/>
      <c r="AS72" s="473"/>
      <c r="AT72" s="470"/>
      <c r="AU72" s="470"/>
      <c r="AV72" s="470"/>
      <c r="AW72" s="473"/>
      <c r="AX72" s="470"/>
      <c r="AY72" s="470"/>
      <c r="AZ72" s="470"/>
      <c r="BA72" s="474"/>
    </row>
    <row r="73" spans="1:53" s="16" customFormat="1" x14ac:dyDescent="0.15">
      <c r="A73" s="470">
        <v>1999</v>
      </c>
      <c r="B73" s="483">
        <v>36243</v>
      </c>
      <c r="C73" s="811" t="s">
        <v>1004</v>
      </c>
      <c r="D73" s="811"/>
      <c r="E73" s="470">
        <f>365-E72</f>
        <v>283</v>
      </c>
      <c r="F73" s="484">
        <v>0</v>
      </c>
      <c r="G73" s="480"/>
      <c r="H73" s="470">
        <v>14</v>
      </c>
      <c r="I73" s="470"/>
      <c r="J73" s="482">
        <v>14</v>
      </c>
      <c r="K73" s="477">
        <f t="shared" si="10"/>
        <v>0</v>
      </c>
      <c r="L73" s="477">
        <f t="shared" si="11"/>
        <v>100</v>
      </c>
      <c r="M73" s="477">
        <f t="shared" si="12"/>
        <v>0</v>
      </c>
      <c r="N73" s="481">
        <f t="shared" si="13"/>
        <v>100</v>
      </c>
      <c r="O73" s="476"/>
      <c r="P73" s="477">
        <v>53.8</v>
      </c>
      <c r="Q73" s="477"/>
      <c r="R73" s="478">
        <f t="shared" si="14"/>
        <v>53.8</v>
      </c>
      <c r="S73" s="470">
        <v>1</v>
      </c>
      <c r="T73" s="471"/>
      <c r="U73" s="470"/>
      <c r="V73" s="472" t="s">
        <v>1000</v>
      </c>
      <c r="W73" s="470" t="s">
        <v>17</v>
      </c>
      <c r="X73" s="470" t="s">
        <v>18</v>
      </c>
      <c r="Y73" s="473">
        <v>53.8</v>
      </c>
      <c r="Z73" s="470"/>
      <c r="AA73" s="470"/>
      <c r="AB73" s="470"/>
      <c r="AC73" s="470"/>
      <c r="AD73" s="472"/>
      <c r="AE73" s="470"/>
      <c r="AF73" s="470"/>
      <c r="AG73" s="473"/>
      <c r="AH73" s="470"/>
      <c r="AI73" s="470"/>
      <c r="AJ73" s="470"/>
      <c r="AK73" s="470"/>
      <c r="AL73" s="472"/>
      <c r="AM73" s="470"/>
      <c r="AN73" s="470"/>
      <c r="AO73" s="473"/>
      <c r="AP73" s="472"/>
      <c r="AQ73" s="470"/>
      <c r="AR73" s="470"/>
      <c r="AS73" s="473"/>
      <c r="AT73" s="470"/>
      <c r="AU73" s="470"/>
      <c r="AV73" s="470"/>
      <c r="AW73" s="473"/>
      <c r="AX73" s="470"/>
      <c r="AY73" s="470"/>
      <c r="AZ73" s="470"/>
      <c r="BA73" s="474"/>
    </row>
    <row r="74" spans="1:53" s="16" customFormat="1" x14ac:dyDescent="0.15">
      <c r="A74" s="470">
        <v>2000</v>
      </c>
      <c r="B74" s="470"/>
      <c r="C74" s="811" t="s">
        <v>1004</v>
      </c>
      <c r="D74" s="811"/>
      <c r="E74" s="470">
        <v>0</v>
      </c>
      <c r="F74" s="470"/>
      <c r="G74" s="480"/>
      <c r="H74" s="470">
        <v>14</v>
      </c>
      <c r="I74" s="470"/>
      <c r="J74" s="482">
        <v>14</v>
      </c>
      <c r="K74" s="477">
        <f t="shared" si="10"/>
        <v>0</v>
      </c>
      <c r="L74" s="477">
        <f t="shared" si="11"/>
        <v>100</v>
      </c>
      <c r="M74" s="477">
        <f t="shared" si="12"/>
        <v>0</v>
      </c>
      <c r="N74" s="481">
        <f t="shared" si="13"/>
        <v>100</v>
      </c>
      <c r="O74" s="476"/>
      <c r="P74" s="477">
        <v>53.8</v>
      </c>
      <c r="Q74" s="477"/>
      <c r="R74" s="478">
        <f t="shared" si="14"/>
        <v>53.8</v>
      </c>
      <c r="S74" s="470">
        <v>1</v>
      </c>
      <c r="T74" s="471"/>
      <c r="U74" s="470"/>
      <c r="V74" s="472" t="s">
        <v>1000</v>
      </c>
      <c r="W74" s="470" t="s">
        <v>17</v>
      </c>
      <c r="X74" s="470" t="s">
        <v>18</v>
      </c>
      <c r="Y74" s="473">
        <v>53.8</v>
      </c>
      <c r="Z74" s="470"/>
      <c r="AA74" s="470"/>
      <c r="AB74" s="470"/>
      <c r="AC74" s="470"/>
      <c r="AD74" s="472"/>
      <c r="AE74" s="470"/>
      <c r="AF74" s="470"/>
      <c r="AG74" s="473"/>
      <c r="AH74" s="470"/>
      <c r="AI74" s="470"/>
      <c r="AJ74" s="470"/>
      <c r="AK74" s="470"/>
      <c r="AL74" s="472"/>
      <c r="AM74" s="470"/>
      <c r="AN74" s="470"/>
      <c r="AO74" s="473"/>
      <c r="AP74" s="472"/>
      <c r="AQ74" s="470"/>
      <c r="AR74" s="470"/>
      <c r="AS74" s="473"/>
      <c r="AT74" s="470"/>
      <c r="AU74" s="470"/>
      <c r="AV74" s="470"/>
      <c r="AW74" s="473"/>
      <c r="AX74" s="470"/>
      <c r="AY74" s="470"/>
      <c r="AZ74" s="470"/>
      <c r="BA74" s="474"/>
    </row>
    <row r="75" spans="1:53" s="16" customFormat="1" x14ac:dyDescent="0.15">
      <c r="A75" s="470">
        <v>2000</v>
      </c>
      <c r="B75" s="470"/>
      <c r="C75" s="811" t="s">
        <v>1004</v>
      </c>
      <c r="D75" s="811"/>
      <c r="E75" s="470">
        <v>366</v>
      </c>
      <c r="F75" s="470"/>
      <c r="G75" s="480"/>
      <c r="H75" s="470">
        <v>14</v>
      </c>
      <c r="I75" s="470"/>
      <c r="J75" s="482">
        <v>14</v>
      </c>
      <c r="K75" s="477">
        <f t="shared" si="10"/>
        <v>0</v>
      </c>
      <c r="L75" s="477">
        <f t="shared" si="11"/>
        <v>100</v>
      </c>
      <c r="M75" s="477">
        <f t="shared" si="12"/>
        <v>0</v>
      </c>
      <c r="N75" s="481">
        <f t="shared" si="13"/>
        <v>100</v>
      </c>
      <c r="O75" s="476"/>
      <c r="P75" s="477">
        <v>53.8</v>
      </c>
      <c r="Q75" s="477"/>
      <c r="R75" s="478">
        <f t="shared" si="14"/>
        <v>53.8</v>
      </c>
      <c r="S75" s="470">
        <v>1</v>
      </c>
      <c r="T75" s="471"/>
      <c r="U75" s="470"/>
      <c r="V75" s="472" t="s">
        <v>1000</v>
      </c>
      <c r="W75" s="470" t="s">
        <v>17</v>
      </c>
      <c r="X75" s="470" t="s">
        <v>18</v>
      </c>
      <c r="Y75" s="473">
        <v>53.8</v>
      </c>
      <c r="Z75" s="470"/>
      <c r="AA75" s="470"/>
      <c r="AB75" s="470"/>
      <c r="AC75" s="470"/>
      <c r="AD75" s="472"/>
      <c r="AE75" s="470"/>
      <c r="AF75" s="470"/>
      <c r="AG75" s="473"/>
      <c r="AH75" s="470"/>
      <c r="AI75" s="470"/>
      <c r="AJ75" s="470"/>
      <c r="AK75" s="470"/>
      <c r="AL75" s="472"/>
      <c r="AM75" s="470"/>
      <c r="AN75" s="470"/>
      <c r="AO75" s="473"/>
      <c r="AP75" s="472"/>
      <c r="AQ75" s="470"/>
      <c r="AR75" s="470"/>
      <c r="AS75" s="473"/>
      <c r="AT75" s="470"/>
      <c r="AU75" s="470"/>
      <c r="AV75" s="470"/>
      <c r="AW75" s="473"/>
      <c r="AX75" s="470"/>
      <c r="AY75" s="470"/>
      <c r="AZ75" s="470"/>
      <c r="BA75" s="474"/>
    </row>
    <row r="76" spans="1:53" s="16" customFormat="1" x14ac:dyDescent="0.15">
      <c r="A76" s="470">
        <v>2001</v>
      </c>
      <c r="B76" s="470"/>
      <c r="C76" s="811" t="s">
        <v>1004</v>
      </c>
      <c r="D76" s="811"/>
      <c r="E76" s="470">
        <v>0</v>
      </c>
      <c r="F76" s="470"/>
      <c r="G76" s="480"/>
      <c r="H76" s="470">
        <v>14</v>
      </c>
      <c r="I76" s="470"/>
      <c r="J76" s="482">
        <v>14</v>
      </c>
      <c r="K76" s="477">
        <f t="shared" si="10"/>
        <v>0</v>
      </c>
      <c r="L76" s="477">
        <f t="shared" si="11"/>
        <v>100</v>
      </c>
      <c r="M76" s="477">
        <f t="shared" si="12"/>
        <v>0</v>
      </c>
      <c r="N76" s="481">
        <f t="shared" si="13"/>
        <v>100</v>
      </c>
      <c r="O76" s="476"/>
      <c r="P76" s="477">
        <v>53.8</v>
      </c>
      <c r="Q76" s="477"/>
      <c r="R76" s="478">
        <f t="shared" si="14"/>
        <v>53.8</v>
      </c>
      <c r="S76" s="470">
        <v>1</v>
      </c>
      <c r="T76" s="471"/>
      <c r="U76" s="470"/>
      <c r="V76" s="472" t="s">
        <v>1000</v>
      </c>
      <c r="W76" s="470" t="s">
        <v>17</v>
      </c>
      <c r="X76" s="470" t="s">
        <v>18</v>
      </c>
      <c r="Y76" s="473">
        <v>53.8</v>
      </c>
      <c r="Z76" s="470"/>
      <c r="AA76" s="470"/>
      <c r="AB76" s="470"/>
      <c r="AC76" s="470"/>
      <c r="AD76" s="472"/>
      <c r="AE76" s="470"/>
      <c r="AF76" s="470"/>
      <c r="AG76" s="473"/>
      <c r="AH76" s="470"/>
      <c r="AI76" s="470"/>
      <c r="AJ76" s="470"/>
      <c r="AK76" s="470"/>
      <c r="AL76" s="472"/>
      <c r="AM76" s="470"/>
      <c r="AN76" s="470"/>
      <c r="AO76" s="473"/>
      <c r="AP76" s="472"/>
      <c r="AQ76" s="470"/>
      <c r="AR76" s="470"/>
      <c r="AS76" s="473"/>
      <c r="AT76" s="470"/>
      <c r="AU76" s="470"/>
      <c r="AV76" s="470"/>
      <c r="AW76" s="473"/>
      <c r="AX76" s="470"/>
      <c r="AY76" s="470"/>
      <c r="AZ76" s="470"/>
      <c r="BA76" s="474"/>
    </row>
    <row r="77" spans="1:53" s="16" customFormat="1" x14ac:dyDescent="0.15">
      <c r="A77" s="470">
        <v>2001</v>
      </c>
      <c r="B77" s="470"/>
      <c r="C77" s="811" t="s">
        <v>1004</v>
      </c>
      <c r="D77" s="811"/>
      <c r="E77" s="470">
        <f>365-E76</f>
        <v>365</v>
      </c>
      <c r="F77" s="470"/>
      <c r="G77" s="480"/>
      <c r="H77" s="470">
        <v>14</v>
      </c>
      <c r="I77" s="470"/>
      <c r="J77" s="482">
        <v>14</v>
      </c>
      <c r="K77" s="477">
        <f t="shared" si="10"/>
        <v>0</v>
      </c>
      <c r="L77" s="477">
        <f t="shared" si="11"/>
        <v>100</v>
      </c>
      <c r="M77" s="477">
        <f t="shared" si="12"/>
        <v>0</v>
      </c>
      <c r="N77" s="481">
        <f t="shared" si="13"/>
        <v>100</v>
      </c>
      <c r="O77" s="476"/>
      <c r="P77" s="477">
        <v>53.8</v>
      </c>
      <c r="Q77" s="477"/>
      <c r="R77" s="478">
        <f t="shared" si="14"/>
        <v>53.8</v>
      </c>
      <c r="S77" s="470">
        <v>1</v>
      </c>
      <c r="T77" s="471"/>
      <c r="U77" s="470"/>
      <c r="V77" s="472" t="s">
        <v>1000</v>
      </c>
      <c r="W77" s="470" t="s">
        <v>17</v>
      </c>
      <c r="X77" s="470" t="s">
        <v>18</v>
      </c>
      <c r="Y77" s="473">
        <v>53.8</v>
      </c>
      <c r="Z77" s="470"/>
      <c r="AA77" s="470"/>
      <c r="AB77" s="470"/>
      <c r="AC77" s="470"/>
      <c r="AD77" s="472"/>
      <c r="AE77" s="470"/>
      <c r="AF77" s="470"/>
      <c r="AG77" s="473"/>
      <c r="AH77" s="470"/>
      <c r="AI77" s="470"/>
      <c r="AJ77" s="470"/>
      <c r="AK77" s="470"/>
      <c r="AL77" s="472"/>
      <c r="AM77" s="470"/>
      <c r="AN77" s="470"/>
      <c r="AO77" s="473"/>
      <c r="AP77" s="472"/>
      <c r="AQ77" s="470"/>
      <c r="AR77" s="470"/>
      <c r="AS77" s="473"/>
      <c r="AT77" s="470"/>
      <c r="AU77" s="470"/>
      <c r="AV77" s="470"/>
      <c r="AW77" s="473"/>
      <c r="AX77" s="470"/>
      <c r="AY77" s="470"/>
      <c r="AZ77" s="470"/>
      <c r="BA77" s="474"/>
    </row>
    <row r="78" spans="1:53" s="16" customFormat="1" x14ac:dyDescent="0.15">
      <c r="A78" s="470">
        <v>2002</v>
      </c>
      <c r="B78" s="470"/>
      <c r="C78" s="811" t="s">
        <v>1004</v>
      </c>
      <c r="D78" s="811"/>
      <c r="E78" s="470">
        <v>0</v>
      </c>
      <c r="F78" s="470"/>
      <c r="G78" s="480"/>
      <c r="H78" s="470">
        <v>14</v>
      </c>
      <c r="I78" s="470"/>
      <c r="J78" s="482">
        <v>14</v>
      </c>
      <c r="K78" s="477">
        <f t="shared" si="10"/>
        <v>0</v>
      </c>
      <c r="L78" s="477">
        <f t="shared" si="11"/>
        <v>100</v>
      </c>
      <c r="M78" s="477">
        <f t="shared" si="12"/>
        <v>0</v>
      </c>
      <c r="N78" s="481">
        <f t="shared" si="13"/>
        <v>100</v>
      </c>
      <c r="O78" s="476"/>
      <c r="P78" s="477">
        <v>53.8</v>
      </c>
      <c r="Q78" s="477"/>
      <c r="R78" s="478">
        <f t="shared" si="14"/>
        <v>53.8</v>
      </c>
      <c r="S78" s="470">
        <v>1</v>
      </c>
      <c r="T78" s="471"/>
      <c r="U78" s="470"/>
      <c r="V78" s="472" t="s">
        <v>1000</v>
      </c>
      <c r="W78" s="470" t="s">
        <v>17</v>
      </c>
      <c r="X78" s="470" t="s">
        <v>18</v>
      </c>
      <c r="Y78" s="473">
        <v>53.8</v>
      </c>
      <c r="Z78" s="470"/>
      <c r="AA78" s="470"/>
      <c r="AB78" s="470"/>
      <c r="AC78" s="470"/>
      <c r="AD78" s="472"/>
      <c r="AE78" s="470"/>
      <c r="AF78" s="470"/>
      <c r="AG78" s="473"/>
      <c r="AH78" s="470"/>
      <c r="AI78" s="470"/>
      <c r="AJ78" s="470"/>
      <c r="AK78" s="470"/>
      <c r="AL78" s="472"/>
      <c r="AM78" s="470"/>
      <c r="AN78" s="470"/>
      <c r="AO78" s="473"/>
      <c r="AP78" s="472"/>
      <c r="AQ78" s="470"/>
      <c r="AR78" s="470"/>
      <c r="AS78" s="473"/>
      <c r="AT78" s="470"/>
      <c r="AU78" s="470"/>
      <c r="AV78" s="470"/>
      <c r="AW78" s="473"/>
      <c r="AX78" s="470"/>
      <c r="AY78" s="470"/>
      <c r="AZ78" s="470"/>
      <c r="BA78" s="474"/>
    </row>
    <row r="79" spans="1:53" s="16" customFormat="1" x14ac:dyDescent="0.15">
      <c r="A79" s="470">
        <v>2002</v>
      </c>
      <c r="B79" s="470"/>
      <c r="C79" s="811" t="s">
        <v>1004</v>
      </c>
      <c r="D79" s="811"/>
      <c r="E79" s="470">
        <f>365-E78</f>
        <v>365</v>
      </c>
      <c r="F79" s="470"/>
      <c r="G79" s="480"/>
      <c r="H79" s="470">
        <v>14</v>
      </c>
      <c r="I79" s="470"/>
      <c r="J79" s="482">
        <v>14</v>
      </c>
      <c r="K79" s="477">
        <f t="shared" si="10"/>
        <v>0</v>
      </c>
      <c r="L79" s="477">
        <f t="shared" si="11"/>
        <v>100</v>
      </c>
      <c r="M79" s="477">
        <f t="shared" si="12"/>
        <v>0</v>
      </c>
      <c r="N79" s="481">
        <f t="shared" si="13"/>
        <v>100</v>
      </c>
      <c r="O79" s="476"/>
      <c r="P79" s="477">
        <v>53.8</v>
      </c>
      <c r="Q79" s="477"/>
      <c r="R79" s="478">
        <f t="shared" si="14"/>
        <v>53.8</v>
      </c>
      <c r="S79" s="470">
        <v>1</v>
      </c>
      <c r="T79" s="471"/>
      <c r="U79" s="470"/>
      <c r="V79" s="472" t="s">
        <v>1000</v>
      </c>
      <c r="W79" s="470" t="s">
        <v>17</v>
      </c>
      <c r="X79" s="470" t="s">
        <v>18</v>
      </c>
      <c r="Y79" s="473">
        <v>53.8</v>
      </c>
      <c r="Z79" s="470"/>
      <c r="AA79" s="470"/>
      <c r="AB79" s="470"/>
      <c r="AC79" s="470"/>
      <c r="AD79" s="472"/>
      <c r="AE79" s="470"/>
      <c r="AF79" s="470"/>
      <c r="AG79" s="473"/>
      <c r="AH79" s="470"/>
      <c r="AI79" s="470"/>
      <c r="AJ79" s="470"/>
      <c r="AK79" s="470"/>
      <c r="AL79" s="472"/>
      <c r="AM79" s="470"/>
      <c r="AN79" s="470"/>
      <c r="AO79" s="473"/>
      <c r="AP79" s="472"/>
      <c r="AQ79" s="470"/>
      <c r="AR79" s="470"/>
      <c r="AS79" s="473"/>
      <c r="AT79" s="470"/>
      <c r="AU79" s="470"/>
      <c r="AV79" s="470"/>
      <c r="AW79" s="473"/>
      <c r="AX79" s="470"/>
      <c r="AY79" s="470"/>
      <c r="AZ79" s="470"/>
      <c r="BA79" s="474"/>
    </row>
    <row r="80" spans="1:53" s="16" customFormat="1" x14ac:dyDescent="0.15">
      <c r="A80" s="470">
        <v>2003</v>
      </c>
      <c r="B80" s="470"/>
      <c r="C80" s="811" t="s">
        <v>1004</v>
      </c>
      <c r="D80" s="811"/>
      <c r="E80" s="470">
        <v>104</v>
      </c>
      <c r="F80" s="470"/>
      <c r="G80" s="480"/>
      <c r="H80" s="470">
        <v>14</v>
      </c>
      <c r="I80" s="470"/>
      <c r="J80" s="482">
        <v>14</v>
      </c>
      <c r="K80" s="477">
        <f t="shared" si="10"/>
        <v>0</v>
      </c>
      <c r="L80" s="477">
        <f t="shared" si="11"/>
        <v>100</v>
      </c>
      <c r="M80" s="477">
        <f t="shared" si="12"/>
        <v>0</v>
      </c>
      <c r="N80" s="481">
        <f t="shared" si="13"/>
        <v>100</v>
      </c>
      <c r="O80" s="476"/>
      <c r="P80" s="477">
        <v>53.8</v>
      </c>
      <c r="Q80" s="477"/>
      <c r="R80" s="478">
        <f t="shared" si="14"/>
        <v>53.8</v>
      </c>
      <c r="S80" s="470">
        <v>1</v>
      </c>
      <c r="T80" s="471"/>
      <c r="U80" s="470"/>
      <c r="V80" s="472" t="s">
        <v>1000</v>
      </c>
      <c r="W80" s="470" t="s">
        <v>17</v>
      </c>
      <c r="X80" s="470" t="s">
        <v>18</v>
      </c>
      <c r="Y80" s="473">
        <v>53.8</v>
      </c>
      <c r="Z80" s="470"/>
      <c r="AA80" s="470"/>
      <c r="AB80" s="470"/>
      <c r="AC80" s="470"/>
      <c r="AD80" s="472"/>
      <c r="AE80" s="470"/>
      <c r="AF80" s="470"/>
      <c r="AG80" s="473"/>
      <c r="AH80" s="470"/>
      <c r="AI80" s="470"/>
      <c r="AJ80" s="470"/>
      <c r="AK80" s="470"/>
      <c r="AL80" s="472"/>
      <c r="AM80" s="470"/>
      <c r="AN80" s="470"/>
      <c r="AO80" s="473"/>
      <c r="AP80" s="472"/>
      <c r="AQ80" s="470"/>
      <c r="AR80" s="470"/>
      <c r="AS80" s="473"/>
      <c r="AT80" s="470"/>
      <c r="AU80" s="470"/>
      <c r="AV80" s="470"/>
      <c r="AW80" s="473"/>
      <c r="AX80" s="470"/>
      <c r="AY80" s="470"/>
      <c r="AZ80" s="470"/>
      <c r="BA80" s="474"/>
    </row>
    <row r="81" spans="1:53" s="16" customFormat="1" x14ac:dyDescent="0.15">
      <c r="A81" s="486">
        <v>2003</v>
      </c>
      <c r="B81" s="491">
        <v>37726</v>
      </c>
      <c r="C81" s="812" t="s">
        <v>1005</v>
      </c>
      <c r="D81" s="812"/>
      <c r="E81" s="486">
        <f>365-E80</f>
        <v>261</v>
      </c>
      <c r="F81" s="486">
        <v>1</v>
      </c>
      <c r="G81" s="497"/>
      <c r="H81" s="486">
        <v>14</v>
      </c>
      <c r="I81" s="486"/>
      <c r="J81" s="499">
        <v>14</v>
      </c>
      <c r="K81" s="495">
        <f t="shared" si="10"/>
        <v>0</v>
      </c>
      <c r="L81" s="495">
        <f t="shared" si="11"/>
        <v>100</v>
      </c>
      <c r="M81" s="495">
        <f t="shared" si="12"/>
        <v>0</v>
      </c>
      <c r="N81" s="498">
        <f t="shared" si="13"/>
        <v>100</v>
      </c>
      <c r="O81" s="494"/>
      <c r="P81" s="495">
        <v>53.8</v>
      </c>
      <c r="Q81" s="495"/>
      <c r="R81" s="496">
        <f t="shared" si="14"/>
        <v>53.8</v>
      </c>
      <c r="S81" s="486">
        <v>1</v>
      </c>
      <c r="T81" s="487">
        <v>37723</v>
      </c>
      <c r="U81" s="491">
        <v>37726</v>
      </c>
      <c r="V81" s="488" t="s">
        <v>1000</v>
      </c>
      <c r="W81" s="486" t="s">
        <v>17</v>
      </c>
      <c r="X81" s="486" t="s">
        <v>18</v>
      </c>
      <c r="Y81" s="489">
        <v>53.8</v>
      </c>
      <c r="Z81" s="486"/>
      <c r="AA81" s="486"/>
      <c r="AB81" s="486"/>
      <c r="AC81" s="486"/>
      <c r="AD81" s="488"/>
      <c r="AE81" s="486"/>
      <c r="AF81" s="486"/>
      <c r="AG81" s="489"/>
      <c r="AH81" s="486"/>
      <c r="AI81" s="486"/>
      <c r="AJ81" s="486"/>
      <c r="AK81" s="486"/>
      <c r="AL81" s="488"/>
      <c r="AM81" s="486"/>
      <c r="AN81" s="486"/>
      <c r="AO81" s="489"/>
      <c r="AP81" s="488"/>
      <c r="AQ81" s="486"/>
      <c r="AR81" s="486"/>
      <c r="AS81" s="489"/>
      <c r="AT81" s="486"/>
      <c r="AU81" s="486"/>
      <c r="AV81" s="486"/>
      <c r="AW81" s="489"/>
      <c r="AX81" s="486"/>
      <c r="AY81" s="486"/>
      <c r="AZ81" s="486"/>
      <c r="BA81" s="490"/>
    </row>
    <row r="82" spans="1:53" s="16" customFormat="1" x14ac:dyDescent="0.15">
      <c r="A82" s="486">
        <v>2004</v>
      </c>
      <c r="B82" s="486"/>
      <c r="C82" s="812" t="s">
        <v>1005</v>
      </c>
      <c r="D82" s="812"/>
      <c r="E82" s="486">
        <v>83</v>
      </c>
      <c r="F82" s="486"/>
      <c r="G82" s="497"/>
      <c r="H82" s="486">
        <v>14</v>
      </c>
      <c r="I82" s="486"/>
      <c r="J82" s="499">
        <v>14</v>
      </c>
      <c r="K82" s="495">
        <f t="shared" si="10"/>
        <v>0</v>
      </c>
      <c r="L82" s="495">
        <f t="shared" si="11"/>
        <v>100</v>
      </c>
      <c r="M82" s="495">
        <f t="shared" si="12"/>
        <v>0</v>
      </c>
      <c r="N82" s="498">
        <f t="shared" si="13"/>
        <v>100</v>
      </c>
      <c r="O82" s="494"/>
      <c r="P82" s="495">
        <v>53.8</v>
      </c>
      <c r="Q82" s="495"/>
      <c r="R82" s="496">
        <f t="shared" si="14"/>
        <v>53.8</v>
      </c>
      <c r="S82" s="486">
        <v>1</v>
      </c>
      <c r="T82" s="492"/>
      <c r="U82" s="486"/>
      <c r="V82" s="488" t="s">
        <v>1000</v>
      </c>
      <c r="W82" s="486" t="s">
        <v>17</v>
      </c>
      <c r="X82" s="486" t="s">
        <v>18</v>
      </c>
      <c r="Y82" s="489">
        <v>53.8</v>
      </c>
      <c r="Z82" s="486"/>
      <c r="AA82" s="486"/>
      <c r="AB82" s="486"/>
      <c r="AC82" s="486"/>
      <c r="AD82" s="488"/>
      <c r="AE82" s="486"/>
      <c r="AF82" s="486"/>
      <c r="AG82" s="489"/>
      <c r="AH82" s="486"/>
      <c r="AI82" s="486"/>
      <c r="AJ82" s="486"/>
      <c r="AK82" s="486"/>
      <c r="AL82" s="488"/>
      <c r="AM82" s="486"/>
      <c r="AN82" s="486"/>
      <c r="AO82" s="489"/>
      <c r="AP82" s="488"/>
      <c r="AQ82" s="486"/>
      <c r="AR82" s="486"/>
      <c r="AS82" s="489"/>
      <c r="AT82" s="486"/>
      <c r="AU82" s="486"/>
      <c r="AV82" s="486"/>
      <c r="AW82" s="489"/>
      <c r="AX82" s="486"/>
      <c r="AY82" s="486"/>
      <c r="AZ82" s="486"/>
      <c r="BA82" s="490"/>
    </row>
    <row r="83" spans="1:53" s="16" customFormat="1" x14ac:dyDescent="0.15">
      <c r="A83" s="470">
        <v>2004</v>
      </c>
      <c r="B83" s="475">
        <v>38070</v>
      </c>
      <c r="C83" s="811" t="s">
        <v>1006</v>
      </c>
      <c r="D83" s="811"/>
      <c r="E83" s="470">
        <f>366-E82</f>
        <v>283</v>
      </c>
      <c r="F83" s="470">
        <v>2</v>
      </c>
      <c r="G83" s="480"/>
      <c r="H83" s="470">
        <v>13</v>
      </c>
      <c r="I83" s="470"/>
      <c r="J83" s="482">
        <v>13</v>
      </c>
      <c r="K83" s="477">
        <f t="shared" si="10"/>
        <v>0</v>
      </c>
      <c r="L83" s="477">
        <f t="shared" si="11"/>
        <v>100</v>
      </c>
      <c r="M83" s="477">
        <f t="shared" si="12"/>
        <v>0</v>
      </c>
      <c r="N83" s="481">
        <f t="shared" si="13"/>
        <v>100</v>
      </c>
      <c r="O83" s="476"/>
      <c r="P83" s="477">
        <v>53.8</v>
      </c>
      <c r="Q83" s="477"/>
      <c r="R83" s="478">
        <f t="shared" si="14"/>
        <v>53.8</v>
      </c>
      <c r="S83" s="470">
        <v>1</v>
      </c>
      <c r="T83" s="471"/>
      <c r="U83" s="475">
        <v>38070</v>
      </c>
      <c r="V83" s="472" t="s">
        <v>1000</v>
      </c>
      <c r="W83" s="470" t="s">
        <v>17</v>
      </c>
      <c r="X83" s="470" t="s">
        <v>18</v>
      </c>
      <c r="Y83" s="473">
        <v>53.8</v>
      </c>
      <c r="Z83" s="470"/>
      <c r="AA83" s="470"/>
      <c r="AB83" s="470"/>
      <c r="AC83" s="470"/>
      <c r="AD83" s="472"/>
      <c r="AE83" s="470"/>
      <c r="AF83" s="470"/>
      <c r="AG83" s="473"/>
      <c r="AH83" s="470"/>
      <c r="AI83" s="470"/>
      <c r="AJ83" s="470"/>
      <c r="AK83" s="470"/>
      <c r="AL83" s="472"/>
      <c r="AM83" s="470"/>
      <c r="AN83" s="470"/>
      <c r="AO83" s="473"/>
      <c r="AP83" s="472"/>
      <c r="AQ83" s="470"/>
      <c r="AR83" s="470"/>
      <c r="AS83" s="473"/>
      <c r="AT83" s="470"/>
      <c r="AU83" s="470"/>
      <c r="AV83" s="470"/>
      <c r="AW83" s="473"/>
      <c r="AX83" s="470"/>
      <c r="AY83" s="470"/>
      <c r="AZ83" s="470"/>
      <c r="BA83" s="474"/>
    </row>
    <row r="84" spans="1:53" s="16" customFormat="1" x14ac:dyDescent="0.15">
      <c r="A84" s="470">
        <v>2005</v>
      </c>
      <c r="B84" s="470"/>
      <c r="C84" s="811" t="s">
        <v>1006</v>
      </c>
      <c r="D84" s="811"/>
      <c r="E84" s="470">
        <v>0</v>
      </c>
      <c r="F84" s="470"/>
      <c r="G84" s="480"/>
      <c r="H84" s="470">
        <v>13</v>
      </c>
      <c r="I84" s="470"/>
      <c r="J84" s="482">
        <v>13</v>
      </c>
      <c r="K84" s="477">
        <f t="shared" si="10"/>
        <v>0</v>
      </c>
      <c r="L84" s="477">
        <f t="shared" si="11"/>
        <v>100</v>
      </c>
      <c r="M84" s="477">
        <f t="shared" si="12"/>
        <v>0</v>
      </c>
      <c r="N84" s="481">
        <f t="shared" si="13"/>
        <v>100</v>
      </c>
      <c r="O84" s="476"/>
      <c r="P84" s="477">
        <v>53.8</v>
      </c>
      <c r="Q84" s="477"/>
      <c r="R84" s="478">
        <f t="shared" si="14"/>
        <v>53.8</v>
      </c>
      <c r="S84" s="470">
        <v>1</v>
      </c>
      <c r="T84" s="471"/>
      <c r="U84" s="470"/>
      <c r="V84" s="472" t="s">
        <v>1000</v>
      </c>
      <c r="W84" s="470" t="s">
        <v>17</v>
      </c>
      <c r="X84" s="470" t="s">
        <v>18</v>
      </c>
      <c r="Y84" s="473">
        <v>53.8</v>
      </c>
      <c r="Z84" s="470"/>
      <c r="AA84" s="470"/>
      <c r="AB84" s="470"/>
      <c r="AC84" s="470"/>
      <c r="AD84" s="472"/>
      <c r="AE84" s="470"/>
      <c r="AF84" s="470"/>
      <c r="AG84" s="473"/>
      <c r="AH84" s="470"/>
      <c r="AI84" s="470"/>
      <c r="AJ84" s="470"/>
      <c r="AK84" s="470"/>
      <c r="AL84" s="472"/>
      <c r="AM84" s="470"/>
      <c r="AN84" s="470"/>
      <c r="AO84" s="473"/>
      <c r="AP84" s="472"/>
      <c r="AQ84" s="470"/>
      <c r="AR84" s="470"/>
      <c r="AS84" s="473"/>
      <c r="AT84" s="470"/>
      <c r="AU84" s="470"/>
      <c r="AV84" s="470"/>
      <c r="AW84" s="473"/>
      <c r="AX84" s="470"/>
      <c r="AY84" s="470"/>
      <c r="AZ84" s="470"/>
      <c r="BA84" s="474"/>
    </row>
    <row r="85" spans="1:53" s="16" customFormat="1" x14ac:dyDescent="0.15">
      <c r="A85" s="470">
        <v>2005</v>
      </c>
      <c r="B85" s="470"/>
      <c r="C85" s="811" t="s">
        <v>1006</v>
      </c>
      <c r="D85" s="811"/>
      <c r="E85" s="470">
        <f>365-E84</f>
        <v>365</v>
      </c>
      <c r="F85" s="470"/>
      <c r="G85" s="480"/>
      <c r="H85" s="470">
        <v>13</v>
      </c>
      <c r="I85" s="470"/>
      <c r="J85" s="482">
        <v>13</v>
      </c>
      <c r="K85" s="477">
        <f t="shared" si="10"/>
        <v>0</v>
      </c>
      <c r="L85" s="477">
        <f t="shared" si="11"/>
        <v>100</v>
      </c>
      <c r="M85" s="477">
        <f t="shared" si="12"/>
        <v>0</v>
      </c>
      <c r="N85" s="481">
        <f t="shared" si="13"/>
        <v>100</v>
      </c>
      <c r="O85" s="476"/>
      <c r="P85" s="477">
        <v>53.8</v>
      </c>
      <c r="Q85" s="477"/>
      <c r="R85" s="478">
        <f t="shared" si="14"/>
        <v>53.8</v>
      </c>
      <c r="S85" s="470">
        <v>1</v>
      </c>
      <c r="T85" s="471"/>
      <c r="U85" s="470"/>
      <c r="V85" s="472" t="s">
        <v>1000</v>
      </c>
      <c r="W85" s="470" t="s">
        <v>17</v>
      </c>
      <c r="X85" s="470" t="s">
        <v>18</v>
      </c>
      <c r="Y85" s="473">
        <v>53.8</v>
      </c>
      <c r="Z85" s="470"/>
      <c r="AA85" s="470"/>
      <c r="AB85" s="470"/>
      <c r="AC85" s="470"/>
      <c r="AD85" s="472"/>
      <c r="AE85" s="470"/>
      <c r="AF85" s="470"/>
      <c r="AG85" s="473"/>
      <c r="AH85" s="470"/>
      <c r="AI85" s="470"/>
      <c r="AJ85" s="470"/>
      <c r="AK85" s="470"/>
      <c r="AL85" s="472"/>
      <c r="AM85" s="470"/>
      <c r="AN85" s="470"/>
      <c r="AO85" s="473"/>
      <c r="AP85" s="472"/>
      <c r="AQ85" s="470"/>
      <c r="AR85" s="470"/>
      <c r="AS85" s="473"/>
      <c r="AT85" s="470"/>
      <c r="AU85" s="470"/>
      <c r="AV85" s="470"/>
      <c r="AW85" s="473"/>
      <c r="AX85" s="470"/>
      <c r="AY85" s="470"/>
      <c r="AZ85" s="470"/>
      <c r="BA85" s="474"/>
    </row>
    <row r="86" spans="1:53" s="16" customFormat="1" x14ac:dyDescent="0.15">
      <c r="A86" s="470">
        <v>2006</v>
      </c>
      <c r="B86" s="470"/>
      <c r="C86" s="811" t="s">
        <v>1006</v>
      </c>
      <c r="D86" s="811"/>
      <c r="E86" s="470">
        <v>0</v>
      </c>
      <c r="F86" s="470"/>
      <c r="G86" s="480"/>
      <c r="H86" s="470">
        <v>13</v>
      </c>
      <c r="I86" s="470"/>
      <c r="J86" s="482">
        <v>13</v>
      </c>
      <c r="K86" s="477">
        <f t="shared" si="10"/>
        <v>0</v>
      </c>
      <c r="L86" s="477">
        <f t="shared" si="11"/>
        <v>100</v>
      </c>
      <c r="M86" s="477">
        <f t="shared" si="12"/>
        <v>0</v>
      </c>
      <c r="N86" s="481">
        <f t="shared" si="13"/>
        <v>100</v>
      </c>
      <c r="O86" s="476"/>
      <c r="P86" s="477">
        <v>53.8</v>
      </c>
      <c r="Q86" s="477"/>
      <c r="R86" s="478">
        <f t="shared" si="14"/>
        <v>53.8</v>
      </c>
      <c r="S86" s="470">
        <v>1</v>
      </c>
      <c r="T86" s="471"/>
      <c r="U86" s="470"/>
      <c r="V86" s="472" t="s">
        <v>1000</v>
      </c>
      <c r="W86" s="470" t="s">
        <v>17</v>
      </c>
      <c r="X86" s="470" t="s">
        <v>18</v>
      </c>
      <c r="Y86" s="473">
        <v>53.8</v>
      </c>
      <c r="Z86" s="470"/>
      <c r="AA86" s="470"/>
      <c r="AB86" s="470"/>
      <c r="AC86" s="470"/>
      <c r="AD86" s="472"/>
      <c r="AE86" s="470"/>
      <c r="AF86" s="470"/>
      <c r="AG86" s="473"/>
      <c r="AH86" s="470"/>
      <c r="AI86" s="470"/>
      <c r="AJ86" s="470"/>
      <c r="AK86" s="470"/>
      <c r="AL86" s="472"/>
      <c r="AM86" s="470"/>
      <c r="AN86" s="470"/>
      <c r="AO86" s="473"/>
      <c r="AP86" s="472"/>
      <c r="AQ86" s="470"/>
      <c r="AR86" s="470"/>
      <c r="AS86" s="473"/>
      <c r="AT86" s="470"/>
      <c r="AU86" s="470"/>
      <c r="AV86" s="470"/>
      <c r="AW86" s="473"/>
      <c r="AX86" s="470"/>
      <c r="AY86" s="470"/>
      <c r="AZ86" s="470"/>
      <c r="BA86" s="474"/>
    </row>
    <row r="87" spans="1:53" s="16" customFormat="1" x14ac:dyDescent="0.15">
      <c r="A87" s="470">
        <v>2006</v>
      </c>
      <c r="B87" s="470"/>
      <c r="C87" s="811" t="s">
        <v>1006</v>
      </c>
      <c r="D87" s="811"/>
      <c r="E87" s="470">
        <f>365-E86</f>
        <v>365</v>
      </c>
      <c r="F87" s="470"/>
      <c r="G87" s="480"/>
      <c r="H87" s="470">
        <v>13</v>
      </c>
      <c r="I87" s="470"/>
      <c r="J87" s="482">
        <v>13</v>
      </c>
      <c r="K87" s="477">
        <f t="shared" si="10"/>
        <v>0</v>
      </c>
      <c r="L87" s="477">
        <f t="shared" si="11"/>
        <v>100</v>
      </c>
      <c r="M87" s="477">
        <f t="shared" si="12"/>
        <v>0</v>
      </c>
      <c r="N87" s="481">
        <f t="shared" si="13"/>
        <v>100</v>
      </c>
      <c r="O87" s="476"/>
      <c r="P87" s="477">
        <v>53.8</v>
      </c>
      <c r="Q87" s="477"/>
      <c r="R87" s="478">
        <f t="shared" si="14"/>
        <v>53.8</v>
      </c>
      <c r="S87" s="470">
        <v>1</v>
      </c>
      <c r="T87" s="471"/>
      <c r="U87" s="470"/>
      <c r="V87" s="472" t="s">
        <v>1000</v>
      </c>
      <c r="W87" s="470" t="s">
        <v>17</v>
      </c>
      <c r="X87" s="470" t="s">
        <v>18</v>
      </c>
      <c r="Y87" s="473">
        <v>53.8</v>
      </c>
      <c r="Z87" s="470"/>
      <c r="AA87" s="470"/>
      <c r="AB87" s="470"/>
      <c r="AC87" s="470"/>
      <c r="AD87" s="472"/>
      <c r="AE87" s="470"/>
      <c r="AF87" s="470"/>
      <c r="AG87" s="473"/>
      <c r="AH87" s="470"/>
      <c r="AI87" s="470"/>
      <c r="AJ87" s="470"/>
      <c r="AK87" s="470"/>
      <c r="AL87" s="472"/>
      <c r="AM87" s="470"/>
      <c r="AN87" s="470"/>
      <c r="AO87" s="473"/>
      <c r="AP87" s="472"/>
      <c r="AQ87" s="470"/>
      <c r="AR87" s="470"/>
      <c r="AS87" s="473"/>
      <c r="AT87" s="470"/>
      <c r="AU87" s="470"/>
      <c r="AV87" s="470"/>
      <c r="AW87" s="473"/>
      <c r="AX87" s="470"/>
      <c r="AY87" s="470"/>
      <c r="AZ87" s="470"/>
      <c r="BA87" s="474"/>
    </row>
    <row r="88" spans="1:53" s="16" customFormat="1" x14ac:dyDescent="0.15">
      <c r="A88" s="470">
        <v>2007</v>
      </c>
      <c r="B88" s="470"/>
      <c r="C88" s="811" t="s">
        <v>1006</v>
      </c>
      <c r="D88" s="811"/>
      <c r="E88" s="470">
        <v>0</v>
      </c>
      <c r="F88" s="470"/>
      <c r="G88" s="480"/>
      <c r="H88" s="470">
        <v>13</v>
      </c>
      <c r="I88" s="470"/>
      <c r="J88" s="482">
        <v>13</v>
      </c>
      <c r="K88" s="477">
        <f t="shared" si="10"/>
        <v>0</v>
      </c>
      <c r="L88" s="477">
        <f t="shared" si="11"/>
        <v>100</v>
      </c>
      <c r="M88" s="477">
        <f t="shared" si="12"/>
        <v>0</v>
      </c>
      <c r="N88" s="481">
        <f t="shared" si="13"/>
        <v>100</v>
      </c>
      <c r="O88" s="476"/>
      <c r="P88" s="477">
        <v>54.8</v>
      </c>
      <c r="Q88" s="477"/>
      <c r="R88" s="478">
        <f t="shared" si="14"/>
        <v>54.8</v>
      </c>
      <c r="S88" s="470">
        <v>1</v>
      </c>
      <c r="T88" s="471"/>
      <c r="U88" s="470"/>
      <c r="V88" s="472" t="s">
        <v>1000</v>
      </c>
      <c r="W88" s="470" t="s">
        <v>17</v>
      </c>
      <c r="X88" s="470" t="s">
        <v>18</v>
      </c>
      <c r="Y88" s="473">
        <v>53.8</v>
      </c>
      <c r="Z88" s="470"/>
      <c r="AA88" s="470"/>
      <c r="AB88" s="470"/>
      <c r="AC88" s="470"/>
      <c r="AD88" s="472"/>
      <c r="AE88" s="470"/>
      <c r="AF88" s="470"/>
      <c r="AG88" s="473"/>
      <c r="AH88" s="470"/>
      <c r="AI88" s="470"/>
      <c r="AJ88" s="470"/>
      <c r="AK88" s="470"/>
      <c r="AL88" s="472"/>
      <c r="AM88" s="470"/>
      <c r="AN88" s="470"/>
      <c r="AO88" s="473"/>
      <c r="AP88" s="472"/>
      <c r="AQ88" s="470"/>
      <c r="AR88" s="470"/>
      <c r="AS88" s="473"/>
      <c r="AT88" s="470"/>
      <c r="AU88" s="470"/>
      <c r="AV88" s="470"/>
      <c r="AW88" s="473"/>
      <c r="AX88" s="470"/>
      <c r="AY88" s="470"/>
      <c r="AZ88" s="470"/>
      <c r="BA88" s="474"/>
    </row>
    <row r="89" spans="1:53" s="16" customFormat="1" x14ac:dyDescent="0.15">
      <c r="A89" s="470">
        <v>2007</v>
      </c>
      <c r="B89" s="470"/>
      <c r="C89" s="811" t="s">
        <v>1006</v>
      </c>
      <c r="D89" s="811"/>
      <c r="E89" s="470">
        <v>365</v>
      </c>
      <c r="F89" s="470"/>
      <c r="G89" s="480"/>
      <c r="H89" s="470">
        <v>13</v>
      </c>
      <c r="I89" s="470"/>
      <c r="J89" s="482">
        <v>13</v>
      </c>
      <c r="K89" s="477">
        <f t="shared" si="10"/>
        <v>0</v>
      </c>
      <c r="L89" s="477">
        <f t="shared" si="11"/>
        <v>100</v>
      </c>
      <c r="M89" s="477">
        <f t="shared" si="12"/>
        <v>0</v>
      </c>
      <c r="N89" s="481">
        <f t="shared" si="13"/>
        <v>100</v>
      </c>
      <c r="O89" s="476"/>
      <c r="P89" s="477">
        <v>55.8</v>
      </c>
      <c r="Q89" s="477"/>
      <c r="R89" s="478">
        <f t="shared" si="14"/>
        <v>55.8</v>
      </c>
      <c r="S89" s="470">
        <v>1</v>
      </c>
      <c r="T89" s="471"/>
      <c r="U89" s="470"/>
      <c r="V89" s="472" t="s">
        <v>1000</v>
      </c>
      <c r="W89" s="470" t="s">
        <v>17</v>
      </c>
      <c r="X89" s="470" t="s">
        <v>18</v>
      </c>
      <c r="Y89" s="473">
        <v>53.8</v>
      </c>
      <c r="Z89" s="470"/>
      <c r="AA89" s="470"/>
      <c r="AB89" s="470"/>
      <c r="AC89" s="470"/>
      <c r="AD89" s="472"/>
      <c r="AE89" s="470"/>
      <c r="AF89" s="470"/>
      <c r="AG89" s="473"/>
      <c r="AH89" s="470"/>
      <c r="AI89" s="470"/>
      <c r="AJ89" s="470"/>
      <c r="AK89" s="470"/>
      <c r="AL89" s="472"/>
      <c r="AM89" s="470"/>
      <c r="AN89" s="470"/>
      <c r="AO89" s="473"/>
      <c r="AP89" s="472"/>
      <c r="AQ89" s="470"/>
      <c r="AR89" s="470"/>
      <c r="AS89" s="473"/>
      <c r="AT89" s="470"/>
      <c r="AU89" s="470"/>
      <c r="AV89" s="470"/>
      <c r="AW89" s="473"/>
      <c r="AX89" s="470"/>
      <c r="AY89" s="470"/>
      <c r="AZ89" s="470"/>
      <c r="BA89" s="474"/>
    </row>
    <row r="90" spans="1:53" s="16" customFormat="1" x14ac:dyDescent="0.15">
      <c r="A90" s="470">
        <v>2008</v>
      </c>
      <c r="B90" s="470"/>
      <c r="C90" s="811" t="s">
        <v>1006</v>
      </c>
      <c r="D90" s="811"/>
      <c r="E90" s="470">
        <v>71</v>
      </c>
      <c r="F90" s="470"/>
      <c r="G90" s="480"/>
      <c r="H90" s="470">
        <v>13</v>
      </c>
      <c r="I90" s="470"/>
      <c r="J90" s="482">
        <v>13</v>
      </c>
      <c r="K90" s="477">
        <f t="shared" si="10"/>
        <v>0</v>
      </c>
      <c r="L90" s="477">
        <f t="shared" si="11"/>
        <v>100</v>
      </c>
      <c r="M90" s="477">
        <f t="shared" si="12"/>
        <v>0</v>
      </c>
      <c r="N90" s="481">
        <f t="shared" si="13"/>
        <v>100</v>
      </c>
      <c r="O90" s="476"/>
      <c r="P90" s="477">
        <v>55.8</v>
      </c>
      <c r="Q90" s="477"/>
      <c r="R90" s="478">
        <f t="shared" si="14"/>
        <v>55.8</v>
      </c>
      <c r="S90" s="470">
        <v>1</v>
      </c>
      <c r="T90" s="471"/>
      <c r="U90" s="470"/>
      <c r="V90" s="472" t="s">
        <v>1000</v>
      </c>
      <c r="W90" s="470" t="s">
        <v>17</v>
      </c>
      <c r="X90" s="470" t="s">
        <v>18</v>
      </c>
      <c r="Y90" s="473">
        <v>53.8</v>
      </c>
      <c r="Z90" s="470"/>
      <c r="AA90" s="470"/>
      <c r="AB90" s="470"/>
      <c r="AC90" s="470"/>
      <c r="AD90" s="472"/>
      <c r="AE90" s="470"/>
      <c r="AF90" s="470"/>
      <c r="AG90" s="473"/>
      <c r="AH90" s="470"/>
      <c r="AI90" s="470"/>
      <c r="AJ90" s="470"/>
      <c r="AK90" s="470"/>
      <c r="AL90" s="472"/>
      <c r="AM90" s="470"/>
      <c r="AN90" s="470"/>
      <c r="AO90" s="473"/>
      <c r="AP90" s="472"/>
      <c r="AQ90" s="470"/>
      <c r="AR90" s="470"/>
      <c r="AS90" s="473"/>
      <c r="AT90" s="470"/>
      <c r="AU90" s="470"/>
      <c r="AV90" s="470"/>
      <c r="AW90" s="473"/>
      <c r="AX90" s="470"/>
      <c r="AY90" s="470"/>
      <c r="AZ90" s="470"/>
      <c r="BA90" s="474"/>
    </row>
    <row r="91" spans="1:53" s="16" customFormat="1" x14ac:dyDescent="0.15">
      <c r="A91" s="486">
        <v>2008</v>
      </c>
      <c r="B91" s="491">
        <v>39519</v>
      </c>
      <c r="C91" s="812" t="s">
        <v>1007</v>
      </c>
      <c r="D91" s="812"/>
      <c r="E91" s="486">
        <f>366-E90</f>
        <v>295</v>
      </c>
      <c r="F91" s="486">
        <v>1</v>
      </c>
      <c r="G91" s="497"/>
      <c r="H91" s="486">
        <v>9</v>
      </c>
      <c r="I91" s="486"/>
      <c r="J91" s="499">
        <v>9</v>
      </c>
      <c r="K91" s="495">
        <f t="shared" si="10"/>
        <v>0</v>
      </c>
      <c r="L91" s="495">
        <f t="shared" si="11"/>
        <v>100</v>
      </c>
      <c r="M91" s="495">
        <f t="shared" si="12"/>
        <v>0</v>
      </c>
      <c r="N91" s="498">
        <f t="shared" si="13"/>
        <v>100</v>
      </c>
      <c r="O91" s="494"/>
      <c r="P91" s="495">
        <v>50.72</v>
      </c>
      <c r="Q91" s="495"/>
      <c r="R91" s="496">
        <f t="shared" si="14"/>
        <v>50.72</v>
      </c>
      <c r="S91" s="486">
        <v>1</v>
      </c>
      <c r="T91" s="487">
        <v>39515</v>
      </c>
      <c r="U91" s="491">
        <v>39519</v>
      </c>
      <c r="V91" s="488" t="s">
        <v>1000</v>
      </c>
      <c r="W91" s="486" t="s">
        <v>17</v>
      </c>
      <c r="X91" s="486" t="s">
        <v>18</v>
      </c>
      <c r="Y91" s="489">
        <v>50.7</v>
      </c>
      <c r="Z91" s="486"/>
      <c r="AA91" s="486"/>
      <c r="AB91" s="486"/>
      <c r="AC91" s="486"/>
      <c r="AD91" s="488"/>
      <c r="AE91" s="486"/>
      <c r="AF91" s="486"/>
      <c r="AG91" s="489"/>
      <c r="AH91" s="486"/>
      <c r="AI91" s="486"/>
      <c r="AJ91" s="486"/>
      <c r="AK91" s="486"/>
      <c r="AL91" s="488"/>
      <c r="AM91" s="486"/>
      <c r="AN91" s="486"/>
      <c r="AO91" s="489"/>
      <c r="AP91" s="488"/>
      <c r="AQ91" s="486"/>
      <c r="AR91" s="486"/>
      <c r="AS91" s="489"/>
      <c r="AT91" s="486"/>
      <c r="AU91" s="486"/>
      <c r="AV91" s="486"/>
      <c r="AW91" s="489"/>
      <c r="AX91" s="486"/>
      <c r="AY91" s="486"/>
      <c r="AZ91" s="486"/>
      <c r="BA91" s="490"/>
    </row>
    <row r="92" spans="1:53" s="16" customFormat="1" x14ac:dyDescent="0.15">
      <c r="A92" s="486">
        <v>2009</v>
      </c>
      <c r="B92" s="486"/>
      <c r="C92" s="812" t="s">
        <v>1007</v>
      </c>
      <c r="D92" s="812"/>
      <c r="E92" s="486">
        <v>0</v>
      </c>
      <c r="F92" s="486"/>
      <c r="G92" s="497"/>
      <c r="H92" s="486">
        <v>9</v>
      </c>
      <c r="I92" s="486"/>
      <c r="J92" s="499">
        <v>9</v>
      </c>
      <c r="K92" s="495">
        <f t="shared" si="10"/>
        <v>0</v>
      </c>
      <c r="L92" s="495">
        <f t="shared" si="11"/>
        <v>100</v>
      </c>
      <c r="M92" s="495">
        <f t="shared" si="12"/>
        <v>0</v>
      </c>
      <c r="N92" s="498">
        <f t="shared" si="13"/>
        <v>100</v>
      </c>
      <c r="O92" s="494"/>
      <c r="P92" s="495">
        <v>50.72</v>
      </c>
      <c r="Q92" s="495"/>
      <c r="R92" s="496">
        <f t="shared" si="14"/>
        <v>50.72</v>
      </c>
      <c r="S92" s="486">
        <v>1</v>
      </c>
      <c r="T92" s="492"/>
      <c r="U92" s="486"/>
      <c r="V92" s="488" t="s">
        <v>1000</v>
      </c>
      <c r="W92" s="486" t="s">
        <v>17</v>
      </c>
      <c r="X92" s="486" t="s">
        <v>18</v>
      </c>
      <c r="Y92" s="489">
        <v>50.7</v>
      </c>
      <c r="Z92" s="486"/>
      <c r="AA92" s="486"/>
      <c r="AB92" s="486"/>
      <c r="AC92" s="486"/>
      <c r="AD92" s="488"/>
      <c r="AE92" s="486"/>
      <c r="AF92" s="486"/>
      <c r="AG92" s="489"/>
      <c r="AH92" s="486"/>
      <c r="AI92" s="486"/>
      <c r="AJ92" s="486"/>
      <c r="AK92" s="486"/>
      <c r="AL92" s="488"/>
      <c r="AM92" s="486"/>
      <c r="AN92" s="486"/>
      <c r="AO92" s="489"/>
      <c r="AP92" s="488"/>
      <c r="AQ92" s="486"/>
      <c r="AR92" s="486"/>
      <c r="AS92" s="489"/>
      <c r="AT92" s="486"/>
      <c r="AU92" s="486"/>
      <c r="AV92" s="486"/>
      <c r="AW92" s="489"/>
      <c r="AX92" s="486"/>
      <c r="AY92" s="486"/>
      <c r="AZ92" s="486"/>
      <c r="BA92" s="490"/>
    </row>
    <row r="93" spans="1:53" s="16" customFormat="1" x14ac:dyDescent="0.15">
      <c r="A93" s="486">
        <v>2009</v>
      </c>
      <c r="B93" s="486"/>
      <c r="C93" s="812" t="s">
        <v>1007</v>
      </c>
      <c r="D93" s="812"/>
      <c r="E93" s="486">
        <v>365</v>
      </c>
      <c r="F93" s="486"/>
      <c r="G93" s="497"/>
      <c r="H93" s="486">
        <v>9</v>
      </c>
      <c r="I93" s="486"/>
      <c r="J93" s="499">
        <v>9</v>
      </c>
      <c r="K93" s="495">
        <f t="shared" si="10"/>
        <v>0</v>
      </c>
      <c r="L93" s="495">
        <f t="shared" si="11"/>
        <v>100</v>
      </c>
      <c r="M93" s="495">
        <f t="shared" si="12"/>
        <v>0</v>
      </c>
      <c r="N93" s="498">
        <f t="shared" si="13"/>
        <v>100</v>
      </c>
      <c r="O93" s="494"/>
      <c r="P93" s="495">
        <v>50.72</v>
      </c>
      <c r="Q93" s="495"/>
      <c r="R93" s="496">
        <f t="shared" si="14"/>
        <v>50.72</v>
      </c>
      <c r="S93" s="486">
        <v>1</v>
      </c>
      <c r="T93" s="492"/>
      <c r="U93" s="486"/>
      <c r="V93" s="488" t="s">
        <v>1000</v>
      </c>
      <c r="W93" s="486" t="s">
        <v>17</v>
      </c>
      <c r="X93" s="486" t="s">
        <v>18</v>
      </c>
      <c r="Y93" s="489">
        <v>50.7</v>
      </c>
      <c r="Z93" s="486"/>
      <c r="AA93" s="486"/>
      <c r="AB93" s="486"/>
      <c r="AC93" s="486"/>
      <c r="AD93" s="488"/>
      <c r="AE93" s="486"/>
      <c r="AF93" s="486"/>
      <c r="AG93" s="489"/>
      <c r="AH93" s="486"/>
      <c r="AI93" s="486"/>
      <c r="AJ93" s="486"/>
      <c r="AK93" s="486"/>
      <c r="AL93" s="488"/>
      <c r="AM93" s="486"/>
      <c r="AN93" s="486"/>
      <c r="AO93" s="489"/>
      <c r="AP93" s="488"/>
      <c r="AQ93" s="486"/>
      <c r="AR93" s="486"/>
      <c r="AS93" s="489"/>
      <c r="AT93" s="486"/>
      <c r="AU93" s="486"/>
      <c r="AV93" s="486"/>
      <c r="AW93" s="489"/>
      <c r="AX93" s="486"/>
      <c r="AY93" s="486"/>
      <c r="AZ93" s="486"/>
      <c r="BA93" s="490"/>
    </row>
    <row r="94" spans="1:53" s="16" customFormat="1" x14ac:dyDescent="0.15">
      <c r="A94" s="486">
        <v>2010</v>
      </c>
      <c r="B94" s="486"/>
      <c r="C94" s="812" t="s">
        <v>1007</v>
      </c>
      <c r="D94" s="812"/>
      <c r="E94" s="486">
        <v>0</v>
      </c>
      <c r="F94" s="486"/>
      <c r="G94" s="497"/>
      <c r="H94" s="486">
        <v>9</v>
      </c>
      <c r="I94" s="486"/>
      <c r="J94" s="499">
        <v>9</v>
      </c>
      <c r="K94" s="495">
        <f t="shared" si="10"/>
        <v>0</v>
      </c>
      <c r="L94" s="495">
        <f t="shared" si="11"/>
        <v>100</v>
      </c>
      <c r="M94" s="495">
        <f t="shared" si="12"/>
        <v>0</v>
      </c>
      <c r="N94" s="498">
        <f t="shared" si="13"/>
        <v>100</v>
      </c>
      <c r="O94" s="494"/>
      <c r="P94" s="495">
        <v>50.72</v>
      </c>
      <c r="Q94" s="495"/>
      <c r="R94" s="496">
        <f t="shared" si="14"/>
        <v>50.72</v>
      </c>
      <c r="S94" s="486">
        <v>1</v>
      </c>
      <c r="T94" s="492"/>
      <c r="U94" s="486"/>
      <c r="V94" s="488" t="s">
        <v>1000</v>
      </c>
      <c r="W94" s="486" t="s">
        <v>17</v>
      </c>
      <c r="X94" s="486" t="s">
        <v>18</v>
      </c>
      <c r="Y94" s="489">
        <v>50.7</v>
      </c>
      <c r="Z94" s="486"/>
      <c r="AA94" s="486"/>
      <c r="AB94" s="486"/>
      <c r="AC94" s="486"/>
      <c r="AD94" s="488"/>
      <c r="AE94" s="486"/>
      <c r="AF94" s="486"/>
      <c r="AG94" s="489"/>
      <c r="AH94" s="486"/>
      <c r="AI94" s="486"/>
      <c r="AJ94" s="486"/>
      <c r="AK94" s="486"/>
      <c r="AL94" s="488"/>
      <c r="AM94" s="486"/>
      <c r="AN94" s="486"/>
      <c r="AO94" s="489"/>
      <c r="AP94" s="488"/>
      <c r="AQ94" s="486"/>
      <c r="AR94" s="486"/>
      <c r="AS94" s="489"/>
      <c r="AT94" s="486"/>
      <c r="AU94" s="486"/>
      <c r="AV94" s="486"/>
      <c r="AW94" s="489"/>
      <c r="AX94" s="486"/>
      <c r="AY94" s="486"/>
      <c r="AZ94" s="486"/>
      <c r="BA94" s="490"/>
    </row>
    <row r="95" spans="1:53" s="16" customFormat="1" x14ac:dyDescent="0.15">
      <c r="A95" s="486">
        <v>2010</v>
      </c>
      <c r="B95" s="486"/>
      <c r="C95" s="812" t="s">
        <v>1007</v>
      </c>
      <c r="D95" s="812"/>
      <c r="E95" s="486">
        <v>365</v>
      </c>
      <c r="F95" s="486"/>
      <c r="G95" s="497"/>
      <c r="H95" s="486">
        <v>9</v>
      </c>
      <c r="I95" s="486"/>
      <c r="J95" s="499">
        <v>9</v>
      </c>
      <c r="K95" s="495">
        <f t="shared" si="10"/>
        <v>0</v>
      </c>
      <c r="L95" s="495">
        <f t="shared" si="11"/>
        <v>100</v>
      </c>
      <c r="M95" s="495">
        <f t="shared" si="12"/>
        <v>0</v>
      </c>
      <c r="N95" s="498">
        <f t="shared" si="13"/>
        <v>100</v>
      </c>
      <c r="O95" s="494"/>
      <c r="P95" s="495">
        <v>50.72</v>
      </c>
      <c r="Q95" s="495"/>
      <c r="R95" s="496">
        <f t="shared" si="14"/>
        <v>50.72</v>
      </c>
      <c r="S95" s="486">
        <v>1</v>
      </c>
      <c r="T95" s="492"/>
      <c r="U95" s="486"/>
      <c r="V95" s="488" t="s">
        <v>1000</v>
      </c>
      <c r="W95" s="486" t="s">
        <v>17</v>
      </c>
      <c r="X95" s="486" t="s">
        <v>18</v>
      </c>
      <c r="Y95" s="489">
        <v>50.7</v>
      </c>
      <c r="Z95" s="486"/>
      <c r="AA95" s="486"/>
      <c r="AB95" s="486"/>
      <c r="AC95" s="486"/>
      <c r="AD95" s="488"/>
      <c r="AE95" s="486"/>
      <c r="AF95" s="486"/>
      <c r="AG95" s="489"/>
      <c r="AH95" s="486"/>
      <c r="AI95" s="486"/>
      <c r="AJ95" s="486"/>
      <c r="AK95" s="486"/>
      <c r="AL95" s="488"/>
      <c r="AM95" s="486"/>
      <c r="AN95" s="486"/>
      <c r="AO95" s="489"/>
      <c r="AP95" s="488"/>
      <c r="AQ95" s="486"/>
      <c r="AR95" s="486"/>
      <c r="AS95" s="489"/>
      <c r="AT95" s="486"/>
      <c r="AU95" s="486"/>
      <c r="AV95" s="486"/>
      <c r="AW95" s="489"/>
      <c r="AX95" s="486"/>
      <c r="AY95" s="486"/>
      <c r="AZ95" s="486"/>
      <c r="BA95" s="490"/>
    </row>
    <row r="96" spans="1:53" s="16" customFormat="1" x14ac:dyDescent="0.15">
      <c r="A96" s="486">
        <v>2011</v>
      </c>
      <c r="B96" s="486"/>
      <c r="C96" s="812" t="s">
        <v>1007</v>
      </c>
      <c r="D96" s="812"/>
      <c r="E96" s="486">
        <v>0</v>
      </c>
      <c r="F96" s="486"/>
      <c r="G96" s="497"/>
      <c r="H96" s="486">
        <v>9</v>
      </c>
      <c r="I96" s="486"/>
      <c r="J96" s="499">
        <v>9</v>
      </c>
      <c r="K96" s="495">
        <f t="shared" si="10"/>
        <v>0</v>
      </c>
      <c r="L96" s="495">
        <f t="shared" si="11"/>
        <v>100</v>
      </c>
      <c r="M96" s="495">
        <f t="shared" si="12"/>
        <v>0</v>
      </c>
      <c r="N96" s="498">
        <f t="shared" si="13"/>
        <v>100</v>
      </c>
      <c r="O96" s="494"/>
      <c r="P96" s="495">
        <v>50.72</v>
      </c>
      <c r="Q96" s="495"/>
      <c r="R96" s="496">
        <f t="shared" si="14"/>
        <v>50.72</v>
      </c>
      <c r="S96" s="486">
        <v>1</v>
      </c>
      <c r="T96" s="492"/>
      <c r="U96" s="486"/>
      <c r="V96" s="488" t="s">
        <v>1000</v>
      </c>
      <c r="W96" s="486" t="s">
        <v>17</v>
      </c>
      <c r="X96" s="486" t="s">
        <v>18</v>
      </c>
      <c r="Y96" s="489">
        <v>50.7</v>
      </c>
      <c r="Z96" s="486"/>
      <c r="AA96" s="486"/>
      <c r="AB96" s="486"/>
      <c r="AC96" s="486"/>
      <c r="AD96" s="488"/>
      <c r="AE96" s="486"/>
      <c r="AF96" s="486"/>
      <c r="AG96" s="489"/>
      <c r="AH96" s="486"/>
      <c r="AI96" s="486"/>
      <c r="AJ96" s="486"/>
      <c r="AK96" s="486"/>
      <c r="AL96" s="488"/>
      <c r="AM96" s="486"/>
      <c r="AN96" s="486"/>
      <c r="AO96" s="489"/>
      <c r="AP96" s="488"/>
      <c r="AQ96" s="486"/>
      <c r="AR96" s="486"/>
      <c r="AS96" s="489"/>
      <c r="AT96" s="486"/>
      <c r="AU96" s="486"/>
      <c r="AV96" s="486"/>
      <c r="AW96" s="489"/>
      <c r="AX96" s="486"/>
      <c r="AY96" s="486"/>
      <c r="AZ96" s="486"/>
      <c r="BA96" s="490"/>
    </row>
    <row r="97" spans="1:53" s="16" customFormat="1" x14ac:dyDescent="0.15">
      <c r="A97" s="486">
        <v>2011</v>
      </c>
      <c r="B97" s="486"/>
      <c r="C97" s="812" t="s">
        <v>1007</v>
      </c>
      <c r="D97" s="812"/>
      <c r="E97" s="486">
        <v>365</v>
      </c>
      <c r="F97" s="486"/>
      <c r="G97" s="497"/>
      <c r="H97" s="486">
        <v>9</v>
      </c>
      <c r="I97" s="486"/>
      <c r="J97" s="499">
        <v>9</v>
      </c>
      <c r="K97" s="495">
        <f t="shared" si="10"/>
        <v>0</v>
      </c>
      <c r="L97" s="495">
        <f t="shared" si="11"/>
        <v>100</v>
      </c>
      <c r="M97" s="495">
        <f t="shared" si="12"/>
        <v>0</v>
      </c>
      <c r="N97" s="498">
        <f t="shared" si="13"/>
        <v>100</v>
      </c>
      <c r="O97" s="494"/>
      <c r="P97" s="495">
        <v>50.72</v>
      </c>
      <c r="Q97" s="495"/>
      <c r="R97" s="496">
        <f t="shared" si="14"/>
        <v>50.72</v>
      </c>
      <c r="S97" s="486">
        <v>1</v>
      </c>
      <c r="T97" s="492"/>
      <c r="U97" s="486"/>
      <c r="V97" s="488" t="s">
        <v>1000</v>
      </c>
      <c r="W97" s="486" t="s">
        <v>17</v>
      </c>
      <c r="X97" s="486" t="s">
        <v>18</v>
      </c>
      <c r="Y97" s="489">
        <v>50.7</v>
      </c>
      <c r="Z97" s="486"/>
      <c r="AA97" s="486"/>
      <c r="AB97" s="486"/>
      <c r="AC97" s="486"/>
      <c r="AD97" s="488"/>
      <c r="AE97" s="486"/>
      <c r="AF97" s="486"/>
      <c r="AG97" s="489"/>
      <c r="AH97" s="486"/>
      <c r="AI97" s="486"/>
      <c r="AJ97" s="486"/>
      <c r="AK97" s="486"/>
      <c r="AL97" s="488"/>
      <c r="AM97" s="486"/>
      <c r="AN97" s="486"/>
      <c r="AO97" s="489"/>
      <c r="AP97" s="488"/>
      <c r="AQ97" s="486"/>
      <c r="AR97" s="486"/>
      <c r="AS97" s="489"/>
      <c r="AT97" s="486"/>
      <c r="AU97" s="486"/>
      <c r="AV97" s="486"/>
      <c r="AW97" s="489"/>
      <c r="AX97" s="486"/>
      <c r="AY97" s="486"/>
      <c r="AZ97" s="486"/>
      <c r="BA97" s="490"/>
    </row>
    <row r="98" spans="1:53" s="16" customFormat="1" x14ac:dyDescent="0.15">
      <c r="A98" s="486">
        <v>2012</v>
      </c>
      <c r="B98" s="500"/>
      <c r="C98" s="812" t="s">
        <v>1007</v>
      </c>
      <c r="D98" s="812"/>
      <c r="E98" s="486">
        <v>5</v>
      </c>
      <c r="F98" s="493"/>
      <c r="G98" s="497"/>
      <c r="H98" s="486">
        <v>9</v>
      </c>
      <c r="I98" s="486"/>
      <c r="J98" s="499">
        <v>9</v>
      </c>
      <c r="K98" s="495">
        <f t="shared" si="10"/>
        <v>0</v>
      </c>
      <c r="L98" s="495">
        <f t="shared" si="11"/>
        <v>100</v>
      </c>
      <c r="M98" s="495">
        <f t="shared" si="12"/>
        <v>0</v>
      </c>
      <c r="N98" s="498">
        <f t="shared" si="13"/>
        <v>100</v>
      </c>
      <c r="O98" s="494"/>
      <c r="P98" s="495">
        <v>50.72</v>
      </c>
      <c r="Q98" s="495"/>
      <c r="R98" s="496">
        <f t="shared" si="14"/>
        <v>50.72</v>
      </c>
      <c r="S98" s="486">
        <v>1</v>
      </c>
      <c r="T98" s="492"/>
      <c r="U98" s="486"/>
      <c r="V98" s="488" t="s">
        <v>1000</v>
      </c>
      <c r="W98" s="486" t="s">
        <v>17</v>
      </c>
      <c r="X98" s="486" t="s">
        <v>18</v>
      </c>
      <c r="Y98" s="489">
        <v>50.7</v>
      </c>
      <c r="Z98" s="486"/>
      <c r="AA98" s="486"/>
      <c r="AB98" s="486"/>
      <c r="AC98" s="486"/>
      <c r="AD98" s="488"/>
      <c r="AE98" s="486"/>
      <c r="AF98" s="486"/>
      <c r="AG98" s="489"/>
      <c r="AH98" s="486"/>
      <c r="AI98" s="486"/>
      <c r="AJ98" s="486"/>
      <c r="AK98" s="486"/>
      <c r="AL98" s="488"/>
      <c r="AM98" s="486"/>
      <c r="AN98" s="486"/>
      <c r="AO98" s="489"/>
      <c r="AP98" s="488"/>
      <c r="AQ98" s="486"/>
      <c r="AR98" s="486"/>
      <c r="AS98" s="489"/>
      <c r="AT98" s="486"/>
      <c r="AU98" s="486"/>
      <c r="AV98" s="486"/>
      <c r="AW98" s="489"/>
      <c r="AX98" s="486"/>
      <c r="AY98" s="486"/>
      <c r="AZ98" s="486"/>
      <c r="BA98" s="490"/>
    </row>
    <row r="99" spans="1:53" s="16" customFormat="1" x14ac:dyDescent="0.15">
      <c r="A99" s="486">
        <v>2012</v>
      </c>
      <c r="B99" s="500">
        <v>40914</v>
      </c>
      <c r="C99" s="812" t="s">
        <v>1007</v>
      </c>
      <c r="D99" s="812"/>
      <c r="E99" s="486">
        <v>361</v>
      </c>
      <c r="F99" s="493">
        <v>0</v>
      </c>
      <c r="G99" s="497"/>
      <c r="H99" s="486">
        <v>11</v>
      </c>
      <c r="I99" s="486"/>
      <c r="J99" s="499">
        <v>11</v>
      </c>
      <c r="K99" s="495">
        <f t="shared" si="10"/>
        <v>0</v>
      </c>
      <c r="L99" s="495">
        <f t="shared" si="11"/>
        <v>100</v>
      </c>
      <c r="M99" s="495">
        <f t="shared" si="12"/>
        <v>0</v>
      </c>
      <c r="N99" s="498">
        <f t="shared" si="13"/>
        <v>100</v>
      </c>
      <c r="O99" s="494"/>
      <c r="P99" s="495">
        <v>50.72</v>
      </c>
      <c r="Q99" s="495"/>
      <c r="R99" s="496">
        <f t="shared" si="14"/>
        <v>50.72</v>
      </c>
      <c r="S99" s="486">
        <v>1</v>
      </c>
      <c r="T99" s="492"/>
      <c r="U99" s="486"/>
      <c r="V99" s="488" t="s">
        <v>1000</v>
      </c>
      <c r="W99" s="486" t="s">
        <v>17</v>
      </c>
      <c r="X99" s="486" t="s">
        <v>18</v>
      </c>
      <c r="Y99" s="489">
        <v>50.7</v>
      </c>
      <c r="Z99" s="486"/>
      <c r="AA99" s="486"/>
      <c r="AB99" s="486"/>
      <c r="AC99" s="486"/>
      <c r="AD99" s="488"/>
      <c r="AE99" s="486"/>
      <c r="AF99" s="486"/>
      <c r="AG99" s="489"/>
      <c r="AH99" s="486"/>
      <c r="AI99" s="486"/>
      <c r="AJ99" s="486"/>
      <c r="AK99" s="486"/>
      <c r="AL99" s="488"/>
      <c r="AM99" s="486"/>
      <c r="AN99" s="486"/>
      <c r="AO99" s="489"/>
      <c r="AP99" s="488"/>
      <c r="AQ99" s="486"/>
      <c r="AR99" s="486"/>
      <c r="AS99" s="489"/>
      <c r="AT99" s="486"/>
      <c r="AU99" s="486"/>
      <c r="AV99" s="486"/>
      <c r="AW99" s="489"/>
      <c r="AX99" s="486"/>
      <c r="AY99" s="486"/>
      <c r="AZ99" s="486"/>
      <c r="BA99" s="490"/>
    </row>
    <row r="100" spans="1:53" s="16" customFormat="1" x14ac:dyDescent="0.15">
      <c r="A100" s="486">
        <v>2013</v>
      </c>
      <c r="B100" s="486"/>
      <c r="C100" s="812" t="s">
        <v>1007</v>
      </c>
      <c r="D100" s="812"/>
      <c r="E100" s="486">
        <v>71</v>
      </c>
      <c r="F100" s="486"/>
      <c r="G100" s="497"/>
      <c r="H100" s="486">
        <v>11</v>
      </c>
      <c r="I100" s="486"/>
      <c r="J100" s="499">
        <v>11</v>
      </c>
      <c r="K100" s="495">
        <f t="shared" si="10"/>
        <v>0</v>
      </c>
      <c r="L100" s="495">
        <f t="shared" si="11"/>
        <v>100</v>
      </c>
      <c r="M100" s="495">
        <f t="shared" si="12"/>
        <v>0</v>
      </c>
      <c r="N100" s="498">
        <f t="shared" si="13"/>
        <v>100</v>
      </c>
      <c r="O100" s="494"/>
      <c r="P100" s="495">
        <v>50.72</v>
      </c>
      <c r="Q100" s="495"/>
      <c r="R100" s="496">
        <f t="shared" si="14"/>
        <v>50.72</v>
      </c>
      <c r="S100" s="486">
        <v>1</v>
      </c>
      <c r="T100" s="492"/>
      <c r="U100" s="486"/>
      <c r="V100" s="488" t="s">
        <v>1000</v>
      </c>
      <c r="W100" s="486" t="s">
        <v>17</v>
      </c>
      <c r="X100" s="486" t="s">
        <v>18</v>
      </c>
      <c r="Y100" s="489">
        <v>50.7</v>
      </c>
      <c r="Z100" s="486"/>
      <c r="AA100" s="486"/>
      <c r="AB100" s="486"/>
      <c r="AC100" s="486"/>
      <c r="AD100" s="488"/>
      <c r="AE100" s="486"/>
      <c r="AF100" s="486"/>
      <c r="AG100" s="489"/>
      <c r="AH100" s="486"/>
      <c r="AI100" s="486"/>
      <c r="AJ100" s="486"/>
      <c r="AK100" s="486"/>
      <c r="AL100" s="488"/>
      <c r="AM100" s="486"/>
      <c r="AN100" s="486"/>
      <c r="AO100" s="489"/>
      <c r="AP100" s="488"/>
      <c r="AQ100" s="486"/>
      <c r="AR100" s="486"/>
      <c r="AS100" s="489"/>
      <c r="AT100" s="486"/>
      <c r="AU100" s="486"/>
      <c r="AV100" s="486"/>
      <c r="AW100" s="489"/>
      <c r="AX100" s="486"/>
      <c r="AY100" s="486"/>
      <c r="AZ100" s="486"/>
      <c r="BA100" s="490"/>
    </row>
    <row r="101" spans="1:53" s="16" customFormat="1" x14ac:dyDescent="0.15">
      <c r="A101" s="470">
        <v>2013</v>
      </c>
      <c r="B101" s="475">
        <v>41346</v>
      </c>
      <c r="C101" s="811" t="s">
        <v>1274</v>
      </c>
      <c r="D101" s="811"/>
      <c r="E101" s="470">
        <f>365-E100</f>
        <v>294</v>
      </c>
      <c r="F101" s="470">
        <v>1</v>
      </c>
      <c r="G101" s="480"/>
      <c r="H101" s="470"/>
      <c r="I101" s="470">
        <v>15</v>
      </c>
      <c r="J101" s="482">
        <v>15</v>
      </c>
      <c r="K101" s="477">
        <f t="shared" si="10"/>
        <v>0</v>
      </c>
      <c r="L101" s="477">
        <f t="shared" si="11"/>
        <v>0</v>
      </c>
      <c r="M101" s="477">
        <f t="shared" si="12"/>
        <v>100</v>
      </c>
      <c r="N101" s="481">
        <f t="shared" si="13"/>
        <v>100</v>
      </c>
      <c r="O101" s="476"/>
      <c r="P101" s="477"/>
      <c r="Q101" s="477">
        <v>56.5</v>
      </c>
      <c r="R101" s="478">
        <f t="shared" si="14"/>
        <v>56.5</v>
      </c>
      <c r="S101" s="470">
        <v>1</v>
      </c>
      <c r="T101" s="479">
        <v>41341</v>
      </c>
      <c r="U101" s="475">
        <v>41346</v>
      </c>
      <c r="V101" s="472" t="s">
        <v>1003</v>
      </c>
      <c r="W101" s="470" t="s">
        <v>20</v>
      </c>
      <c r="X101" s="470" t="s">
        <v>12</v>
      </c>
      <c r="Y101" s="473">
        <v>56.5</v>
      </c>
      <c r="Z101" s="470"/>
      <c r="AA101" s="470"/>
      <c r="AB101" s="470"/>
      <c r="AC101" s="470"/>
      <c r="AD101" s="472"/>
      <c r="AE101" s="470"/>
      <c r="AF101" s="470"/>
      <c r="AG101" s="473"/>
      <c r="AH101" s="470"/>
      <c r="AI101" s="470"/>
      <c r="AJ101" s="470"/>
      <c r="AK101" s="470"/>
      <c r="AL101" s="472"/>
      <c r="AM101" s="470"/>
      <c r="AN101" s="470"/>
      <c r="AO101" s="473"/>
      <c r="AP101" s="472"/>
      <c r="AQ101" s="470"/>
      <c r="AR101" s="470"/>
      <c r="AS101" s="473"/>
      <c r="AT101" s="470"/>
      <c r="AU101" s="470"/>
      <c r="AV101" s="470"/>
      <c r="AW101" s="473"/>
      <c r="AX101" s="470"/>
      <c r="AY101" s="470"/>
      <c r="AZ101" s="470"/>
      <c r="BA101" s="474"/>
    </row>
    <row r="102" spans="1:53" s="16" customFormat="1" x14ac:dyDescent="0.15">
      <c r="A102" s="657">
        <v>2014</v>
      </c>
      <c r="B102" s="654"/>
      <c r="C102" s="811" t="s">
        <v>1274</v>
      </c>
      <c r="D102" s="811"/>
      <c r="E102" s="657">
        <v>0</v>
      </c>
      <c r="F102" s="657"/>
      <c r="G102" s="600"/>
      <c r="H102" s="657"/>
      <c r="I102" s="657">
        <v>15</v>
      </c>
      <c r="J102" s="602">
        <v>15</v>
      </c>
      <c r="K102" s="597">
        <f>G102/J102*100</f>
        <v>0</v>
      </c>
      <c r="L102" s="597">
        <f>H102/J102*100</f>
        <v>0</v>
      </c>
      <c r="M102" s="597">
        <f>I102/J102*100</f>
        <v>100</v>
      </c>
      <c r="N102" s="601">
        <f>K102+L102+M102</f>
        <v>100</v>
      </c>
      <c r="O102" s="596"/>
      <c r="P102" s="597"/>
      <c r="Q102" s="597">
        <v>56.5</v>
      </c>
      <c r="R102" s="598">
        <f t="shared" si="14"/>
        <v>56.5</v>
      </c>
      <c r="S102" s="657">
        <v>1</v>
      </c>
      <c r="T102" s="599"/>
      <c r="U102" s="654"/>
      <c r="V102" s="592" t="s">
        <v>1003</v>
      </c>
      <c r="W102" s="657" t="s">
        <v>20</v>
      </c>
      <c r="X102" s="657" t="s">
        <v>12</v>
      </c>
      <c r="Y102" s="593">
        <v>56.5</v>
      </c>
      <c r="Z102" s="657"/>
      <c r="AA102" s="657"/>
      <c r="AB102" s="657"/>
      <c r="AC102" s="657"/>
      <c r="AD102" s="592"/>
      <c r="AE102" s="657"/>
      <c r="AF102" s="657"/>
      <c r="AG102" s="593"/>
      <c r="AH102" s="657"/>
      <c r="AI102" s="657"/>
      <c r="AJ102" s="657"/>
      <c r="AK102" s="657"/>
      <c r="AL102" s="592"/>
      <c r="AM102" s="657"/>
      <c r="AN102" s="657"/>
      <c r="AO102" s="593"/>
      <c r="AP102" s="592"/>
      <c r="AQ102" s="657"/>
      <c r="AR102" s="657"/>
      <c r="AS102" s="593"/>
      <c r="AT102" s="657"/>
      <c r="AU102" s="657"/>
      <c r="AV102" s="657"/>
      <c r="AW102" s="593"/>
      <c r="AX102" s="657"/>
      <c r="AY102" s="657"/>
      <c r="AZ102" s="657"/>
      <c r="BA102" s="594"/>
    </row>
    <row r="103" spans="1:53" s="16" customFormat="1" x14ac:dyDescent="0.15">
      <c r="A103" s="657">
        <v>2014</v>
      </c>
      <c r="B103" s="603"/>
      <c r="C103" s="811" t="s">
        <v>1274</v>
      </c>
      <c r="D103" s="811"/>
      <c r="E103" s="657">
        <v>365</v>
      </c>
      <c r="F103" s="604"/>
      <c r="G103" s="600"/>
      <c r="H103" s="657"/>
      <c r="I103" s="657">
        <v>15</v>
      </c>
      <c r="J103" s="602">
        <v>15</v>
      </c>
      <c r="K103" s="597">
        <f>G103/J103*100</f>
        <v>0</v>
      </c>
      <c r="L103" s="597">
        <f>H103/J103*100</f>
        <v>0</v>
      </c>
      <c r="M103" s="597">
        <f>I103/J103*100</f>
        <v>100</v>
      </c>
      <c r="N103" s="601">
        <f>K103+L103+M103</f>
        <v>100</v>
      </c>
      <c r="O103" s="596"/>
      <c r="P103" s="597"/>
      <c r="Q103" s="597">
        <v>56.5</v>
      </c>
      <c r="R103" s="598">
        <f t="shared" si="14"/>
        <v>56.5</v>
      </c>
      <c r="S103" s="657">
        <v>1</v>
      </c>
      <c r="T103" s="577"/>
      <c r="U103" s="657"/>
      <c r="V103" s="592" t="s">
        <v>1003</v>
      </c>
      <c r="W103" s="657" t="s">
        <v>20</v>
      </c>
      <c r="X103" s="657" t="s">
        <v>12</v>
      </c>
      <c r="Y103" s="593">
        <v>56.5</v>
      </c>
      <c r="Z103" s="657"/>
      <c r="AA103" s="657"/>
      <c r="AB103" s="657"/>
      <c r="AC103" s="657"/>
      <c r="AD103" s="592"/>
      <c r="AE103" s="657"/>
      <c r="AF103" s="657"/>
      <c r="AG103" s="593"/>
      <c r="AH103" s="657"/>
      <c r="AI103" s="657"/>
      <c r="AJ103" s="657"/>
      <c r="AK103" s="657"/>
      <c r="AL103" s="592"/>
      <c r="AM103" s="657"/>
      <c r="AN103" s="657"/>
      <c r="AO103" s="593"/>
      <c r="AP103" s="592"/>
      <c r="AQ103" s="657"/>
      <c r="AR103" s="657"/>
      <c r="AS103" s="593"/>
      <c r="AT103" s="657"/>
      <c r="AU103" s="657"/>
      <c r="AV103" s="657"/>
      <c r="AW103" s="593"/>
      <c r="AX103" s="657"/>
      <c r="AY103" s="657"/>
      <c r="AZ103" s="657"/>
      <c r="BA103" s="594"/>
    </row>
    <row r="104" spans="1:53" s="16" customFormat="1" x14ac:dyDescent="0.15">
      <c r="A104" s="741">
        <v>2015</v>
      </c>
      <c r="B104" s="603"/>
      <c r="C104" s="811" t="s">
        <v>1274</v>
      </c>
      <c r="D104" s="811"/>
      <c r="E104" s="741">
        <v>0</v>
      </c>
      <c r="F104" s="604"/>
      <c r="G104" s="600"/>
      <c r="H104" s="741"/>
      <c r="I104" s="741">
        <v>15</v>
      </c>
      <c r="J104" s="602">
        <v>15</v>
      </c>
      <c r="K104" s="597">
        <f t="shared" ref="K104:K105" si="15">G104/J104*100</f>
        <v>0</v>
      </c>
      <c r="L104" s="597">
        <f t="shared" ref="L104:L105" si="16">H104/J104*100</f>
        <v>0</v>
      </c>
      <c r="M104" s="597">
        <f>I104/J104*100</f>
        <v>100</v>
      </c>
      <c r="N104" s="601">
        <f t="shared" ref="N104:N105" si="17">K104+L104+M104</f>
        <v>100</v>
      </c>
      <c r="O104" s="596"/>
      <c r="P104" s="597"/>
      <c r="Q104" s="597">
        <v>56.5</v>
      </c>
      <c r="R104" s="598">
        <f t="shared" ref="R104:R105" si="18">O104+P104+Q104</f>
        <v>56.5</v>
      </c>
      <c r="S104" s="741">
        <v>1</v>
      </c>
      <c r="T104" s="577"/>
      <c r="U104" s="741"/>
      <c r="V104" s="592" t="s">
        <v>1003</v>
      </c>
      <c r="W104" s="741" t="s">
        <v>20</v>
      </c>
      <c r="X104" s="741" t="s">
        <v>12</v>
      </c>
      <c r="Y104" s="593">
        <v>56.5</v>
      </c>
      <c r="Z104" s="741"/>
      <c r="AA104" s="741"/>
      <c r="AB104" s="741"/>
      <c r="AC104" s="741"/>
      <c r="AD104" s="592"/>
      <c r="AE104" s="741"/>
      <c r="AF104" s="741"/>
      <c r="AG104" s="593"/>
      <c r="AH104" s="741"/>
      <c r="AI104" s="741"/>
      <c r="AJ104" s="741"/>
      <c r="AK104" s="741"/>
      <c r="AL104" s="592"/>
      <c r="AM104" s="741"/>
      <c r="AN104" s="741"/>
      <c r="AO104" s="593"/>
      <c r="AP104" s="592"/>
      <c r="AQ104" s="741"/>
      <c r="AR104" s="741"/>
      <c r="AS104" s="593"/>
      <c r="AT104" s="741"/>
      <c r="AU104" s="741"/>
      <c r="AV104" s="741"/>
      <c r="AW104" s="593"/>
      <c r="AX104" s="741"/>
      <c r="AY104" s="741"/>
      <c r="AZ104" s="741"/>
      <c r="BA104" s="594"/>
    </row>
    <row r="105" spans="1:53" s="16" customFormat="1" x14ac:dyDescent="0.15">
      <c r="A105" s="741">
        <v>2015</v>
      </c>
      <c r="B105" s="603"/>
      <c r="C105" s="811" t="s">
        <v>1274</v>
      </c>
      <c r="D105" s="811"/>
      <c r="E105" s="741">
        <v>365</v>
      </c>
      <c r="F105" s="604"/>
      <c r="G105" s="600"/>
      <c r="H105" s="741"/>
      <c r="I105" s="741">
        <v>15</v>
      </c>
      <c r="J105" s="602">
        <v>15</v>
      </c>
      <c r="K105" s="597">
        <f t="shared" si="15"/>
        <v>0</v>
      </c>
      <c r="L105" s="597">
        <f t="shared" si="16"/>
        <v>0</v>
      </c>
      <c r="M105" s="597">
        <f t="shared" ref="M105" si="19">I105/J105*100</f>
        <v>100</v>
      </c>
      <c r="N105" s="601">
        <f t="shared" si="17"/>
        <v>100</v>
      </c>
      <c r="O105" s="596"/>
      <c r="P105" s="597"/>
      <c r="Q105" s="597">
        <v>56.5</v>
      </c>
      <c r="R105" s="598">
        <f t="shared" si="18"/>
        <v>56.5</v>
      </c>
      <c r="S105" s="741">
        <v>1</v>
      </c>
      <c r="T105" s="577"/>
      <c r="U105" s="741"/>
      <c r="V105" s="592" t="s">
        <v>1003</v>
      </c>
      <c r="W105" s="741" t="s">
        <v>20</v>
      </c>
      <c r="X105" s="741" t="s">
        <v>12</v>
      </c>
      <c r="Y105" s="593">
        <v>56.5</v>
      </c>
      <c r="Z105" s="741"/>
      <c r="AA105" s="741"/>
      <c r="AB105" s="741"/>
      <c r="AC105" s="741"/>
      <c r="AD105" s="592"/>
      <c r="AE105" s="741"/>
      <c r="AF105" s="741"/>
      <c r="AG105" s="593"/>
      <c r="AH105" s="741"/>
      <c r="AI105" s="741"/>
      <c r="AJ105" s="741"/>
      <c r="AK105" s="741"/>
      <c r="AL105" s="592"/>
      <c r="AM105" s="741"/>
      <c r="AN105" s="741"/>
      <c r="AO105" s="593"/>
      <c r="AP105" s="592"/>
      <c r="AQ105" s="741"/>
      <c r="AR105" s="741"/>
      <c r="AS105" s="593"/>
      <c r="AT105" s="741"/>
      <c r="AU105" s="741"/>
      <c r="AV105" s="741"/>
      <c r="AW105" s="593"/>
      <c r="AX105" s="741"/>
      <c r="AY105" s="741"/>
      <c r="AZ105" s="741"/>
      <c r="BA105" s="594"/>
    </row>
    <row r="106" spans="1:53" s="2" customFormat="1" x14ac:dyDescent="0.15"/>
    <row r="107" spans="1:53" x14ac:dyDescent="0.15">
      <c r="B107" s="2"/>
      <c r="C107" s="2"/>
      <c r="D107" s="2"/>
      <c r="E107" s="2"/>
      <c r="F107" s="2"/>
      <c r="G107" s="2"/>
      <c r="H107" s="2"/>
      <c r="I107" s="2"/>
      <c r="J107" s="2"/>
      <c r="K107" s="2"/>
      <c r="L107" s="2"/>
      <c r="M107" s="2"/>
      <c r="N107" s="2"/>
    </row>
    <row r="108" spans="1:53" s="2" customFormat="1" ht="18" customHeight="1" x14ac:dyDescent="0.2">
      <c r="B108" s="22" t="s">
        <v>1284</v>
      </c>
    </row>
    <row r="109" spans="1:53" s="2" customFormat="1" ht="9" customHeight="1" x14ac:dyDescent="0.15"/>
    <row r="110" spans="1:53" s="364" customFormat="1" ht="9" customHeight="1" x14ac:dyDescent="0.15">
      <c r="A110" s="362"/>
      <c r="B110" s="363" t="s">
        <v>1235</v>
      </c>
      <c r="C110" s="363"/>
      <c r="D110" s="363"/>
      <c r="E110" s="363"/>
      <c r="F110" s="363"/>
      <c r="G110" s="363" t="s">
        <v>1236</v>
      </c>
      <c r="H110" s="363"/>
      <c r="I110" s="363"/>
      <c r="J110" s="363"/>
      <c r="K110" s="363"/>
      <c r="L110" s="363"/>
      <c r="M110" s="363"/>
      <c r="N110" s="363"/>
      <c r="R110" s="802" t="s">
        <v>1237</v>
      </c>
      <c r="S110" s="802"/>
      <c r="T110" s="802"/>
      <c r="U110" s="802"/>
      <c r="V110" s="802"/>
      <c r="W110" s="802"/>
      <c r="X110" s="365"/>
      <c r="Y110" s="365"/>
      <c r="AA110" s="365"/>
      <c r="AB110" s="365"/>
      <c r="AC110" s="365"/>
      <c r="AD110" s="365"/>
    </row>
    <row r="111" spans="1:53" s="369" customFormat="1" ht="9" customHeight="1" x14ac:dyDescent="0.15">
      <c r="A111" s="366"/>
      <c r="B111" s="367" t="s">
        <v>1239</v>
      </c>
      <c r="C111" s="368"/>
      <c r="D111" s="368"/>
      <c r="E111" s="368"/>
      <c r="F111" s="368"/>
      <c r="G111" s="367" t="s">
        <v>1238</v>
      </c>
      <c r="H111" s="368"/>
      <c r="I111" s="368"/>
      <c r="J111" s="368"/>
      <c r="K111" s="368"/>
      <c r="L111" s="368"/>
      <c r="M111" s="368"/>
      <c r="N111" s="368"/>
      <c r="R111" s="370" t="s">
        <v>1240</v>
      </c>
      <c r="S111" s="371"/>
      <c r="T111" s="372"/>
      <c r="U111" s="372"/>
      <c r="V111" s="372"/>
      <c r="W111" s="370" t="s">
        <v>1241</v>
      </c>
      <c r="X111" s="372"/>
      <c r="Y111" s="372"/>
      <c r="AA111" s="372"/>
      <c r="AB111" s="372"/>
      <c r="AC111" s="372"/>
      <c r="AD111" s="372"/>
    </row>
    <row r="112" spans="1:53" s="351" customFormat="1" ht="12" customHeight="1" x14ac:dyDescent="0.15">
      <c r="A112" s="373" t="s">
        <v>3</v>
      </c>
      <c r="B112" s="374" t="s">
        <v>8</v>
      </c>
      <c r="C112" s="374" t="s">
        <v>9</v>
      </c>
      <c r="D112" s="374" t="s">
        <v>10</v>
      </c>
      <c r="E112" s="375" t="s">
        <v>1215</v>
      </c>
      <c r="F112" s="374"/>
      <c r="G112" s="351" t="s">
        <v>3</v>
      </c>
      <c r="H112" s="803" t="s">
        <v>0</v>
      </c>
      <c r="I112" s="803"/>
      <c r="J112" s="803" t="s">
        <v>1</v>
      </c>
      <c r="K112" s="803"/>
      <c r="L112" s="803" t="s">
        <v>2</v>
      </c>
      <c r="M112" s="803"/>
      <c r="N112" s="804" t="s">
        <v>1215</v>
      </c>
      <c r="O112" s="804"/>
      <c r="P112" s="376"/>
      <c r="Q112" s="376"/>
      <c r="R112" s="377" t="s">
        <v>3</v>
      </c>
      <c r="S112" s="378" t="s">
        <v>136</v>
      </c>
      <c r="T112" s="376" t="s">
        <v>134</v>
      </c>
      <c r="U112" s="374" t="s">
        <v>135</v>
      </c>
      <c r="V112" s="376"/>
      <c r="W112" s="379" t="s">
        <v>26</v>
      </c>
    </row>
    <row r="113" spans="1:53" ht="9" customHeight="1" x14ac:dyDescent="0.15">
      <c r="A113" s="1">
        <v>1966</v>
      </c>
      <c r="B113" s="469">
        <f>(K7*($E7/275))</f>
        <v>0</v>
      </c>
      <c r="C113" s="469">
        <f>(L7*($E7/275))</f>
        <v>100</v>
      </c>
      <c r="D113" s="469">
        <f>(M7*($E7/275))</f>
        <v>0</v>
      </c>
      <c r="E113" s="504">
        <f t="shared" ref="E113:E160" si="20">SUM(B113:D113)</f>
        <v>100</v>
      </c>
      <c r="F113" s="505"/>
      <c r="G113" s="1">
        <v>1966</v>
      </c>
      <c r="H113" s="809">
        <f>(O7/$R7*100*($E7/275))</f>
        <v>0</v>
      </c>
      <c r="I113" s="809"/>
      <c r="J113" s="809">
        <f>(P7/$R7*100*($E7/275))</f>
        <v>100</v>
      </c>
      <c r="K113" s="809"/>
      <c r="L113" s="809">
        <f>(Q7/$R7*100*($E7/275))</f>
        <v>0</v>
      </c>
      <c r="M113" s="809"/>
      <c r="N113" s="832">
        <f t="shared" ref="N113:N136" si="21">SUM(H113:M113)</f>
        <v>100</v>
      </c>
      <c r="O113" s="832"/>
      <c r="P113" s="505"/>
      <c r="Q113" s="505"/>
      <c r="R113" s="1">
        <v>1966</v>
      </c>
      <c r="S113" s="8">
        <f>(O7*($E7/275))</f>
        <v>0</v>
      </c>
      <c r="T113" s="8">
        <f>(P7*($E7/275))</f>
        <v>56</v>
      </c>
      <c r="U113" s="8">
        <f>(Q7*($E7/275))</f>
        <v>0</v>
      </c>
      <c r="V113" s="7"/>
      <c r="W113" s="7">
        <f t="shared" ref="W113:W139" si="22">SUM(S113:U113)</f>
        <v>56</v>
      </c>
      <c r="X113" s="505"/>
      <c r="Y113" s="71" t="s">
        <v>1296</v>
      </c>
      <c r="Z113" s="505"/>
      <c r="AA113" s="505"/>
      <c r="AB113" s="505"/>
      <c r="AC113" s="505"/>
      <c r="AD113" s="505"/>
      <c r="AE113" s="505"/>
      <c r="AF113" s="505"/>
      <c r="AG113" s="505"/>
      <c r="AH113" s="505"/>
      <c r="AI113" s="505"/>
      <c r="AJ113" s="505"/>
      <c r="AK113" s="505"/>
      <c r="AL113" s="505"/>
      <c r="AM113" s="505"/>
      <c r="AN113" s="505"/>
      <c r="AO113" s="505"/>
      <c r="AP113" s="505"/>
      <c r="AQ113" s="505"/>
      <c r="AR113" s="505"/>
      <c r="AS113" s="505"/>
      <c r="AT113" s="505"/>
      <c r="AU113" s="505"/>
      <c r="AV113" s="505"/>
      <c r="AW113" s="505"/>
      <c r="AX113" s="505"/>
      <c r="AY113" s="505"/>
      <c r="AZ113" s="505"/>
      <c r="BA113" s="505"/>
    </row>
    <row r="114" spans="1:53" ht="9" customHeight="1" x14ac:dyDescent="0.15">
      <c r="A114" s="1">
        <v>1967</v>
      </c>
      <c r="B114" s="469">
        <f>(K8*($E8/365))+(K9*($E9/365))</f>
        <v>0</v>
      </c>
      <c r="C114" s="469">
        <f>(L8*($E8/365))+(L9*($E9/365))</f>
        <v>100</v>
      </c>
      <c r="D114" s="469">
        <f>(M8*($E8/365))+(M9*($E9/365))</f>
        <v>0</v>
      </c>
      <c r="E114" s="504">
        <f t="shared" si="20"/>
        <v>100</v>
      </c>
      <c r="F114" s="505"/>
      <c r="G114" s="1">
        <v>1967</v>
      </c>
      <c r="H114" s="809">
        <f>(O8/$R8*100*($E8/365))+(O9/$R9*100*($E9/365))</f>
        <v>0</v>
      </c>
      <c r="I114" s="809"/>
      <c r="J114" s="809">
        <f>(P8/$R8*100*($E8/365))+(P9/$R9*100*($E9/365))</f>
        <v>100</v>
      </c>
      <c r="K114" s="809"/>
      <c r="L114" s="809">
        <f>(Q8/$R8*100*($E8/365))+(Q9/$R9*100*($E9/365))</f>
        <v>0</v>
      </c>
      <c r="M114" s="809"/>
      <c r="N114" s="832">
        <f t="shared" si="21"/>
        <v>100</v>
      </c>
      <c r="O114" s="832"/>
      <c r="P114" s="505"/>
      <c r="Q114" s="505"/>
      <c r="R114" s="1">
        <v>1967</v>
      </c>
      <c r="S114" s="8">
        <f>(O8*($E8/365))+(O9*($E9/365))</f>
        <v>0</v>
      </c>
      <c r="T114" s="8">
        <f>(P8*($E8/365))+(P9*($E9/365))</f>
        <v>56</v>
      </c>
      <c r="U114" s="8">
        <f>(Q8*($E8/365))+(Q9*($E9/365))</f>
        <v>0</v>
      </c>
      <c r="V114" s="7"/>
      <c r="W114" s="7">
        <f t="shared" si="22"/>
        <v>56</v>
      </c>
      <c r="X114" s="505"/>
      <c r="Y114" s="505"/>
      <c r="Z114" s="505"/>
      <c r="AA114" s="505"/>
      <c r="AB114" s="505"/>
      <c r="AC114" s="505"/>
      <c r="AD114" s="505"/>
      <c r="AE114" s="505"/>
      <c r="AF114" s="505"/>
      <c r="AG114" s="505"/>
      <c r="AH114" s="505"/>
      <c r="AI114" s="505"/>
      <c r="AJ114" s="505"/>
      <c r="AK114" s="505"/>
      <c r="AL114" s="505"/>
      <c r="AM114" s="505"/>
      <c r="AN114" s="505"/>
      <c r="AO114" s="505"/>
      <c r="AP114" s="505"/>
      <c r="AQ114" s="505"/>
      <c r="AR114" s="505"/>
      <c r="AS114" s="505"/>
      <c r="AT114" s="505"/>
      <c r="AU114" s="505"/>
      <c r="AV114" s="505"/>
      <c r="AW114" s="505"/>
      <c r="AX114" s="505"/>
      <c r="AY114" s="505"/>
      <c r="AZ114" s="505"/>
      <c r="BA114" s="505"/>
    </row>
    <row r="115" spans="1:53" ht="9" customHeight="1" x14ac:dyDescent="0.15">
      <c r="A115" s="1">
        <v>1968</v>
      </c>
      <c r="B115" s="469">
        <f>(K10*($E10/366))+(K11*($E11/366))</f>
        <v>0</v>
      </c>
      <c r="C115" s="469">
        <f>(L10*($E10/366))+(L11*($E11/366))</f>
        <v>100</v>
      </c>
      <c r="D115" s="469">
        <f>(M10*($E10/366))+(M11*($E11/366))</f>
        <v>0</v>
      </c>
      <c r="E115" s="504">
        <f t="shared" si="20"/>
        <v>100</v>
      </c>
      <c r="F115" s="505"/>
      <c r="G115" s="1">
        <v>1968</v>
      </c>
      <c r="H115" s="809">
        <f>(O10/$R10*100*($E10/366))+(O11/$R11*100*($E11/366))</f>
        <v>0</v>
      </c>
      <c r="I115" s="809"/>
      <c r="J115" s="809">
        <f>(P10/$R10*100*($E10/366))+(P11/$R11*100*($E11/366))</f>
        <v>100</v>
      </c>
      <c r="K115" s="809"/>
      <c r="L115" s="809">
        <f>(Q10/$R10*100*($E10/366))+(Q11/$R11*100*($E11/366))</f>
        <v>0</v>
      </c>
      <c r="M115" s="809"/>
      <c r="N115" s="832">
        <f t="shared" si="21"/>
        <v>100</v>
      </c>
      <c r="O115" s="832"/>
      <c r="P115" s="505"/>
      <c r="Q115" s="505"/>
      <c r="R115" s="1">
        <v>1968</v>
      </c>
      <c r="S115" s="8">
        <f>(O10*($E10/366))+(O11*($E11/366))</f>
        <v>0</v>
      </c>
      <c r="T115" s="8">
        <f>(P10*($E10/366))+(P11*($E11/366))</f>
        <v>56</v>
      </c>
      <c r="U115" s="8">
        <f>(Q10*($E10/366))+(Q11*($E11/366))</f>
        <v>0</v>
      </c>
      <c r="V115" s="7"/>
      <c r="W115" s="7">
        <f t="shared" si="22"/>
        <v>56</v>
      </c>
      <c r="X115" s="505"/>
      <c r="Y115" s="505"/>
      <c r="Z115" s="505"/>
      <c r="AA115" s="505"/>
      <c r="AB115" s="505"/>
      <c r="AC115" s="505"/>
      <c r="AD115" s="505"/>
      <c r="AE115" s="505"/>
      <c r="AF115" s="505"/>
      <c r="AG115" s="505"/>
      <c r="AH115" s="505"/>
      <c r="AI115" s="505"/>
      <c r="AJ115" s="505"/>
      <c r="AK115" s="505"/>
      <c r="AL115" s="505"/>
      <c r="AM115" s="505"/>
      <c r="AN115" s="505"/>
      <c r="AO115" s="505"/>
      <c r="AP115" s="505"/>
      <c r="AQ115" s="505"/>
      <c r="AR115" s="505"/>
      <c r="AS115" s="505"/>
      <c r="AT115" s="505"/>
      <c r="AU115" s="505"/>
      <c r="AV115" s="505"/>
      <c r="AW115" s="505"/>
      <c r="AX115" s="505"/>
      <c r="AY115" s="505"/>
      <c r="AZ115" s="505"/>
      <c r="BA115" s="505"/>
    </row>
    <row r="116" spans="1:53" ht="9" customHeight="1" x14ac:dyDescent="0.15">
      <c r="A116" s="1">
        <v>1969</v>
      </c>
      <c r="B116" s="469">
        <f>(K12*($E12/365))+(K13*($E13/365))</f>
        <v>0</v>
      </c>
      <c r="C116" s="469">
        <f>(L12*($E12/365))+(L13*($E13/365))</f>
        <v>100</v>
      </c>
      <c r="D116" s="469">
        <f>(M12*($E12/365))+(M13*($E13/365))</f>
        <v>0</v>
      </c>
      <c r="E116" s="504">
        <f t="shared" si="20"/>
        <v>100</v>
      </c>
      <c r="F116" s="505"/>
      <c r="G116" s="1">
        <v>1969</v>
      </c>
      <c r="H116" s="809">
        <f>(O12/$R12*100*($E12/365))+(O13/$R13*100*($E13/365))</f>
        <v>0</v>
      </c>
      <c r="I116" s="809"/>
      <c r="J116" s="809">
        <f>(P12/$R12*100*($E12/365))+(P13/$R13*100*($E13/365))</f>
        <v>100</v>
      </c>
      <c r="K116" s="809"/>
      <c r="L116" s="809">
        <f>(Q12/$R12*100*($E12/365))+(Q13/$R13*100*($E13/365))</f>
        <v>0</v>
      </c>
      <c r="M116" s="809"/>
      <c r="N116" s="832">
        <f t="shared" si="21"/>
        <v>100</v>
      </c>
      <c r="O116" s="832"/>
      <c r="P116" s="505"/>
      <c r="Q116" s="505"/>
      <c r="R116" s="1">
        <v>1969</v>
      </c>
      <c r="S116" s="8">
        <f>(O12*($E12/365))+(O13*($E13/365))</f>
        <v>0</v>
      </c>
      <c r="T116" s="8">
        <f>(P12*($E12/365))+(P13*($E13/365))</f>
        <v>56</v>
      </c>
      <c r="U116" s="8">
        <f>(Q12*($E12/365))+(Q13*($E13/365))</f>
        <v>0</v>
      </c>
      <c r="V116" s="7"/>
      <c r="W116" s="7">
        <f t="shared" si="22"/>
        <v>56</v>
      </c>
      <c r="X116" s="505"/>
      <c r="Y116" s="505"/>
      <c r="Z116" s="505"/>
      <c r="AA116" s="505"/>
      <c r="AB116" s="505"/>
      <c r="AC116" s="505"/>
      <c r="AD116" s="505"/>
      <c r="AE116" s="505"/>
      <c r="AF116" s="505"/>
      <c r="AG116" s="505"/>
      <c r="AH116" s="505"/>
      <c r="AI116" s="505"/>
      <c r="AJ116" s="505"/>
      <c r="AK116" s="505"/>
      <c r="AL116" s="505"/>
      <c r="AM116" s="505"/>
      <c r="AN116" s="505"/>
      <c r="AO116" s="505"/>
      <c r="AP116" s="505"/>
      <c r="AQ116" s="505"/>
      <c r="AR116" s="505"/>
      <c r="AS116" s="505"/>
      <c r="AT116" s="505"/>
      <c r="AU116" s="505"/>
      <c r="AV116" s="505"/>
      <c r="AW116" s="505"/>
      <c r="AX116" s="505"/>
      <c r="AY116" s="505"/>
      <c r="AZ116" s="505"/>
      <c r="BA116" s="505"/>
    </row>
    <row r="117" spans="1:53" ht="9" customHeight="1" x14ac:dyDescent="0.15">
      <c r="A117" s="1">
        <v>1970</v>
      </c>
      <c r="B117" s="469">
        <f>(K14*($E14/365))+(K15*($E15/365))</f>
        <v>0</v>
      </c>
      <c r="C117" s="469">
        <f>(L14*($E14/365))+(L15*($E15/365))</f>
        <v>100</v>
      </c>
      <c r="D117" s="469">
        <f>(M14*($E14/365))+(M15*($E15/365))</f>
        <v>0</v>
      </c>
      <c r="E117" s="504">
        <f t="shared" si="20"/>
        <v>100</v>
      </c>
      <c r="F117" s="505"/>
      <c r="G117" s="1">
        <v>1970</v>
      </c>
      <c r="H117" s="809">
        <f>(O14/$R14*100*($E14/365))+(O15/$R15*100*($E15/365))</f>
        <v>0</v>
      </c>
      <c r="I117" s="809"/>
      <c r="J117" s="809">
        <f>(P14/$R14*100*($E14/365))+(P15/$R15*100*($E15/365))</f>
        <v>100</v>
      </c>
      <c r="K117" s="809"/>
      <c r="L117" s="809">
        <f>(Q14/$R14*100*($E14/365))+(Q15/$R15*100*($E15/365))</f>
        <v>0</v>
      </c>
      <c r="M117" s="809"/>
      <c r="N117" s="832">
        <f t="shared" si="21"/>
        <v>100</v>
      </c>
      <c r="O117" s="832"/>
      <c r="P117" s="505"/>
      <c r="Q117" s="505"/>
      <c r="R117" s="1">
        <v>1970</v>
      </c>
      <c r="S117" s="8">
        <f>(O14*($E14/365))+(O15*($E15/365))</f>
        <v>0</v>
      </c>
      <c r="T117" s="8">
        <f>(P14*($E14/365))+(P15*($E15/365))</f>
        <v>56</v>
      </c>
      <c r="U117" s="8">
        <f>(Q14*($E14/365))+(Q15*($E15/365))</f>
        <v>0</v>
      </c>
      <c r="V117" s="7"/>
      <c r="W117" s="7">
        <f t="shared" si="22"/>
        <v>56</v>
      </c>
    </row>
    <row r="118" spans="1:53" ht="9" customHeight="1" x14ac:dyDescent="0.15">
      <c r="A118" s="1">
        <v>1971</v>
      </c>
      <c r="B118" s="469">
        <f>(K16*($E16/365))+(K17*($E17/365))</f>
        <v>0</v>
      </c>
      <c r="C118" s="469">
        <f>(L16*($E16/365))+(L17*($E17/365))</f>
        <v>46.849315068493155</v>
      </c>
      <c r="D118" s="469">
        <f>(M16*($E16/365))+(M17*($E17/365))</f>
        <v>53.150684931506852</v>
      </c>
      <c r="E118" s="504">
        <f t="shared" si="20"/>
        <v>100</v>
      </c>
      <c r="F118" s="505"/>
      <c r="G118" s="1">
        <v>1971</v>
      </c>
      <c r="H118" s="809">
        <f>(O16/$R16*100*($E16/365))+(O17/$R17*100*($E17/365))</f>
        <v>0</v>
      </c>
      <c r="I118" s="809"/>
      <c r="J118" s="809">
        <f>(P16/$R16*100*($E16/365))+(P17/$R17*100*($E17/365))</f>
        <v>46.849315068493155</v>
      </c>
      <c r="K118" s="809"/>
      <c r="L118" s="809">
        <f>(Q16/$R16*100*($E16/365))+(Q17/$R17*100*($E17/365))</f>
        <v>53.150684931506852</v>
      </c>
      <c r="M118" s="809"/>
      <c r="N118" s="832">
        <f t="shared" si="21"/>
        <v>100</v>
      </c>
      <c r="O118" s="832"/>
      <c r="P118" s="505"/>
      <c r="Q118" s="505"/>
      <c r="R118" s="1">
        <v>1971</v>
      </c>
      <c r="S118" s="8">
        <f>(O16*($E16/365))+(O17*($E17/365))</f>
        <v>0</v>
      </c>
      <c r="T118" s="8">
        <f>(P16*($E16/365))+(P17*($E17/365))</f>
        <v>26.235616438356164</v>
      </c>
      <c r="U118" s="8">
        <f>(Q16*($E16/365))+(Q17*($E17/365))</f>
        <v>27.053698630136989</v>
      </c>
      <c r="V118" s="7"/>
      <c r="W118" s="7">
        <f t="shared" si="22"/>
        <v>53.289315068493153</v>
      </c>
    </row>
    <row r="119" spans="1:53" ht="9" customHeight="1" x14ac:dyDescent="0.15">
      <c r="A119" s="1">
        <v>1972</v>
      </c>
      <c r="B119" s="469">
        <f>(K18*($E18/366))+(K19*($E19/366))</f>
        <v>0</v>
      </c>
      <c r="C119" s="469">
        <f>(L18*($E18/366))+(L19*($E19/366))</f>
        <v>0</v>
      </c>
      <c r="D119" s="469">
        <f>(M18*($E18/366))+(M19*($E19/366))</f>
        <v>100</v>
      </c>
      <c r="E119" s="504">
        <f t="shared" si="20"/>
        <v>100</v>
      </c>
      <c r="F119" s="505"/>
      <c r="G119" s="1">
        <v>1972</v>
      </c>
      <c r="H119" s="809">
        <f>(O18/$R18*100*($E18/366))+(O19/$R19*100*($E19/366))</f>
        <v>0</v>
      </c>
      <c r="I119" s="809"/>
      <c r="J119" s="809">
        <f>(P18/$R18*100*($E18/366))+(P19/$R19*100*($E19/366))</f>
        <v>0</v>
      </c>
      <c r="K119" s="809"/>
      <c r="L119" s="809">
        <f>(Q18/$R18*100*($E18/366))+(Q19/$R19*100*($E19/366))</f>
        <v>100</v>
      </c>
      <c r="M119" s="809"/>
      <c r="N119" s="832">
        <f t="shared" si="21"/>
        <v>100</v>
      </c>
      <c r="O119" s="832"/>
      <c r="P119" s="505"/>
      <c r="Q119" s="505"/>
      <c r="R119" s="1">
        <v>1972</v>
      </c>
      <c r="S119" s="8">
        <f>(O18*($E18/366))+(O19*($E19/366))</f>
        <v>0</v>
      </c>
      <c r="T119" s="8">
        <f>(P18*($E18/366))+(P19*($E19/366))</f>
        <v>0</v>
      </c>
      <c r="U119" s="8">
        <f>(Q18*($E18/366))+(Q19*($E19/366))</f>
        <v>50.9</v>
      </c>
      <c r="V119" s="7"/>
      <c r="W119" s="7">
        <f t="shared" si="22"/>
        <v>50.9</v>
      </c>
    </row>
    <row r="120" spans="1:53" ht="9" customHeight="1" x14ac:dyDescent="0.15">
      <c r="A120" s="1">
        <v>1973</v>
      </c>
      <c r="B120" s="469">
        <f>(K20*($E20/365))+(K21*($E21/365))</f>
        <v>0</v>
      </c>
      <c r="C120" s="469">
        <f>(L20*($E20/365))+(L21*($E21/365))</f>
        <v>0</v>
      </c>
      <c r="D120" s="469">
        <f>(M20*($E20/365))+(M21*($E21/365))</f>
        <v>100</v>
      </c>
      <c r="E120" s="504">
        <f t="shared" si="20"/>
        <v>100</v>
      </c>
      <c r="F120" s="505"/>
      <c r="G120" s="1">
        <v>1973</v>
      </c>
      <c r="H120" s="809">
        <f>(O20/$R20*100*($E20/365))+(O21/$R21*100*($E21/365))</f>
        <v>0</v>
      </c>
      <c r="I120" s="809"/>
      <c r="J120" s="809">
        <f>(P20/$R20*100*($E20/365))+(P21/$R21*100*($E21/365))</f>
        <v>0</v>
      </c>
      <c r="K120" s="809"/>
      <c r="L120" s="809">
        <f>(Q20/$R20*100*($E20/365))+(Q21/$R21*100*($E21/365))</f>
        <v>100</v>
      </c>
      <c r="M120" s="809"/>
      <c r="N120" s="832">
        <f t="shared" si="21"/>
        <v>100</v>
      </c>
      <c r="O120" s="832"/>
      <c r="P120" s="505"/>
      <c r="Q120" s="505"/>
      <c r="R120" s="1">
        <v>1973</v>
      </c>
      <c r="S120" s="8">
        <f>(O20*($E20/365))+(O21*($E21/365))</f>
        <v>0</v>
      </c>
      <c r="T120" s="8">
        <f>(P20*($E20/365))+(P21*($E21/365))</f>
        <v>0</v>
      </c>
      <c r="U120" s="8">
        <f>(Q20*($E20/365))+(Q21*($E21/365))</f>
        <v>50.9</v>
      </c>
      <c r="V120" s="7"/>
      <c r="W120" s="7">
        <f t="shared" si="22"/>
        <v>50.9</v>
      </c>
    </row>
    <row r="121" spans="1:53" ht="9" customHeight="1" x14ac:dyDescent="0.15">
      <c r="A121" s="1">
        <v>1974</v>
      </c>
      <c r="B121" s="469">
        <f>(K22*($E22/365))+(K23*($E23/365))</f>
        <v>0</v>
      </c>
      <c r="C121" s="469">
        <f>(L22*($E22/365))+(L23*($E23/365))</f>
        <v>0</v>
      </c>
      <c r="D121" s="469">
        <f>(M22*($E22/365))+(M23*($E23/365))</f>
        <v>100</v>
      </c>
      <c r="E121" s="504">
        <f t="shared" si="20"/>
        <v>100</v>
      </c>
      <c r="F121" s="505"/>
      <c r="G121" s="1">
        <v>1974</v>
      </c>
      <c r="H121" s="809">
        <f>(O22/$R22*100*($E22/365))+(O23/$R23*100*($E23/365))</f>
        <v>0</v>
      </c>
      <c r="I121" s="809"/>
      <c r="J121" s="809">
        <f>(P22/$R22*100*($E22/365))+(P23/$R23*100*($E23/365))</f>
        <v>0</v>
      </c>
      <c r="K121" s="809"/>
      <c r="L121" s="809">
        <f>(Q22/$R22*100*($E22/365))+(Q23/$R23*100*($E23/365))</f>
        <v>100</v>
      </c>
      <c r="M121" s="809"/>
      <c r="N121" s="832">
        <f t="shared" si="21"/>
        <v>100</v>
      </c>
      <c r="O121" s="832"/>
      <c r="P121" s="505"/>
      <c r="Q121" s="505"/>
      <c r="R121" s="1">
        <v>1974</v>
      </c>
      <c r="S121" s="8">
        <f>(O22*($E22/365))+(O23*($E23/365))</f>
        <v>0</v>
      </c>
      <c r="T121" s="8">
        <f>(P22*($E22/365))+(P23*($E23/365))</f>
        <v>0</v>
      </c>
      <c r="U121" s="8">
        <f>(Q22*($E22/365))+(Q23*($E23/365))</f>
        <v>50.9</v>
      </c>
      <c r="V121" s="7"/>
      <c r="W121" s="7">
        <f t="shared" si="22"/>
        <v>50.9</v>
      </c>
    </row>
    <row r="122" spans="1:53" ht="9" customHeight="1" x14ac:dyDescent="0.15">
      <c r="A122" s="1">
        <v>1975</v>
      </c>
      <c r="B122" s="469">
        <f>(K24*($E24/365))+(K25*($E25/365))</f>
        <v>0</v>
      </c>
      <c r="C122" s="469">
        <f>(L24*($E24/365))+(L25*($E25/365))</f>
        <v>0</v>
      </c>
      <c r="D122" s="469">
        <f>(M24*($E24/365))+(M25*($E25/365))</f>
        <v>100</v>
      </c>
      <c r="E122" s="504">
        <f t="shared" si="20"/>
        <v>100</v>
      </c>
      <c r="F122" s="505"/>
      <c r="G122" s="1">
        <v>1975</v>
      </c>
      <c r="H122" s="809">
        <f>(O24/$R24*100*($E24/365))+(O25/$R25*100*($E25/365))</f>
        <v>0</v>
      </c>
      <c r="I122" s="809"/>
      <c r="J122" s="809">
        <f>(P24/$R24*100*($E24/365))+(P25/$R25*100*($E25/365))</f>
        <v>0</v>
      </c>
      <c r="K122" s="809"/>
      <c r="L122" s="809">
        <f>(Q24/$R24*100*($E24/365))+(Q25/$R25*100*($E25/365))</f>
        <v>100</v>
      </c>
      <c r="M122" s="809"/>
      <c r="N122" s="832">
        <f t="shared" si="21"/>
        <v>100</v>
      </c>
      <c r="O122" s="832"/>
      <c r="P122" s="505"/>
      <c r="Q122" s="505"/>
      <c r="R122" s="1">
        <v>1975</v>
      </c>
      <c r="S122" s="8">
        <f>(O24*($E24/365))+(O25*($E25/365))</f>
        <v>0</v>
      </c>
      <c r="T122" s="8">
        <f>(P24*($E24/365))+(P25*($E25/365))</f>
        <v>0</v>
      </c>
      <c r="U122" s="8">
        <f>(Q24*($E24/365))+(Q25*($E25/365))</f>
        <v>50.9</v>
      </c>
      <c r="V122" s="7"/>
      <c r="W122" s="7">
        <f t="shared" si="22"/>
        <v>50.9</v>
      </c>
    </row>
    <row r="123" spans="1:53" ht="9" customHeight="1" x14ac:dyDescent="0.15">
      <c r="A123" s="1">
        <v>1976</v>
      </c>
      <c r="B123" s="469">
        <f>(K26*($E26/366))+(K27*($E27/366))</f>
        <v>0</v>
      </c>
      <c r="C123" s="469">
        <f>(L26*($E26/366))+(L27*($E27/366))</f>
        <v>0</v>
      </c>
      <c r="D123" s="469">
        <f>(M26*($E26/366))+(M27*($E27/366))</f>
        <v>100</v>
      </c>
      <c r="E123" s="504">
        <f t="shared" si="20"/>
        <v>100</v>
      </c>
      <c r="F123" s="505"/>
      <c r="G123" s="1">
        <v>1976</v>
      </c>
      <c r="H123" s="809">
        <f>(O26/$R26*100*($E26/366))+(O27/$R27*100*($E27/366))</f>
        <v>0</v>
      </c>
      <c r="I123" s="809"/>
      <c r="J123" s="809">
        <f>(P26/$R26*100*($E26/366))+(P27/$R27*100*($E27/366))</f>
        <v>0</v>
      </c>
      <c r="K123" s="809"/>
      <c r="L123" s="809">
        <f>(Q26/$R26*100*($E26/366))+(Q27/$R27*100*($E27/366))</f>
        <v>100</v>
      </c>
      <c r="M123" s="809"/>
      <c r="N123" s="832">
        <f t="shared" si="21"/>
        <v>100</v>
      </c>
      <c r="O123" s="832"/>
      <c r="P123" s="505"/>
      <c r="Q123" s="505"/>
      <c r="R123" s="1">
        <v>1976</v>
      </c>
      <c r="S123" s="8">
        <f>(O26*($E26/366))+(O27*($E27/366))</f>
        <v>0</v>
      </c>
      <c r="T123" s="8">
        <f>(P26*($E26/366))+(P27*($E27/366))</f>
        <v>0</v>
      </c>
      <c r="U123" s="8">
        <f>(Q26*($E26/366))+(Q27*($E27/366))</f>
        <v>51.28633879781421</v>
      </c>
      <c r="V123" s="7"/>
      <c r="W123" s="7">
        <f t="shared" si="22"/>
        <v>51.28633879781421</v>
      </c>
    </row>
    <row r="124" spans="1:53" ht="9" customHeight="1" x14ac:dyDescent="0.15">
      <c r="A124" s="1">
        <v>1977</v>
      </c>
      <c r="B124" s="469">
        <f>(K28*($E28/365))+(K29*($E29/365))</f>
        <v>0</v>
      </c>
      <c r="C124" s="469">
        <f>(L28*($E28/365))+(L29*($E29/365))</f>
        <v>0</v>
      </c>
      <c r="D124" s="469">
        <f>(M28*($E28/365))+(M29*($E29/365))</f>
        <v>100</v>
      </c>
      <c r="E124" s="504">
        <f t="shared" si="20"/>
        <v>100</v>
      </c>
      <c r="F124" s="505"/>
      <c r="G124" s="1">
        <v>1977</v>
      </c>
      <c r="H124" s="809">
        <f>(O28/$R28*100*($E28/365))+(O29/$R29*100*($E29/365))</f>
        <v>0</v>
      </c>
      <c r="I124" s="809"/>
      <c r="J124" s="809">
        <f>(P28/$R28*100*($E28/365))+(P29/$R29*100*($E29/365))</f>
        <v>0</v>
      </c>
      <c r="K124" s="809"/>
      <c r="L124" s="809">
        <f>(Q28/$R28*100*($E28/365))+(Q29/$R29*100*($E29/365))</f>
        <v>100</v>
      </c>
      <c r="M124" s="809"/>
      <c r="N124" s="832">
        <f t="shared" si="21"/>
        <v>100</v>
      </c>
      <c r="O124" s="832"/>
      <c r="P124" s="505"/>
      <c r="Q124" s="505"/>
      <c r="R124" s="1">
        <v>1977</v>
      </c>
      <c r="S124" s="8">
        <f>(O28*($E28/365))+(O29*($E29/365))</f>
        <v>0</v>
      </c>
      <c r="T124" s="8">
        <f>(P28*($E28/365))+(P29*($E29/365))</f>
        <v>0</v>
      </c>
      <c r="U124" s="8">
        <f>(Q28*($E28/365))+(Q29*($E29/365))</f>
        <v>52.3</v>
      </c>
      <c r="V124" s="7"/>
      <c r="W124" s="7">
        <f t="shared" si="22"/>
        <v>52.3</v>
      </c>
    </row>
    <row r="125" spans="1:53" ht="9" customHeight="1" x14ac:dyDescent="0.15">
      <c r="A125" s="1">
        <v>1978</v>
      </c>
      <c r="B125" s="469">
        <f>(K30*($E30/365))+(K31*($E31/365))</f>
        <v>0</v>
      </c>
      <c r="C125" s="469">
        <f>(L30*($E30/365))+(L31*($E31/365))</f>
        <v>0</v>
      </c>
      <c r="D125" s="469">
        <f>(M30*($E30/365))+(M31*($E31/365))</f>
        <v>100</v>
      </c>
      <c r="E125" s="504">
        <f t="shared" si="20"/>
        <v>100</v>
      </c>
      <c r="F125" s="505"/>
      <c r="G125" s="1">
        <v>1978</v>
      </c>
      <c r="H125" s="809">
        <f>(O30/$R30*100*($E30/365))+(O31/$R31*100*($E31/365))</f>
        <v>0</v>
      </c>
      <c r="I125" s="809"/>
      <c r="J125" s="809">
        <f>(P30/$R30*100*($E30/365))+(P31/$R31*100*($E31/365))</f>
        <v>0</v>
      </c>
      <c r="K125" s="809"/>
      <c r="L125" s="809">
        <f>(Q30/$R30*100*($E30/365))+(Q31/$R31*100*($E31/365))</f>
        <v>100</v>
      </c>
      <c r="M125" s="809"/>
      <c r="N125" s="832">
        <f t="shared" si="21"/>
        <v>100</v>
      </c>
      <c r="O125" s="832"/>
      <c r="P125" s="505"/>
      <c r="Q125" s="505"/>
      <c r="R125" s="1">
        <v>1978</v>
      </c>
      <c r="S125" s="8">
        <f>(O30*($E30/365))+(O31*($E31/365))</f>
        <v>0</v>
      </c>
      <c r="T125" s="8">
        <f>(P30*($E30/365))+(P31*($E31/365))</f>
        <v>0</v>
      </c>
      <c r="U125" s="8">
        <f>(Q30*($E30/365))+(Q31*($E31/365))</f>
        <v>52.3</v>
      </c>
      <c r="V125" s="7"/>
      <c r="W125" s="7">
        <f t="shared" si="22"/>
        <v>52.3</v>
      </c>
    </row>
    <row r="126" spans="1:53" ht="9" customHeight="1" x14ac:dyDescent="0.15">
      <c r="A126" s="1">
        <v>1979</v>
      </c>
      <c r="B126" s="469">
        <f>(K32*($E32/365))+(K33*($E33/365))</f>
        <v>0</v>
      </c>
      <c r="C126" s="469">
        <f>(L32*($E32/365))+(L33*($E33/365))</f>
        <v>0</v>
      </c>
      <c r="D126" s="469">
        <f>(M32*($E32/365))+(M33*($E33/365))</f>
        <v>100</v>
      </c>
      <c r="E126" s="504">
        <f t="shared" si="20"/>
        <v>100</v>
      </c>
      <c r="F126" s="505"/>
      <c r="G126" s="1">
        <v>1979</v>
      </c>
      <c r="H126" s="809">
        <f>(O32/$R32*100*($E32/365))+(O33/$R33*100*($E33/365))</f>
        <v>0</v>
      </c>
      <c r="I126" s="809"/>
      <c r="J126" s="809">
        <f>(P32/$R32*100*($E32/365))+(P33/$R33*100*($E33/365))</f>
        <v>0</v>
      </c>
      <c r="K126" s="809"/>
      <c r="L126" s="809">
        <f>(Q32/$R32*100*($E32/365))+(Q33/$R33*100*($E33/365))</f>
        <v>100</v>
      </c>
      <c r="M126" s="809"/>
      <c r="N126" s="832">
        <f t="shared" si="21"/>
        <v>100</v>
      </c>
      <c r="O126" s="832"/>
      <c r="P126" s="505"/>
      <c r="Q126" s="505"/>
      <c r="R126" s="1">
        <v>1979</v>
      </c>
      <c r="S126" s="8">
        <f>(O32*($E32/365))+(O33*($E33/365))</f>
        <v>0</v>
      </c>
      <c r="T126" s="8">
        <f>(P32*($E32/365))+(P33*($E33/365))</f>
        <v>0</v>
      </c>
      <c r="U126" s="8">
        <f>(Q32*($E32/365))+(Q33*($E33/365))</f>
        <v>52.3</v>
      </c>
      <c r="V126" s="7"/>
      <c r="W126" s="7">
        <f t="shared" si="22"/>
        <v>52.3</v>
      </c>
    </row>
    <row r="127" spans="1:53" ht="9" customHeight="1" x14ac:dyDescent="0.15">
      <c r="A127" s="1">
        <v>1980</v>
      </c>
      <c r="B127" s="469">
        <f>(K34*($E34/366))+(K35*($E35/366))</f>
        <v>0</v>
      </c>
      <c r="C127" s="469">
        <f>(L34*($E34/366))+(L35*($E35/366))</f>
        <v>0</v>
      </c>
      <c r="D127" s="469">
        <f>(M34*($E34/366))+(M35*($E35/366))</f>
        <v>100</v>
      </c>
      <c r="E127" s="504">
        <f t="shared" si="20"/>
        <v>100</v>
      </c>
      <c r="F127" s="505"/>
      <c r="G127" s="1">
        <v>1980</v>
      </c>
      <c r="H127" s="809">
        <f>(O34/$R34*100*($E34/366))+(O35/$R35*100*($E35/366))</f>
        <v>0</v>
      </c>
      <c r="I127" s="809"/>
      <c r="J127" s="809">
        <f>(P34/$R34*100*($E34/366))+(P35/$R35*100*($E35/366))</f>
        <v>0</v>
      </c>
      <c r="K127" s="809"/>
      <c r="L127" s="809">
        <f>(Q34/$R34*100*($E34/366))+(Q35/$R35*100*($E35/366))</f>
        <v>100</v>
      </c>
      <c r="M127" s="809"/>
      <c r="N127" s="832">
        <f t="shared" si="21"/>
        <v>100</v>
      </c>
      <c r="O127" s="832"/>
      <c r="P127" s="505"/>
      <c r="Q127" s="505"/>
      <c r="R127" s="1">
        <v>1980</v>
      </c>
      <c r="S127" s="8">
        <f>(O34*($E34/366))+(O35*($E35/366))</f>
        <v>0</v>
      </c>
      <c r="T127" s="8">
        <f>(P34*($E34/366))+(P35*($E35/366))</f>
        <v>0</v>
      </c>
      <c r="U127" s="8">
        <f>(Q34*($E34/366))+(Q35*($E35/366))</f>
        <v>52.3</v>
      </c>
      <c r="V127" s="7"/>
      <c r="W127" s="7">
        <f t="shared" si="22"/>
        <v>52.3</v>
      </c>
    </row>
    <row r="128" spans="1:53" ht="9" customHeight="1" x14ac:dyDescent="0.15">
      <c r="A128" s="1">
        <v>1981</v>
      </c>
      <c r="B128" s="469">
        <f>(K36*($E36/365))+(K37*($E37/365))</f>
        <v>0</v>
      </c>
      <c r="C128" s="469">
        <f>(L36*($E36/365))+(L37*($E37/365))</f>
        <v>0</v>
      </c>
      <c r="D128" s="469">
        <f>(M36*($E36/365))+(M37*($E37/365))</f>
        <v>100.00000000000001</v>
      </c>
      <c r="E128" s="504">
        <f t="shared" si="20"/>
        <v>100.00000000000001</v>
      </c>
      <c r="F128" s="505"/>
      <c r="G128" s="1">
        <v>1981</v>
      </c>
      <c r="H128" s="809">
        <f>(O36/$R36*100*($E36/365))+(O37/$R37*100*($E37/365))</f>
        <v>0</v>
      </c>
      <c r="I128" s="809"/>
      <c r="J128" s="809">
        <f>(P36/$R36*100*($E36/365))+(P37/$R37*100*($E37/365))</f>
        <v>0</v>
      </c>
      <c r="K128" s="809"/>
      <c r="L128" s="809">
        <f>(Q36/$R36*100*($E36/365))+(Q37/$R37*100*($E37/365))</f>
        <v>100.00000000000001</v>
      </c>
      <c r="M128" s="809"/>
      <c r="N128" s="832">
        <f t="shared" si="21"/>
        <v>100.00000000000001</v>
      </c>
      <c r="O128" s="832"/>
      <c r="P128" s="505"/>
      <c r="Q128" s="505"/>
      <c r="R128" s="1">
        <v>1981</v>
      </c>
      <c r="S128" s="8">
        <f>(O36*($E36/365))+(O37*($E37/365))</f>
        <v>0</v>
      </c>
      <c r="T128" s="8">
        <f>(P36*($E36/365))+(P37*($E37/365))</f>
        <v>0</v>
      </c>
      <c r="U128" s="8">
        <f>(Q36*($E36/365))+(Q37*($E37/365))</f>
        <v>52.300000000000004</v>
      </c>
      <c r="V128" s="7"/>
      <c r="W128" s="7">
        <f t="shared" si="22"/>
        <v>52.300000000000004</v>
      </c>
    </row>
    <row r="129" spans="1:23" ht="9" customHeight="1" x14ac:dyDescent="0.15">
      <c r="A129" s="1">
        <v>1982</v>
      </c>
      <c r="B129" s="469">
        <f>(K38*($E38/365))+(K39*($E39/365))</f>
        <v>0</v>
      </c>
      <c r="C129" s="469">
        <f>(L38*($E38/365))+(L39*($E39/365))</f>
        <v>0</v>
      </c>
      <c r="D129" s="469">
        <f>(M38*($E38/365))+(M39*($E39/365))</f>
        <v>100</v>
      </c>
      <c r="E129" s="504">
        <f t="shared" si="20"/>
        <v>100</v>
      </c>
      <c r="F129" s="505"/>
      <c r="G129" s="1">
        <v>1982</v>
      </c>
      <c r="H129" s="809">
        <f>(O38/$R38*100*($E38/365))+(O39/$R39*100*($E39/365))</f>
        <v>0</v>
      </c>
      <c r="I129" s="809"/>
      <c r="J129" s="809">
        <f>(P38/$R38*100*($E38/365))+(P39/$R39*100*($E39/365))</f>
        <v>0</v>
      </c>
      <c r="K129" s="809"/>
      <c r="L129" s="809">
        <f>(Q38/$R38*100*($E38/365))+(Q39/$R39*100*($E39/365))</f>
        <v>100</v>
      </c>
      <c r="M129" s="809"/>
      <c r="N129" s="832">
        <f t="shared" si="21"/>
        <v>100</v>
      </c>
      <c r="O129" s="832"/>
      <c r="P129" s="505"/>
      <c r="Q129" s="505"/>
      <c r="R129" s="1">
        <v>1982</v>
      </c>
      <c r="S129" s="8">
        <f>(O38*($E38/365))+(O39*($E39/365))</f>
        <v>0</v>
      </c>
      <c r="T129" s="8">
        <f>(P38*($E38/365))+(P39*($E39/365))</f>
        <v>0</v>
      </c>
      <c r="U129" s="8">
        <f>(Q38*($E38/365))+(Q39*($E39/365))</f>
        <v>52.3</v>
      </c>
      <c r="V129" s="7"/>
      <c r="W129" s="7">
        <f t="shared" si="22"/>
        <v>52.3</v>
      </c>
    </row>
    <row r="130" spans="1:23" ht="9" customHeight="1" x14ac:dyDescent="0.15">
      <c r="A130" s="1">
        <v>1983</v>
      </c>
      <c r="B130" s="469">
        <f>(K40*($E40/365))+(K41*($E41/365))</f>
        <v>0</v>
      </c>
      <c r="C130" s="469">
        <f>(L40*($E40/365))+(L41*($E41/365))</f>
        <v>0</v>
      </c>
      <c r="D130" s="469">
        <f>(M40*($E40/365))+(M41*($E41/365))</f>
        <v>100</v>
      </c>
      <c r="E130" s="504">
        <f t="shared" si="20"/>
        <v>100</v>
      </c>
      <c r="F130" s="505"/>
      <c r="G130" s="1">
        <v>1983</v>
      </c>
      <c r="H130" s="809">
        <f>(O40/$R40*100*($E40/365))+(O41/$R41*100*($E41/365))</f>
        <v>0</v>
      </c>
      <c r="I130" s="809"/>
      <c r="J130" s="809">
        <f>(P40/$R40*100*($E40/365))+(P41/$R41*100*($E41/365))</f>
        <v>0</v>
      </c>
      <c r="K130" s="809"/>
      <c r="L130" s="809">
        <f>(Q40/$R40*100*($E40/365))+(Q41/$R41*100*($E41/365))</f>
        <v>100</v>
      </c>
      <c r="M130" s="809"/>
      <c r="N130" s="832">
        <f t="shared" si="21"/>
        <v>100</v>
      </c>
      <c r="O130" s="832"/>
      <c r="P130" s="505"/>
      <c r="Q130" s="505"/>
      <c r="R130" s="1">
        <v>1983</v>
      </c>
      <c r="S130" s="8">
        <f>(O40*($E40/365))+(O41*($E41/365))</f>
        <v>0</v>
      </c>
      <c r="T130" s="8">
        <f>(P40*($E40/365))+(P41*($E41/365))</f>
        <v>0</v>
      </c>
      <c r="U130" s="8">
        <f>(Q40*($E40/365))+(Q41*($E41/365))</f>
        <v>52.3</v>
      </c>
      <c r="V130" s="7"/>
      <c r="W130" s="7">
        <f t="shared" si="22"/>
        <v>52.3</v>
      </c>
    </row>
    <row r="131" spans="1:23" ht="9" customHeight="1" x14ac:dyDescent="0.15">
      <c r="A131" s="1">
        <v>1984</v>
      </c>
      <c r="B131" s="469">
        <f>(K42*($E42/366))+(K43*($E43/366))</f>
        <v>0</v>
      </c>
      <c r="C131" s="469">
        <f>(L42*($E42/366))+(L43*($E43/366))</f>
        <v>0</v>
      </c>
      <c r="D131" s="469">
        <f>(M42*($E42/366))+(M43*($E43/366))</f>
        <v>100</v>
      </c>
      <c r="E131" s="504">
        <f t="shared" si="20"/>
        <v>100</v>
      </c>
      <c r="F131" s="505"/>
      <c r="G131" s="1">
        <v>1984</v>
      </c>
      <c r="H131" s="809">
        <f>(O42/$R42*100*($E42/366))+(O43/$R43*100*($E43/366))</f>
        <v>0</v>
      </c>
      <c r="I131" s="809"/>
      <c r="J131" s="809">
        <f>(P42/$R42*100*($E42/366))+(P43/$R43*100*($E43/366))</f>
        <v>0</v>
      </c>
      <c r="K131" s="809"/>
      <c r="L131" s="809">
        <f>(Q42/$R42*100*($E42/366))+(Q43/$R43*100*($E43/366))</f>
        <v>100</v>
      </c>
      <c r="M131" s="809"/>
      <c r="N131" s="832">
        <f t="shared" si="21"/>
        <v>100</v>
      </c>
      <c r="O131" s="832"/>
      <c r="P131" s="505"/>
      <c r="Q131" s="505"/>
      <c r="R131" s="1">
        <v>1984</v>
      </c>
      <c r="S131" s="8">
        <f>(O42*($E42/366))+(O43*($E43/366))</f>
        <v>0</v>
      </c>
      <c r="T131" s="8">
        <f>(P42*($E42/366))+(P43*($E43/366))</f>
        <v>0</v>
      </c>
      <c r="U131" s="8">
        <f>(Q42*($E42/366))+(Q43*($E43/366))</f>
        <v>52.3</v>
      </c>
      <c r="V131" s="7"/>
      <c r="W131" s="7">
        <f t="shared" si="22"/>
        <v>52.3</v>
      </c>
    </row>
    <row r="132" spans="1:23" ht="9" customHeight="1" x14ac:dyDescent="0.15">
      <c r="A132" s="1">
        <v>1985</v>
      </c>
      <c r="B132" s="469">
        <f>(K44*($E44/365))+(K45*($E45/365))</f>
        <v>0</v>
      </c>
      <c r="C132" s="469">
        <f>(L44*($E44/365))+(L45*($E45/365))</f>
        <v>0</v>
      </c>
      <c r="D132" s="469">
        <f>(M44*($E44/365))+(M45*($E45/365))</f>
        <v>100</v>
      </c>
      <c r="E132" s="504">
        <f t="shared" si="20"/>
        <v>100</v>
      </c>
      <c r="F132" s="505"/>
      <c r="G132" s="1">
        <v>1985</v>
      </c>
      <c r="H132" s="809">
        <f>(O44/$R44*100*($E44/365))+(O45/$R45*100*($E45/365))</f>
        <v>0</v>
      </c>
      <c r="I132" s="809"/>
      <c r="J132" s="809">
        <f>(P44/$R44*100*($E44/365))+(P45/$R45*100*($E45/365))</f>
        <v>0</v>
      </c>
      <c r="K132" s="809"/>
      <c r="L132" s="809">
        <f>(Q44/$R44*100*($E44/365))+(Q45/$R45*100*($E45/365))</f>
        <v>100</v>
      </c>
      <c r="M132" s="809"/>
      <c r="N132" s="832">
        <f t="shared" si="21"/>
        <v>100</v>
      </c>
      <c r="O132" s="832"/>
      <c r="P132" s="505"/>
      <c r="Q132" s="505"/>
      <c r="R132" s="1">
        <v>1985</v>
      </c>
      <c r="S132" s="8">
        <f>(O44*($E44/365))+(O45*($E45/365))</f>
        <v>0</v>
      </c>
      <c r="T132" s="8">
        <f>(P44*($E44/365))+(P45*($E45/365))</f>
        <v>0</v>
      </c>
      <c r="U132" s="8">
        <f>(Q44*($E44/365))+(Q45*($E45/365))</f>
        <v>52.3</v>
      </c>
      <c r="V132" s="7"/>
      <c r="W132" s="7">
        <f t="shared" si="22"/>
        <v>52.3</v>
      </c>
    </row>
    <row r="133" spans="1:23" ht="9" customHeight="1" x14ac:dyDescent="0.15">
      <c r="A133" s="1">
        <v>1986</v>
      </c>
      <c r="B133" s="469">
        <f>(K46*($E46/365))+(K47*($E47/365))</f>
        <v>0</v>
      </c>
      <c r="C133" s="469">
        <f>(L46*($E46/365))+(L47*($E47/365))</f>
        <v>0</v>
      </c>
      <c r="D133" s="469">
        <f>(M46*($E46/365))+(M47*($E47/365))</f>
        <v>100</v>
      </c>
      <c r="E133" s="504">
        <f t="shared" si="20"/>
        <v>100</v>
      </c>
      <c r="F133" s="505"/>
      <c r="G133" s="1">
        <v>1986</v>
      </c>
      <c r="H133" s="809">
        <f>(O46/$R46*100*($E46/365))+(O47/$R47*100*($E47/365))</f>
        <v>0</v>
      </c>
      <c r="I133" s="809"/>
      <c r="J133" s="809">
        <f>(P46/$R46*100*($E46/365))+(P47/$R47*100*($E47/365))</f>
        <v>0</v>
      </c>
      <c r="K133" s="809"/>
      <c r="L133" s="809">
        <f>(Q46/$R46*100*($E46/365))+(Q47/$R47*100*($E47/365))</f>
        <v>100</v>
      </c>
      <c r="M133" s="809"/>
      <c r="N133" s="832">
        <f t="shared" si="21"/>
        <v>100</v>
      </c>
      <c r="O133" s="832"/>
      <c r="P133" s="505"/>
      <c r="Q133" s="505"/>
      <c r="R133" s="1">
        <v>1986</v>
      </c>
      <c r="S133" s="8">
        <f>(O46*($E46/365))+(O47*($E47/365))</f>
        <v>0</v>
      </c>
      <c r="T133" s="8">
        <f>(P46*($E46/365))+(P47*($E47/365))</f>
        <v>0</v>
      </c>
      <c r="U133" s="8">
        <f>(Q46*($E46/365))+(Q47*($E47/365))</f>
        <v>52.3</v>
      </c>
      <c r="V133" s="7"/>
      <c r="W133" s="7">
        <f t="shared" si="22"/>
        <v>52.3</v>
      </c>
    </row>
    <row r="134" spans="1:23" ht="9" customHeight="1" x14ac:dyDescent="0.15">
      <c r="A134" s="1">
        <v>1987</v>
      </c>
      <c r="B134" s="469">
        <f>(K48*($E48/365))+(K49*($E49/365))</f>
        <v>0</v>
      </c>
      <c r="C134" s="469">
        <f>(L48*($E48/365))+(L49*($E49/365))</f>
        <v>63.561643835616444</v>
      </c>
      <c r="D134" s="469">
        <f>(M48*($E48/365))+(M49*($E49/365))</f>
        <v>36.438356164383563</v>
      </c>
      <c r="E134" s="504">
        <f t="shared" si="20"/>
        <v>100</v>
      </c>
      <c r="F134" s="505"/>
      <c r="G134" s="1">
        <v>1987</v>
      </c>
      <c r="H134" s="809">
        <f>(O48/$R48*100*($E48/365))+(O49/$R49*100*($E49/365))</f>
        <v>0</v>
      </c>
      <c r="I134" s="809"/>
      <c r="J134" s="809">
        <f>(P48/$R48*100*($E48/365))+(P49/$R49*100*($E49/365))</f>
        <v>63.561643835616444</v>
      </c>
      <c r="K134" s="809"/>
      <c r="L134" s="809">
        <f>(Q48/$R48*100*($E48/365))+(Q49/$R49*100*($E49/365))</f>
        <v>36.438356164383563</v>
      </c>
      <c r="M134" s="809"/>
      <c r="N134" s="832">
        <f t="shared" si="21"/>
        <v>100</v>
      </c>
      <c r="O134" s="832"/>
      <c r="P134" s="505"/>
      <c r="Q134" s="505"/>
      <c r="R134" s="1">
        <v>1987</v>
      </c>
      <c r="S134" s="8">
        <f>(O48*($E48/365))+(O49*($E49/365))</f>
        <v>0</v>
      </c>
      <c r="T134" s="8">
        <f>(P48*($E48/365))+(P49*($E49/365))</f>
        <v>32.22575342465754</v>
      </c>
      <c r="U134" s="8">
        <f>(Q48*($E48/365))+(Q49*($E49/365))</f>
        <v>19.057260273972602</v>
      </c>
      <c r="V134" s="7"/>
      <c r="W134" s="7">
        <f t="shared" si="22"/>
        <v>51.283013698630143</v>
      </c>
    </row>
    <row r="135" spans="1:23" ht="9" customHeight="1" x14ac:dyDescent="0.15">
      <c r="A135" s="1">
        <v>1988</v>
      </c>
      <c r="B135" s="469">
        <f>(K50*($E50/366))+(K51*($E51/366))</f>
        <v>0</v>
      </c>
      <c r="C135" s="469">
        <f>(L50*($E50/366))+(L51*($E51/366))</f>
        <v>100</v>
      </c>
      <c r="D135" s="469">
        <f>(M50*($E50/366))+(M51*($E51/366))</f>
        <v>0</v>
      </c>
      <c r="E135" s="504">
        <f t="shared" si="20"/>
        <v>100</v>
      </c>
      <c r="F135" s="505"/>
      <c r="G135" s="1">
        <v>1988</v>
      </c>
      <c r="H135" s="809">
        <f>(O50/$R50*100*($E50/366))+(O51/$R51*100*($E51/366))</f>
        <v>0</v>
      </c>
      <c r="I135" s="809"/>
      <c r="J135" s="809">
        <f>(P50/$R50*100*($E50/366))+(P51/$R51*100*($E51/366))</f>
        <v>100</v>
      </c>
      <c r="K135" s="809"/>
      <c r="L135" s="809">
        <f>(Q50/$R50*100*($E50/366))+(Q51/$R51*100*($E51/366))</f>
        <v>0</v>
      </c>
      <c r="M135" s="809"/>
      <c r="N135" s="832">
        <f t="shared" si="21"/>
        <v>100</v>
      </c>
      <c r="O135" s="832"/>
      <c r="P135" s="505"/>
      <c r="Q135" s="505"/>
      <c r="R135" s="1">
        <v>1988</v>
      </c>
      <c r="S135" s="8">
        <f>(O50*($E50/366))+(O51*($E51/366))</f>
        <v>0</v>
      </c>
      <c r="T135" s="8">
        <f>(P50*($E50/366))+(P51*($E51/366))</f>
        <v>50.7</v>
      </c>
      <c r="U135" s="8">
        <f>(Q50*($E50/366))+(Q51*($E51/366))</f>
        <v>0</v>
      </c>
      <c r="V135" s="7"/>
      <c r="W135" s="7">
        <f t="shared" si="22"/>
        <v>50.7</v>
      </c>
    </row>
    <row r="136" spans="1:23" ht="9" customHeight="1" x14ac:dyDescent="0.15">
      <c r="A136" s="1">
        <v>1989</v>
      </c>
      <c r="B136" s="469">
        <f>(K52*($E52/365))+(K53*($E53/365))</f>
        <v>0</v>
      </c>
      <c r="C136" s="469">
        <f>(L52*($E52/365))+(L53*($E53/365))</f>
        <v>100</v>
      </c>
      <c r="D136" s="469">
        <f>(M52*($E52/365))+(M53*($E53/365))</f>
        <v>0</v>
      </c>
      <c r="E136" s="504">
        <f t="shared" si="20"/>
        <v>100</v>
      </c>
      <c r="F136" s="505"/>
      <c r="G136" s="1">
        <v>1989</v>
      </c>
      <c r="H136" s="809">
        <f>(O52/$R52*100*($E52/365))+(O53/$R53*100*($E53/365))</f>
        <v>0</v>
      </c>
      <c r="I136" s="809"/>
      <c r="J136" s="809">
        <f>(P52/$R52*100*($E52/365))+(P53/$R53*100*($E53/365))</f>
        <v>100</v>
      </c>
      <c r="K136" s="809"/>
      <c r="L136" s="809">
        <f>(Q52/$R52*100*($E52/365))+(Q53/$R53*100*($E53/365))</f>
        <v>0</v>
      </c>
      <c r="M136" s="809"/>
      <c r="N136" s="832">
        <f t="shared" si="21"/>
        <v>100</v>
      </c>
      <c r="O136" s="832"/>
      <c r="P136" s="505"/>
      <c r="Q136" s="505"/>
      <c r="R136" s="1">
        <v>1989</v>
      </c>
      <c r="S136" s="8">
        <f>(O52*($E52/365))+(O53*($E53/365))</f>
        <v>0</v>
      </c>
      <c r="T136" s="8">
        <f>(P52*($E52/365))+(P53*($E53/365))</f>
        <v>50.7</v>
      </c>
      <c r="U136" s="8">
        <f>(Q52*($E52/365))+(Q53*($E53/365))</f>
        <v>0</v>
      </c>
      <c r="V136" s="7"/>
      <c r="W136" s="7">
        <f t="shared" si="22"/>
        <v>50.7</v>
      </c>
    </row>
    <row r="137" spans="1:23" ht="9" customHeight="1" x14ac:dyDescent="0.15">
      <c r="A137" s="1">
        <v>1990</v>
      </c>
      <c r="B137" s="469">
        <f>(K54*($E54/365))+(K55*($E55/365))</f>
        <v>0</v>
      </c>
      <c r="C137" s="469">
        <f>(L54*($E54/365))+(L55*($E55/365))</f>
        <v>100</v>
      </c>
      <c r="D137" s="469">
        <f>(M54*($E54/365))+(M55*($E55/365))</f>
        <v>0</v>
      </c>
      <c r="E137" s="504">
        <f t="shared" si="20"/>
        <v>100</v>
      </c>
      <c r="F137" s="505"/>
      <c r="G137" s="1">
        <v>1990</v>
      </c>
      <c r="H137" s="809">
        <f>(O54/$R54*100*($E54/365))+(O55/$R55*100*($E55/365))</f>
        <v>0</v>
      </c>
      <c r="I137" s="809"/>
      <c r="J137" s="809">
        <f>(P54/$R54*100*($E54/365))+(P55/$R55*100*($E55/365))</f>
        <v>100</v>
      </c>
      <c r="K137" s="809"/>
      <c r="L137" s="809">
        <f>(Q54/$R54*100*($E54/365))+(Q55/$R55*100*($E55/365))</f>
        <v>0</v>
      </c>
      <c r="M137" s="809"/>
      <c r="N137" s="832">
        <f t="shared" ref="N137:N160" si="23">H137+J137+L137</f>
        <v>100</v>
      </c>
      <c r="O137" s="832"/>
      <c r="P137" s="505"/>
      <c r="Q137" s="505"/>
      <c r="R137" s="1">
        <v>1990</v>
      </c>
      <c r="S137" s="8">
        <f>(O54*($E54/365))+(O55*($E55/365))</f>
        <v>0</v>
      </c>
      <c r="T137" s="8">
        <f>(P54*($E54/365))+(P55*($E55/365))</f>
        <v>50.7</v>
      </c>
      <c r="U137" s="8">
        <f>(Q54*($E54/365))+(Q55*($E55/365))</f>
        <v>0</v>
      </c>
      <c r="V137" s="7"/>
      <c r="W137" s="7">
        <f t="shared" si="22"/>
        <v>50.7</v>
      </c>
    </row>
    <row r="138" spans="1:23" ht="9" customHeight="1" x14ac:dyDescent="0.15">
      <c r="A138" s="1">
        <v>1991</v>
      </c>
      <c r="B138" s="469">
        <f>(K56*($E56/365))+(K57*($E57/365))</f>
        <v>0</v>
      </c>
      <c r="C138" s="469">
        <f>(L56*($E56/365))+(L57*($E57/365))</f>
        <v>100</v>
      </c>
      <c r="D138" s="469">
        <f>(M56*($E56/365))+(M57*($E57/365))</f>
        <v>0</v>
      </c>
      <c r="E138" s="504">
        <f t="shared" si="20"/>
        <v>100</v>
      </c>
      <c r="F138" s="505"/>
      <c r="G138" s="1">
        <v>1991</v>
      </c>
      <c r="H138" s="809">
        <f>(O56/$R56*100*($E56/365))+(O57/$R57*100*($E57/365))</f>
        <v>0</v>
      </c>
      <c r="I138" s="809"/>
      <c r="J138" s="809">
        <f>(P56/$R56*100*($E56/365))+(P57/$R57*100*($E57/365))</f>
        <v>100</v>
      </c>
      <c r="K138" s="809"/>
      <c r="L138" s="809">
        <f>(Q56/$R56*100*($E56/365))+(Q57/$R57*100*($E57/365))</f>
        <v>0</v>
      </c>
      <c r="M138" s="809"/>
      <c r="N138" s="832">
        <f t="shared" si="23"/>
        <v>100</v>
      </c>
      <c r="O138" s="832"/>
      <c r="P138" s="505"/>
      <c r="Q138" s="505"/>
      <c r="R138" s="1">
        <v>1991</v>
      </c>
      <c r="S138" s="8">
        <f>(O56*($E56/365))+(O57*($E57/365))</f>
        <v>0</v>
      </c>
      <c r="T138" s="8">
        <f>(P56*($E56/365))+(P57*($E57/365))</f>
        <v>50.7</v>
      </c>
      <c r="U138" s="8">
        <f>(Q56*($E56/365))+(Q57*($E57/365))</f>
        <v>0</v>
      </c>
      <c r="V138" s="7"/>
      <c r="W138" s="7">
        <f t="shared" si="22"/>
        <v>50.7</v>
      </c>
    </row>
    <row r="139" spans="1:23" ht="9" customHeight="1" x14ac:dyDescent="0.15">
      <c r="A139" s="1">
        <v>1992</v>
      </c>
      <c r="B139" s="469">
        <f>(K58*($E58/366))+(K59*($E59/366))</f>
        <v>0</v>
      </c>
      <c r="C139" s="469">
        <f>(L58*($E58/366))+(L59*($E59/366))</f>
        <v>100</v>
      </c>
      <c r="D139" s="469">
        <f>(M58*($E58/366))+(M59*($E59/366))</f>
        <v>0</v>
      </c>
      <c r="E139" s="504">
        <f t="shared" si="20"/>
        <v>100</v>
      </c>
      <c r="F139" s="505"/>
      <c r="G139" s="1">
        <v>1992</v>
      </c>
      <c r="H139" s="809">
        <f>(O58/$R58*100*($E58/366))+(O59/$R59*100*($E59/366))</f>
        <v>0</v>
      </c>
      <c r="I139" s="809"/>
      <c r="J139" s="809">
        <f>(P58/$R58*100*($E58/366))+(P59/$R59*100*($E59/366))</f>
        <v>100</v>
      </c>
      <c r="K139" s="809"/>
      <c r="L139" s="809">
        <f>(Q58/$R58*100*($E58/366))+(Q59/$R59*100*($E59/366))</f>
        <v>0</v>
      </c>
      <c r="M139" s="809"/>
      <c r="N139" s="832">
        <f t="shared" si="23"/>
        <v>100</v>
      </c>
      <c r="O139" s="832"/>
      <c r="P139" s="505"/>
      <c r="Q139" s="505"/>
      <c r="R139" s="1">
        <v>1992</v>
      </c>
      <c r="S139" s="8">
        <f>(O58*($E58/366))+(O59*($E59/366))</f>
        <v>0</v>
      </c>
      <c r="T139" s="8">
        <f>(P58*($E58/366))+(P59*($E59/366))</f>
        <v>52.050819672131155</v>
      </c>
      <c r="U139" s="8">
        <f>(Q58*($E58/366))+(Q59*($E59/366))</f>
        <v>0</v>
      </c>
      <c r="V139" s="7"/>
      <c r="W139" s="7">
        <f t="shared" si="22"/>
        <v>52.050819672131155</v>
      </c>
    </row>
    <row r="140" spans="1:23" ht="9" customHeight="1" x14ac:dyDescent="0.15">
      <c r="A140" s="1">
        <v>1993</v>
      </c>
      <c r="B140" s="469">
        <f>(K60*($E60/365))+(K61*($E61/365))</f>
        <v>0</v>
      </c>
      <c r="C140" s="469">
        <f>(L60*($E60/365))+(L61*($E61/365))</f>
        <v>100</v>
      </c>
      <c r="D140" s="469">
        <f>(M60*($E60/365))+(M61*($E61/365))</f>
        <v>0</v>
      </c>
      <c r="E140" s="504">
        <f t="shared" si="20"/>
        <v>100</v>
      </c>
      <c r="F140" s="505"/>
      <c r="G140" s="1">
        <v>1993</v>
      </c>
      <c r="H140" s="809">
        <f>(O60/$R60*100*($E60/365))+(O61/$R61*100*($E61/365))</f>
        <v>0</v>
      </c>
      <c r="I140" s="809"/>
      <c r="J140" s="809">
        <f>(P60/$R60*100*($E60/365))+(P61/$R61*100*($E61/365))</f>
        <v>100</v>
      </c>
      <c r="K140" s="809"/>
      <c r="L140" s="809">
        <f>(Q60/$R60*100*($E60/365))+(Q61/$R61*100*($E61/365))</f>
        <v>0</v>
      </c>
      <c r="M140" s="809"/>
      <c r="N140" s="832">
        <f t="shared" si="23"/>
        <v>100</v>
      </c>
      <c r="O140" s="832"/>
      <c r="P140" s="505"/>
      <c r="Q140" s="505"/>
      <c r="R140" s="1">
        <v>1993</v>
      </c>
      <c r="S140" s="8">
        <f>(O60*($E60/365))+(O61*($E61/365))</f>
        <v>0</v>
      </c>
      <c r="T140" s="8">
        <f>(P60*($E60/365))+(P61*($E61/365))</f>
        <v>52.3</v>
      </c>
      <c r="U140" s="8">
        <f>(Q60*($E60/365))+(Q61*($E61/365))</f>
        <v>0</v>
      </c>
      <c r="V140" s="7"/>
      <c r="W140" s="7">
        <f t="shared" ref="W140:W160" si="24">S140+T140+U140</f>
        <v>52.3</v>
      </c>
    </row>
    <row r="141" spans="1:23" ht="9" customHeight="1" x14ac:dyDescent="0.15">
      <c r="A141" s="1">
        <v>1994</v>
      </c>
      <c r="B141" s="469">
        <f>(K62*($E62/365))+(K63*($E63/365))</f>
        <v>0</v>
      </c>
      <c r="C141" s="469">
        <f>(L62*($E62/365))+(L63*($E63/365))</f>
        <v>100</v>
      </c>
      <c r="D141" s="469">
        <f>(M62*($E62/365))+(M63*($E63/365))</f>
        <v>0</v>
      </c>
      <c r="E141" s="504">
        <f t="shared" si="20"/>
        <v>100</v>
      </c>
      <c r="F141" s="505"/>
      <c r="G141" s="1">
        <v>1994</v>
      </c>
      <c r="H141" s="809">
        <f>(O62/$R62*100*($E62/365))+(O63/$R63*100*($E63/365))</f>
        <v>0</v>
      </c>
      <c r="I141" s="809"/>
      <c r="J141" s="809">
        <f>(P62/$R62*100*($E62/365))+(P63/$R63*100*($E63/365))</f>
        <v>100</v>
      </c>
      <c r="K141" s="809"/>
      <c r="L141" s="809">
        <f>(Q62/$R62*100*($E62/365))+(Q63/$R63*100*($E63/365))</f>
        <v>0</v>
      </c>
      <c r="M141" s="809"/>
      <c r="N141" s="832">
        <f t="shared" si="23"/>
        <v>100</v>
      </c>
      <c r="O141" s="832"/>
      <c r="P141" s="505"/>
      <c r="Q141" s="505"/>
      <c r="R141" s="1">
        <v>1994</v>
      </c>
      <c r="S141" s="8">
        <f>(O62*($E62/365))+(O63*($E63/365))</f>
        <v>0</v>
      </c>
      <c r="T141" s="8">
        <f>(P62*($E62/365))+(P63*($E63/365))</f>
        <v>52.3</v>
      </c>
      <c r="U141" s="8">
        <f>(Q62*($E62/365))+(Q63*($E63/365))</f>
        <v>0</v>
      </c>
      <c r="V141" s="7"/>
      <c r="W141" s="7">
        <f t="shared" si="24"/>
        <v>52.3</v>
      </c>
    </row>
    <row r="142" spans="1:23" ht="9" customHeight="1" x14ac:dyDescent="0.15">
      <c r="A142" s="1">
        <v>1995</v>
      </c>
      <c r="B142" s="469">
        <f>(K64*($E64/365))+(K65*($E65/365))</f>
        <v>0</v>
      </c>
      <c r="C142" s="469">
        <f>(L64*($E64/365))+(L65*($E65/365))</f>
        <v>100</v>
      </c>
      <c r="D142" s="469">
        <f>(M64*($E64/365))+(M65*($E65/365))</f>
        <v>0</v>
      </c>
      <c r="E142" s="504">
        <f t="shared" si="20"/>
        <v>100</v>
      </c>
      <c r="F142" s="505"/>
      <c r="G142" s="1">
        <v>1995</v>
      </c>
      <c r="H142" s="809">
        <f>(O64/$R64*100*($E64/365))+(O65/$R65*100*($E65/365))</f>
        <v>0</v>
      </c>
      <c r="I142" s="809"/>
      <c r="J142" s="809">
        <f>(P64/$R64*100*($E64/365))+(P65/$R65*100*($E65/365))</f>
        <v>100</v>
      </c>
      <c r="K142" s="809"/>
      <c r="L142" s="809">
        <f>(Q64/$R64*100*($E64/365))+(Q65/$R65*100*($E65/365))</f>
        <v>0</v>
      </c>
      <c r="M142" s="809"/>
      <c r="N142" s="832">
        <f t="shared" si="23"/>
        <v>100</v>
      </c>
      <c r="O142" s="832"/>
      <c r="P142" s="505"/>
      <c r="Q142" s="505"/>
      <c r="R142" s="1">
        <v>1995</v>
      </c>
      <c r="S142" s="8">
        <f>(O64*($E64/365))+(O65*($E65/365))</f>
        <v>0</v>
      </c>
      <c r="T142" s="8">
        <f>(P64*($E64/365))+(P65*($E65/365))</f>
        <v>52.3</v>
      </c>
      <c r="U142" s="8">
        <f>(Q64*($E64/365))+(Q65*($E65/365))</f>
        <v>0</v>
      </c>
      <c r="V142" s="7"/>
      <c r="W142" s="7">
        <f t="shared" si="24"/>
        <v>52.3</v>
      </c>
    </row>
    <row r="143" spans="1:23" ht="9" customHeight="1" x14ac:dyDescent="0.15">
      <c r="A143" s="1">
        <v>1996</v>
      </c>
      <c r="B143" s="469">
        <f>(K66*($E66/366))+(K67*($E67/366))</f>
        <v>0</v>
      </c>
      <c r="C143" s="469">
        <f>(L66*($E66/366))+(L67*($E67/366))</f>
        <v>82.513661202185801</v>
      </c>
      <c r="D143" s="469">
        <f>(M66*($E66/366))+(M67*($E67/366))</f>
        <v>17.486338797814209</v>
      </c>
      <c r="E143" s="504">
        <f t="shared" si="20"/>
        <v>100.00000000000001</v>
      </c>
      <c r="F143" s="505"/>
      <c r="G143" s="1">
        <v>1996</v>
      </c>
      <c r="H143" s="809">
        <f>(O66/$R66*100*($E66/366))+(O67/$R67*100*($E67/366))</f>
        <v>0</v>
      </c>
      <c r="I143" s="809"/>
      <c r="J143" s="809">
        <f>(P66/$R66*100*($E66/366))+(P67/$R67*100*($E67/366))</f>
        <v>82.513661202185801</v>
      </c>
      <c r="K143" s="809"/>
      <c r="L143" s="809">
        <f>(Q66/$R66*100*($E66/366))+(Q67/$R67*100*($E67/366))</f>
        <v>17.486338797814209</v>
      </c>
      <c r="M143" s="809"/>
      <c r="N143" s="832">
        <f t="shared" si="23"/>
        <v>100.00000000000001</v>
      </c>
      <c r="O143" s="832"/>
      <c r="P143" s="505"/>
      <c r="Q143" s="505"/>
      <c r="R143" s="1">
        <v>1996</v>
      </c>
      <c r="S143" s="8">
        <f>(O66*($E66/366))+(O67*($E67/366))</f>
        <v>0</v>
      </c>
      <c r="T143" s="8">
        <f>(P66*($E66/366))+(P67*($E67/366))</f>
        <v>43.154644808743171</v>
      </c>
      <c r="U143" s="8">
        <f>(Q66*($E66/366))+(Q67*($E67/366))</f>
        <v>8.8655737704918032</v>
      </c>
      <c r="V143" s="7"/>
      <c r="W143" s="7">
        <f t="shared" si="24"/>
        <v>52.020218579234978</v>
      </c>
    </row>
    <row r="144" spans="1:23" ht="9" customHeight="1" x14ac:dyDescent="0.15">
      <c r="A144" s="1">
        <v>1997</v>
      </c>
      <c r="B144" s="469">
        <f>(K68*($E68/365))+(K69*($E69/365))</f>
        <v>0</v>
      </c>
      <c r="C144" s="469">
        <f>(L68*($E68/365))+(L69*($E69/365))</f>
        <v>0</v>
      </c>
      <c r="D144" s="469">
        <f>(M68*($E68/365))+(M69*($E69/365))</f>
        <v>100</v>
      </c>
      <c r="E144" s="504">
        <f t="shared" si="20"/>
        <v>100</v>
      </c>
      <c r="F144" s="505"/>
      <c r="G144" s="1">
        <v>1997</v>
      </c>
      <c r="H144" s="809">
        <f>(O68/$R68*100*($E68/365))+(O69/$R69*100*($E69/365))</f>
        <v>0</v>
      </c>
      <c r="I144" s="809"/>
      <c r="J144" s="809">
        <f>(P68/$R68*100*($E68/365))+(P69/$R69*100*($E69/365))</f>
        <v>0</v>
      </c>
      <c r="K144" s="809"/>
      <c r="L144" s="809">
        <f>(Q68/$R68*100*($E68/365))+(Q69/$R69*100*($E69/365))</f>
        <v>100</v>
      </c>
      <c r="M144" s="809"/>
      <c r="N144" s="832">
        <f t="shared" si="23"/>
        <v>100</v>
      </c>
      <c r="O144" s="832"/>
      <c r="P144" s="505"/>
      <c r="Q144" s="505"/>
      <c r="R144" s="1">
        <v>1997</v>
      </c>
      <c r="S144" s="8">
        <f>(O68*($E68/365))+(O69*($E69/365))</f>
        <v>0</v>
      </c>
      <c r="T144" s="8">
        <f>(P68*($E68/365))+(P69*($E69/365))</f>
        <v>0</v>
      </c>
      <c r="U144" s="8">
        <f>(Q68*($E68/365))+(Q69*($E69/365))</f>
        <v>50.7</v>
      </c>
      <c r="V144" s="7"/>
      <c r="W144" s="7">
        <f t="shared" si="24"/>
        <v>50.7</v>
      </c>
    </row>
    <row r="145" spans="1:23" ht="9" customHeight="1" x14ac:dyDescent="0.15">
      <c r="A145" s="1">
        <v>1998</v>
      </c>
      <c r="B145" s="469">
        <f>(K70*($E70/365))+(K71*($E71/365))</f>
        <v>0</v>
      </c>
      <c r="C145" s="469">
        <f>(L70*($E70/365))+(L71*($E71/365))</f>
        <v>31.506849315068493</v>
      </c>
      <c r="D145" s="469">
        <f>(M70*($E70/365))+(M71*($E71/365))</f>
        <v>68.493150684931507</v>
      </c>
      <c r="E145" s="504">
        <f t="shared" si="20"/>
        <v>100</v>
      </c>
      <c r="F145" s="505"/>
      <c r="G145" s="1">
        <v>1998</v>
      </c>
      <c r="H145" s="809">
        <f>(O70/$R70*100*($E70/365))+(O71/$R71*100*($E71/365))</f>
        <v>0</v>
      </c>
      <c r="I145" s="809"/>
      <c r="J145" s="809">
        <f>(P70/$R70*100*($E70/365))+(P71/$R71*100*($E71/365))</f>
        <v>31.506849315068493</v>
      </c>
      <c r="K145" s="809"/>
      <c r="L145" s="809">
        <f>(Q70/$R70*100*($E70/365))+(Q71/$R71*100*($E71/365))</f>
        <v>68.493150684931507</v>
      </c>
      <c r="M145" s="809"/>
      <c r="N145" s="832">
        <f t="shared" si="23"/>
        <v>100</v>
      </c>
      <c r="O145" s="832"/>
      <c r="P145" s="505"/>
      <c r="Q145" s="505"/>
      <c r="R145" s="1">
        <v>1998</v>
      </c>
      <c r="S145" s="8">
        <f>(O70*($E70/365))+(O71*($E71/365))</f>
        <v>0</v>
      </c>
      <c r="T145" s="8">
        <f>(P70*($E70/365))+(P71*($E71/365))</f>
        <v>16.950684931506846</v>
      </c>
      <c r="U145" s="8">
        <f>(Q70*($E70/365))+(Q71*($E71/365))</f>
        <v>34.726027397260275</v>
      </c>
      <c r="V145" s="7"/>
      <c r="W145" s="7">
        <f t="shared" si="24"/>
        <v>51.676712328767124</v>
      </c>
    </row>
    <row r="146" spans="1:23" ht="9" customHeight="1" x14ac:dyDescent="0.15">
      <c r="A146" s="1">
        <v>1999</v>
      </c>
      <c r="B146" s="469">
        <f>(K72*($E72/365))+(K73*($E73/365))</f>
        <v>0</v>
      </c>
      <c r="C146" s="469">
        <f>(L72*($E72/365))+(L73*($E73/365))</f>
        <v>100</v>
      </c>
      <c r="D146" s="469">
        <f>(M72*($E72/365))+(M73*($E73/365))</f>
        <v>0</v>
      </c>
      <c r="E146" s="504">
        <f t="shared" si="20"/>
        <v>100</v>
      </c>
      <c r="F146" s="505"/>
      <c r="G146" s="1">
        <v>1999</v>
      </c>
      <c r="H146" s="809">
        <f>(O72/$R72*100*($E72/365))+(O73/$R73*100*($E73/365))</f>
        <v>0</v>
      </c>
      <c r="I146" s="809"/>
      <c r="J146" s="809">
        <f>(P72/$R72*100*($E72/365))+(P73/$R73*100*($E73/365))</f>
        <v>100</v>
      </c>
      <c r="K146" s="809"/>
      <c r="L146" s="809">
        <f>(Q72/$R72*100*($E72/365))+(Q73/$R73*100*($E73/365))</f>
        <v>0</v>
      </c>
      <c r="M146" s="809"/>
      <c r="N146" s="832">
        <f t="shared" si="23"/>
        <v>100</v>
      </c>
      <c r="O146" s="832"/>
      <c r="P146" s="505"/>
      <c r="Q146" s="505"/>
      <c r="R146" s="1">
        <v>1999</v>
      </c>
      <c r="S146" s="8">
        <f>(O72*($E72/365))+(O73*($E73/365))</f>
        <v>0</v>
      </c>
      <c r="T146" s="8">
        <f>(P72*($E72/365))+(P73*($E73/365))</f>
        <v>53.8</v>
      </c>
      <c r="U146" s="8">
        <f>(Q72*($E72/365))+(Q73*($E73/365))</f>
        <v>0</v>
      </c>
      <c r="V146" s="7"/>
      <c r="W146" s="7">
        <f t="shared" si="24"/>
        <v>53.8</v>
      </c>
    </row>
    <row r="147" spans="1:23" ht="9" customHeight="1" x14ac:dyDescent="0.15">
      <c r="A147" s="1">
        <v>2000</v>
      </c>
      <c r="B147" s="469">
        <f>(K74*($E74/366))+(K75*($E75/366))</f>
        <v>0</v>
      </c>
      <c r="C147" s="469">
        <f>(L74*($E74/366))+(L75*($E75/366))</f>
        <v>100</v>
      </c>
      <c r="D147" s="469">
        <f>(M74*($E74/366))+(M75*($E75/366))</f>
        <v>0</v>
      </c>
      <c r="E147" s="504">
        <f t="shared" si="20"/>
        <v>100</v>
      </c>
      <c r="F147" s="505"/>
      <c r="G147" s="1">
        <v>2000</v>
      </c>
      <c r="H147" s="809">
        <f>(O74/$R74*100*($E74/366))+(O75/$R75*100*($E75/366))</f>
        <v>0</v>
      </c>
      <c r="I147" s="809"/>
      <c r="J147" s="809">
        <f>(P74/$R74*100*($E74/366))+(P75/$R75*100*($E75/366))</f>
        <v>100</v>
      </c>
      <c r="K147" s="809"/>
      <c r="L147" s="809">
        <f>(Q74/$R74*100*($E74/366))+(Q75/$R75*100*($E75/366))</f>
        <v>0</v>
      </c>
      <c r="M147" s="809"/>
      <c r="N147" s="832">
        <f t="shared" si="23"/>
        <v>100</v>
      </c>
      <c r="O147" s="832"/>
      <c r="P147" s="505"/>
      <c r="Q147" s="505"/>
      <c r="R147" s="1">
        <v>2000</v>
      </c>
      <c r="S147" s="8">
        <f>(O74*($E74/366))+(O75*($E75/366))</f>
        <v>0</v>
      </c>
      <c r="T147" s="8">
        <f>(P74*($E74/366))+(P75*($E75/366))</f>
        <v>53.8</v>
      </c>
      <c r="U147" s="8">
        <f>(Q74*($E74/366))+(Q75*($E75/366))</f>
        <v>0</v>
      </c>
      <c r="V147" s="7"/>
      <c r="W147" s="7">
        <f t="shared" si="24"/>
        <v>53.8</v>
      </c>
    </row>
    <row r="148" spans="1:23" ht="9" customHeight="1" x14ac:dyDescent="0.15">
      <c r="A148" s="1">
        <v>2001</v>
      </c>
      <c r="B148" s="469">
        <f>(K76*($E76/365))+(K77*($E77/365))</f>
        <v>0</v>
      </c>
      <c r="C148" s="469">
        <f>(L76*($E76/365))+(L77*($E77/365))</f>
        <v>100</v>
      </c>
      <c r="D148" s="469">
        <f>(M76*($E76/365))+(M77*($E77/365))</f>
        <v>0</v>
      </c>
      <c r="E148" s="504">
        <f t="shared" si="20"/>
        <v>100</v>
      </c>
      <c r="F148" s="505"/>
      <c r="G148" s="1">
        <v>2001</v>
      </c>
      <c r="H148" s="809">
        <f>(O76/$R76*100*($E76/365))+(O77/$R77*100*($E77/365))</f>
        <v>0</v>
      </c>
      <c r="I148" s="809"/>
      <c r="J148" s="809">
        <f>(P76/$R76*100*($E76/365))+(P77/$R77*100*($E77/365))</f>
        <v>100</v>
      </c>
      <c r="K148" s="809"/>
      <c r="L148" s="809">
        <f>(Q76/$R76*100*($E76/365))+(Q77/$R77*100*($E77/365))</f>
        <v>0</v>
      </c>
      <c r="M148" s="809"/>
      <c r="N148" s="832">
        <f t="shared" si="23"/>
        <v>100</v>
      </c>
      <c r="O148" s="832"/>
      <c r="P148" s="505"/>
      <c r="Q148" s="505"/>
      <c r="R148" s="1">
        <v>2001</v>
      </c>
      <c r="S148" s="8">
        <f>(O76*($E76/365))+(O77*($E77/365))</f>
        <v>0</v>
      </c>
      <c r="T148" s="8">
        <f>(P76*($E76/365))+(P77*($E77/365))</f>
        <v>53.8</v>
      </c>
      <c r="U148" s="8">
        <f>(Q76*($E76/365))+(Q77*($E77/365))</f>
        <v>0</v>
      </c>
      <c r="V148" s="7"/>
      <c r="W148" s="7">
        <f t="shared" si="24"/>
        <v>53.8</v>
      </c>
    </row>
    <row r="149" spans="1:23" ht="9" customHeight="1" x14ac:dyDescent="0.15">
      <c r="A149" s="1">
        <v>2002</v>
      </c>
      <c r="B149" s="469">
        <f>(K78*($E78/365))+(K79*($E79/365))</f>
        <v>0</v>
      </c>
      <c r="C149" s="469">
        <f>(L78*($E78/365))+(L79*($E79/365))</f>
        <v>100</v>
      </c>
      <c r="D149" s="469">
        <f>(M78*($E78/365))+(M79*($E79/365))</f>
        <v>0</v>
      </c>
      <c r="E149" s="504">
        <f t="shared" si="20"/>
        <v>100</v>
      </c>
      <c r="F149" s="505"/>
      <c r="G149" s="1">
        <v>2002</v>
      </c>
      <c r="H149" s="809">
        <f>(O78/$R78*100*($E78/365))+(O79/$R79*100*($E79/365))</f>
        <v>0</v>
      </c>
      <c r="I149" s="809"/>
      <c r="J149" s="809">
        <f>(P78/$R78*100*($E78/365))+(P79/$R79*100*($E79/365))</f>
        <v>100</v>
      </c>
      <c r="K149" s="809"/>
      <c r="L149" s="809">
        <f>(Q78/$R78*100*($E78/365))+(Q79/$R79*100*($E79/365))</f>
        <v>0</v>
      </c>
      <c r="M149" s="809"/>
      <c r="N149" s="832">
        <f t="shared" si="23"/>
        <v>100</v>
      </c>
      <c r="O149" s="832"/>
      <c r="P149" s="505"/>
      <c r="Q149" s="505"/>
      <c r="R149" s="1">
        <v>2002</v>
      </c>
      <c r="S149" s="8">
        <f>(O78*($E78/365))+(O79*($E79/365))</f>
        <v>0</v>
      </c>
      <c r="T149" s="8">
        <f>(P78*($E78/365))+(P79*($E79/365))</f>
        <v>53.8</v>
      </c>
      <c r="U149" s="8">
        <f>(Q78*($E78/365))+(Q79*($E79/365))</f>
        <v>0</v>
      </c>
      <c r="V149" s="7"/>
      <c r="W149" s="7">
        <f t="shared" si="24"/>
        <v>53.8</v>
      </c>
    </row>
    <row r="150" spans="1:23" ht="9" customHeight="1" x14ac:dyDescent="0.15">
      <c r="A150" s="1">
        <v>2003</v>
      </c>
      <c r="B150" s="469">
        <f>(K80*($E80/365))+(K81*($E81/365))</f>
        <v>0</v>
      </c>
      <c r="C150" s="469">
        <f>(L80*($E80/365))+(L81*($E81/365))</f>
        <v>100</v>
      </c>
      <c r="D150" s="469">
        <f>(M80*($E80/365))+(M81*($E81/365))</f>
        <v>0</v>
      </c>
      <c r="E150" s="504">
        <f t="shared" si="20"/>
        <v>100</v>
      </c>
      <c r="F150" s="505"/>
      <c r="G150" s="1">
        <v>2003</v>
      </c>
      <c r="H150" s="809">
        <f>(O80/$R80*100*($E80/365))+(O81/$R81*100*($E81/365))</f>
        <v>0</v>
      </c>
      <c r="I150" s="809"/>
      <c r="J150" s="809">
        <f>(P80/$R80*100*($E80/365))+(P81/$R81*100*($E81/365))</f>
        <v>100</v>
      </c>
      <c r="K150" s="809"/>
      <c r="L150" s="809">
        <f>(Q80/$R80*100*($E80/365))+(Q81/$R81*100*($E81/365))</f>
        <v>0</v>
      </c>
      <c r="M150" s="809"/>
      <c r="N150" s="832">
        <f t="shared" si="23"/>
        <v>100</v>
      </c>
      <c r="O150" s="832"/>
      <c r="P150" s="505"/>
      <c r="Q150" s="505"/>
      <c r="R150" s="1">
        <v>2003</v>
      </c>
      <c r="S150" s="8">
        <f>(O80*($E80/365))+(O81*($E81/365))</f>
        <v>0</v>
      </c>
      <c r="T150" s="8">
        <f>(P80*($E80/365))+(P81*($E81/365))</f>
        <v>53.8</v>
      </c>
      <c r="U150" s="8">
        <f>(Q80*($E80/365))+(Q81*($E81/365))</f>
        <v>0</v>
      </c>
      <c r="V150" s="7"/>
      <c r="W150" s="7">
        <f t="shared" si="24"/>
        <v>53.8</v>
      </c>
    </row>
    <row r="151" spans="1:23" ht="9" customHeight="1" x14ac:dyDescent="0.15">
      <c r="A151" s="1">
        <v>2004</v>
      </c>
      <c r="B151" s="469">
        <f>(K82*($E82/366))+(K83*($E83/366))</f>
        <v>0</v>
      </c>
      <c r="C151" s="469">
        <f>(L82*($E82/366))+(L83*($E83/366))</f>
        <v>100</v>
      </c>
      <c r="D151" s="469">
        <f>(M82*($E82/366))+(M83*($E83/366))</f>
        <v>0</v>
      </c>
      <c r="E151" s="504">
        <f t="shared" si="20"/>
        <v>100</v>
      </c>
      <c r="F151" s="505"/>
      <c r="G151" s="1">
        <v>2004</v>
      </c>
      <c r="H151" s="809">
        <f>(O82/$R82*100*($E82/366))+(O83/$R83*100*($E83/366))</f>
        <v>0</v>
      </c>
      <c r="I151" s="809"/>
      <c r="J151" s="809">
        <f>(P82/$R82*100*($E82/366))+(P83/$R83*100*($E83/366))</f>
        <v>100</v>
      </c>
      <c r="K151" s="809"/>
      <c r="L151" s="809">
        <f>(Q82/$R82*100*($E82/366))+(Q83/$R83*100*($E83/366))</f>
        <v>0</v>
      </c>
      <c r="M151" s="809"/>
      <c r="N151" s="832">
        <f t="shared" si="23"/>
        <v>100</v>
      </c>
      <c r="O151" s="832"/>
      <c r="P151" s="505"/>
      <c r="Q151" s="505"/>
      <c r="R151" s="1">
        <v>2004</v>
      </c>
      <c r="S151" s="8">
        <f>(O82*($E82/366))+(O83*($E83/366))</f>
        <v>0</v>
      </c>
      <c r="T151" s="8">
        <f>(P82*($E82/366))+(P83*($E83/366))</f>
        <v>53.8</v>
      </c>
      <c r="U151" s="8">
        <f>(Q82*($E82/366))+(Q83*($E83/366))</f>
        <v>0</v>
      </c>
      <c r="V151" s="7"/>
      <c r="W151" s="7">
        <f t="shared" si="24"/>
        <v>53.8</v>
      </c>
    </row>
    <row r="152" spans="1:23" ht="9" customHeight="1" x14ac:dyDescent="0.15">
      <c r="A152" s="1">
        <v>2005</v>
      </c>
      <c r="B152" s="469">
        <f>(K84*($E84/365))+(K85*($E85/365))</f>
        <v>0</v>
      </c>
      <c r="C152" s="469">
        <f>(L84*($E84/365))+(L85*($E85/365))</f>
        <v>100</v>
      </c>
      <c r="D152" s="469">
        <f>(M84*($E84/365))+(M85*($E85/365))</f>
        <v>0</v>
      </c>
      <c r="E152" s="504">
        <f t="shared" si="20"/>
        <v>100</v>
      </c>
      <c r="F152" s="505"/>
      <c r="G152" s="1">
        <v>2005</v>
      </c>
      <c r="H152" s="809">
        <f>(O84/$R84*100*($E84/365))+(O85/$R85*100*($E85/365))</f>
        <v>0</v>
      </c>
      <c r="I152" s="809"/>
      <c r="J152" s="809">
        <f>(P84/$R84*100*($E84/365))+(P85/$R85*100*($E85/365))</f>
        <v>100</v>
      </c>
      <c r="K152" s="809"/>
      <c r="L152" s="809">
        <f>(Q84/$R84*100*($E84/365))+(Q85/$R85*100*($E85/365))</f>
        <v>0</v>
      </c>
      <c r="M152" s="809"/>
      <c r="N152" s="832">
        <f t="shared" si="23"/>
        <v>100</v>
      </c>
      <c r="O152" s="832"/>
      <c r="P152" s="505"/>
      <c r="Q152" s="505"/>
      <c r="R152" s="1">
        <v>2005</v>
      </c>
      <c r="S152" s="8">
        <f>(O84*($E84/365))+(O85*($E85/365))</f>
        <v>0</v>
      </c>
      <c r="T152" s="8">
        <f>(P84*($E84/365))+(P85*($E85/365))</f>
        <v>53.8</v>
      </c>
      <c r="U152" s="8">
        <f>(Q84*($E84/365))+(Q85*($E85/365))</f>
        <v>0</v>
      </c>
      <c r="V152" s="7"/>
      <c r="W152" s="7">
        <f t="shared" si="24"/>
        <v>53.8</v>
      </c>
    </row>
    <row r="153" spans="1:23" ht="9" customHeight="1" x14ac:dyDescent="0.15">
      <c r="A153" s="1">
        <v>2006</v>
      </c>
      <c r="B153" s="469">
        <f>(K86*($E86/365))+(K87*($E87/365))</f>
        <v>0</v>
      </c>
      <c r="C153" s="469">
        <f>(L86*($E86/365))+(L87*($E87/365))</f>
        <v>100</v>
      </c>
      <c r="D153" s="469">
        <f>(M86*($E86/365))+(M87*($E87/365))</f>
        <v>0</v>
      </c>
      <c r="E153" s="504">
        <f t="shared" si="20"/>
        <v>100</v>
      </c>
      <c r="F153" s="505"/>
      <c r="G153" s="1">
        <v>2006</v>
      </c>
      <c r="H153" s="809">
        <f>(O86/$R86*100*($E86/365))+(O87/$R87*100*($E87/365))</f>
        <v>0</v>
      </c>
      <c r="I153" s="809"/>
      <c r="J153" s="809">
        <f>(P86/$R86*100*($E86/365))+(P87/$R87*100*($E87/365))</f>
        <v>100</v>
      </c>
      <c r="K153" s="809"/>
      <c r="L153" s="809">
        <f>(Q86/$R86*100*($E86/365))+(Q87/$R87*100*($E87/365))</f>
        <v>0</v>
      </c>
      <c r="M153" s="809"/>
      <c r="N153" s="832">
        <f t="shared" si="23"/>
        <v>100</v>
      </c>
      <c r="O153" s="832"/>
      <c r="P153" s="505"/>
      <c r="Q153" s="505"/>
      <c r="R153" s="1">
        <v>2006</v>
      </c>
      <c r="S153" s="8">
        <f>(O86*($E86/365))+(O87*($E87/365))</f>
        <v>0</v>
      </c>
      <c r="T153" s="8">
        <f>(P86*($E86/365))+(P87*($E87/365))</f>
        <v>53.8</v>
      </c>
      <c r="U153" s="8">
        <f>(Q86*($E86/365))+(Q87*($E87/365))</f>
        <v>0</v>
      </c>
      <c r="V153" s="7"/>
      <c r="W153" s="7">
        <f t="shared" si="24"/>
        <v>53.8</v>
      </c>
    </row>
    <row r="154" spans="1:23" ht="9" customHeight="1" x14ac:dyDescent="0.15">
      <c r="A154" s="1">
        <v>2007</v>
      </c>
      <c r="B154" s="469">
        <f>(K88*($E88/365))+(K89*($E89/365))</f>
        <v>0</v>
      </c>
      <c r="C154" s="469">
        <f>(L88*($E88/365))+(L89*($E89/365))</f>
        <v>100</v>
      </c>
      <c r="D154" s="469">
        <f>(M88*($E88/365))+(M89*($E89/365))</f>
        <v>0</v>
      </c>
      <c r="E154" s="504">
        <f t="shared" si="20"/>
        <v>100</v>
      </c>
      <c r="F154" s="505"/>
      <c r="G154" s="1">
        <v>2007</v>
      </c>
      <c r="H154" s="809">
        <f>(O88/$R88*100*($E88/365))+(O89/$R89*100*($E89/365))</f>
        <v>0</v>
      </c>
      <c r="I154" s="809"/>
      <c r="J154" s="809">
        <f>(P88/$R88*100*($E88/365))+(P89/$R89*100*($E89/365))</f>
        <v>100</v>
      </c>
      <c r="K154" s="809"/>
      <c r="L154" s="809">
        <f>(Q88/$R88*100*($E88/365))+(Q89/$R89*100*($E89/365))</f>
        <v>0</v>
      </c>
      <c r="M154" s="809"/>
      <c r="N154" s="832">
        <f t="shared" si="23"/>
        <v>100</v>
      </c>
      <c r="O154" s="832"/>
      <c r="P154" s="505"/>
      <c r="Q154" s="505"/>
      <c r="R154" s="1">
        <v>2007</v>
      </c>
      <c r="S154" s="8">
        <f>(O88*($E88/365))+(O89*($E89/365))</f>
        <v>0</v>
      </c>
      <c r="T154" s="8">
        <f>(P88*($E88/365))+(P89*($E89/365))</f>
        <v>55.8</v>
      </c>
      <c r="U154" s="8">
        <f>(Q88*($E88/365))+(Q89*($E89/365))</f>
        <v>0</v>
      </c>
      <c r="V154" s="7"/>
      <c r="W154" s="7">
        <f t="shared" si="24"/>
        <v>55.8</v>
      </c>
    </row>
    <row r="155" spans="1:23" ht="9" customHeight="1" x14ac:dyDescent="0.15">
      <c r="A155" s="1">
        <v>2008</v>
      </c>
      <c r="B155" s="469">
        <f>(K90*($E90/366))+(K91*($E91/366))</f>
        <v>0</v>
      </c>
      <c r="C155" s="469">
        <f>(L90*($E90/366))+(L91*($E91/366))</f>
        <v>100</v>
      </c>
      <c r="D155" s="469">
        <f>(M90*($E90/366))+(M91*($E91/366))</f>
        <v>0</v>
      </c>
      <c r="E155" s="504">
        <f t="shared" si="20"/>
        <v>100</v>
      </c>
      <c r="F155" s="505"/>
      <c r="G155" s="1">
        <v>2008</v>
      </c>
      <c r="H155" s="809">
        <f>(O90/$R90*100*($E90/366))+(O91/$R91*100*($E91/366))</f>
        <v>0</v>
      </c>
      <c r="I155" s="809"/>
      <c r="J155" s="809">
        <f>(P90/$R90*100*($E90/366))+(P91/$R91*100*($E91/366))</f>
        <v>100</v>
      </c>
      <c r="K155" s="809"/>
      <c r="L155" s="809">
        <f>(Q90/$R90*100*($E90/366))+(Q91/$R91*100*($E91/366))</f>
        <v>0</v>
      </c>
      <c r="M155" s="809"/>
      <c r="N155" s="832">
        <f t="shared" si="23"/>
        <v>100</v>
      </c>
      <c r="O155" s="832"/>
      <c r="P155" s="505"/>
      <c r="Q155" s="505"/>
      <c r="R155" s="1">
        <v>2008</v>
      </c>
      <c r="S155" s="8">
        <f>(O90*($E90/366))+(O91*($E91/366))</f>
        <v>0</v>
      </c>
      <c r="T155" s="8">
        <f>(P90*($E90/366))+(P91*($E91/366))</f>
        <v>51.705464480874312</v>
      </c>
      <c r="U155" s="8">
        <f>(Q90*($E90/366))+(Q91*($E91/366))</f>
        <v>0</v>
      </c>
      <c r="V155" s="7"/>
      <c r="W155" s="7">
        <f t="shared" si="24"/>
        <v>51.705464480874312</v>
      </c>
    </row>
    <row r="156" spans="1:23" ht="9" customHeight="1" x14ac:dyDescent="0.15">
      <c r="A156" s="1">
        <v>2009</v>
      </c>
      <c r="B156" s="469">
        <f>(K92*($E92/365))+(K93*($E93/365))</f>
        <v>0</v>
      </c>
      <c r="C156" s="469">
        <f>(L92*($E92/365))+(L93*($E93/365))</f>
        <v>100</v>
      </c>
      <c r="D156" s="469">
        <f>(M92*($E92/365))+(M93*($E93/365))</f>
        <v>0</v>
      </c>
      <c r="E156" s="504">
        <f t="shared" si="20"/>
        <v>100</v>
      </c>
      <c r="F156" s="505"/>
      <c r="G156" s="1">
        <v>2009</v>
      </c>
      <c r="H156" s="809">
        <f>(O92/$R92*100*($E92/365))+(O93/$R93*100*($E93/365))</f>
        <v>0</v>
      </c>
      <c r="I156" s="809"/>
      <c r="J156" s="809">
        <f>(P92/$R92*100*($E92/365))+(P93/$R93*100*($E93/365))</f>
        <v>100</v>
      </c>
      <c r="K156" s="809"/>
      <c r="L156" s="809">
        <f>(Q92/$R92*100*($E92/365))+(Q93/$R93*100*($E93/365))</f>
        <v>0</v>
      </c>
      <c r="M156" s="809"/>
      <c r="N156" s="832">
        <f t="shared" si="23"/>
        <v>100</v>
      </c>
      <c r="O156" s="832"/>
      <c r="P156" s="505"/>
      <c r="Q156" s="505"/>
      <c r="R156" s="1">
        <v>2009</v>
      </c>
      <c r="S156" s="8">
        <f>(O92*($E92/365))+(O93*($E93/365))</f>
        <v>0</v>
      </c>
      <c r="T156" s="8">
        <f>(P92*($E92/365))+(P93*($E93/365))</f>
        <v>50.72</v>
      </c>
      <c r="U156" s="8">
        <f>(Q92*($E92/365))+(Q93*($E93/365))</f>
        <v>0</v>
      </c>
      <c r="V156" s="7"/>
      <c r="W156" s="7">
        <f t="shared" si="24"/>
        <v>50.72</v>
      </c>
    </row>
    <row r="157" spans="1:23" ht="9" customHeight="1" x14ac:dyDescent="0.15">
      <c r="A157" s="1">
        <v>2010</v>
      </c>
      <c r="B157" s="469">
        <f>(K94*($E94/365))+(K95*($E95/365))</f>
        <v>0</v>
      </c>
      <c r="C157" s="469">
        <f>(L94*($E94/365))+(L95*($E95/365))</f>
        <v>100</v>
      </c>
      <c r="D157" s="469">
        <f>(M94*($E94/365))+(M95*($E95/365))</f>
        <v>0</v>
      </c>
      <c r="E157" s="504">
        <f t="shared" si="20"/>
        <v>100</v>
      </c>
      <c r="F157" s="505"/>
      <c r="G157" s="1">
        <v>2010</v>
      </c>
      <c r="H157" s="809">
        <f>(O94/$R94*100*($E94/365))+(O95/$R95*100*($E95/365))</f>
        <v>0</v>
      </c>
      <c r="I157" s="809"/>
      <c r="J157" s="809">
        <f>(P94/$R94*100*($E94/365))+(P95/$R95*100*($E95/365))</f>
        <v>100</v>
      </c>
      <c r="K157" s="809"/>
      <c r="L157" s="809">
        <f>(Q94/$R94*100*($E94/365))+(Q95/$R95*100*($E95/365))</f>
        <v>0</v>
      </c>
      <c r="M157" s="809"/>
      <c r="N157" s="832">
        <f t="shared" si="23"/>
        <v>100</v>
      </c>
      <c r="O157" s="832"/>
      <c r="P157" s="505"/>
      <c r="Q157" s="505"/>
      <c r="R157" s="1">
        <v>2010</v>
      </c>
      <c r="S157" s="8">
        <f>(O94*($E94/365))+(O95*($E95/365))</f>
        <v>0</v>
      </c>
      <c r="T157" s="8">
        <f>(P94*($E94/365))+(P95*($E95/365))</f>
        <v>50.72</v>
      </c>
      <c r="U157" s="8">
        <f>(Q94*($E94/365))+(Q95*($E95/365))</f>
        <v>0</v>
      </c>
      <c r="V157" s="7"/>
      <c r="W157" s="7">
        <f t="shared" si="24"/>
        <v>50.72</v>
      </c>
    </row>
    <row r="158" spans="1:23" ht="9" customHeight="1" x14ac:dyDescent="0.15">
      <c r="A158" s="1">
        <v>2011</v>
      </c>
      <c r="B158" s="469">
        <f>(K96*($E96/365))+(K97*($E97/365))</f>
        <v>0</v>
      </c>
      <c r="C158" s="469">
        <f>(L96*($E96/365))+(L97*($E97/365))</f>
        <v>100</v>
      </c>
      <c r="D158" s="469">
        <f>(M96*($E96/365))+(M97*($E97/365))</f>
        <v>0</v>
      </c>
      <c r="E158" s="504">
        <f t="shared" si="20"/>
        <v>100</v>
      </c>
      <c r="F158" s="505"/>
      <c r="G158" s="1">
        <v>2011</v>
      </c>
      <c r="H158" s="809">
        <f>(O96/$R96*100*($E96/365))+(O97/$R97*100*($E97/365))</f>
        <v>0</v>
      </c>
      <c r="I158" s="809"/>
      <c r="J158" s="809">
        <f>(P96/$R96*100*($E96/365))+(P97/$R97*100*($E97/365))</f>
        <v>100</v>
      </c>
      <c r="K158" s="809"/>
      <c r="L158" s="809">
        <f>(Q96/$R96*100*($E96/365))+(Q97/$R97*100*($E97/365))</f>
        <v>0</v>
      </c>
      <c r="M158" s="809"/>
      <c r="N158" s="832">
        <f t="shared" si="23"/>
        <v>100</v>
      </c>
      <c r="O158" s="832"/>
      <c r="P158" s="505"/>
      <c r="Q158" s="505"/>
      <c r="R158" s="1">
        <v>2011</v>
      </c>
      <c r="S158" s="8">
        <f>(O96*($E96/365))+(O97*($E97/365))</f>
        <v>0</v>
      </c>
      <c r="T158" s="8">
        <f>(P96*($E96/365))+(P97*($E97/365))</f>
        <v>50.72</v>
      </c>
      <c r="U158" s="8">
        <f>(Q96*($E96/365))+(Q97*($E97/365))</f>
        <v>0</v>
      </c>
      <c r="V158" s="7"/>
      <c r="W158" s="7">
        <f t="shared" si="24"/>
        <v>50.72</v>
      </c>
    </row>
    <row r="159" spans="1:23" ht="9" customHeight="1" x14ac:dyDescent="0.15">
      <c r="A159" s="1">
        <v>2012</v>
      </c>
      <c r="B159" s="469">
        <f>(K98*($E98/366))+(K99*($E99/366))</f>
        <v>0</v>
      </c>
      <c r="C159" s="469">
        <f>(L98*($E98/366))+(L99*($E99/366))</f>
        <v>100</v>
      </c>
      <c r="D159" s="469">
        <f>(M98*($E98/366))+(M99*($E99/366))</f>
        <v>0</v>
      </c>
      <c r="E159" s="504">
        <f t="shared" si="20"/>
        <v>100</v>
      </c>
      <c r="F159" s="505"/>
      <c r="G159" s="1">
        <v>2012</v>
      </c>
      <c r="H159" s="809">
        <f>(O98/$R98*100*($E98/366))+(O99/$R99*100*($E99/366))</f>
        <v>0</v>
      </c>
      <c r="I159" s="809"/>
      <c r="J159" s="809">
        <f>(P98/$R98*100*($E98/366))+(P99/$R99*100*($E99/366))</f>
        <v>100</v>
      </c>
      <c r="K159" s="809"/>
      <c r="L159" s="809">
        <f>(Q98/$R98*100*($E98/366))+(Q99/$R99*100*($E99/366))</f>
        <v>0</v>
      </c>
      <c r="M159" s="809"/>
      <c r="N159" s="832">
        <f t="shared" si="23"/>
        <v>100</v>
      </c>
      <c r="O159" s="832"/>
      <c r="P159" s="506"/>
      <c r="Q159" s="506"/>
      <c r="R159" s="1">
        <v>2012</v>
      </c>
      <c r="S159" s="8">
        <f>(O98*($E98/366))+(O99*($E99/366))</f>
        <v>0</v>
      </c>
      <c r="T159" s="8">
        <f>(P98*($E98/366))+(P99*($E99/366))</f>
        <v>50.72</v>
      </c>
      <c r="U159" s="8">
        <f>(Q98*($E98/366))+(Q99*($E99/366))</f>
        <v>0</v>
      </c>
      <c r="V159" s="7"/>
      <c r="W159" s="7">
        <f t="shared" si="24"/>
        <v>50.72</v>
      </c>
    </row>
    <row r="160" spans="1:23" x14ac:dyDescent="0.15">
      <c r="A160" s="1">
        <v>2013</v>
      </c>
      <c r="B160" s="469">
        <f>(K100*($E100/365))+(K101*($E101/365))</f>
        <v>0</v>
      </c>
      <c r="C160" s="469">
        <f>(L100*($E100/365))+(L101*($E101/365))</f>
        <v>19.452054794520549</v>
      </c>
      <c r="D160" s="469">
        <f>(M100*($E100/365))+(M101*($E101/365))</f>
        <v>80.547945205479451</v>
      </c>
      <c r="E160" s="504">
        <f t="shared" si="20"/>
        <v>100</v>
      </c>
      <c r="F160" s="505"/>
      <c r="G160" s="1">
        <v>2013</v>
      </c>
      <c r="H160" s="809">
        <f>(O100/$R100*100*($E100/365))+(O101/$R101*100*($E101/365))</f>
        <v>0</v>
      </c>
      <c r="I160" s="809"/>
      <c r="J160" s="809">
        <f>(P100/$R100*100*($E100/365))+(P101/$R101*100*($E101/365))</f>
        <v>19.452054794520549</v>
      </c>
      <c r="K160" s="809"/>
      <c r="L160" s="809">
        <f>(Q100/$R100*100*($E100/365))+(Q101/$R101*100*($E101/365))</f>
        <v>80.547945205479451</v>
      </c>
      <c r="M160" s="809"/>
      <c r="N160" s="832">
        <f t="shared" si="23"/>
        <v>100</v>
      </c>
      <c r="O160" s="832"/>
      <c r="P160" s="506"/>
      <c r="Q160" s="506"/>
      <c r="R160" s="1">
        <v>2013</v>
      </c>
      <c r="S160" s="8">
        <f>(O100*($E100/365))+(O101*($E101/365))</f>
        <v>0</v>
      </c>
      <c r="T160" s="8">
        <f>(P100*($E100/365))+(P101*($E101/365))</f>
        <v>9.8660821917808228</v>
      </c>
      <c r="U160" s="8">
        <f>(Q100*($E100/365))+(Q101*($E101/365))</f>
        <v>45.509589041095893</v>
      </c>
      <c r="V160" s="7"/>
      <c r="W160" s="7">
        <f t="shared" si="24"/>
        <v>55.375671232876712</v>
      </c>
    </row>
    <row r="161" spans="1:23" x14ac:dyDescent="0.15">
      <c r="A161" s="1">
        <v>2014</v>
      </c>
      <c r="B161" s="469">
        <f>(K102*($E102/365))+(K103*($E103/365))</f>
        <v>0</v>
      </c>
      <c r="C161" s="469">
        <f>(L102*($E102/365))+(L103*($E103/365))</f>
        <v>0</v>
      </c>
      <c r="D161" s="469">
        <f>(M102*($E102/365))+(M103*($E103/365))</f>
        <v>100</v>
      </c>
      <c r="E161" s="504">
        <f>SUM(B161:D161)</f>
        <v>100</v>
      </c>
      <c r="F161" s="505"/>
      <c r="G161" s="1">
        <v>2014</v>
      </c>
      <c r="H161" s="809">
        <f>(O102/$R102*100*($E102/365))+(O103/$R103*100*($E103/365))</f>
        <v>0</v>
      </c>
      <c r="I161" s="809"/>
      <c r="J161" s="809">
        <f>(P102/$R102*100*($E102/365))+(P103/$R103*100*($E103/365))</f>
        <v>0</v>
      </c>
      <c r="K161" s="809"/>
      <c r="L161" s="809">
        <f>(Q102/$R102*100*($E102/365))+(Q103/$R103*100*($E103/365))</f>
        <v>100</v>
      </c>
      <c r="M161" s="809"/>
      <c r="N161" s="832">
        <f>H161+J161+L161</f>
        <v>100</v>
      </c>
      <c r="O161" s="832"/>
      <c r="P161" s="506"/>
      <c r="Q161" s="506"/>
      <c r="R161" s="1">
        <v>2014</v>
      </c>
      <c r="S161" s="8">
        <f>(O102*($E102/365))+(O103*($E103/365))</f>
        <v>0</v>
      </c>
      <c r="T161" s="8">
        <f>(P102*($E102/365))+(P103*($E103/365))</f>
        <v>0</v>
      </c>
      <c r="U161" s="8">
        <f>(Q102*($E102/365))+(Q103*($E103/365))</f>
        <v>56.5</v>
      </c>
      <c r="V161" s="7"/>
      <c r="W161" s="7">
        <f>S161+T161+U161</f>
        <v>56.5</v>
      </c>
    </row>
    <row r="162" spans="1:23" s="745" customFormat="1" x14ac:dyDescent="0.15">
      <c r="A162" s="745">
        <v>2015</v>
      </c>
      <c r="B162" s="736">
        <f>(K104*($E104/365))+(K105*($E105/365))</f>
        <v>0</v>
      </c>
      <c r="C162" s="736">
        <f>(L104*($E104/365))+(L105*($E105/365))</f>
        <v>0</v>
      </c>
      <c r="D162" s="736">
        <f>(M104*($E104/365))+(M105*($E105/365))</f>
        <v>100</v>
      </c>
      <c r="E162" s="504">
        <f>SUM(B162:D162)</f>
        <v>100</v>
      </c>
      <c r="F162" s="505"/>
      <c r="G162" s="745">
        <v>2015</v>
      </c>
      <c r="H162" s="809">
        <f>(O104/$R104*100*($E104/365))+(O105/$R105*100*($E105/365))</f>
        <v>0</v>
      </c>
      <c r="I162" s="809"/>
      <c r="J162" s="809">
        <f>(P104/$R104*100*($E104/365))+(P105/$R105*100*($E105/365))</f>
        <v>0</v>
      </c>
      <c r="K162" s="809"/>
      <c r="L162" s="809">
        <f>(Q104/$R104*100*($E104/365))+(Q105/$R105*100*($E105/365))</f>
        <v>100</v>
      </c>
      <c r="M162" s="809"/>
      <c r="N162" s="832">
        <f>H162+J162+L162</f>
        <v>100</v>
      </c>
      <c r="O162" s="832"/>
      <c r="P162" s="506"/>
      <c r="Q162" s="506"/>
      <c r="R162" s="745">
        <v>2015</v>
      </c>
      <c r="S162" s="739">
        <f>(O104*($E104/365))+(O105*($E105/365))</f>
        <v>0</v>
      </c>
      <c r="T162" s="739">
        <f>(P104*($E104/365))+(P105*($E105/365))</f>
        <v>0</v>
      </c>
      <c r="U162" s="739">
        <f>(Q104*($E104/365))+(Q105*($E105/365))</f>
        <v>56.5</v>
      </c>
      <c r="V162" s="744"/>
      <c r="W162" s="744">
        <f>S162+T162+U162</f>
        <v>56.5</v>
      </c>
    </row>
    <row r="163" spans="1:23" s="745" customFormat="1" x14ac:dyDescent="0.15">
      <c r="F163" s="505"/>
      <c r="P163" s="506"/>
      <c r="Q163" s="506"/>
    </row>
  </sheetData>
  <mergeCells count="326">
    <mergeCell ref="H161:I161"/>
    <mergeCell ref="J161:K161"/>
    <mergeCell ref="L161:M161"/>
    <mergeCell ref="N161:O161"/>
    <mergeCell ref="C102:D102"/>
    <mergeCell ref="C103:D103"/>
    <mergeCell ref="L156:M156"/>
    <mergeCell ref="L157:M157"/>
    <mergeCell ref="L158:M158"/>
    <mergeCell ref="L159:M159"/>
    <mergeCell ref="J147:K147"/>
    <mergeCell ref="J159:K159"/>
    <mergeCell ref="J148:K148"/>
    <mergeCell ref="J149:K149"/>
    <mergeCell ref="J150:K150"/>
    <mergeCell ref="J151:K151"/>
    <mergeCell ref="J153:K153"/>
    <mergeCell ref="J156:K156"/>
    <mergeCell ref="J157:K157"/>
    <mergeCell ref="J158:K158"/>
    <mergeCell ref="H113:I113"/>
    <mergeCell ref="J152:K152"/>
    <mergeCell ref="L129:M129"/>
    <mergeCell ref="H145:I145"/>
    <mergeCell ref="AT4:AW4"/>
    <mergeCell ref="AX4:BA4"/>
    <mergeCell ref="L154:M154"/>
    <mergeCell ref="L155:M155"/>
    <mergeCell ref="N130:O130"/>
    <mergeCell ref="L122:M122"/>
    <mergeCell ref="N123:O123"/>
    <mergeCell ref="L123:M123"/>
    <mergeCell ref="N122:O122"/>
    <mergeCell ref="L133:M133"/>
    <mergeCell ref="N132:O132"/>
    <mergeCell ref="L121:M121"/>
    <mergeCell ref="L124:M124"/>
    <mergeCell ref="N125:O125"/>
    <mergeCell ref="L125:M125"/>
    <mergeCell ref="N124:O124"/>
    <mergeCell ref="L128:M128"/>
    <mergeCell ref="L126:M126"/>
    <mergeCell ref="N127:O127"/>
    <mergeCell ref="L127:M127"/>
    <mergeCell ref="N120:O120"/>
    <mergeCell ref="N115:O115"/>
    <mergeCell ref="N117:O117"/>
    <mergeCell ref="N116:O116"/>
    <mergeCell ref="L118:M118"/>
    <mergeCell ref="N119:O119"/>
    <mergeCell ref="L119:M119"/>
    <mergeCell ref="N118:O118"/>
    <mergeCell ref="L120:M120"/>
    <mergeCell ref="N121:O121"/>
    <mergeCell ref="J154:K154"/>
    <mergeCell ref="J145:K145"/>
    <mergeCell ref="N131:O131"/>
    <mergeCell ref="N129:O129"/>
    <mergeCell ref="N142:O142"/>
    <mergeCell ref="J129:K129"/>
    <mergeCell ref="J131:K131"/>
    <mergeCell ref="J132:K132"/>
    <mergeCell ref="J130:K130"/>
    <mergeCell ref="J146:K146"/>
    <mergeCell ref="J143:K143"/>
    <mergeCell ref="J144:K144"/>
    <mergeCell ref="J121:K121"/>
    <mergeCell ref="L132:M132"/>
    <mergeCell ref="L131:M131"/>
    <mergeCell ref="L134:M134"/>
    <mergeCell ref="L142:M142"/>
    <mergeCell ref="J134:K134"/>
    <mergeCell ref="H142:I142"/>
    <mergeCell ref="J142:K142"/>
    <mergeCell ref="J139:K139"/>
    <mergeCell ref="H138:I138"/>
    <mergeCell ref="H139:I139"/>
    <mergeCell ref="J136:K136"/>
    <mergeCell ref="H129:I129"/>
    <mergeCell ref="N141:O141"/>
    <mergeCell ref="L139:M139"/>
    <mergeCell ref="L140:M140"/>
    <mergeCell ref="L141:M141"/>
    <mergeCell ref="N137:O137"/>
    <mergeCell ref="H122:I122"/>
    <mergeCell ref="J122:K122"/>
    <mergeCell ref="H123:I123"/>
    <mergeCell ref="J123:K123"/>
    <mergeCell ref="H124:I124"/>
    <mergeCell ref="J124:K124"/>
    <mergeCell ref="H137:I137"/>
    <mergeCell ref="H127:I127"/>
    <mergeCell ref="J127:K127"/>
    <mergeCell ref="H136:I136"/>
    <mergeCell ref="H130:I130"/>
    <mergeCell ref="H133:I133"/>
    <mergeCell ref="J133:K133"/>
    <mergeCell ref="J137:K137"/>
    <mergeCell ref="H128:I128"/>
    <mergeCell ref="J128:K128"/>
    <mergeCell ref="H135:I135"/>
    <mergeCell ref="H125:I125"/>
    <mergeCell ref="J125:K125"/>
    <mergeCell ref="H132:I132"/>
    <mergeCell ref="N126:O126"/>
    <mergeCell ref="N139:O139"/>
    <mergeCell ref="N140:O140"/>
    <mergeCell ref="N135:O135"/>
    <mergeCell ref="L135:M135"/>
    <mergeCell ref="N134:O134"/>
    <mergeCell ref="N136:O136"/>
    <mergeCell ref="L137:M137"/>
    <mergeCell ref="L130:M130"/>
    <mergeCell ref="N133:O133"/>
    <mergeCell ref="N128:O128"/>
    <mergeCell ref="L136:M136"/>
    <mergeCell ref="C18:D18"/>
    <mergeCell ref="N160:O160"/>
    <mergeCell ref="N158:O158"/>
    <mergeCell ref="N159:O159"/>
    <mergeCell ref="N156:O156"/>
    <mergeCell ref="N143:O143"/>
    <mergeCell ref="N144:O144"/>
    <mergeCell ref="N147:O147"/>
    <mergeCell ref="N148:O148"/>
    <mergeCell ref="N145:O145"/>
    <mergeCell ref="N146:O146"/>
    <mergeCell ref="N157:O157"/>
    <mergeCell ref="N149:O149"/>
    <mergeCell ref="N150:O150"/>
    <mergeCell ref="N151:O151"/>
    <mergeCell ref="N152:O152"/>
    <mergeCell ref="N153:O153"/>
    <mergeCell ref="N154:O154"/>
    <mergeCell ref="N155:O155"/>
    <mergeCell ref="N138:O138"/>
    <mergeCell ref="J140:K140"/>
    <mergeCell ref="L138:M138"/>
    <mergeCell ref="H141:I141"/>
    <mergeCell ref="J138:K138"/>
    <mergeCell ref="C10:D10"/>
    <mergeCell ref="C17:D17"/>
    <mergeCell ref="H116:I116"/>
    <mergeCell ref="J116:K116"/>
    <mergeCell ref="L116:M116"/>
    <mergeCell ref="H117:I117"/>
    <mergeCell ref="J117:K117"/>
    <mergeCell ref="L117:M117"/>
    <mergeCell ref="C78:D78"/>
    <mergeCell ref="C15:D15"/>
    <mergeCell ref="H114:I114"/>
    <mergeCell ref="H115:I115"/>
    <mergeCell ref="J115:K115"/>
    <mergeCell ref="L115:M115"/>
    <mergeCell ref="J113:K113"/>
    <mergeCell ref="L113:M113"/>
    <mergeCell ref="C68:D68"/>
    <mergeCell ref="C69:D69"/>
    <mergeCell ref="C21:D21"/>
    <mergeCell ref="C23:D23"/>
    <mergeCell ref="C100:D100"/>
    <mergeCell ref="C72:D72"/>
    <mergeCell ref="C73:D73"/>
    <mergeCell ref="C74:D74"/>
    <mergeCell ref="G3:M3"/>
    <mergeCell ref="O3:Q3"/>
    <mergeCell ref="A4:A5"/>
    <mergeCell ref="B4:B5"/>
    <mergeCell ref="C4:D5"/>
    <mergeCell ref="E4:E5"/>
    <mergeCell ref="F4:F5"/>
    <mergeCell ref="G4:J4"/>
    <mergeCell ref="R110:W110"/>
    <mergeCell ref="C6:D6"/>
    <mergeCell ref="C12:D12"/>
    <mergeCell ref="C14:D14"/>
    <mergeCell ref="C75:D75"/>
    <mergeCell ref="C76:D76"/>
    <mergeCell ref="C101:D101"/>
    <mergeCell ref="C63:D63"/>
    <mergeCell ref="C64:D64"/>
    <mergeCell ref="C65:D65"/>
    <mergeCell ref="C66:D66"/>
    <mergeCell ref="C67:D67"/>
    <mergeCell ref="C70:D70"/>
    <mergeCell ref="C71:D71"/>
    <mergeCell ref="C25:D25"/>
    <mergeCell ref="C27:D27"/>
    <mergeCell ref="N113:O113"/>
    <mergeCell ref="N114:O114"/>
    <mergeCell ref="J114:K114"/>
    <mergeCell ref="L114:M114"/>
    <mergeCell ref="AP4:AS4"/>
    <mergeCell ref="K4:N4"/>
    <mergeCell ref="O4:R4"/>
    <mergeCell ref="S4:S5"/>
    <mergeCell ref="T4:T5"/>
    <mergeCell ref="Z4:AC4"/>
    <mergeCell ref="AD4:AG4"/>
    <mergeCell ref="AH4:AK4"/>
    <mergeCell ref="AL4:AO4"/>
    <mergeCell ref="U4:U5"/>
    <mergeCell ref="V4:Y4"/>
    <mergeCell ref="J112:K112"/>
    <mergeCell ref="L112:M112"/>
    <mergeCell ref="N112:O112"/>
    <mergeCell ref="C7:D7"/>
    <mergeCell ref="C9:D9"/>
    <mergeCell ref="C11:D11"/>
    <mergeCell ref="C13:D13"/>
    <mergeCell ref="C16:D16"/>
    <mergeCell ref="C56:D56"/>
    <mergeCell ref="C41:D41"/>
    <mergeCell ref="C43:D43"/>
    <mergeCell ref="C45:D45"/>
    <mergeCell ref="C53:D53"/>
    <mergeCell ref="C51:D51"/>
    <mergeCell ref="C42:D42"/>
    <mergeCell ref="C29:D29"/>
    <mergeCell ref="C31:D31"/>
    <mergeCell ref="C33:D33"/>
    <mergeCell ref="C35:D35"/>
    <mergeCell ref="C37:D37"/>
    <mergeCell ref="C39:D39"/>
    <mergeCell ref="C20:D20"/>
    <mergeCell ref="C22:D22"/>
    <mergeCell ref="C24:D24"/>
    <mergeCell ref="C19:D19"/>
    <mergeCell ref="C26:D26"/>
    <mergeCell ref="C8:D8"/>
    <mergeCell ref="C52:D52"/>
    <mergeCell ref="C28:D28"/>
    <mergeCell ref="C30:D30"/>
    <mergeCell ref="C32:D32"/>
    <mergeCell ref="C34:D34"/>
    <mergeCell ref="C36:D36"/>
    <mergeCell ref="C40:D40"/>
    <mergeCell ref="C38:D38"/>
    <mergeCell ref="C84:D84"/>
    <mergeCell ref="C44:D44"/>
    <mergeCell ref="C46:D46"/>
    <mergeCell ref="C48:D48"/>
    <mergeCell ref="C50:D50"/>
    <mergeCell ref="C47:D47"/>
    <mergeCell ref="C49:D49"/>
    <mergeCell ref="C57:D57"/>
    <mergeCell ref="C54:D54"/>
    <mergeCell ref="C55:D55"/>
    <mergeCell ref="C58:D58"/>
    <mergeCell ref="C59:D59"/>
    <mergeCell ref="C60:D60"/>
    <mergeCell ref="C61:D61"/>
    <mergeCell ref="C62:D62"/>
    <mergeCell ref="C77:D77"/>
    <mergeCell ref="H118:I118"/>
    <mergeCell ref="J118:K118"/>
    <mergeCell ref="H119:I119"/>
    <mergeCell ref="J119:K119"/>
    <mergeCell ref="H120:I120"/>
    <mergeCell ref="J120:K120"/>
    <mergeCell ref="H121:I121"/>
    <mergeCell ref="L144:M144"/>
    <mergeCell ref="C79:D79"/>
    <mergeCell ref="C80:D80"/>
    <mergeCell ref="C81:D81"/>
    <mergeCell ref="C82:D82"/>
    <mergeCell ref="C83:D83"/>
    <mergeCell ref="C98:D98"/>
    <mergeCell ref="C95:D95"/>
    <mergeCell ref="C94:D94"/>
    <mergeCell ref="C88:D88"/>
    <mergeCell ref="C96:D96"/>
    <mergeCell ref="C89:D89"/>
    <mergeCell ref="C90:D90"/>
    <mergeCell ref="C97:D97"/>
    <mergeCell ref="C85:D85"/>
    <mergeCell ref="C86:D86"/>
    <mergeCell ref="C87:D87"/>
    <mergeCell ref="L146:M146"/>
    <mergeCell ref="L149:M149"/>
    <mergeCell ref="L160:M160"/>
    <mergeCell ref="J160:K160"/>
    <mergeCell ref="C99:D99"/>
    <mergeCell ref="C91:D91"/>
    <mergeCell ref="C92:D92"/>
    <mergeCell ref="C93:D93"/>
    <mergeCell ref="H126:I126"/>
    <mergeCell ref="J126:K126"/>
    <mergeCell ref="H159:I159"/>
    <mergeCell ref="H148:I148"/>
    <mergeCell ref="H149:I149"/>
    <mergeCell ref="H150:I150"/>
    <mergeCell ref="H151:I151"/>
    <mergeCell ref="H160:I160"/>
    <mergeCell ref="L151:M151"/>
    <mergeCell ref="J141:K141"/>
    <mergeCell ref="H140:I140"/>
    <mergeCell ref="H131:I131"/>
    <mergeCell ref="J135:K135"/>
    <mergeCell ref="H134:I134"/>
    <mergeCell ref="C104:D104"/>
    <mergeCell ref="H112:I112"/>
    <mergeCell ref="C105:D105"/>
    <mergeCell ref="H162:I162"/>
    <mergeCell ref="J162:K162"/>
    <mergeCell ref="L162:M162"/>
    <mergeCell ref="N162:O162"/>
    <mergeCell ref="J155:K155"/>
    <mergeCell ref="H146:I146"/>
    <mergeCell ref="H143:I143"/>
    <mergeCell ref="H144:I144"/>
    <mergeCell ref="H157:I157"/>
    <mergeCell ref="H158:I158"/>
    <mergeCell ref="H152:I152"/>
    <mergeCell ref="H153:I153"/>
    <mergeCell ref="H154:I154"/>
    <mergeCell ref="H155:I155"/>
    <mergeCell ref="H156:I156"/>
    <mergeCell ref="H147:I147"/>
    <mergeCell ref="L152:M152"/>
    <mergeCell ref="L153:M153"/>
    <mergeCell ref="L147:M147"/>
    <mergeCell ref="L148:M148"/>
    <mergeCell ref="L150:M150"/>
    <mergeCell ref="L143:M143"/>
    <mergeCell ref="L145:M145"/>
  </mergeCells>
  <phoneticPr fontId="0" type="noConversion"/>
  <pageMargins left="0.78740157499999996" right="0.78740157499999996" top="0.984251969" bottom="0.984251969" header="0.4921259845" footer="0.4921259845"/>
  <pageSetup paperSize="9" orientation="portrait" r:id="rId1"/>
  <headerFooter alignWithMargins="0"/>
  <drawing r:id="rId2"/>
  <legacyDrawing r:id="rId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89"/>
  <sheetViews>
    <sheetView zoomScale="120" zoomScaleNormal="120" workbookViewId="0">
      <pane xSplit="1" ySplit="5" topLeftCell="B106" activePane="bottomRight" state="frozen"/>
      <selection pane="topRight" activeCell="B1" sqref="B1"/>
      <selection pane="bottomLeft" activeCell="A6" sqref="A6"/>
      <selection pane="bottomRight" activeCell="B188" sqref="B188:D188"/>
    </sheetView>
  </sheetViews>
  <sheetFormatPr baseColWidth="10" defaultColWidth="10.7109375" defaultRowHeight="9" x14ac:dyDescent="0.15"/>
  <cols>
    <col min="1" max="1" width="5.85546875" style="1" customWidth="1"/>
    <col min="2" max="6" width="7.85546875" style="1" customWidth="1"/>
    <col min="7" max="18" width="4.42578125" style="1" customWidth="1"/>
    <col min="19" max="21" width="7.85546875" style="1" customWidth="1"/>
    <col min="22" max="53" width="5.7109375" style="1" customWidth="1"/>
    <col min="54" max="16384" width="10.7109375" style="1"/>
  </cols>
  <sheetData>
    <row r="1" spans="1:53" s="2" customFormat="1" ht="15" customHeight="1" x14ac:dyDescent="0.2">
      <c r="B1" s="22" t="s">
        <v>14</v>
      </c>
    </row>
    <row r="2" spans="1:53" s="2" customFormat="1" ht="15" customHeight="1" x14ac:dyDescent="0.2">
      <c r="B2" s="22" t="s">
        <v>63</v>
      </c>
    </row>
    <row r="3" spans="1:53" s="2" customFormat="1" x14ac:dyDescent="0.15">
      <c r="G3" s="814"/>
      <c r="H3" s="814"/>
      <c r="I3" s="814"/>
      <c r="J3" s="814"/>
      <c r="K3" s="814"/>
      <c r="L3" s="814"/>
      <c r="M3" s="814"/>
      <c r="O3" s="814"/>
      <c r="P3" s="814"/>
      <c r="Q3" s="814"/>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1" t="s">
        <v>23</v>
      </c>
      <c r="AU5" s="351" t="s">
        <v>24</v>
      </c>
      <c r="AV5" s="351" t="s">
        <v>25</v>
      </c>
      <c r="AW5" s="353" t="s">
        <v>1217</v>
      </c>
      <c r="AX5" s="351" t="s">
        <v>23</v>
      </c>
      <c r="AY5" s="351" t="s">
        <v>24</v>
      </c>
      <c r="AZ5" s="351" t="s">
        <v>25</v>
      </c>
      <c r="BA5" s="354" t="s">
        <v>1217</v>
      </c>
    </row>
    <row r="6" spans="1:53" s="257" customFormat="1" x14ac:dyDescent="0.15">
      <c r="A6" s="263">
        <v>1959</v>
      </c>
      <c r="B6" s="252"/>
      <c r="C6" s="815" t="s">
        <v>1253</v>
      </c>
      <c r="D6" s="815"/>
      <c r="E6" s="257">
        <v>138</v>
      </c>
      <c r="G6" s="265">
        <v>7</v>
      </c>
      <c r="H6" s="257">
        <v>6</v>
      </c>
      <c r="J6" s="272">
        <v>13</v>
      </c>
      <c r="K6" s="248">
        <f>AC6+AG6</f>
        <v>17.3</v>
      </c>
      <c r="L6" s="248">
        <v>32.700000000000003</v>
      </c>
      <c r="M6" s="248">
        <f>I6/$J6*100</f>
        <v>0</v>
      </c>
      <c r="N6" s="267">
        <f>K6+L6+M6</f>
        <v>50</v>
      </c>
      <c r="O6" s="247">
        <v>30</v>
      </c>
      <c r="P6" s="248">
        <v>32.700000000000003</v>
      </c>
      <c r="Q6" s="248"/>
      <c r="R6" s="249">
        <f>O6+P6+Q6</f>
        <v>62.7</v>
      </c>
      <c r="S6" s="257">
        <v>3</v>
      </c>
      <c r="T6" s="278"/>
      <c r="V6" s="256" t="s">
        <v>496</v>
      </c>
      <c r="W6" s="257" t="s">
        <v>82</v>
      </c>
      <c r="X6" s="257" t="s">
        <v>18</v>
      </c>
      <c r="Y6" s="258">
        <v>32.700000000000003</v>
      </c>
      <c r="Z6" s="257" t="s">
        <v>497</v>
      </c>
      <c r="AA6" s="257" t="s">
        <v>17</v>
      </c>
      <c r="AB6" s="257" t="s">
        <v>11</v>
      </c>
      <c r="AC6" s="257">
        <v>9.3000000000000007</v>
      </c>
      <c r="AD6" s="256" t="s">
        <v>498</v>
      </c>
      <c r="AE6" s="257" t="s">
        <v>86</v>
      </c>
      <c r="AF6" s="257" t="s">
        <v>11</v>
      </c>
      <c r="AG6" s="258">
        <v>8</v>
      </c>
      <c r="AL6" s="256"/>
      <c r="AO6" s="258"/>
      <c r="AP6" s="256"/>
      <c r="AS6" s="258"/>
      <c r="AW6" s="258"/>
      <c r="BA6" s="259"/>
    </row>
    <row r="7" spans="1:53" s="257" customFormat="1" x14ac:dyDescent="0.15">
      <c r="A7" s="263">
        <v>1959</v>
      </c>
      <c r="B7" s="252">
        <v>21689</v>
      </c>
      <c r="C7" s="815" t="s">
        <v>664</v>
      </c>
      <c r="D7" s="815"/>
      <c r="E7" s="257">
        <f>365-E6</f>
        <v>227</v>
      </c>
      <c r="F7" s="257">
        <v>1</v>
      </c>
      <c r="G7" s="265">
        <v>7</v>
      </c>
      <c r="H7" s="257">
        <v>6</v>
      </c>
      <c r="J7" s="272">
        <v>13</v>
      </c>
      <c r="K7" s="248">
        <f>G7/$J7*100</f>
        <v>53.846153846153847</v>
      </c>
      <c r="L7" s="248">
        <f>H7/$J7*100</f>
        <v>46.153846153846153</v>
      </c>
      <c r="M7" s="248">
        <f>I7/$J7*100</f>
        <v>0</v>
      </c>
      <c r="N7" s="267">
        <f>K7+L7+M7</f>
        <v>100</v>
      </c>
      <c r="O7" s="247">
        <v>30</v>
      </c>
      <c r="P7" s="248">
        <v>32.700000000000003</v>
      </c>
      <c r="Q7" s="248"/>
      <c r="R7" s="249">
        <f>O7+P7+Q7</f>
        <v>62.7</v>
      </c>
      <c r="S7" s="257">
        <v>3</v>
      </c>
      <c r="T7" s="251">
        <v>21887</v>
      </c>
      <c r="U7" s="252">
        <v>21689</v>
      </c>
      <c r="V7" s="256" t="s">
        <v>496</v>
      </c>
      <c r="W7" s="257" t="s">
        <v>82</v>
      </c>
      <c r="X7" s="257" t="s">
        <v>18</v>
      </c>
      <c r="Y7" s="258">
        <v>32.700000000000003</v>
      </c>
      <c r="Z7" s="257" t="s">
        <v>497</v>
      </c>
      <c r="AA7" s="257" t="s">
        <v>17</v>
      </c>
      <c r="AB7" s="257" t="s">
        <v>11</v>
      </c>
      <c r="AC7" s="257">
        <v>9.3000000000000007</v>
      </c>
      <c r="AD7" s="256" t="s">
        <v>498</v>
      </c>
      <c r="AE7" s="257" t="s">
        <v>86</v>
      </c>
      <c r="AF7" s="257" t="s">
        <v>11</v>
      </c>
      <c r="AG7" s="258">
        <v>8</v>
      </c>
      <c r="AH7" s="257" t="s">
        <v>499</v>
      </c>
      <c r="AI7" s="257" t="s">
        <v>22</v>
      </c>
      <c r="AJ7" s="257" t="s">
        <v>11</v>
      </c>
      <c r="AK7" s="257">
        <v>12.7</v>
      </c>
      <c r="AL7" s="256"/>
      <c r="AO7" s="258"/>
      <c r="AP7" s="256"/>
      <c r="AS7" s="258"/>
      <c r="AW7" s="258"/>
      <c r="BA7" s="259"/>
    </row>
    <row r="8" spans="1:53" s="208" customFormat="1" x14ac:dyDescent="0.15">
      <c r="A8" s="102">
        <v>1960</v>
      </c>
      <c r="B8" s="207"/>
      <c r="C8" s="811" t="s">
        <v>664</v>
      </c>
      <c r="D8" s="811"/>
      <c r="E8" s="208">
        <v>0</v>
      </c>
      <c r="G8" s="123">
        <v>7</v>
      </c>
      <c r="H8" s="208">
        <v>6</v>
      </c>
      <c r="J8" s="134">
        <v>13</v>
      </c>
      <c r="K8" s="92">
        <f>G8/$J8*100</f>
        <v>53.846153846153847</v>
      </c>
      <c r="L8" s="92">
        <f>H8/$J8*100</f>
        <v>46.153846153846153</v>
      </c>
      <c r="M8" s="92">
        <f>I8/$J8*100</f>
        <v>0</v>
      </c>
      <c r="N8" s="125">
        <f>K8+L8+M8</f>
        <v>100</v>
      </c>
      <c r="O8" s="91">
        <v>30</v>
      </c>
      <c r="P8" s="92">
        <v>32.700000000000003</v>
      </c>
      <c r="Q8" s="92"/>
      <c r="R8" s="93">
        <f>O8+P8+Q8</f>
        <v>62.7</v>
      </c>
      <c r="S8" s="208">
        <v>3</v>
      </c>
      <c r="T8" s="81"/>
      <c r="V8" s="82" t="s">
        <v>496</v>
      </c>
      <c r="W8" s="208" t="s">
        <v>82</v>
      </c>
      <c r="X8" s="208" t="s">
        <v>18</v>
      </c>
      <c r="Y8" s="83">
        <v>32.700000000000003</v>
      </c>
      <c r="Z8" s="208" t="s">
        <v>497</v>
      </c>
      <c r="AA8" s="208" t="s">
        <v>17</v>
      </c>
      <c r="AB8" s="208" t="s">
        <v>11</v>
      </c>
      <c r="AC8" s="208">
        <v>9.3000000000000007</v>
      </c>
      <c r="AD8" s="82" t="s">
        <v>498</v>
      </c>
      <c r="AE8" s="208" t="s">
        <v>86</v>
      </c>
      <c r="AF8" s="208" t="s">
        <v>11</v>
      </c>
      <c r="AG8" s="83">
        <v>8</v>
      </c>
      <c r="AH8" s="208" t="s">
        <v>499</v>
      </c>
      <c r="AI8" s="208" t="s">
        <v>22</v>
      </c>
      <c r="AJ8" s="208" t="s">
        <v>11</v>
      </c>
      <c r="AK8" s="208">
        <v>12.7</v>
      </c>
      <c r="AL8" s="82"/>
      <c r="AO8" s="83"/>
      <c r="AP8" s="82"/>
      <c r="AS8" s="83"/>
      <c r="AW8" s="83"/>
      <c r="BA8" s="84"/>
    </row>
    <row r="9" spans="1:53" s="208" customFormat="1" x14ac:dyDescent="0.15">
      <c r="A9" s="102">
        <v>1960</v>
      </c>
      <c r="B9" s="207"/>
      <c r="C9" s="811" t="s">
        <v>664</v>
      </c>
      <c r="D9" s="811"/>
      <c r="E9" s="208">
        <v>366</v>
      </c>
      <c r="G9" s="123">
        <v>7</v>
      </c>
      <c r="H9" s="208">
        <v>6</v>
      </c>
      <c r="J9" s="134">
        <v>13</v>
      </c>
      <c r="K9" s="92">
        <f t="shared" ref="K9:M59" si="0">G9/$J9*100</f>
        <v>53.846153846153847</v>
      </c>
      <c r="L9" s="92">
        <f t="shared" si="0"/>
        <v>46.153846153846153</v>
      </c>
      <c r="M9" s="92">
        <f t="shared" si="0"/>
        <v>0</v>
      </c>
      <c r="N9" s="125">
        <f t="shared" ref="N9:N72" si="1">K9+L9+M9</f>
        <v>100</v>
      </c>
      <c r="O9" s="91">
        <v>30</v>
      </c>
      <c r="P9" s="92">
        <v>32.700000000000003</v>
      </c>
      <c r="Q9" s="92"/>
      <c r="R9" s="93">
        <f t="shared" ref="R9:R72" si="2">O9+P9+Q9</f>
        <v>62.7</v>
      </c>
      <c r="S9" s="208">
        <v>3</v>
      </c>
      <c r="T9" s="81"/>
      <c r="V9" s="82" t="s">
        <v>496</v>
      </c>
      <c r="W9" s="208" t="s">
        <v>82</v>
      </c>
      <c r="X9" s="208" t="s">
        <v>18</v>
      </c>
      <c r="Y9" s="83">
        <v>32.700000000000003</v>
      </c>
      <c r="Z9" s="208" t="s">
        <v>497</v>
      </c>
      <c r="AA9" s="208" t="s">
        <v>17</v>
      </c>
      <c r="AB9" s="208" t="s">
        <v>11</v>
      </c>
      <c r="AC9" s="208">
        <v>9.3000000000000007</v>
      </c>
      <c r="AD9" s="82" t="s">
        <v>498</v>
      </c>
      <c r="AE9" s="208" t="s">
        <v>86</v>
      </c>
      <c r="AF9" s="208" t="s">
        <v>11</v>
      </c>
      <c r="AG9" s="83">
        <v>8</v>
      </c>
      <c r="AH9" s="208" t="s">
        <v>499</v>
      </c>
      <c r="AI9" s="208" t="s">
        <v>22</v>
      </c>
      <c r="AJ9" s="208" t="s">
        <v>11</v>
      </c>
      <c r="AK9" s="208">
        <v>12.7</v>
      </c>
      <c r="AL9" s="82"/>
      <c r="AO9" s="83"/>
      <c r="AP9" s="82"/>
      <c r="AS9" s="83"/>
      <c r="AW9" s="83"/>
      <c r="BA9" s="84"/>
    </row>
    <row r="10" spans="1:53" s="208" customFormat="1" x14ac:dyDescent="0.15">
      <c r="A10" s="102">
        <v>1961</v>
      </c>
      <c r="B10" s="207"/>
      <c r="C10" s="811" t="s">
        <v>664</v>
      </c>
      <c r="D10" s="811"/>
      <c r="E10" s="208">
        <v>0</v>
      </c>
      <c r="G10" s="123">
        <v>7</v>
      </c>
      <c r="H10" s="208">
        <v>6</v>
      </c>
      <c r="J10" s="134">
        <v>13</v>
      </c>
      <c r="K10" s="92">
        <f t="shared" si="0"/>
        <v>53.846153846153847</v>
      </c>
      <c r="L10" s="92">
        <f t="shared" si="0"/>
        <v>46.153846153846153</v>
      </c>
      <c r="M10" s="92">
        <f t="shared" si="0"/>
        <v>0</v>
      </c>
      <c r="N10" s="125">
        <f t="shared" si="1"/>
        <v>100</v>
      </c>
      <c r="O10" s="91">
        <v>30</v>
      </c>
      <c r="P10" s="92">
        <v>32.700000000000003</v>
      </c>
      <c r="Q10" s="92"/>
      <c r="R10" s="93">
        <f t="shared" si="2"/>
        <v>62.7</v>
      </c>
      <c r="S10" s="208">
        <v>3</v>
      </c>
      <c r="T10" s="81"/>
      <c r="V10" s="82" t="s">
        <v>496</v>
      </c>
      <c r="W10" s="208" t="s">
        <v>82</v>
      </c>
      <c r="X10" s="208" t="s">
        <v>18</v>
      </c>
      <c r="Y10" s="83">
        <v>32.700000000000003</v>
      </c>
      <c r="Z10" s="208" t="s">
        <v>497</v>
      </c>
      <c r="AA10" s="208" t="s">
        <v>17</v>
      </c>
      <c r="AB10" s="208" t="s">
        <v>11</v>
      </c>
      <c r="AC10" s="208">
        <v>9.3000000000000007</v>
      </c>
      <c r="AD10" s="82" t="s">
        <v>498</v>
      </c>
      <c r="AE10" s="208" t="s">
        <v>86</v>
      </c>
      <c r="AF10" s="208" t="s">
        <v>11</v>
      </c>
      <c r="AG10" s="83">
        <v>8</v>
      </c>
      <c r="AH10" s="208" t="s">
        <v>499</v>
      </c>
      <c r="AI10" s="208" t="s">
        <v>22</v>
      </c>
      <c r="AJ10" s="208" t="s">
        <v>11</v>
      </c>
      <c r="AK10" s="208">
        <v>12.7</v>
      </c>
      <c r="AL10" s="82"/>
      <c r="AO10" s="83"/>
      <c r="AP10" s="82"/>
      <c r="AS10" s="83"/>
      <c r="AW10" s="83"/>
      <c r="BA10" s="84"/>
    </row>
    <row r="11" spans="1:53" s="208" customFormat="1" x14ac:dyDescent="0.15">
      <c r="A11" s="102">
        <v>1961</v>
      </c>
      <c r="B11" s="207"/>
      <c r="C11" s="811" t="s">
        <v>664</v>
      </c>
      <c r="D11" s="811"/>
      <c r="E11" s="208">
        <v>365</v>
      </c>
      <c r="G11" s="123">
        <v>7</v>
      </c>
      <c r="H11" s="208">
        <v>6</v>
      </c>
      <c r="J11" s="134">
        <v>13</v>
      </c>
      <c r="K11" s="92">
        <f t="shared" si="0"/>
        <v>53.846153846153847</v>
      </c>
      <c r="L11" s="92">
        <f t="shared" si="0"/>
        <v>46.153846153846153</v>
      </c>
      <c r="M11" s="92">
        <f t="shared" si="0"/>
        <v>0</v>
      </c>
      <c r="N11" s="125">
        <f t="shared" si="1"/>
        <v>100</v>
      </c>
      <c r="O11" s="91">
        <v>30</v>
      </c>
      <c r="P11" s="92">
        <v>32.700000000000003</v>
      </c>
      <c r="Q11" s="92"/>
      <c r="R11" s="93">
        <f t="shared" si="2"/>
        <v>62.7</v>
      </c>
      <c r="S11" s="208">
        <v>3</v>
      </c>
      <c r="T11" s="81"/>
      <c r="V11" s="82" t="s">
        <v>496</v>
      </c>
      <c r="W11" s="208" t="s">
        <v>82</v>
      </c>
      <c r="X11" s="208" t="s">
        <v>18</v>
      </c>
      <c r="Y11" s="83">
        <v>32.700000000000003</v>
      </c>
      <c r="Z11" s="208" t="s">
        <v>497</v>
      </c>
      <c r="AA11" s="208" t="s">
        <v>17</v>
      </c>
      <c r="AB11" s="208" t="s">
        <v>11</v>
      </c>
      <c r="AC11" s="208">
        <v>9.3000000000000007</v>
      </c>
      <c r="AD11" s="82" t="s">
        <v>498</v>
      </c>
      <c r="AE11" s="208" t="s">
        <v>86</v>
      </c>
      <c r="AF11" s="208" t="s">
        <v>11</v>
      </c>
      <c r="AG11" s="83">
        <v>8</v>
      </c>
      <c r="AH11" s="208" t="s">
        <v>499</v>
      </c>
      <c r="AI11" s="208" t="s">
        <v>22</v>
      </c>
      <c r="AJ11" s="208" t="s">
        <v>11</v>
      </c>
      <c r="AK11" s="208">
        <v>12.7</v>
      </c>
      <c r="AL11" s="82"/>
      <c r="AO11" s="83"/>
      <c r="AP11" s="82"/>
      <c r="AS11" s="83"/>
      <c r="AW11" s="83"/>
      <c r="BA11" s="84"/>
    </row>
    <row r="12" spans="1:53" s="208" customFormat="1" x14ac:dyDescent="0.15">
      <c r="A12" s="102">
        <v>1962</v>
      </c>
      <c r="B12" s="207"/>
      <c r="C12" s="811" t="s">
        <v>664</v>
      </c>
      <c r="D12" s="811"/>
      <c r="E12" s="208">
        <v>0</v>
      </c>
      <c r="G12" s="123">
        <v>7</v>
      </c>
      <c r="H12" s="208">
        <v>6</v>
      </c>
      <c r="J12" s="134">
        <v>13</v>
      </c>
      <c r="K12" s="92">
        <f t="shared" si="0"/>
        <v>53.846153846153847</v>
      </c>
      <c r="L12" s="92">
        <f t="shared" si="0"/>
        <v>46.153846153846153</v>
      </c>
      <c r="M12" s="92">
        <f t="shared" si="0"/>
        <v>0</v>
      </c>
      <c r="N12" s="125">
        <f t="shared" si="1"/>
        <v>100</v>
      </c>
      <c r="O12" s="91">
        <v>30</v>
      </c>
      <c r="P12" s="92">
        <v>32.700000000000003</v>
      </c>
      <c r="Q12" s="92"/>
      <c r="R12" s="93">
        <f t="shared" si="2"/>
        <v>62.7</v>
      </c>
      <c r="S12" s="208">
        <v>3</v>
      </c>
      <c r="T12" s="81"/>
      <c r="V12" s="82" t="s">
        <v>496</v>
      </c>
      <c r="W12" s="208" t="s">
        <v>82</v>
      </c>
      <c r="X12" s="208" t="s">
        <v>18</v>
      </c>
      <c r="Y12" s="83">
        <v>32.700000000000003</v>
      </c>
      <c r="Z12" s="208" t="s">
        <v>497</v>
      </c>
      <c r="AA12" s="208" t="s">
        <v>17</v>
      </c>
      <c r="AB12" s="208" t="s">
        <v>11</v>
      </c>
      <c r="AC12" s="208">
        <v>9.3000000000000007</v>
      </c>
      <c r="AD12" s="82" t="s">
        <v>498</v>
      </c>
      <c r="AE12" s="208" t="s">
        <v>86</v>
      </c>
      <c r="AF12" s="208" t="s">
        <v>11</v>
      </c>
      <c r="AG12" s="83">
        <v>8</v>
      </c>
      <c r="AH12" s="208" t="s">
        <v>499</v>
      </c>
      <c r="AI12" s="208" t="s">
        <v>22</v>
      </c>
      <c r="AJ12" s="208" t="s">
        <v>11</v>
      </c>
      <c r="AK12" s="208">
        <v>12.7</v>
      </c>
      <c r="AL12" s="82"/>
      <c r="AO12" s="83"/>
      <c r="AP12" s="82"/>
      <c r="AS12" s="83"/>
      <c r="AW12" s="83"/>
      <c r="BA12" s="84"/>
    </row>
    <row r="13" spans="1:53" s="208" customFormat="1" x14ac:dyDescent="0.15">
      <c r="A13" s="102">
        <v>1962</v>
      </c>
      <c r="B13" s="207"/>
      <c r="C13" s="811" t="s">
        <v>664</v>
      </c>
      <c r="D13" s="811"/>
      <c r="E13" s="208">
        <v>365</v>
      </c>
      <c r="G13" s="123">
        <v>7</v>
      </c>
      <c r="H13" s="208">
        <v>6</v>
      </c>
      <c r="J13" s="134">
        <v>13</v>
      </c>
      <c r="K13" s="92">
        <f t="shared" si="0"/>
        <v>53.846153846153847</v>
      </c>
      <c r="L13" s="92">
        <f t="shared" si="0"/>
        <v>46.153846153846153</v>
      </c>
      <c r="M13" s="92">
        <f t="shared" si="0"/>
        <v>0</v>
      </c>
      <c r="N13" s="125">
        <f t="shared" si="1"/>
        <v>100</v>
      </c>
      <c r="O13" s="91">
        <v>30</v>
      </c>
      <c r="P13" s="92">
        <v>32.700000000000003</v>
      </c>
      <c r="Q13" s="92"/>
      <c r="R13" s="93">
        <f t="shared" si="2"/>
        <v>62.7</v>
      </c>
      <c r="S13" s="208">
        <v>3</v>
      </c>
      <c r="T13" s="81"/>
      <c r="V13" s="82" t="s">
        <v>496</v>
      </c>
      <c r="W13" s="208" t="s">
        <v>82</v>
      </c>
      <c r="X13" s="208" t="s">
        <v>18</v>
      </c>
      <c r="Y13" s="83">
        <v>32.700000000000003</v>
      </c>
      <c r="Z13" s="208" t="s">
        <v>497</v>
      </c>
      <c r="AA13" s="208" t="s">
        <v>17</v>
      </c>
      <c r="AB13" s="208" t="s">
        <v>11</v>
      </c>
      <c r="AC13" s="208">
        <v>9.3000000000000007</v>
      </c>
      <c r="AD13" s="82" t="s">
        <v>498</v>
      </c>
      <c r="AE13" s="208" t="s">
        <v>86</v>
      </c>
      <c r="AF13" s="208" t="s">
        <v>11</v>
      </c>
      <c r="AG13" s="83">
        <v>8</v>
      </c>
      <c r="AH13" s="208" t="s">
        <v>499</v>
      </c>
      <c r="AI13" s="208" t="s">
        <v>22</v>
      </c>
      <c r="AJ13" s="208" t="s">
        <v>11</v>
      </c>
      <c r="AK13" s="208">
        <v>12.7</v>
      </c>
      <c r="AL13" s="82"/>
      <c r="AO13" s="83"/>
      <c r="AP13" s="82"/>
      <c r="AS13" s="83"/>
      <c r="AW13" s="83"/>
      <c r="BA13" s="84"/>
    </row>
    <row r="14" spans="1:53" s="208" customFormat="1" x14ac:dyDescent="0.15">
      <c r="A14" s="102">
        <v>1962.6</v>
      </c>
      <c r="B14" s="207"/>
      <c r="C14" s="811" t="s">
        <v>664</v>
      </c>
      <c r="D14" s="811"/>
      <c r="E14" s="208">
        <v>204</v>
      </c>
      <c r="G14" s="123">
        <v>7</v>
      </c>
      <c r="H14" s="208">
        <v>6</v>
      </c>
      <c r="J14" s="134">
        <v>13</v>
      </c>
      <c r="K14" s="92">
        <f t="shared" si="0"/>
        <v>53.846153846153847</v>
      </c>
      <c r="L14" s="92">
        <f t="shared" si="0"/>
        <v>46.153846153846153</v>
      </c>
      <c r="M14" s="92">
        <f t="shared" si="0"/>
        <v>0</v>
      </c>
      <c r="N14" s="125">
        <f t="shared" si="1"/>
        <v>100</v>
      </c>
      <c r="O14" s="91">
        <v>30</v>
      </c>
      <c r="P14" s="92">
        <v>32.700000000000003</v>
      </c>
      <c r="Q14" s="92"/>
      <c r="R14" s="93">
        <f t="shared" si="2"/>
        <v>62.7</v>
      </c>
      <c r="S14" s="208">
        <v>3</v>
      </c>
      <c r="T14" s="81"/>
      <c r="V14" s="82" t="s">
        <v>496</v>
      </c>
      <c r="W14" s="208" t="s">
        <v>82</v>
      </c>
      <c r="X14" s="208" t="s">
        <v>18</v>
      </c>
      <c r="Y14" s="83">
        <v>32.700000000000003</v>
      </c>
      <c r="Z14" s="208" t="s">
        <v>497</v>
      </c>
      <c r="AA14" s="208" t="s">
        <v>17</v>
      </c>
      <c r="AB14" s="208" t="s">
        <v>11</v>
      </c>
      <c r="AC14" s="208">
        <v>9.3000000000000007</v>
      </c>
      <c r="AD14" s="82" t="s">
        <v>498</v>
      </c>
      <c r="AE14" s="208" t="s">
        <v>86</v>
      </c>
      <c r="AF14" s="208" t="s">
        <v>11</v>
      </c>
      <c r="AG14" s="83">
        <v>8</v>
      </c>
      <c r="AH14" s="208" t="s">
        <v>499</v>
      </c>
      <c r="AI14" s="208" t="s">
        <v>22</v>
      </c>
      <c r="AJ14" s="208" t="s">
        <v>11</v>
      </c>
      <c r="AK14" s="208">
        <v>12.7</v>
      </c>
      <c r="AL14" s="82"/>
      <c r="AO14" s="83"/>
      <c r="AP14" s="82"/>
      <c r="AS14" s="83"/>
      <c r="AW14" s="83"/>
      <c r="BA14" s="84"/>
    </row>
    <row r="15" spans="1:53" s="334" customFormat="1" x14ac:dyDescent="0.15">
      <c r="A15" s="386">
        <v>1963.05714285714</v>
      </c>
      <c r="B15" s="355">
        <v>23216</v>
      </c>
      <c r="C15" s="812" t="s">
        <v>665</v>
      </c>
      <c r="D15" s="812"/>
      <c r="E15" s="334">
        <f>365-E14</f>
        <v>161</v>
      </c>
      <c r="F15" s="334">
        <v>1</v>
      </c>
      <c r="G15" s="419">
        <v>7</v>
      </c>
      <c r="H15" s="334">
        <v>6</v>
      </c>
      <c r="J15" s="435">
        <v>13</v>
      </c>
      <c r="K15" s="384">
        <f t="shared" si="0"/>
        <v>53.846153846153847</v>
      </c>
      <c r="L15" s="384">
        <f t="shared" si="0"/>
        <v>46.153846153846153</v>
      </c>
      <c r="M15" s="384">
        <f t="shared" si="0"/>
        <v>0</v>
      </c>
      <c r="N15" s="421">
        <f t="shared" si="1"/>
        <v>100</v>
      </c>
      <c r="O15" s="383">
        <v>28.099999999999998</v>
      </c>
      <c r="P15" s="384">
        <v>33.299999999999997</v>
      </c>
      <c r="Q15" s="384"/>
      <c r="R15" s="385">
        <f t="shared" si="2"/>
        <v>61.399999999999991</v>
      </c>
      <c r="S15" s="334">
        <v>3</v>
      </c>
      <c r="T15" s="342">
        <v>23146</v>
      </c>
      <c r="U15" s="355">
        <v>23216</v>
      </c>
      <c r="V15" s="343" t="s">
        <v>496</v>
      </c>
      <c r="W15" s="334" t="s">
        <v>82</v>
      </c>
      <c r="X15" s="334" t="s">
        <v>18</v>
      </c>
      <c r="Y15" s="344">
        <v>33.299999999999997</v>
      </c>
      <c r="Z15" s="334" t="s">
        <v>497</v>
      </c>
      <c r="AA15" s="334" t="s">
        <v>17</v>
      </c>
      <c r="AB15" s="334" t="s">
        <v>11</v>
      </c>
      <c r="AC15" s="334">
        <v>8.6999999999999993</v>
      </c>
      <c r="AD15" s="343" t="s">
        <v>498</v>
      </c>
      <c r="AE15" s="334" t="s">
        <v>86</v>
      </c>
      <c r="AF15" s="334" t="s">
        <v>11</v>
      </c>
      <c r="AG15" s="344">
        <v>8.6999999999999993</v>
      </c>
      <c r="AH15" s="334" t="s">
        <v>499</v>
      </c>
      <c r="AI15" s="334" t="s">
        <v>22</v>
      </c>
      <c r="AJ15" s="334" t="s">
        <v>11</v>
      </c>
      <c r="AK15" s="334">
        <v>10.7</v>
      </c>
      <c r="AL15" s="343"/>
      <c r="AO15" s="344"/>
      <c r="AP15" s="343"/>
      <c r="AS15" s="344"/>
      <c r="AW15" s="344"/>
      <c r="BA15" s="345"/>
    </row>
    <row r="16" spans="1:53" s="334" customFormat="1" x14ac:dyDescent="0.15">
      <c r="A16" s="386">
        <v>1963.5142857142901</v>
      </c>
      <c r="B16" s="355"/>
      <c r="C16" s="812" t="s">
        <v>665</v>
      </c>
      <c r="D16" s="812"/>
      <c r="E16" s="334">
        <v>0</v>
      </c>
      <c r="G16" s="419">
        <v>7</v>
      </c>
      <c r="H16" s="334">
        <v>6</v>
      </c>
      <c r="J16" s="435">
        <v>13</v>
      </c>
      <c r="K16" s="384">
        <f t="shared" si="0"/>
        <v>53.846153846153847</v>
      </c>
      <c r="L16" s="384">
        <f t="shared" si="0"/>
        <v>46.153846153846153</v>
      </c>
      <c r="M16" s="384">
        <f t="shared" si="0"/>
        <v>0</v>
      </c>
      <c r="N16" s="421">
        <f t="shared" si="1"/>
        <v>100</v>
      </c>
      <c r="O16" s="383">
        <v>28.099999999999998</v>
      </c>
      <c r="P16" s="384">
        <v>33.299999999999997</v>
      </c>
      <c r="Q16" s="384"/>
      <c r="R16" s="385">
        <f t="shared" si="2"/>
        <v>61.399999999999991</v>
      </c>
      <c r="S16" s="334">
        <v>3</v>
      </c>
      <c r="T16" s="357"/>
      <c r="V16" s="343" t="s">
        <v>496</v>
      </c>
      <c r="W16" s="334" t="s">
        <v>82</v>
      </c>
      <c r="X16" s="334" t="s">
        <v>18</v>
      </c>
      <c r="Y16" s="344">
        <v>33.299999999999997</v>
      </c>
      <c r="Z16" s="334" t="s">
        <v>497</v>
      </c>
      <c r="AA16" s="334" t="s">
        <v>17</v>
      </c>
      <c r="AB16" s="334" t="s">
        <v>11</v>
      </c>
      <c r="AC16" s="334">
        <v>8.6999999999999993</v>
      </c>
      <c r="AD16" s="343" t="s">
        <v>498</v>
      </c>
      <c r="AE16" s="334" t="s">
        <v>86</v>
      </c>
      <c r="AF16" s="334" t="s">
        <v>11</v>
      </c>
      <c r="AG16" s="344">
        <v>8.6999999999999993</v>
      </c>
      <c r="AH16" s="334" t="s">
        <v>499</v>
      </c>
      <c r="AI16" s="334" t="s">
        <v>22</v>
      </c>
      <c r="AJ16" s="334" t="s">
        <v>11</v>
      </c>
      <c r="AK16" s="334">
        <v>10.7</v>
      </c>
      <c r="AL16" s="343"/>
      <c r="AO16" s="344"/>
      <c r="AP16" s="343"/>
      <c r="AS16" s="344"/>
      <c r="AW16" s="344"/>
      <c r="BA16" s="345"/>
    </row>
    <row r="17" spans="1:53" s="334" customFormat="1" x14ac:dyDescent="0.15">
      <c r="A17" s="386">
        <v>1963.9714285714299</v>
      </c>
      <c r="B17" s="355"/>
      <c r="C17" s="812" t="s">
        <v>665</v>
      </c>
      <c r="D17" s="812"/>
      <c r="E17" s="334">
        <v>366</v>
      </c>
      <c r="G17" s="419">
        <v>7</v>
      </c>
      <c r="H17" s="334">
        <v>6</v>
      </c>
      <c r="J17" s="435">
        <v>13</v>
      </c>
      <c r="K17" s="384">
        <f t="shared" si="0"/>
        <v>53.846153846153847</v>
      </c>
      <c r="L17" s="384">
        <f t="shared" si="0"/>
        <v>46.153846153846153</v>
      </c>
      <c r="M17" s="384">
        <f t="shared" si="0"/>
        <v>0</v>
      </c>
      <c r="N17" s="421">
        <f t="shared" si="1"/>
        <v>100</v>
      </c>
      <c r="O17" s="383">
        <v>28.099999999999998</v>
      </c>
      <c r="P17" s="384">
        <v>33.299999999999997</v>
      </c>
      <c r="Q17" s="384"/>
      <c r="R17" s="385">
        <f t="shared" si="2"/>
        <v>61.399999999999991</v>
      </c>
      <c r="S17" s="334">
        <v>3</v>
      </c>
      <c r="T17" s="357"/>
      <c r="V17" s="343" t="s">
        <v>496</v>
      </c>
      <c r="W17" s="334" t="s">
        <v>82</v>
      </c>
      <c r="X17" s="334" t="s">
        <v>18</v>
      </c>
      <c r="Y17" s="344">
        <v>33.299999999999997</v>
      </c>
      <c r="Z17" s="334" t="s">
        <v>497</v>
      </c>
      <c r="AA17" s="334" t="s">
        <v>17</v>
      </c>
      <c r="AB17" s="334" t="s">
        <v>11</v>
      </c>
      <c r="AC17" s="334">
        <v>8.6999999999999993</v>
      </c>
      <c r="AD17" s="343" t="s">
        <v>498</v>
      </c>
      <c r="AE17" s="334" t="s">
        <v>86</v>
      </c>
      <c r="AF17" s="334" t="s">
        <v>11</v>
      </c>
      <c r="AG17" s="344">
        <v>8.6999999999999993</v>
      </c>
      <c r="AH17" s="334" t="s">
        <v>499</v>
      </c>
      <c r="AI17" s="334" t="s">
        <v>22</v>
      </c>
      <c r="AJ17" s="334" t="s">
        <v>11</v>
      </c>
      <c r="AK17" s="334">
        <v>10.7</v>
      </c>
      <c r="AL17" s="343"/>
      <c r="AO17" s="344"/>
      <c r="AP17" s="343"/>
      <c r="AS17" s="344"/>
      <c r="AW17" s="344"/>
      <c r="BA17" s="345"/>
    </row>
    <row r="18" spans="1:53" s="334" customFormat="1" x14ac:dyDescent="0.15">
      <c r="A18" s="386">
        <v>1965</v>
      </c>
      <c r="B18" s="355"/>
      <c r="C18" s="812" t="s">
        <v>665</v>
      </c>
      <c r="D18" s="812"/>
      <c r="E18" s="334">
        <v>116</v>
      </c>
      <c r="G18" s="419">
        <v>7</v>
      </c>
      <c r="H18" s="334">
        <v>6</v>
      </c>
      <c r="J18" s="435">
        <v>13</v>
      </c>
      <c r="K18" s="384">
        <f t="shared" si="0"/>
        <v>53.846153846153847</v>
      </c>
      <c r="L18" s="384">
        <f t="shared" si="0"/>
        <v>46.153846153846153</v>
      </c>
      <c r="M18" s="384">
        <f t="shared" si="0"/>
        <v>0</v>
      </c>
      <c r="N18" s="421">
        <f t="shared" si="1"/>
        <v>100</v>
      </c>
      <c r="O18" s="383">
        <v>28.099999999999998</v>
      </c>
      <c r="P18" s="384">
        <v>33.299999999999997</v>
      </c>
      <c r="Q18" s="384"/>
      <c r="R18" s="385">
        <f t="shared" si="2"/>
        <v>61.399999999999991</v>
      </c>
      <c r="S18" s="334">
        <v>3</v>
      </c>
      <c r="T18" s="357"/>
      <c r="V18" s="343" t="s">
        <v>496</v>
      </c>
      <c r="W18" s="334" t="s">
        <v>82</v>
      </c>
      <c r="X18" s="334" t="s">
        <v>18</v>
      </c>
      <c r="Y18" s="344">
        <v>33.299999999999997</v>
      </c>
      <c r="Z18" s="334" t="s">
        <v>497</v>
      </c>
      <c r="AA18" s="334" t="s">
        <v>17</v>
      </c>
      <c r="AB18" s="334" t="s">
        <v>11</v>
      </c>
      <c r="AC18" s="334">
        <v>8.6999999999999993</v>
      </c>
      <c r="AD18" s="343" t="s">
        <v>498</v>
      </c>
      <c r="AE18" s="334" t="s">
        <v>86</v>
      </c>
      <c r="AF18" s="334" t="s">
        <v>11</v>
      </c>
      <c r="AG18" s="344">
        <v>8.6999999999999993</v>
      </c>
      <c r="AH18" s="334" t="s">
        <v>499</v>
      </c>
      <c r="AI18" s="334" t="s">
        <v>22</v>
      </c>
      <c r="AJ18" s="334" t="s">
        <v>11</v>
      </c>
      <c r="AK18" s="334">
        <v>10.7</v>
      </c>
      <c r="AL18" s="343"/>
      <c r="AO18" s="344"/>
      <c r="AP18" s="343"/>
      <c r="AS18" s="344"/>
      <c r="AW18" s="344"/>
      <c r="BA18" s="345"/>
    </row>
    <row r="19" spans="1:53" s="208" customFormat="1" x14ac:dyDescent="0.15">
      <c r="A19" s="102">
        <v>1964.88571428572</v>
      </c>
      <c r="B19" s="207">
        <v>23859</v>
      </c>
      <c r="C19" s="811" t="s">
        <v>666</v>
      </c>
      <c r="D19" s="811"/>
      <c r="E19" s="208">
        <f>365-E18</f>
        <v>249</v>
      </c>
      <c r="F19" s="208">
        <v>4</v>
      </c>
      <c r="G19" s="123">
        <v>2</v>
      </c>
      <c r="H19" s="208">
        <v>6</v>
      </c>
      <c r="I19" s="208">
        <v>5</v>
      </c>
      <c r="J19" s="134">
        <v>14</v>
      </c>
      <c r="K19" s="92">
        <f t="shared" si="0"/>
        <v>14.285714285714285</v>
      </c>
      <c r="L19" s="92">
        <f t="shared" si="0"/>
        <v>42.857142857142854</v>
      </c>
      <c r="M19" s="92">
        <f t="shared" si="0"/>
        <v>35.714285714285715</v>
      </c>
      <c r="N19" s="125">
        <f t="shared" si="1"/>
        <v>92.857142857142861</v>
      </c>
      <c r="O19" s="91">
        <v>8.6999999999999993</v>
      </c>
      <c r="P19" s="92">
        <v>33.299999999999997</v>
      </c>
      <c r="Q19" s="92">
        <v>28.7</v>
      </c>
      <c r="R19" s="93">
        <f t="shared" si="2"/>
        <v>70.7</v>
      </c>
      <c r="S19" s="208">
        <v>3</v>
      </c>
      <c r="T19" s="81"/>
      <c r="U19" s="207">
        <v>23859</v>
      </c>
      <c r="V19" s="82" t="s">
        <v>496</v>
      </c>
      <c r="W19" s="208" t="s">
        <v>82</v>
      </c>
      <c r="X19" s="208" t="s">
        <v>18</v>
      </c>
      <c r="Y19" s="83">
        <v>33.299999999999997</v>
      </c>
      <c r="Z19" s="208" t="s">
        <v>497</v>
      </c>
      <c r="AA19" s="208" t="s">
        <v>17</v>
      </c>
      <c r="AB19" s="208" t="s">
        <v>11</v>
      </c>
      <c r="AC19" s="208">
        <v>8.6999999999999993</v>
      </c>
      <c r="AD19" s="82" t="s">
        <v>500</v>
      </c>
      <c r="AE19" s="208" t="s">
        <v>20</v>
      </c>
      <c r="AF19" s="208" t="s">
        <v>12</v>
      </c>
      <c r="AG19" s="83">
        <v>28.7</v>
      </c>
      <c r="AL19" s="82"/>
      <c r="AO19" s="83"/>
      <c r="AP19" s="82"/>
      <c r="AS19" s="83"/>
      <c r="AW19" s="83"/>
      <c r="BA19" s="84"/>
    </row>
    <row r="20" spans="1:53" s="208" customFormat="1" x14ac:dyDescent="0.15">
      <c r="A20" s="102">
        <v>1966</v>
      </c>
      <c r="B20" s="207"/>
      <c r="C20" s="811" t="s">
        <v>666</v>
      </c>
      <c r="D20" s="811"/>
      <c r="E20" s="208">
        <v>325</v>
      </c>
      <c r="G20" s="123">
        <v>2</v>
      </c>
      <c r="H20" s="208">
        <v>6</v>
      </c>
      <c r="I20" s="208">
        <v>5</v>
      </c>
      <c r="J20" s="134">
        <v>14</v>
      </c>
      <c r="K20" s="92">
        <f t="shared" si="0"/>
        <v>14.285714285714285</v>
      </c>
      <c r="L20" s="92">
        <f t="shared" si="0"/>
        <v>42.857142857142854</v>
      </c>
      <c r="M20" s="92">
        <f t="shared" si="0"/>
        <v>35.714285714285715</v>
      </c>
      <c r="N20" s="125">
        <f t="shared" si="1"/>
        <v>92.857142857142861</v>
      </c>
      <c r="O20" s="91">
        <v>8.6999999999999993</v>
      </c>
      <c r="P20" s="92">
        <v>33.299999999999997</v>
      </c>
      <c r="Q20" s="92">
        <v>28.7</v>
      </c>
      <c r="R20" s="93">
        <f t="shared" si="2"/>
        <v>70.7</v>
      </c>
      <c r="S20" s="208">
        <v>3</v>
      </c>
      <c r="T20" s="81"/>
      <c r="V20" s="82" t="s">
        <v>496</v>
      </c>
      <c r="W20" s="208" t="s">
        <v>82</v>
      </c>
      <c r="X20" s="208" t="s">
        <v>18</v>
      </c>
      <c r="Y20" s="83">
        <v>33.299999999999997</v>
      </c>
      <c r="Z20" s="208" t="s">
        <v>497</v>
      </c>
      <c r="AA20" s="208" t="s">
        <v>17</v>
      </c>
      <c r="AB20" s="208" t="s">
        <v>11</v>
      </c>
      <c r="AC20" s="208">
        <v>8.6999999999999993</v>
      </c>
      <c r="AD20" s="82" t="s">
        <v>500</v>
      </c>
      <c r="AE20" s="208" t="s">
        <v>20</v>
      </c>
      <c r="AF20" s="208" t="s">
        <v>12</v>
      </c>
      <c r="AG20" s="83">
        <v>28.7</v>
      </c>
      <c r="AL20" s="82"/>
      <c r="AO20" s="83"/>
      <c r="AP20" s="82"/>
      <c r="AS20" s="83"/>
      <c r="AW20" s="83"/>
      <c r="BA20" s="84"/>
    </row>
    <row r="21" spans="1:53" s="334" customFormat="1" x14ac:dyDescent="0.15">
      <c r="A21" s="386">
        <v>1965.8</v>
      </c>
      <c r="B21" s="355">
        <v>24433</v>
      </c>
      <c r="C21" s="812" t="s">
        <v>667</v>
      </c>
      <c r="D21" s="812"/>
      <c r="E21" s="334">
        <f>365-E20</f>
        <v>40</v>
      </c>
      <c r="F21" s="334">
        <v>5</v>
      </c>
      <c r="G21" s="419">
        <v>4</v>
      </c>
      <c r="H21" s="334">
        <v>9</v>
      </c>
      <c r="J21" s="435">
        <v>13</v>
      </c>
      <c r="K21" s="384">
        <f t="shared" si="0"/>
        <v>30.76923076923077</v>
      </c>
      <c r="L21" s="384">
        <f t="shared" si="0"/>
        <v>69.230769230769226</v>
      </c>
      <c r="M21" s="384">
        <f t="shared" si="0"/>
        <v>0</v>
      </c>
      <c r="N21" s="421">
        <f t="shared" si="1"/>
        <v>100</v>
      </c>
      <c r="O21" s="383">
        <v>8.6999999999999993</v>
      </c>
      <c r="P21" s="384">
        <v>33.299999999999997</v>
      </c>
      <c r="Q21" s="384"/>
      <c r="R21" s="385">
        <f t="shared" si="2"/>
        <v>42</v>
      </c>
      <c r="S21" s="334">
        <v>6</v>
      </c>
      <c r="T21" s="357"/>
      <c r="U21" s="355">
        <v>24433</v>
      </c>
      <c r="V21" s="343" t="s">
        <v>496</v>
      </c>
      <c r="W21" s="334" t="s">
        <v>82</v>
      </c>
      <c r="X21" s="334" t="s">
        <v>18</v>
      </c>
      <c r="Y21" s="344">
        <v>33.299999999999997</v>
      </c>
      <c r="Z21" s="334" t="s">
        <v>497</v>
      </c>
      <c r="AA21" s="334" t="s">
        <v>17</v>
      </c>
      <c r="AB21" s="334" t="s">
        <v>11</v>
      </c>
      <c r="AC21" s="334">
        <v>8.6999999999999993</v>
      </c>
      <c r="AD21" s="343"/>
      <c r="AG21" s="344"/>
      <c r="AL21" s="343"/>
      <c r="AO21" s="344"/>
      <c r="AP21" s="343"/>
      <c r="AS21" s="344"/>
      <c r="AW21" s="344"/>
      <c r="BA21" s="345"/>
    </row>
    <row r="22" spans="1:53" s="334" customFormat="1" x14ac:dyDescent="0.15">
      <c r="A22" s="386">
        <v>1967</v>
      </c>
      <c r="B22" s="355"/>
      <c r="C22" s="812" t="s">
        <v>667</v>
      </c>
      <c r="D22" s="812"/>
      <c r="E22" s="334">
        <v>92</v>
      </c>
      <c r="G22" s="419">
        <v>4</v>
      </c>
      <c r="H22" s="334">
        <v>9</v>
      </c>
      <c r="J22" s="435">
        <v>13</v>
      </c>
      <c r="K22" s="384">
        <f t="shared" si="0"/>
        <v>30.76923076923077</v>
      </c>
      <c r="L22" s="384">
        <f t="shared" si="0"/>
        <v>69.230769230769226</v>
      </c>
      <c r="M22" s="384">
        <f t="shared" si="0"/>
        <v>0</v>
      </c>
      <c r="N22" s="421">
        <f t="shared" si="1"/>
        <v>100</v>
      </c>
      <c r="O22" s="383">
        <v>8.6999999999999993</v>
      </c>
      <c r="P22" s="384">
        <v>33.299999999999997</v>
      </c>
      <c r="Q22" s="384"/>
      <c r="R22" s="385">
        <f t="shared" si="2"/>
        <v>42</v>
      </c>
      <c r="S22" s="334">
        <v>6</v>
      </c>
      <c r="T22" s="357"/>
      <c r="V22" s="343" t="s">
        <v>496</v>
      </c>
      <c r="W22" s="334" t="s">
        <v>82</v>
      </c>
      <c r="X22" s="334" t="s">
        <v>18</v>
      </c>
      <c r="Y22" s="344">
        <v>33.299999999999997</v>
      </c>
      <c r="Z22" s="334" t="s">
        <v>497</v>
      </c>
      <c r="AA22" s="334" t="s">
        <v>17</v>
      </c>
      <c r="AB22" s="334" t="s">
        <v>11</v>
      </c>
      <c r="AC22" s="334">
        <v>8.6999999999999993</v>
      </c>
      <c r="AD22" s="343"/>
      <c r="AG22" s="344"/>
      <c r="AL22" s="343"/>
      <c r="AO22" s="344"/>
      <c r="AP22" s="343"/>
      <c r="AS22" s="344"/>
      <c r="AW22" s="344"/>
      <c r="BA22" s="345"/>
    </row>
    <row r="23" spans="1:53" s="208" customFormat="1" x14ac:dyDescent="0.15">
      <c r="A23" s="102">
        <v>1966.7142857142901</v>
      </c>
      <c r="B23" s="207">
        <v>24565</v>
      </c>
      <c r="C23" s="811" t="s">
        <v>824</v>
      </c>
      <c r="D23" s="811"/>
      <c r="E23" s="208">
        <f>365-E22</f>
        <v>273</v>
      </c>
      <c r="F23" s="208">
        <v>1</v>
      </c>
      <c r="G23" s="123">
        <v>8</v>
      </c>
      <c r="H23" s="208">
        <v>6</v>
      </c>
      <c r="J23" s="134">
        <v>14</v>
      </c>
      <c r="K23" s="92">
        <f t="shared" si="0"/>
        <v>57.142857142857139</v>
      </c>
      <c r="L23" s="92">
        <f t="shared" si="0"/>
        <v>42.857142857142854</v>
      </c>
      <c r="M23" s="92">
        <f t="shared" si="0"/>
        <v>0</v>
      </c>
      <c r="N23" s="125">
        <f t="shared" si="1"/>
        <v>100</v>
      </c>
      <c r="O23" s="91">
        <v>29.3</v>
      </c>
      <c r="P23" s="92">
        <v>28</v>
      </c>
      <c r="Q23" s="92"/>
      <c r="R23" s="93">
        <f t="shared" si="2"/>
        <v>57.3</v>
      </c>
      <c r="S23" s="208">
        <v>2</v>
      </c>
      <c r="T23" s="95">
        <v>24518</v>
      </c>
      <c r="U23" s="207">
        <v>24565</v>
      </c>
      <c r="V23" s="82" t="s">
        <v>496</v>
      </c>
      <c r="W23" s="208" t="s">
        <v>82</v>
      </c>
      <c r="X23" s="208" t="s">
        <v>18</v>
      </c>
      <c r="Y23" s="83">
        <v>28</v>
      </c>
      <c r="Z23" s="208" t="s">
        <v>497</v>
      </c>
      <c r="AA23" s="208" t="s">
        <v>17</v>
      </c>
      <c r="AB23" s="208" t="s">
        <v>11</v>
      </c>
      <c r="AC23" s="208">
        <v>10</v>
      </c>
      <c r="AD23" s="82" t="s">
        <v>498</v>
      </c>
      <c r="AE23" s="208" t="s">
        <v>86</v>
      </c>
      <c r="AF23" s="208" t="s">
        <v>11</v>
      </c>
      <c r="AG23" s="83">
        <v>8</v>
      </c>
      <c r="AH23" s="208" t="s">
        <v>499</v>
      </c>
      <c r="AI23" s="208" t="s">
        <v>22</v>
      </c>
      <c r="AJ23" s="208" t="s">
        <v>11</v>
      </c>
      <c r="AK23" s="208">
        <v>11.3</v>
      </c>
      <c r="AL23" s="82"/>
      <c r="AO23" s="83"/>
      <c r="AP23" s="82"/>
      <c r="AS23" s="83"/>
      <c r="AW23" s="83"/>
      <c r="BA23" s="84"/>
    </row>
    <row r="24" spans="1:53" s="208" customFormat="1" x14ac:dyDescent="0.15">
      <c r="A24" s="102">
        <v>1968</v>
      </c>
      <c r="B24" s="207"/>
      <c r="C24" s="811" t="s">
        <v>824</v>
      </c>
      <c r="D24" s="811"/>
      <c r="E24" s="208">
        <v>0</v>
      </c>
      <c r="G24" s="123">
        <v>8</v>
      </c>
      <c r="H24" s="208">
        <v>6</v>
      </c>
      <c r="J24" s="134">
        <v>14</v>
      </c>
      <c r="K24" s="92">
        <f t="shared" si="0"/>
        <v>57.142857142857139</v>
      </c>
      <c r="L24" s="92">
        <f t="shared" si="0"/>
        <v>42.857142857142854</v>
      </c>
      <c r="M24" s="92">
        <f t="shared" si="0"/>
        <v>0</v>
      </c>
      <c r="N24" s="125">
        <f t="shared" si="1"/>
        <v>100</v>
      </c>
      <c r="O24" s="91">
        <v>29.3</v>
      </c>
      <c r="P24" s="92">
        <v>28</v>
      </c>
      <c r="Q24" s="92"/>
      <c r="R24" s="93">
        <f t="shared" si="2"/>
        <v>57.3</v>
      </c>
      <c r="S24" s="208">
        <v>2</v>
      </c>
      <c r="T24" s="81"/>
      <c r="V24" s="82" t="s">
        <v>496</v>
      </c>
      <c r="W24" s="208" t="s">
        <v>82</v>
      </c>
      <c r="X24" s="208" t="s">
        <v>18</v>
      </c>
      <c r="Y24" s="83">
        <v>28</v>
      </c>
      <c r="Z24" s="208" t="s">
        <v>497</v>
      </c>
      <c r="AA24" s="208" t="s">
        <v>17</v>
      </c>
      <c r="AB24" s="208" t="s">
        <v>11</v>
      </c>
      <c r="AC24" s="208">
        <v>10</v>
      </c>
      <c r="AD24" s="82" t="s">
        <v>498</v>
      </c>
      <c r="AE24" s="208" t="s">
        <v>86</v>
      </c>
      <c r="AF24" s="208" t="s">
        <v>11</v>
      </c>
      <c r="AG24" s="83">
        <v>8</v>
      </c>
      <c r="AH24" s="208" t="s">
        <v>499</v>
      </c>
      <c r="AI24" s="208" t="s">
        <v>22</v>
      </c>
      <c r="AJ24" s="208" t="s">
        <v>11</v>
      </c>
      <c r="AK24" s="208">
        <v>11.3</v>
      </c>
      <c r="AL24" s="82"/>
      <c r="AO24" s="83"/>
      <c r="AP24" s="82"/>
      <c r="AS24" s="83"/>
      <c r="AW24" s="83"/>
      <c r="BA24" s="84"/>
    </row>
    <row r="25" spans="1:53" s="208" customFormat="1" x14ac:dyDescent="0.15">
      <c r="A25" s="102">
        <v>1967.62857142857</v>
      </c>
      <c r="B25" s="207"/>
      <c r="C25" s="811" t="s">
        <v>824</v>
      </c>
      <c r="D25" s="811"/>
      <c r="E25" s="208">
        <v>366</v>
      </c>
      <c r="G25" s="123">
        <v>8</v>
      </c>
      <c r="H25" s="208">
        <v>6</v>
      </c>
      <c r="J25" s="134">
        <v>14</v>
      </c>
      <c r="K25" s="92">
        <f t="shared" si="0"/>
        <v>57.142857142857139</v>
      </c>
      <c r="L25" s="92">
        <f t="shared" si="0"/>
        <v>42.857142857142854</v>
      </c>
      <c r="M25" s="92">
        <f t="shared" si="0"/>
        <v>0</v>
      </c>
      <c r="N25" s="125">
        <f t="shared" si="1"/>
        <v>100</v>
      </c>
      <c r="O25" s="91">
        <v>29.3</v>
      </c>
      <c r="P25" s="92">
        <v>28</v>
      </c>
      <c r="Q25" s="92"/>
      <c r="R25" s="93">
        <f t="shared" si="2"/>
        <v>57.3</v>
      </c>
      <c r="S25" s="208">
        <v>2</v>
      </c>
      <c r="T25" s="81"/>
      <c r="V25" s="82" t="s">
        <v>496</v>
      </c>
      <c r="W25" s="208" t="s">
        <v>82</v>
      </c>
      <c r="X25" s="208" t="s">
        <v>18</v>
      </c>
      <c r="Y25" s="83">
        <v>28</v>
      </c>
      <c r="Z25" s="208" t="s">
        <v>497</v>
      </c>
      <c r="AA25" s="208" t="s">
        <v>17</v>
      </c>
      <c r="AB25" s="208" t="s">
        <v>11</v>
      </c>
      <c r="AC25" s="208">
        <v>10</v>
      </c>
      <c r="AD25" s="82" t="s">
        <v>498</v>
      </c>
      <c r="AE25" s="208" t="s">
        <v>86</v>
      </c>
      <c r="AF25" s="208" t="s">
        <v>11</v>
      </c>
      <c r="AG25" s="83">
        <v>8</v>
      </c>
      <c r="AH25" s="208" t="s">
        <v>499</v>
      </c>
      <c r="AI25" s="208" t="s">
        <v>22</v>
      </c>
      <c r="AJ25" s="208" t="s">
        <v>11</v>
      </c>
      <c r="AK25" s="208">
        <v>11.3</v>
      </c>
      <c r="AL25" s="82"/>
      <c r="AO25" s="83"/>
      <c r="AP25" s="82"/>
      <c r="AS25" s="83"/>
      <c r="AW25" s="83"/>
      <c r="BA25" s="84"/>
    </row>
    <row r="26" spans="1:53" s="208" customFormat="1" x14ac:dyDescent="0.15">
      <c r="A26" s="102">
        <v>1969</v>
      </c>
      <c r="B26" s="207"/>
      <c r="C26" s="811" t="s">
        <v>824</v>
      </c>
      <c r="D26" s="811"/>
      <c r="E26" s="208">
        <v>0</v>
      </c>
      <c r="G26" s="123">
        <v>8</v>
      </c>
      <c r="H26" s="208">
        <v>6</v>
      </c>
      <c r="J26" s="134">
        <v>14</v>
      </c>
      <c r="K26" s="92">
        <f t="shared" si="0"/>
        <v>57.142857142857139</v>
      </c>
      <c r="L26" s="92">
        <f t="shared" si="0"/>
        <v>42.857142857142854</v>
      </c>
      <c r="M26" s="92">
        <f t="shared" si="0"/>
        <v>0</v>
      </c>
      <c r="N26" s="125">
        <f t="shared" si="1"/>
        <v>100</v>
      </c>
      <c r="O26" s="91">
        <v>29.3</v>
      </c>
      <c r="P26" s="92">
        <v>28</v>
      </c>
      <c r="Q26" s="92"/>
      <c r="R26" s="93">
        <f t="shared" si="2"/>
        <v>57.3</v>
      </c>
      <c r="S26" s="208">
        <v>2</v>
      </c>
      <c r="T26" s="81"/>
      <c r="V26" s="82" t="s">
        <v>496</v>
      </c>
      <c r="W26" s="208" t="s">
        <v>82</v>
      </c>
      <c r="X26" s="208" t="s">
        <v>18</v>
      </c>
      <c r="Y26" s="83">
        <v>28</v>
      </c>
      <c r="Z26" s="208" t="s">
        <v>497</v>
      </c>
      <c r="AA26" s="208" t="s">
        <v>17</v>
      </c>
      <c r="AB26" s="208" t="s">
        <v>11</v>
      </c>
      <c r="AC26" s="208">
        <v>10</v>
      </c>
      <c r="AD26" s="82" t="s">
        <v>498</v>
      </c>
      <c r="AE26" s="208" t="s">
        <v>86</v>
      </c>
      <c r="AF26" s="208" t="s">
        <v>11</v>
      </c>
      <c r="AG26" s="83">
        <v>8</v>
      </c>
      <c r="AH26" s="208" t="s">
        <v>499</v>
      </c>
      <c r="AI26" s="208" t="s">
        <v>22</v>
      </c>
      <c r="AJ26" s="208" t="s">
        <v>11</v>
      </c>
      <c r="AK26" s="208">
        <v>11.3</v>
      </c>
      <c r="AL26" s="82"/>
      <c r="AO26" s="83"/>
      <c r="AP26" s="82"/>
      <c r="AS26" s="83"/>
      <c r="AW26" s="83"/>
      <c r="BA26" s="84"/>
    </row>
    <row r="27" spans="1:53" s="208" customFormat="1" x14ac:dyDescent="0.15">
      <c r="A27" s="102">
        <v>1968.5428571428599</v>
      </c>
      <c r="B27" s="207"/>
      <c r="C27" s="811" t="s">
        <v>824</v>
      </c>
      <c r="D27" s="811"/>
      <c r="E27" s="208">
        <v>365</v>
      </c>
      <c r="G27" s="123">
        <v>8</v>
      </c>
      <c r="H27" s="208">
        <v>6</v>
      </c>
      <c r="J27" s="134">
        <v>14</v>
      </c>
      <c r="K27" s="92">
        <f t="shared" si="0"/>
        <v>57.142857142857139</v>
      </c>
      <c r="L27" s="92">
        <f t="shared" si="0"/>
        <v>42.857142857142854</v>
      </c>
      <c r="M27" s="92">
        <f t="shared" si="0"/>
        <v>0</v>
      </c>
      <c r="N27" s="125">
        <f t="shared" si="1"/>
        <v>100</v>
      </c>
      <c r="O27" s="91">
        <v>29.3</v>
      </c>
      <c r="P27" s="92">
        <v>28</v>
      </c>
      <c r="Q27" s="92"/>
      <c r="R27" s="93">
        <f t="shared" si="2"/>
        <v>57.3</v>
      </c>
      <c r="S27" s="208">
        <v>2</v>
      </c>
      <c r="T27" s="81"/>
      <c r="V27" s="82" t="s">
        <v>496</v>
      </c>
      <c r="W27" s="208" t="s">
        <v>82</v>
      </c>
      <c r="X27" s="208" t="s">
        <v>18</v>
      </c>
      <c r="Y27" s="83">
        <v>28</v>
      </c>
      <c r="Z27" s="208" t="s">
        <v>497</v>
      </c>
      <c r="AA27" s="208" t="s">
        <v>17</v>
      </c>
      <c r="AB27" s="208" t="s">
        <v>11</v>
      </c>
      <c r="AC27" s="208">
        <v>10</v>
      </c>
      <c r="AD27" s="82" t="s">
        <v>498</v>
      </c>
      <c r="AE27" s="208" t="s">
        <v>86</v>
      </c>
      <c r="AF27" s="208" t="s">
        <v>11</v>
      </c>
      <c r="AG27" s="83">
        <v>8</v>
      </c>
      <c r="AH27" s="208" t="s">
        <v>499</v>
      </c>
      <c r="AI27" s="208" t="s">
        <v>22</v>
      </c>
      <c r="AJ27" s="208" t="s">
        <v>11</v>
      </c>
      <c r="AK27" s="208">
        <v>11.3</v>
      </c>
      <c r="AL27" s="82"/>
      <c r="AO27" s="83"/>
      <c r="AP27" s="82"/>
      <c r="AS27" s="83"/>
      <c r="AW27" s="83"/>
      <c r="BA27" s="84"/>
    </row>
    <row r="28" spans="1:53" s="208" customFormat="1" x14ac:dyDescent="0.15">
      <c r="A28" s="102">
        <v>1970</v>
      </c>
      <c r="B28" s="207"/>
      <c r="C28" s="811" t="s">
        <v>824</v>
      </c>
      <c r="D28" s="811"/>
      <c r="E28" s="208">
        <v>0</v>
      </c>
      <c r="G28" s="123">
        <v>8</v>
      </c>
      <c r="H28" s="208">
        <v>6</v>
      </c>
      <c r="J28" s="134">
        <v>14</v>
      </c>
      <c r="K28" s="92">
        <f t="shared" si="0"/>
        <v>57.142857142857139</v>
      </c>
      <c r="L28" s="92">
        <f t="shared" si="0"/>
        <v>42.857142857142854</v>
      </c>
      <c r="M28" s="92">
        <f t="shared" si="0"/>
        <v>0</v>
      </c>
      <c r="N28" s="125">
        <f t="shared" si="1"/>
        <v>100</v>
      </c>
      <c r="O28" s="91">
        <v>29.3</v>
      </c>
      <c r="P28" s="92">
        <v>28</v>
      </c>
      <c r="Q28" s="92"/>
      <c r="R28" s="93">
        <f t="shared" si="2"/>
        <v>57.3</v>
      </c>
      <c r="S28" s="208">
        <v>2</v>
      </c>
      <c r="T28" s="81"/>
      <c r="V28" s="82" t="s">
        <v>496</v>
      </c>
      <c r="W28" s="208" t="s">
        <v>82</v>
      </c>
      <c r="X28" s="208" t="s">
        <v>18</v>
      </c>
      <c r="Y28" s="83">
        <v>28</v>
      </c>
      <c r="Z28" s="208" t="s">
        <v>497</v>
      </c>
      <c r="AA28" s="208" t="s">
        <v>17</v>
      </c>
      <c r="AB28" s="208" t="s">
        <v>11</v>
      </c>
      <c r="AC28" s="208">
        <v>10</v>
      </c>
      <c r="AD28" s="82" t="s">
        <v>498</v>
      </c>
      <c r="AE28" s="208" t="s">
        <v>86</v>
      </c>
      <c r="AF28" s="208" t="s">
        <v>11</v>
      </c>
      <c r="AG28" s="83">
        <v>8</v>
      </c>
      <c r="AH28" s="208" t="s">
        <v>499</v>
      </c>
      <c r="AI28" s="208" t="s">
        <v>22</v>
      </c>
      <c r="AJ28" s="208" t="s">
        <v>11</v>
      </c>
      <c r="AK28" s="208">
        <v>11.3</v>
      </c>
      <c r="AL28" s="82"/>
      <c r="AO28" s="83"/>
      <c r="AP28" s="82"/>
      <c r="AS28" s="83"/>
      <c r="AW28" s="83"/>
      <c r="BA28" s="84"/>
    </row>
    <row r="29" spans="1:53" s="208" customFormat="1" x14ac:dyDescent="0.15">
      <c r="A29" s="102">
        <v>1970</v>
      </c>
      <c r="B29" s="207"/>
      <c r="C29" s="811" t="s">
        <v>824</v>
      </c>
      <c r="D29" s="811"/>
      <c r="E29" s="208">
        <v>365</v>
      </c>
      <c r="G29" s="123">
        <v>8</v>
      </c>
      <c r="H29" s="208">
        <v>6</v>
      </c>
      <c r="J29" s="134">
        <v>14</v>
      </c>
      <c r="K29" s="92">
        <f t="shared" si="0"/>
        <v>57.142857142857139</v>
      </c>
      <c r="L29" s="92">
        <f t="shared" si="0"/>
        <v>42.857142857142854</v>
      </c>
      <c r="M29" s="92">
        <f t="shared" si="0"/>
        <v>0</v>
      </c>
      <c r="N29" s="125">
        <f t="shared" si="1"/>
        <v>100</v>
      </c>
      <c r="O29" s="91">
        <v>29.3</v>
      </c>
      <c r="P29" s="92">
        <v>28</v>
      </c>
      <c r="Q29" s="92"/>
      <c r="R29" s="93">
        <f t="shared" si="2"/>
        <v>57.3</v>
      </c>
      <c r="S29" s="208">
        <v>2</v>
      </c>
      <c r="T29" s="81"/>
      <c r="V29" s="82" t="s">
        <v>496</v>
      </c>
      <c r="W29" s="208" t="s">
        <v>82</v>
      </c>
      <c r="X29" s="208" t="s">
        <v>18</v>
      </c>
      <c r="Y29" s="83">
        <v>28</v>
      </c>
      <c r="Z29" s="208" t="s">
        <v>497</v>
      </c>
      <c r="AA29" s="208" t="s">
        <v>17</v>
      </c>
      <c r="AB29" s="208" t="s">
        <v>11</v>
      </c>
      <c r="AC29" s="208">
        <v>10</v>
      </c>
      <c r="AD29" s="82" t="s">
        <v>498</v>
      </c>
      <c r="AE29" s="208" t="s">
        <v>86</v>
      </c>
      <c r="AF29" s="208" t="s">
        <v>11</v>
      </c>
      <c r="AG29" s="83">
        <v>8</v>
      </c>
      <c r="AH29" s="208" t="s">
        <v>499</v>
      </c>
      <c r="AI29" s="208" t="s">
        <v>22</v>
      </c>
      <c r="AJ29" s="208" t="s">
        <v>11</v>
      </c>
      <c r="AK29" s="208">
        <v>11.3</v>
      </c>
      <c r="AL29" s="82"/>
      <c r="AO29" s="83"/>
      <c r="AP29" s="82"/>
      <c r="AS29" s="83"/>
      <c r="AW29" s="83"/>
      <c r="BA29" s="84"/>
    </row>
    <row r="30" spans="1:53" s="208" customFormat="1" x14ac:dyDescent="0.15">
      <c r="A30" s="102">
        <v>1971</v>
      </c>
      <c r="B30" s="207"/>
      <c r="C30" s="811" t="s">
        <v>824</v>
      </c>
      <c r="D30" s="811"/>
      <c r="E30" s="208">
        <v>186</v>
      </c>
      <c r="G30" s="123">
        <v>8</v>
      </c>
      <c r="H30" s="208">
        <v>6</v>
      </c>
      <c r="J30" s="134">
        <v>14</v>
      </c>
      <c r="K30" s="92">
        <f t="shared" si="0"/>
        <v>57.142857142857139</v>
      </c>
      <c r="L30" s="92">
        <f t="shared" si="0"/>
        <v>42.857142857142854</v>
      </c>
      <c r="M30" s="92">
        <f t="shared" si="0"/>
        <v>0</v>
      </c>
      <c r="N30" s="125">
        <f t="shared" si="1"/>
        <v>100</v>
      </c>
      <c r="O30" s="91">
        <v>29.3</v>
      </c>
      <c r="P30" s="92">
        <v>28</v>
      </c>
      <c r="Q30" s="92"/>
      <c r="R30" s="93">
        <f t="shared" si="2"/>
        <v>57.3</v>
      </c>
      <c r="S30" s="208">
        <v>2</v>
      </c>
      <c r="T30" s="81"/>
      <c r="V30" s="82" t="s">
        <v>496</v>
      </c>
      <c r="W30" s="208" t="s">
        <v>82</v>
      </c>
      <c r="X30" s="208" t="s">
        <v>18</v>
      </c>
      <c r="Y30" s="83">
        <v>28</v>
      </c>
      <c r="Z30" s="208" t="s">
        <v>497</v>
      </c>
      <c r="AA30" s="208" t="s">
        <v>17</v>
      </c>
      <c r="AB30" s="208" t="s">
        <v>11</v>
      </c>
      <c r="AC30" s="208">
        <v>10</v>
      </c>
      <c r="AD30" s="82" t="s">
        <v>498</v>
      </c>
      <c r="AE30" s="208" t="s">
        <v>86</v>
      </c>
      <c r="AF30" s="208" t="s">
        <v>11</v>
      </c>
      <c r="AG30" s="83">
        <v>8</v>
      </c>
      <c r="AH30" s="208" t="s">
        <v>499</v>
      </c>
      <c r="AI30" s="208" t="s">
        <v>22</v>
      </c>
      <c r="AJ30" s="208" t="s">
        <v>11</v>
      </c>
      <c r="AK30" s="208">
        <v>11.3</v>
      </c>
      <c r="AL30" s="82"/>
      <c r="AO30" s="83"/>
      <c r="AP30" s="82"/>
      <c r="AS30" s="83"/>
      <c r="AW30" s="83"/>
      <c r="BA30" s="84"/>
    </row>
    <row r="31" spans="1:53" s="334" customFormat="1" x14ac:dyDescent="0.15">
      <c r="A31" s="386">
        <v>1971</v>
      </c>
      <c r="B31" s="355">
        <v>26120</v>
      </c>
      <c r="C31" s="812" t="s">
        <v>668</v>
      </c>
      <c r="D31" s="812"/>
      <c r="E31" s="334">
        <v>179</v>
      </c>
      <c r="F31" s="334">
        <v>1</v>
      </c>
      <c r="G31" s="419">
        <v>8</v>
      </c>
      <c r="H31" s="334">
        <v>8</v>
      </c>
      <c r="J31" s="435">
        <v>16</v>
      </c>
      <c r="K31" s="384">
        <f t="shared" si="0"/>
        <v>50</v>
      </c>
      <c r="L31" s="384">
        <f t="shared" si="0"/>
        <v>50</v>
      </c>
      <c r="M31" s="384">
        <f t="shared" si="0"/>
        <v>0</v>
      </c>
      <c r="N31" s="421">
        <f t="shared" si="1"/>
        <v>100</v>
      </c>
      <c r="O31" s="383">
        <v>26.099999999999998</v>
      </c>
      <c r="P31" s="384">
        <v>28.6</v>
      </c>
      <c r="Q31" s="384"/>
      <c r="R31" s="385">
        <f t="shared" si="2"/>
        <v>54.7</v>
      </c>
      <c r="S31" s="334">
        <v>2</v>
      </c>
      <c r="T31" s="342">
        <v>26020</v>
      </c>
      <c r="U31" s="355">
        <v>26120</v>
      </c>
      <c r="V31" s="343" t="s">
        <v>496</v>
      </c>
      <c r="W31" s="334" t="s">
        <v>82</v>
      </c>
      <c r="X31" s="334" t="s">
        <v>18</v>
      </c>
      <c r="Y31" s="344">
        <v>23.3</v>
      </c>
      <c r="Z31" s="334" t="s">
        <v>497</v>
      </c>
      <c r="AA31" s="334" t="s">
        <v>17</v>
      </c>
      <c r="AB31" s="334" t="s">
        <v>11</v>
      </c>
      <c r="AC31" s="334">
        <v>8.6999999999999993</v>
      </c>
      <c r="AD31" s="343" t="s">
        <v>498</v>
      </c>
      <c r="AE31" s="334" t="s">
        <v>86</v>
      </c>
      <c r="AF31" s="334" t="s">
        <v>11</v>
      </c>
      <c r="AG31" s="344">
        <v>6.7</v>
      </c>
      <c r="AH31" s="334" t="s">
        <v>499</v>
      </c>
      <c r="AI31" s="334" t="s">
        <v>22</v>
      </c>
      <c r="AJ31" s="334" t="s">
        <v>11</v>
      </c>
      <c r="AK31" s="334">
        <v>10.7</v>
      </c>
      <c r="AL31" s="343" t="s">
        <v>501</v>
      </c>
      <c r="AM31" s="334" t="s">
        <v>98</v>
      </c>
      <c r="AN31" s="334" t="s">
        <v>18</v>
      </c>
      <c r="AO31" s="344">
        <v>5.3</v>
      </c>
      <c r="AP31" s="343"/>
      <c r="AS31" s="344"/>
      <c r="AW31" s="344"/>
      <c r="BA31" s="345"/>
    </row>
    <row r="32" spans="1:53" s="334" customFormat="1" x14ac:dyDescent="0.15">
      <c r="A32" s="386">
        <v>1972</v>
      </c>
      <c r="B32" s="355"/>
      <c r="C32" s="812" t="s">
        <v>668</v>
      </c>
      <c r="D32" s="812"/>
      <c r="E32" s="334">
        <v>229</v>
      </c>
      <c r="G32" s="419">
        <v>8</v>
      </c>
      <c r="H32" s="334">
        <v>8</v>
      </c>
      <c r="J32" s="435">
        <v>16</v>
      </c>
      <c r="K32" s="384">
        <f t="shared" si="0"/>
        <v>50</v>
      </c>
      <c r="L32" s="384">
        <f t="shared" si="0"/>
        <v>50</v>
      </c>
      <c r="M32" s="384">
        <f t="shared" si="0"/>
        <v>0</v>
      </c>
      <c r="N32" s="421">
        <f t="shared" si="1"/>
        <v>100</v>
      </c>
      <c r="O32" s="383">
        <v>26.099999999999998</v>
      </c>
      <c r="P32" s="384">
        <v>28.6</v>
      </c>
      <c r="Q32" s="384"/>
      <c r="R32" s="385">
        <f t="shared" si="2"/>
        <v>54.7</v>
      </c>
      <c r="S32" s="334">
        <v>2</v>
      </c>
      <c r="T32" s="357"/>
      <c r="V32" s="343" t="s">
        <v>496</v>
      </c>
      <c r="W32" s="334" t="s">
        <v>82</v>
      </c>
      <c r="X32" s="334" t="s">
        <v>18</v>
      </c>
      <c r="Y32" s="344">
        <v>23.3</v>
      </c>
      <c r="Z32" s="334" t="s">
        <v>497</v>
      </c>
      <c r="AA32" s="334" t="s">
        <v>17</v>
      </c>
      <c r="AB32" s="334" t="s">
        <v>11</v>
      </c>
      <c r="AC32" s="334">
        <v>8.6999999999999993</v>
      </c>
      <c r="AD32" s="343" t="s">
        <v>498</v>
      </c>
      <c r="AE32" s="334" t="s">
        <v>86</v>
      </c>
      <c r="AF32" s="334" t="s">
        <v>11</v>
      </c>
      <c r="AG32" s="344">
        <v>6.7</v>
      </c>
      <c r="AH32" s="334" t="s">
        <v>499</v>
      </c>
      <c r="AI32" s="334" t="s">
        <v>22</v>
      </c>
      <c r="AJ32" s="334" t="s">
        <v>11</v>
      </c>
      <c r="AK32" s="334">
        <v>10.7</v>
      </c>
      <c r="AL32" s="343" t="s">
        <v>501</v>
      </c>
      <c r="AM32" s="334" t="s">
        <v>98</v>
      </c>
      <c r="AN32" s="334" t="s">
        <v>18</v>
      </c>
      <c r="AO32" s="344">
        <v>5.3</v>
      </c>
      <c r="AP32" s="343"/>
      <c r="AS32" s="344"/>
      <c r="AW32" s="344"/>
      <c r="BA32" s="345"/>
    </row>
    <row r="33" spans="1:53" s="208" customFormat="1" x14ac:dyDescent="0.15">
      <c r="A33" s="102">
        <v>1972</v>
      </c>
      <c r="B33" s="207">
        <v>26528</v>
      </c>
      <c r="C33" s="811" t="s">
        <v>669</v>
      </c>
      <c r="D33" s="811"/>
      <c r="E33" s="208">
        <f>366-E32</f>
        <v>137</v>
      </c>
      <c r="F33" s="208">
        <v>4</v>
      </c>
      <c r="G33" s="123">
        <v>8</v>
      </c>
      <c r="H33" s="208">
        <v>6</v>
      </c>
      <c r="J33" s="134">
        <v>14</v>
      </c>
      <c r="K33" s="92">
        <f t="shared" si="0"/>
        <v>57.142857142857139</v>
      </c>
      <c r="L33" s="92">
        <f t="shared" si="0"/>
        <v>42.857142857142854</v>
      </c>
      <c r="M33" s="92">
        <f t="shared" si="0"/>
        <v>0</v>
      </c>
      <c r="N33" s="125">
        <f t="shared" si="1"/>
        <v>100</v>
      </c>
      <c r="O33" s="91">
        <v>26.099999999999998</v>
      </c>
      <c r="P33" s="92">
        <v>23.3</v>
      </c>
      <c r="Q33" s="92"/>
      <c r="R33" s="93">
        <f t="shared" si="2"/>
        <v>49.4</v>
      </c>
      <c r="S33" s="208">
        <v>6</v>
      </c>
      <c r="T33" s="95">
        <v>26632</v>
      </c>
      <c r="U33" s="207">
        <v>26528</v>
      </c>
      <c r="V33" s="82" t="s">
        <v>496</v>
      </c>
      <c r="W33" s="208" t="s">
        <v>82</v>
      </c>
      <c r="X33" s="208" t="s">
        <v>18</v>
      </c>
      <c r="Y33" s="83">
        <v>23.3</v>
      </c>
      <c r="Z33" s="208" t="s">
        <v>497</v>
      </c>
      <c r="AA33" s="208" t="s">
        <v>17</v>
      </c>
      <c r="AB33" s="208" t="s">
        <v>11</v>
      </c>
      <c r="AC33" s="208">
        <v>8.6999999999999993</v>
      </c>
      <c r="AD33" s="82" t="s">
        <v>498</v>
      </c>
      <c r="AE33" s="208" t="s">
        <v>86</v>
      </c>
      <c r="AF33" s="208" t="s">
        <v>11</v>
      </c>
      <c r="AG33" s="83">
        <v>6.7</v>
      </c>
      <c r="AH33" s="208" t="s">
        <v>499</v>
      </c>
      <c r="AI33" s="208" t="s">
        <v>22</v>
      </c>
      <c r="AJ33" s="208" t="s">
        <v>11</v>
      </c>
      <c r="AK33" s="208">
        <v>10.7</v>
      </c>
      <c r="AL33" s="82"/>
      <c r="AO33" s="83"/>
      <c r="AP33" s="82"/>
      <c r="AS33" s="83"/>
      <c r="AW33" s="83"/>
      <c r="BA33" s="84"/>
    </row>
    <row r="34" spans="1:53" s="208" customFormat="1" x14ac:dyDescent="0.15">
      <c r="A34" s="102">
        <v>1973</v>
      </c>
      <c r="B34" s="207"/>
      <c r="C34" s="811" t="s">
        <v>669</v>
      </c>
      <c r="D34" s="811"/>
      <c r="E34" s="208">
        <v>130</v>
      </c>
      <c r="G34" s="123">
        <v>8</v>
      </c>
      <c r="H34" s="208">
        <v>6</v>
      </c>
      <c r="J34" s="134">
        <v>14</v>
      </c>
      <c r="K34" s="92">
        <f t="shared" si="0"/>
        <v>57.142857142857139</v>
      </c>
      <c r="L34" s="92">
        <f t="shared" si="0"/>
        <v>42.857142857142854</v>
      </c>
      <c r="M34" s="92">
        <f t="shared" si="0"/>
        <v>0</v>
      </c>
      <c r="N34" s="125">
        <f t="shared" si="1"/>
        <v>100</v>
      </c>
      <c r="O34" s="91">
        <v>26.099999999999998</v>
      </c>
      <c r="P34" s="92">
        <v>23.3</v>
      </c>
      <c r="Q34" s="92"/>
      <c r="R34" s="93">
        <f t="shared" si="2"/>
        <v>49.4</v>
      </c>
      <c r="S34" s="208">
        <v>6</v>
      </c>
      <c r="T34" s="81"/>
      <c r="V34" s="82" t="s">
        <v>496</v>
      </c>
      <c r="W34" s="208" t="s">
        <v>82</v>
      </c>
      <c r="X34" s="208" t="s">
        <v>18</v>
      </c>
      <c r="Y34" s="83">
        <v>23.3</v>
      </c>
      <c r="Z34" s="208" t="s">
        <v>497</v>
      </c>
      <c r="AA34" s="208" t="s">
        <v>17</v>
      </c>
      <c r="AB34" s="208" t="s">
        <v>11</v>
      </c>
      <c r="AC34" s="208">
        <v>8.6999999999999993</v>
      </c>
      <c r="AD34" s="82" t="s">
        <v>498</v>
      </c>
      <c r="AE34" s="208" t="s">
        <v>86</v>
      </c>
      <c r="AF34" s="208" t="s">
        <v>11</v>
      </c>
      <c r="AG34" s="83">
        <v>6.7</v>
      </c>
      <c r="AH34" s="208" t="s">
        <v>499</v>
      </c>
      <c r="AI34" s="208" t="s">
        <v>22</v>
      </c>
      <c r="AJ34" s="208" t="s">
        <v>11</v>
      </c>
      <c r="AK34" s="208">
        <v>10.7</v>
      </c>
      <c r="AL34" s="82"/>
      <c r="AO34" s="83"/>
      <c r="AP34" s="82"/>
      <c r="AS34" s="83"/>
      <c r="AW34" s="83"/>
      <c r="BA34" s="84"/>
    </row>
    <row r="35" spans="1:53" s="334" customFormat="1" x14ac:dyDescent="0.15">
      <c r="A35" s="386">
        <v>1973</v>
      </c>
      <c r="B35" s="355">
        <v>26795</v>
      </c>
      <c r="C35" s="812" t="s">
        <v>825</v>
      </c>
      <c r="D35" s="812"/>
      <c r="E35" s="334">
        <f>365-E34</f>
        <v>235</v>
      </c>
      <c r="F35" s="334">
        <v>1</v>
      </c>
      <c r="G35" s="419">
        <v>2</v>
      </c>
      <c r="H35" s="334">
        <v>5</v>
      </c>
      <c r="I35" s="334">
        <v>9</v>
      </c>
      <c r="J35" s="435">
        <v>16</v>
      </c>
      <c r="K35" s="384">
        <f t="shared" si="0"/>
        <v>12.5</v>
      </c>
      <c r="L35" s="384">
        <f t="shared" si="0"/>
        <v>31.25</v>
      </c>
      <c r="M35" s="384">
        <f t="shared" si="0"/>
        <v>56.25</v>
      </c>
      <c r="N35" s="421">
        <f t="shared" si="1"/>
        <v>100</v>
      </c>
      <c r="O35" s="383">
        <v>9.3000000000000007</v>
      </c>
      <c r="P35" s="384">
        <v>22</v>
      </c>
      <c r="Q35" s="384">
        <v>33.4</v>
      </c>
      <c r="R35" s="385">
        <f t="shared" si="2"/>
        <v>64.7</v>
      </c>
      <c r="S35" s="334">
        <v>3</v>
      </c>
      <c r="T35" s="357"/>
      <c r="U35" s="355">
        <v>26795</v>
      </c>
      <c r="V35" s="343" t="s">
        <v>496</v>
      </c>
      <c r="W35" s="334" t="s">
        <v>82</v>
      </c>
      <c r="X35" s="334" t="s">
        <v>18</v>
      </c>
      <c r="Y35" s="344">
        <v>18</v>
      </c>
      <c r="Z35" s="334" t="s">
        <v>497</v>
      </c>
      <c r="AA35" s="334" t="s">
        <v>17</v>
      </c>
      <c r="AB35" s="334" t="s">
        <v>11</v>
      </c>
      <c r="AC35" s="334">
        <v>9.3000000000000007</v>
      </c>
      <c r="AD35" s="343" t="s">
        <v>500</v>
      </c>
      <c r="AE35" s="334" t="s">
        <v>20</v>
      </c>
      <c r="AF35" s="334" t="s">
        <v>12</v>
      </c>
      <c r="AG35" s="344">
        <v>28.7</v>
      </c>
      <c r="AH35" s="334" t="s">
        <v>502</v>
      </c>
      <c r="AI35" s="334" t="s">
        <v>88</v>
      </c>
      <c r="AJ35" s="334" t="s">
        <v>18</v>
      </c>
      <c r="AK35" s="334">
        <v>4</v>
      </c>
      <c r="AL35" s="343" t="s">
        <v>577</v>
      </c>
      <c r="AM35" s="334" t="s">
        <v>337</v>
      </c>
      <c r="AN35" s="334" t="s">
        <v>12</v>
      </c>
      <c r="AO35" s="344">
        <v>4.7</v>
      </c>
      <c r="AP35" s="343"/>
      <c r="AS35" s="344"/>
      <c r="AW35" s="344"/>
      <c r="BA35" s="345"/>
    </row>
    <row r="36" spans="1:53" s="334" customFormat="1" x14ac:dyDescent="0.15">
      <c r="A36" s="386">
        <v>1974</v>
      </c>
      <c r="B36" s="355"/>
      <c r="C36" s="812" t="s">
        <v>825</v>
      </c>
      <c r="D36" s="812"/>
      <c r="E36" s="334">
        <v>0</v>
      </c>
      <c r="G36" s="419">
        <v>2</v>
      </c>
      <c r="H36" s="334">
        <v>5</v>
      </c>
      <c r="I36" s="334">
        <v>9</v>
      </c>
      <c r="J36" s="435">
        <v>16</v>
      </c>
      <c r="K36" s="384">
        <f t="shared" si="0"/>
        <v>12.5</v>
      </c>
      <c r="L36" s="384">
        <f t="shared" si="0"/>
        <v>31.25</v>
      </c>
      <c r="M36" s="384">
        <f t="shared" si="0"/>
        <v>56.25</v>
      </c>
      <c r="N36" s="421">
        <f t="shared" si="1"/>
        <v>100</v>
      </c>
      <c r="O36" s="383">
        <v>9.3000000000000007</v>
      </c>
      <c r="P36" s="384">
        <v>22</v>
      </c>
      <c r="Q36" s="384">
        <v>33.4</v>
      </c>
      <c r="R36" s="385">
        <f t="shared" si="2"/>
        <v>64.7</v>
      </c>
      <c r="S36" s="334">
        <v>3</v>
      </c>
      <c r="T36" s="357"/>
      <c r="V36" s="343" t="s">
        <v>496</v>
      </c>
      <c r="W36" s="334" t="s">
        <v>82</v>
      </c>
      <c r="X36" s="334" t="s">
        <v>18</v>
      </c>
      <c r="Y36" s="344">
        <v>18</v>
      </c>
      <c r="Z36" s="334" t="s">
        <v>497</v>
      </c>
      <c r="AA36" s="334" t="s">
        <v>17</v>
      </c>
      <c r="AB36" s="334" t="s">
        <v>11</v>
      </c>
      <c r="AC36" s="334">
        <v>9.3000000000000007</v>
      </c>
      <c r="AD36" s="343" t="s">
        <v>500</v>
      </c>
      <c r="AE36" s="334" t="s">
        <v>20</v>
      </c>
      <c r="AF36" s="334" t="s">
        <v>12</v>
      </c>
      <c r="AG36" s="344">
        <v>28.7</v>
      </c>
      <c r="AH36" s="334" t="s">
        <v>502</v>
      </c>
      <c r="AI36" s="334" t="s">
        <v>88</v>
      </c>
      <c r="AJ36" s="334" t="s">
        <v>18</v>
      </c>
      <c r="AK36" s="334">
        <v>4</v>
      </c>
      <c r="AL36" s="343" t="s">
        <v>577</v>
      </c>
      <c r="AM36" s="334" t="s">
        <v>337</v>
      </c>
      <c r="AN36" s="334" t="s">
        <v>12</v>
      </c>
      <c r="AO36" s="344">
        <v>4.7</v>
      </c>
      <c r="AP36" s="343"/>
      <c r="AS36" s="344"/>
      <c r="AW36" s="344"/>
      <c r="BA36" s="345"/>
    </row>
    <row r="37" spans="1:53" s="334" customFormat="1" x14ac:dyDescent="0.15">
      <c r="A37" s="386">
        <v>1974</v>
      </c>
      <c r="B37" s="355"/>
      <c r="C37" s="812" t="s">
        <v>825</v>
      </c>
      <c r="D37" s="812"/>
      <c r="E37" s="334">
        <v>365</v>
      </c>
      <c r="G37" s="419">
        <v>2</v>
      </c>
      <c r="H37" s="334">
        <v>5</v>
      </c>
      <c r="I37" s="334">
        <v>9</v>
      </c>
      <c r="J37" s="435">
        <v>16</v>
      </c>
      <c r="K37" s="384">
        <f t="shared" si="0"/>
        <v>12.5</v>
      </c>
      <c r="L37" s="384">
        <f t="shared" si="0"/>
        <v>31.25</v>
      </c>
      <c r="M37" s="384">
        <f t="shared" si="0"/>
        <v>56.25</v>
      </c>
      <c r="N37" s="421">
        <f t="shared" si="1"/>
        <v>100</v>
      </c>
      <c r="O37" s="383">
        <v>9.3000000000000007</v>
      </c>
      <c r="P37" s="384">
        <v>22</v>
      </c>
      <c r="Q37" s="384">
        <v>33.4</v>
      </c>
      <c r="R37" s="385">
        <f t="shared" si="2"/>
        <v>64.7</v>
      </c>
      <c r="S37" s="334">
        <v>3</v>
      </c>
      <c r="T37" s="357"/>
      <c r="V37" s="343" t="s">
        <v>496</v>
      </c>
      <c r="W37" s="334" t="s">
        <v>82</v>
      </c>
      <c r="X37" s="334" t="s">
        <v>18</v>
      </c>
      <c r="Y37" s="344">
        <v>18</v>
      </c>
      <c r="Z37" s="334" t="s">
        <v>497</v>
      </c>
      <c r="AA37" s="334" t="s">
        <v>17</v>
      </c>
      <c r="AB37" s="334" t="s">
        <v>11</v>
      </c>
      <c r="AC37" s="334">
        <v>9.3000000000000007</v>
      </c>
      <c r="AD37" s="343" t="s">
        <v>500</v>
      </c>
      <c r="AE37" s="334" t="s">
        <v>20</v>
      </c>
      <c r="AF37" s="334" t="s">
        <v>12</v>
      </c>
      <c r="AG37" s="344">
        <v>28.7</v>
      </c>
      <c r="AH37" s="334" t="s">
        <v>502</v>
      </c>
      <c r="AI37" s="334" t="s">
        <v>88</v>
      </c>
      <c r="AJ37" s="334" t="s">
        <v>18</v>
      </c>
      <c r="AK37" s="334">
        <v>4</v>
      </c>
      <c r="AL37" s="343" t="s">
        <v>577</v>
      </c>
      <c r="AM37" s="334" t="s">
        <v>337</v>
      </c>
      <c r="AN37" s="334" t="s">
        <v>12</v>
      </c>
      <c r="AO37" s="344">
        <v>4.7</v>
      </c>
      <c r="AP37" s="343"/>
      <c r="AS37" s="344"/>
      <c r="AW37" s="344"/>
      <c r="BA37" s="345"/>
    </row>
    <row r="38" spans="1:53" s="334" customFormat="1" x14ac:dyDescent="0.15">
      <c r="A38" s="386">
        <v>1975</v>
      </c>
      <c r="B38" s="355"/>
      <c r="C38" s="812" t="s">
        <v>825</v>
      </c>
      <c r="D38" s="812"/>
      <c r="E38" s="334">
        <v>0</v>
      </c>
      <c r="G38" s="419">
        <v>2</v>
      </c>
      <c r="H38" s="334">
        <v>5</v>
      </c>
      <c r="I38" s="334">
        <v>9</v>
      </c>
      <c r="J38" s="435">
        <v>16</v>
      </c>
      <c r="K38" s="384">
        <f t="shared" si="0"/>
        <v>12.5</v>
      </c>
      <c r="L38" s="384">
        <f t="shared" si="0"/>
        <v>31.25</v>
      </c>
      <c r="M38" s="384">
        <f t="shared" si="0"/>
        <v>56.25</v>
      </c>
      <c r="N38" s="421">
        <f t="shared" si="1"/>
        <v>100</v>
      </c>
      <c r="O38" s="383">
        <v>9.3000000000000007</v>
      </c>
      <c r="P38" s="384">
        <v>22</v>
      </c>
      <c r="Q38" s="384">
        <v>33.4</v>
      </c>
      <c r="R38" s="385">
        <f t="shared" si="2"/>
        <v>64.7</v>
      </c>
      <c r="S38" s="334">
        <v>3</v>
      </c>
      <c r="T38" s="357"/>
      <c r="V38" s="343" t="s">
        <v>496</v>
      </c>
      <c r="W38" s="334" t="s">
        <v>82</v>
      </c>
      <c r="X38" s="334" t="s">
        <v>18</v>
      </c>
      <c r="Y38" s="344">
        <v>18</v>
      </c>
      <c r="Z38" s="334" t="s">
        <v>497</v>
      </c>
      <c r="AA38" s="334" t="s">
        <v>17</v>
      </c>
      <c r="AB38" s="334" t="s">
        <v>11</v>
      </c>
      <c r="AC38" s="334">
        <v>9.3000000000000007</v>
      </c>
      <c r="AD38" s="343" t="s">
        <v>500</v>
      </c>
      <c r="AE38" s="334" t="s">
        <v>20</v>
      </c>
      <c r="AF38" s="334" t="s">
        <v>12</v>
      </c>
      <c r="AG38" s="344">
        <v>28.7</v>
      </c>
      <c r="AH38" s="334" t="s">
        <v>502</v>
      </c>
      <c r="AI38" s="334" t="s">
        <v>88</v>
      </c>
      <c r="AJ38" s="334" t="s">
        <v>18</v>
      </c>
      <c r="AK38" s="334">
        <v>4</v>
      </c>
      <c r="AL38" s="343" t="s">
        <v>577</v>
      </c>
      <c r="AM38" s="334" t="s">
        <v>337</v>
      </c>
      <c r="AN38" s="334" t="s">
        <v>12</v>
      </c>
      <c r="AO38" s="344">
        <v>4.7</v>
      </c>
      <c r="AP38" s="343"/>
      <c r="AS38" s="344"/>
      <c r="AW38" s="344"/>
      <c r="BA38" s="345"/>
    </row>
    <row r="39" spans="1:53" s="334" customFormat="1" x14ac:dyDescent="0.15">
      <c r="A39" s="386">
        <v>1975</v>
      </c>
      <c r="B39" s="355"/>
      <c r="C39" s="812" t="s">
        <v>825</v>
      </c>
      <c r="D39" s="812"/>
      <c r="E39" s="334">
        <v>365</v>
      </c>
      <c r="G39" s="419">
        <v>2</v>
      </c>
      <c r="H39" s="334">
        <v>5</v>
      </c>
      <c r="I39" s="334">
        <v>9</v>
      </c>
      <c r="J39" s="435">
        <v>16</v>
      </c>
      <c r="K39" s="384">
        <f t="shared" si="0"/>
        <v>12.5</v>
      </c>
      <c r="L39" s="384">
        <f t="shared" si="0"/>
        <v>31.25</v>
      </c>
      <c r="M39" s="384">
        <f t="shared" si="0"/>
        <v>56.25</v>
      </c>
      <c r="N39" s="421">
        <f t="shared" si="1"/>
        <v>100</v>
      </c>
      <c r="O39" s="383">
        <v>9.3000000000000007</v>
      </c>
      <c r="P39" s="384">
        <v>22</v>
      </c>
      <c r="Q39" s="384">
        <v>33.4</v>
      </c>
      <c r="R39" s="385">
        <f t="shared" si="2"/>
        <v>64.7</v>
      </c>
      <c r="S39" s="334">
        <v>3</v>
      </c>
      <c r="T39" s="357"/>
      <c r="V39" s="343" t="s">
        <v>496</v>
      </c>
      <c r="W39" s="334" t="s">
        <v>82</v>
      </c>
      <c r="X39" s="334" t="s">
        <v>18</v>
      </c>
      <c r="Y39" s="344">
        <v>18</v>
      </c>
      <c r="Z39" s="334" t="s">
        <v>497</v>
      </c>
      <c r="AA39" s="334" t="s">
        <v>17</v>
      </c>
      <c r="AB39" s="334" t="s">
        <v>11</v>
      </c>
      <c r="AC39" s="334">
        <v>9.3000000000000007</v>
      </c>
      <c r="AD39" s="343" t="s">
        <v>500</v>
      </c>
      <c r="AE39" s="334" t="s">
        <v>20</v>
      </c>
      <c r="AF39" s="334" t="s">
        <v>12</v>
      </c>
      <c r="AG39" s="344">
        <v>28.7</v>
      </c>
      <c r="AH39" s="334" t="s">
        <v>502</v>
      </c>
      <c r="AI39" s="334" t="s">
        <v>88</v>
      </c>
      <c r="AJ39" s="334" t="s">
        <v>18</v>
      </c>
      <c r="AK39" s="334">
        <v>4</v>
      </c>
      <c r="AL39" s="343" t="s">
        <v>577</v>
      </c>
      <c r="AM39" s="334" t="s">
        <v>337</v>
      </c>
      <c r="AN39" s="334" t="s">
        <v>12</v>
      </c>
      <c r="AO39" s="344">
        <v>4.7</v>
      </c>
      <c r="AP39" s="343"/>
      <c r="AS39" s="344"/>
      <c r="AW39" s="344"/>
      <c r="BA39" s="345"/>
    </row>
    <row r="40" spans="1:53" s="334" customFormat="1" x14ac:dyDescent="0.15">
      <c r="A40" s="386">
        <v>1976</v>
      </c>
      <c r="B40" s="355"/>
      <c r="C40" s="812" t="s">
        <v>825</v>
      </c>
      <c r="D40" s="812"/>
      <c r="E40" s="334">
        <v>0</v>
      </c>
      <c r="G40" s="419">
        <v>2</v>
      </c>
      <c r="H40" s="334">
        <v>5</v>
      </c>
      <c r="I40" s="334">
        <v>9</v>
      </c>
      <c r="J40" s="435">
        <v>16</v>
      </c>
      <c r="K40" s="384">
        <f t="shared" si="0"/>
        <v>12.5</v>
      </c>
      <c r="L40" s="384">
        <f t="shared" si="0"/>
        <v>31.25</v>
      </c>
      <c r="M40" s="384">
        <f t="shared" si="0"/>
        <v>56.25</v>
      </c>
      <c r="N40" s="421">
        <f t="shared" si="1"/>
        <v>100</v>
      </c>
      <c r="O40" s="383">
        <v>9.3000000000000007</v>
      </c>
      <c r="P40" s="384">
        <v>22</v>
      </c>
      <c r="Q40" s="384">
        <v>33.4</v>
      </c>
      <c r="R40" s="385">
        <f t="shared" si="2"/>
        <v>64.7</v>
      </c>
      <c r="S40" s="334">
        <v>3</v>
      </c>
      <c r="T40" s="357"/>
      <c r="V40" s="343" t="s">
        <v>496</v>
      </c>
      <c r="W40" s="334" t="s">
        <v>82</v>
      </c>
      <c r="X40" s="334" t="s">
        <v>18</v>
      </c>
      <c r="Y40" s="344">
        <v>18</v>
      </c>
      <c r="Z40" s="334" t="s">
        <v>497</v>
      </c>
      <c r="AA40" s="334" t="s">
        <v>17</v>
      </c>
      <c r="AB40" s="334" t="s">
        <v>11</v>
      </c>
      <c r="AC40" s="334">
        <v>9.3000000000000007</v>
      </c>
      <c r="AD40" s="343" t="s">
        <v>500</v>
      </c>
      <c r="AE40" s="334" t="s">
        <v>20</v>
      </c>
      <c r="AF40" s="334" t="s">
        <v>12</v>
      </c>
      <c r="AG40" s="344">
        <v>28.7</v>
      </c>
      <c r="AH40" s="334" t="s">
        <v>502</v>
      </c>
      <c r="AI40" s="334" t="s">
        <v>88</v>
      </c>
      <c r="AJ40" s="334" t="s">
        <v>18</v>
      </c>
      <c r="AK40" s="334">
        <v>4</v>
      </c>
      <c r="AL40" s="343" t="s">
        <v>577</v>
      </c>
      <c r="AM40" s="334" t="s">
        <v>337</v>
      </c>
      <c r="AN40" s="334" t="s">
        <v>12</v>
      </c>
      <c r="AO40" s="344">
        <v>4.7</v>
      </c>
      <c r="AP40" s="343"/>
      <c r="AS40" s="344"/>
      <c r="AW40" s="344"/>
      <c r="BA40" s="345"/>
    </row>
    <row r="41" spans="1:53" s="334" customFormat="1" x14ac:dyDescent="0.15">
      <c r="A41" s="386">
        <v>1976</v>
      </c>
      <c r="B41" s="355"/>
      <c r="C41" s="812" t="s">
        <v>825</v>
      </c>
      <c r="D41" s="812"/>
      <c r="E41" s="334">
        <v>366</v>
      </c>
      <c r="G41" s="419">
        <v>2</v>
      </c>
      <c r="H41" s="334">
        <v>5</v>
      </c>
      <c r="I41" s="334">
        <v>9</v>
      </c>
      <c r="J41" s="435">
        <v>16</v>
      </c>
      <c r="K41" s="384">
        <f t="shared" si="0"/>
        <v>12.5</v>
      </c>
      <c r="L41" s="384">
        <f t="shared" si="0"/>
        <v>31.25</v>
      </c>
      <c r="M41" s="384">
        <f t="shared" si="0"/>
        <v>56.25</v>
      </c>
      <c r="N41" s="421">
        <f t="shared" si="1"/>
        <v>100</v>
      </c>
      <c r="O41" s="383">
        <v>9.3000000000000007</v>
      </c>
      <c r="P41" s="384">
        <v>22</v>
      </c>
      <c r="Q41" s="384">
        <v>33.4</v>
      </c>
      <c r="R41" s="385">
        <f t="shared" si="2"/>
        <v>64.7</v>
      </c>
      <c r="S41" s="334">
        <v>3</v>
      </c>
      <c r="T41" s="357"/>
      <c r="V41" s="343" t="s">
        <v>496</v>
      </c>
      <c r="W41" s="334" t="s">
        <v>82</v>
      </c>
      <c r="X41" s="334" t="s">
        <v>18</v>
      </c>
      <c r="Y41" s="344">
        <v>18</v>
      </c>
      <c r="Z41" s="334" t="s">
        <v>497</v>
      </c>
      <c r="AA41" s="334" t="s">
        <v>17</v>
      </c>
      <c r="AB41" s="334" t="s">
        <v>11</v>
      </c>
      <c r="AC41" s="334">
        <v>9.3000000000000007</v>
      </c>
      <c r="AD41" s="343" t="s">
        <v>500</v>
      </c>
      <c r="AE41" s="334" t="s">
        <v>20</v>
      </c>
      <c r="AF41" s="334" t="s">
        <v>12</v>
      </c>
      <c r="AG41" s="344">
        <v>28.7</v>
      </c>
      <c r="AH41" s="334" t="s">
        <v>502</v>
      </c>
      <c r="AI41" s="334" t="s">
        <v>88</v>
      </c>
      <c r="AJ41" s="334" t="s">
        <v>18</v>
      </c>
      <c r="AK41" s="334">
        <v>4</v>
      </c>
      <c r="AL41" s="343" t="s">
        <v>577</v>
      </c>
      <c r="AM41" s="334" t="s">
        <v>337</v>
      </c>
      <c r="AN41" s="334" t="s">
        <v>12</v>
      </c>
      <c r="AO41" s="344">
        <v>4.7</v>
      </c>
      <c r="AP41" s="343"/>
      <c r="AS41" s="344"/>
      <c r="AW41" s="344"/>
      <c r="BA41" s="345"/>
    </row>
    <row r="42" spans="1:53" s="334" customFormat="1" x14ac:dyDescent="0.15">
      <c r="A42" s="386">
        <v>1977</v>
      </c>
      <c r="B42" s="355"/>
      <c r="C42" s="812" t="s">
        <v>825</v>
      </c>
      <c r="D42" s="812"/>
      <c r="E42" s="334">
        <v>352</v>
      </c>
      <c r="G42" s="419">
        <v>2</v>
      </c>
      <c r="H42" s="334">
        <v>5</v>
      </c>
      <c r="I42" s="334">
        <v>9</v>
      </c>
      <c r="J42" s="435">
        <v>16</v>
      </c>
      <c r="K42" s="384">
        <f t="shared" si="0"/>
        <v>12.5</v>
      </c>
      <c r="L42" s="384">
        <f t="shared" si="0"/>
        <v>31.25</v>
      </c>
      <c r="M42" s="384">
        <f t="shared" si="0"/>
        <v>56.25</v>
      </c>
      <c r="N42" s="421">
        <f t="shared" si="1"/>
        <v>100</v>
      </c>
      <c r="O42" s="383">
        <v>9.3000000000000007</v>
      </c>
      <c r="P42" s="384">
        <v>22</v>
      </c>
      <c r="Q42" s="384">
        <v>33.4</v>
      </c>
      <c r="R42" s="385">
        <f t="shared" si="2"/>
        <v>64.7</v>
      </c>
      <c r="S42" s="334">
        <v>3</v>
      </c>
      <c r="T42" s="357"/>
      <c r="V42" s="343" t="s">
        <v>496</v>
      </c>
      <c r="W42" s="334" t="s">
        <v>82</v>
      </c>
      <c r="X42" s="334" t="s">
        <v>18</v>
      </c>
      <c r="Y42" s="344">
        <v>18</v>
      </c>
      <c r="Z42" s="334" t="s">
        <v>497</v>
      </c>
      <c r="AA42" s="334" t="s">
        <v>17</v>
      </c>
      <c r="AB42" s="334" t="s">
        <v>11</v>
      </c>
      <c r="AC42" s="334">
        <v>9.3000000000000007</v>
      </c>
      <c r="AD42" s="343" t="s">
        <v>500</v>
      </c>
      <c r="AE42" s="334" t="s">
        <v>20</v>
      </c>
      <c r="AF42" s="334" t="s">
        <v>12</v>
      </c>
      <c r="AG42" s="344">
        <v>28.7</v>
      </c>
      <c r="AH42" s="334" t="s">
        <v>502</v>
      </c>
      <c r="AI42" s="334" t="s">
        <v>88</v>
      </c>
      <c r="AJ42" s="334" t="s">
        <v>18</v>
      </c>
      <c r="AK42" s="334">
        <v>4</v>
      </c>
      <c r="AL42" s="343" t="s">
        <v>577</v>
      </c>
      <c r="AM42" s="334" t="s">
        <v>337</v>
      </c>
      <c r="AN42" s="334" t="s">
        <v>12</v>
      </c>
      <c r="AO42" s="344">
        <v>4.7</v>
      </c>
      <c r="AP42" s="343"/>
      <c r="AS42" s="344"/>
      <c r="AW42" s="344"/>
      <c r="BA42" s="345"/>
    </row>
    <row r="43" spans="1:53" s="208" customFormat="1" x14ac:dyDescent="0.15">
      <c r="A43" s="102">
        <v>1977</v>
      </c>
      <c r="B43" s="207">
        <v>28478</v>
      </c>
      <c r="C43" s="811" t="s">
        <v>826</v>
      </c>
      <c r="D43" s="811"/>
      <c r="E43" s="208">
        <f>365-E42</f>
        <v>13</v>
      </c>
      <c r="F43" s="208">
        <v>4</v>
      </c>
      <c r="G43" s="123">
        <v>5</v>
      </c>
      <c r="H43" s="208">
        <v>10</v>
      </c>
      <c r="J43" s="134">
        <v>15</v>
      </c>
      <c r="K43" s="92">
        <f t="shared" si="0"/>
        <v>33.333333333333329</v>
      </c>
      <c r="L43" s="92">
        <f>H43/$J43*100</f>
        <v>66.666666666666657</v>
      </c>
      <c r="M43" s="92">
        <f>I43/$J43*100</f>
        <v>0</v>
      </c>
      <c r="N43" s="125">
        <f t="shared" si="1"/>
        <v>99.999999999999986</v>
      </c>
      <c r="O43" s="91">
        <v>18.7</v>
      </c>
      <c r="P43" s="92">
        <v>32.700000000000003</v>
      </c>
      <c r="Q43" s="92"/>
      <c r="R43" s="93">
        <f t="shared" si="2"/>
        <v>51.400000000000006</v>
      </c>
      <c r="S43" s="208">
        <v>2</v>
      </c>
      <c r="T43" s="95">
        <v>28270</v>
      </c>
      <c r="U43" s="207">
        <v>28478</v>
      </c>
      <c r="V43" s="82" t="s">
        <v>503</v>
      </c>
      <c r="W43" s="208" t="s">
        <v>338</v>
      </c>
      <c r="X43" s="208" t="s">
        <v>18</v>
      </c>
      <c r="Y43" s="83">
        <v>32.700000000000003</v>
      </c>
      <c r="Z43" s="208" t="s">
        <v>499</v>
      </c>
      <c r="AA43" s="208" t="s">
        <v>22</v>
      </c>
      <c r="AB43" s="208" t="s">
        <v>11</v>
      </c>
      <c r="AC43" s="208">
        <v>18.7</v>
      </c>
      <c r="AD43" s="82"/>
      <c r="AG43" s="83"/>
      <c r="AL43" s="82"/>
      <c r="AO43" s="83"/>
      <c r="AP43" s="82"/>
      <c r="AS43" s="83"/>
      <c r="AW43" s="83"/>
      <c r="BA43" s="84"/>
    </row>
    <row r="44" spans="1:53" s="208" customFormat="1" x14ac:dyDescent="0.15">
      <c r="A44" s="102">
        <v>1978</v>
      </c>
      <c r="B44" s="207"/>
      <c r="C44" s="811" t="s">
        <v>826</v>
      </c>
      <c r="D44" s="811"/>
      <c r="E44" s="208">
        <v>0</v>
      </c>
      <c r="G44" s="123">
        <v>5</v>
      </c>
      <c r="H44" s="208">
        <v>10</v>
      </c>
      <c r="J44" s="134">
        <v>15</v>
      </c>
      <c r="K44" s="92">
        <f>G44/$J44*100</f>
        <v>33.333333333333329</v>
      </c>
      <c r="L44" s="92">
        <f t="shared" si="0"/>
        <v>66.666666666666657</v>
      </c>
      <c r="M44" s="92">
        <f t="shared" si="0"/>
        <v>0</v>
      </c>
      <c r="N44" s="125">
        <f t="shared" si="1"/>
        <v>99.999999999999986</v>
      </c>
      <c r="O44" s="91">
        <v>18.7</v>
      </c>
      <c r="P44" s="92">
        <v>32.700000000000003</v>
      </c>
      <c r="Q44" s="92"/>
      <c r="R44" s="93">
        <f t="shared" si="2"/>
        <v>51.400000000000006</v>
      </c>
      <c r="S44" s="208">
        <v>2</v>
      </c>
      <c r="T44" s="81"/>
      <c r="V44" s="82" t="s">
        <v>503</v>
      </c>
      <c r="W44" s="208" t="s">
        <v>338</v>
      </c>
      <c r="X44" s="208" t="s">
        <v>18</v>
      </c>
      <c r="Y44" s="83">
        <v>32.700000000000003</v>
      </c>
      <c r="Z44" s="208" t="s">
        <v>499</v>
      </c>
      <c r="AA44" s="208" t="s">
        <v>22</v>
      </c>
      <c r="AB44" s="208" t="s">
        <v>11</v>
      </c>
      <c r="AC44" s="208">
        <v>18.7</v>
      </c>
      <c r="AD44" s="82"/>
      <c r="AG44" s="83"/>
      <c r="AL44" s="82"/>
      <c r="AO44" s="83"/>
      <c r="AP44" s="82"/>
      <c r="AS44" s="83"/>
      <c r="AW44" s="83"/>
      <c r="BA44" s="84"/>
    </row>
    <row r="45" spans="1:53" s="208" customFormat="1" x14ac:dyDescent="0.15">
      <c r="A45" s="102">
        <v>1978</v>
      </c>
      <c r="B45" s="207"/>
      <c r="C45" s="811" t="s">
        <v>826</v>
      </c>
      <c r="D45" s="811"/>
      <c r="E45" s="208">
        <v>365</v>
      </c>
      <c r="G45" s="123">
        <v>5</v>
      </c>
      <c r="H45" s="208">
        <v>10</v>
      </c>
      <c r="J45" s="134">
        <v>15</v>
      </c>
      <c r="K45" s="92">
        <f t="shared" si="0"/>
        <v>33.333333333333329</v>
      </c>
      <c r="L45" s="92">
        <f t="shared" si="0"/>
        <v>66.666666666666657</v>
      </c>
      <c r="M45" s="92">
        <f t="shared" si="0"/>
        <v>0</v>
      </c>
      <c r="N45" s="125">
        <f t="shared" si="1"/>
        <v>99.999999999999986</v>
      </c>
      <c r="O45" s="91">
        <v>18.7</v>
      </c>
      <c r="P45" s="92">
        <v>32.700000000000003</v>
      </c>
      <c r="Q45" s="92"/>
      <c r="R45" s="93">
        <f t="shared" si="2"/>
        <v>51.400000000000006</v>
      </c>
      <c r="S45" s="208">
        <v>2</v>
      </c>
      <c r="T45" s="81"/>
      <c r="V45" s="82" t="s">
        <v>503</v>
      </c>
      <c r="W45" s="208" t="s">
        <v>338</v>
      </c>
      <c r="X45" s="208" t="s">
        <v>18</v>
      </c>
      <c r="Y45" s="83">
        <v>32.700000000000003</v>
      </c>
      <c r="Z45" s="208" t="s">
        <v>499</v>
      </c>
      <c r="AA45" s="208" t="s">
        <v>22</v>
      </c>
      <c r="AB45" s="208" t="s">
        <v>11</v>
      </c>
      <c r="AC45" s="208">
        <v>18.7</v>
      </c>
      <c r="AD45" s="82"/>
      <c r="AG45" s="83"/>
      <c r="AL45" s="82"/>
      <c r="AO45" s="83"/>
      <c r="AP45" s="82"/>
      <c r="AS45" s="83"/>
      <c r="AW45" s="83"/>
      <c r="BA45" s="84"/>
    </row>
    <row r="46" spans="1:53" s="208" customFormat="1" x14ac:dyDescent="0.15">
      <c r="A46" s="102">
        <v>1979</v>
      </c>
      <c r="B46" s="207"/>
      <c r="C46" s="811" t="s">
        <v>826</v>
      </c>
      <c r="D46" s="811"/>
      <c r="E46" s="208">
        <v>0</v>
      </c>
      <c r="G46" s="123">
        <v>5</v>
      </c>
      <c r="H46" s="208">
        <v>10</v>
      </c>
      <c r="J46" s="134">
        <v>15</v>
      </c>
      <c r="K46" s="92">
        <f t="shared" si="0"/>
        <v>33.333333333333329</v>
      </c>
      <c r="L46" s="92">
        <f t="shared" si="0"/>
        <v>66.666666666666657</v>
      </c>
      <c r="M46" s="92">
        <f t="shared" si="0"/>
        <v>0</v>
      </c>
      <c r="N46" s="125">
        <f t="shared" si="1"/>
        <v>99.999999999999986</v>
      </c>
      <c r="O46" s="91">
        <v>18.7</v>
      </c>
      <c r="P46" s="92">
        <v>32.700000000000003</v>
      </c>
      <c r="Q46" s="92"/>
      <c r="R46" s="93">
        <f t="shared" si="2"/>
        <v>51.400000000000006</v>
      </c>
      <c r="S46" s="208">
        <v>2</v>
      </c>
      <c r="T46" s="81"/>
      <c r="V46" s="82" t="s">
        <v>503</v>
      </c>
      <c r="W46" s="208" t="s">
        <v>338</v>
      </c>
      <c r="X46" s="208" t="s">
        <v>18</v>
      </c>
      <c r="Y46" s="83">
        <v>32.700000000000003</v>
      </c>
      <c r="Z46" s="208" t="s">
        <v>499</v>
      </c>
      <c r="AA46" s="208" t="s">
        <v>22</v>
      </c>
      <c r="AB46" s="208" t="s">
        <v>11</v>
      </c>
      <c r="AC46" s="208">
        <v>18.7</v>
      </c>
      <c r="AD46" s="82"/>
      <c r="AG46" s="83"/>
      <c r="AL46" s="82"/>
      <c r="AO46" s="83"/>
      <c r="AP46" s="82"/>
      <c r="AS46" s="83"/>
      <c r="AW46" s="83"/>
      <c r="BA46" s="84"/>
    </row>
    <row r="47" spans="1:53" s="208" customFormat="1" x14ac:dyDescent="0.15">
      <c r="A47" s="102">
        <v>1979</v>
      </c>
      <c r="B47" s="207"/>
      <c r="C47" s="811" t="s">
        <v>826</v>
      </c>
      <c r="D47" s="811"/>
      <c r="E47" s="208">
        <v>365</v>
      </c>
      <c r="G47" s="123">
        <v>5</v>
      </c>
      <c r="H47" s="208">
        <v>10</v>
      </c>
      <c r="J47" s="134">
        <v>15</v>
      </c>
      <c r="K47" s="92">
        <f t="shared" si="0"/>
        <v>33.333333333333329</v>
      </c>
      <c r="L47" s="92">
        <f t="shared" si="0"/>
        <v>66.666666666666657</v>
      </c>
      <c r="M47" s="92">
        <f t="shared" si="0"/>
        <v>0</v>
      </c>
      <c r="N47" s="125">
        <f t="shared" si="1"/>
        <v>99.999999999999986</v>
      </c>
      <c r="O47" s="91">
        <v>18.7</v>
      </c>
      <c r="P47" s="92">
        <v>32.700000000000003</v>
      </c>
      <c r="Q47" s="92"/>
      <c r="R47" s="93">
        <f t="shared" si="2"/>
        <v>51.400000000000006</v>
      </c>
      <c r="S47" s="208">
        <v>2</v>
      </c>
      <c r="T47" s="81"/>
      <c r="V47" s="82" t="s">
        <v>503</v>
      </c>
      <c r="W47" s="208" t="s">
        <v>338</v>
      </c>
      <c r="X47" s="208" t="s">
        <v>18</v>
      </c>
      <c r="Y47" s="83">
        <v>32.700000000000003</v>
      </c>
      <c r="Z47" s="208" t="s">
        <v>499</v>
      </c>
      <c r="AA47" s="208" t="s">
        <v>22</v>
      </c>
      <c r="AB47" s="208" t="s">
        <v>11</v>
      </c>
      <c r="AC47" s="208">
        <v>18.7</v>
      </c>
      <c r="AD47" s="82"/>
      <c r="AG47" s="83"/>
      <c r="AL47" s="82"/>
      <c r="AO47" s="83"/>
      <c r="AP47" s="82"/>
      <c r="AS47" s="83"/>
      <c r="AW47" s="83"/>
      <c r="BA47" s="84"/>
    </row>
    <row r="48" spans="1:53" s="208" customFormat="1" x14ac:dyDescent="0.15">
      <c r="A48" s="102">
        <v>1980</v>
      </c>
      <c r="B48" s="207"/>
      <c r="C48" s="811" t="s">
        <v>826</v>
      </c>
      <c r="D48" s="811"/>
      <c r="E48" s="208">
        <v>0</v>
      </c>
      <c r="G48" s="123">
        <v>5</v>
      </c>
      <c r="H48" s="208">
        <v>10</v>
      </c>
      <c r="J48" s="134">
        <v>15</v>
      </c>
      <c r="K48" s="92">
        <f t="shared" si="0"/>
        <v>33.333333333333329</v>
      </c>
      <c r="L48" s="92">
        <f t="shared" si="0"/>
        <v>66.666666666666657</v>
      </c>
      <c r="M48" s="92">
        <f t="shared" si="0"/>
        <v>0</v>
      </c>
      <c r="N48" s="125">
        <f t="shared" si="1"/>
        <v>99.999999999999986</v>
      </c>
      <c r="O48" s="91">
        <v>18.7</v>
      </c>
      <c r="P48" s="92">
        <v>32.700000000000003</v>
      </c>
      <c r="Q48" s="92"/>
      <c r="R48" s="93">
        <f t="shared" si="2"/>
        <v>51.400000000000006</v>
      </c>
      <c r="S48" s="208">
        <v>2</v>
      </c>
      <c r="T48" s="81"/>
      <c r="V48" s="82" t="s">
        <v>503</v>
      </c>
      <c r="W48" s="208" t="s">
        <v>338</v>
      </c>
      <c r="X48" s="208" t="s">
        <v>18</v>
      </c>
      <c r="Y48" s="83">
        <v>32.700000000000003</v>
      </c>
      <c r="Z48" s="208" t="s">
        <v>499</v>
      </c>
      <c r="AA48" s="208" t="s">
        <v>22</v>
      </c>
      <c r="AB48" s="208" t="s">
        <v>11</v>
      </c>
      <c r="AC48" s="208">
        <v>18.7</v>
      </c>
      <c r="AD48" s="82"/>
      <c r="AG48" s="83"/>
      <c r="AL48" s="82"/>
      <c r="AO48" s="83"/>
      <c r="AP48" s="82"/>
      <c r="AS48" s="83"/>
      <c r="AW48" s="83"/>
      <c r="BA48" s="84"/>
    </row>
    <row r="49" spans="1:53" s="208" customFormat="1" x14ac:dyDescent="0.15">
      <c r="A49" s="102">
        <v>1980</v>
      </c>
      <c r="B49" s="207"/>
      <c r="C49" s="811" t="s">
        <v>826</v>
      </c>
      <c r="D49" s="811"/>
      <c r="E49" s="208">
        <v>366</v>
      </c>
      <c r="G49" s="123">
        <v>5</v>
      </c>
      <c r="H49" s="208">
        <v>10</v>
      </c>
      <c r="J49" s="134">
        <v>15</v>
      </c>
      <c r="K49" s="92">
        <f t="shared" si="0"/>
        <v>33.333333333333329</v>
      </c>
      <c r="L49" s="92">
        <f t="shared" si="0"/>
        <v>66.666666666666657</v>
      </c>
      <c r="M49" s="92">
        <f t="shared" si="0"/>
        <v>0</v>
      </c>
      <c r="N49" s="125">
        <f t="shared" si="1"/>
        <v>99.999999999999986</v>
      </c>
      <c r="O49" s="91">
        <v>18.7</v>
      </c>
      <c r="P49" s="92">
        <v>32.700000000000003</v>
      </c>
      <c r="Q49" s="92"/>
      <c r="R49" s="93">
        <f t="shared" si="2"/>
        <v>51.400000000000006</v>
      </c>
      <c r="S49" s="208">
        <v>2</v>
      </c>
      <c r="T49" s="81"/>
      <c r="V49" s="82" t="s">
        <v>503</v>
      </c>
      <c r="W49" s="208" t="s">
        <v>338</v>
      </c>
      <c r="X49" s="208" t="s">
        <v>18</v>
      </c>
      <c r="Y49" s="83">
        <v>32.700000000000003</v>
      </c>
      <c r="Z49" s="208" t="s">
        <v>499</v>
      </c>
      <c r="AA49" s="208" t="s">
        <v>22</v>
      </c>
      <c r="AB49" s="208" t="s">
        <v>11</v>
      </c>
      <c r="AC49" s="208">
        <v>18.7</v>
      </c>
      <c r="AD49" s="82"/>
      <c r="AG49" s="83"/>
      <c r="AL49" s="82"/>
      <c r="AO49" s="83"/>
      <c r="AP49" s="82"/>
      <c r="AS49" s="83"/>
      <c r="AW49" s="83"/>
      <c r="BA49" s="84"/>
    </row>
    <row r="50" spans="1:53" s="208" customFormat="1" x14ac:dyDescent="0.15">
      <c r="A50" s="102">
        <v>1981</v>
      </c>
      <c r="B50" s="207"/>
      <c r="C50" s="811" t="s">
        <v>826</v>
      </c>
      <c r="D50" s="811"/>
      <c r="E50" s="208">
        <v>253</v>
      </c>
      <c r="G50" s="123">
        <v>5</v>
      </c>
      <c r="H50" s="208">
        <v>10</v>
      </c>
      <c r="J50" s="134">
        <v>15</v>
      </c>
      <c r="K50" s="92">
        <f t="shared" si="0"/>
        <v>33.333333333333329</v>
      </c>
      <c r="L50" s="92">
        <f t="shared" si="0"/>
        <v>66.666666666666657</v>
      </c>
      <c r="M50" s="92">
        <f t="shared" si="0"/>
        <v>0</v>
      </c>
      <c r="N50" s="125">
        <f t="shared" si="1"/>
        <v>99.999999999999986</v>
      </c>
      <c r="O50" s="91">
        <v>18.7</v>
      </c>
      <c r="P50" s="92">
        <v>32.700000000000003</v>
      </c>
      <c r="Q50" s="92"/>
      <c r="R50" s="93">
        <f t="shared" si="2"/>
        <v>51.400000000000006</v>
      </c>
      <c r="S50" s="208">
        <v>2</v>
      </c>
      <c r="T50" s="81"/>
      <c r="V50" s="82" t="s">
        <v>503</v>
      </c>
      <c r="W50" s="208" t="s">
        <v>338</v>
      </c>
      <c r="X50" s="208" t="s">
        <v>18</v>
      </c>
      <c r="Y50" s="83">
        <v>32.700000000000003</v>
      </c>
      <c r="Z50" s="208" t="s">
        <v>499</v>
      </c>
      <c r="AA50" s="208" t="s">
        <v>22</v>
      </c>
      <c r="AB50" s="208" t="s">
        <v>11</v>
      </c>
      <c r="AC50" s="208">
        <v>18.7</v>
      </c>
      <c r="AD50" s="82"/>
      <c r="AG50" s="83"/>
      <c r="AL50" s="82"/>
      <c r="AO50" s="83"/>
      <c r="AP50" s="82"/>
      <c r="AS50" s="83"/>
      <c r="AW50" s="83"/>
      <c r="BA50" s="84"/>
    </row>
    <row r="51" spans="1:53" s="334" customFormat="1" x14ac:dyDescent="0.15">
      <c r="A51" s="386">
        <v>1981</v>
      </c>
      <c r="B51" s="355">
        <v>29840</v>
      </c>
      <c r="C51" s="812" t="s">
        <v>827</v>
      </c>
      <c r="D51" s="812"/>
      <c r="E51" s="334">
        <f>365-E50</f>
        <v>112</v>
      </c>
      <c r="F51" s="334">
        <v>1</v>
      </c>
      <c r="G51" s="419"/>
      <c r="H51" s="334">
        <v>9</v>
      </c>
      <c r="I51" s="334">
        <v>6</v>
      </c>
      <c r="J51" s="435">
        <v>15</v>
      </c>
      <c r="K51" s="384">
        <f t="shared" si="0"/>
        <v>0</v>
      </c>
      <c r="L51" s="384">
        <f t="shared" si="0"/>
        <v>60</v>
      </c>
      <c r="M51" s="384">
        <f t="shared" si="0"/>
        <v>40</v>
      </c>
      <c r="N51" s="421">
        <f t="shared" si="1"/>
        <v>100</v>
      </c>
      <c r="O51" s="383"/>
      <c r="P51" s="384">
        <v>43.3</v>
      </c>
      <c r="Q51" s="384">
        <v>29.3</v>
      </c>
      <c r="R51" s="385">
        <f t="shared" si="2"/>
        <v>72.599999999999994</v>
      </c>
      <c r="S51" s="334">
        <v>3</v>
      </c>
      <c r="T51" s="342">
        <v>29732</v>
      </c>
      <c r="U51" s="355">
        <v>29840</v>
      </c>
      <c r="V51" s="343" t="s">
        <v>503</v>
      </c>
      <c r="W51" s="334" t="s">
        <v>338</v>
      </c>
      <c r="X51" s="334" t="s">
        <v>18</v>
      </c>
      <c r="Y51" s="344">
        <v>32</v>
      </c>
      <c r="Z51" s="343" t="s">
        <v>500</v>
      </c>
      <c r="AA51" s="334" t="s">
        <v>20</v>
      </c>
      <c r="AB51" s="334" t="s">
        <v>12</v>
      </c>
      <c r="AC51" s="334">
        <v>29.3</v>
      </c>
      <c r="AD51" s="343" t="s">
        <v>502</v>
      </c>
      <c r="AE51" s="334" t="s">
        <v>88</v>
      </c>
      <c r="AF51" s="334" t="s">
        <v>18</v>
      </c>
      <c r="AG51" s="344">
        <v>11.3</v>
      </c>
      <c r="AL51" s="343"/>
      <c r="AO51" s="344"/>
      <c r="AP51" s="343"/>
      <c r="AS51" s="344"/>
      <c r="AW51" s="344"/>
      <c r="BA51" s="345"/>
    </row>
    <row r="52" spans="1:53" s="334" customFormat="1" x14ac:dyDescent="0.15">
      <c r="A52" s="386">
        <v>1982</v>
      </c>
      <c r="B52" s="355"/>
      <c r="C52" s="812" t="s">
        <v>827</v>
      </c>
      <c r="D52" s="812"/>
      <c r="E52" s="334">
        <v>148</v>
      </c>
      <c r="G52" s="419"/>
      <c r="H52" s="334">
        <v>9</v>
      </c>
      <c r="I52" s="334">
        <v>6</v>
      </c>
      <c r="J52" s="435">
        <v>15</v>
      </c>
      <c r="K52" s="384">
        <f t="shared" si="0"/>
        <v>0</v>
      </c>
      <c r="L52" s="384">
        <f t="shared" si="0"/>
        <v>60</v>
      </c>
      <c r="M52" s="384">
        <f t="shared" si="0"/>
        <v>40</v>
      </c>
      <c r="N52" s="421">
        <f t="shared" si="1"/>
        <v>100</v>
      </c>
      <c r="O52" s="383"/>
      <c r="P52" s="384">
        <v>43.3</v>
      </c>
      <c r="Q52" s="384">
        <v>29.3</v>
      </c>
      <c r="R52" s="385">
        <f t="shared" si="2"/>
        <v>72.599999999999994</v>
      </c>
      <c r="S52" s="334">
        <v>3</v>
      </c>
      <c r="T52" s="357"/>
      <c r="V52" s="343" t="s">
        <v>503</v>
      </c>
      <c r="W52" s="334" t="s">
        <v>338</v>
      </c>
      <c r="X52" s="334" t="s">
        <v>18</v>
      </c>
      <c r="Y52" s="344">
        <v>32</v>
      </c>
      <c r="Z52" s="343" t="s">
        <v>500</v>
      </c>
      <c r="AA52" s="334" t="s">
        <v>20</v>
      </c>
      <c r="AB52" s="334" t="s">
        <v>12</v>
      </c>
      <c r="AC52" s="334">
        <v>29.3</v>
      </c>
      <c r="AD52" s="343" t="s">
        <v>502</v>
      </c>
      <c r="AE52" s="334" t="s">
        <v>88</v>
      </c>
      <c r="AF52" s="334" t="s">
        <v>18</v>
      </c>
      <c r="AG52" s="344">
        <v>11.3</v>
      </c>
      <c r="AL52" s="343"/>
      <c r="AO52" s="344"/>
      <c r="AP52" s="343"/>
      <c r="AS52" s="344"/>
      <c r="AW52" s="344"/>
      <c r="BA52" s="345"/>
    </row>
    <row r="53" spans="1:53" s="208" customFormat="1" x14ac:dyDescent="0.15">
      <c r="A53" s="102">
        <v>1982</v>
      </c>
      <c r="B53" s="207">
        <v>30100</v>
      </c>
      <c r="C53" s="811" t="s">
        <v>828</v>
      </c>
      <c r="D53" s="811"/>
      <c r="E53" s="208">
        <v>159</v>
      </c>
      <c r="F53" s="208">
        <v>4</v>
      </c>
      <c r="G53" s="123"/>
      <c r="H53" s="208">
        <v>9</v>
      </c>
      <c r="I53" s="208">
        <v>6</v>
      </c>
      <c r="J53" s="134">
        <v>15</v>
      </c>
      <c r="K53" s="92">
        <f t="shared" si="0"/>
        <v>0</v>
      </c>
      <c r="L53" s="92">
        <f t="shared" si="0"/>
        <v>60</v>
      </c>
      <c r="M53" s="92">
        <f t="shared" si="0"/>
        <v>40</v>
      </c>
      <c r="N53" s="125">
        <f t="shared" si="1"/>
        <v>100</v>
      </c>
      <c r="O53" s="91"/>
      <c r="P53" s="92">
        <v>43.3</v>
      </c>
      <c r="Q53" s="92"/>
      <c r="R53" s="93">
        <f t="shared" si="2"/>
        <v>43.3</v>
      </c>
      <c r="S53" s="208">
        <v>6</v>
      </c>
      <c r="T53" s="81"/>
      <c r="U53" s="207">
        <v>30100</v>
      </c>
      <c r="V53" s="82" t="s">
        <v>503</v>
      </c>
      <c r="W53" s="208" t="s">
        <v>338</v>
      </c>
      <c r="X53" s="208" t="s">
        <v>18</v>
      </c>
      <c r="Y53" s="83">
        <v>32</v>
      </c>
      <c r="Z53" s="208" t="s">
        <v>502</v>
      </c>
      <c r="AA53" s="208" t="s">
        <v>88</v>
      </c>
      <c r="AB53" s="208" t="s">
        <v>18</v>
      </c>
      <c r="AC53" s="208">
        <v>11.3</v>
      </c>
      <c r="AD53" s="82"/>
      <c r="AG53" s="83"/>
      <c r="AL53" s="82"/>
      <c r="AO53" s="83"/>
      <c r="AP53" s="82"/>
      <c r="AS53" s="83"/>
      <c r="AW53" s="83"/>
      <c r="BA53" s="84"/>
    </row>
    <row r="54" spans="1:53" s="334" customFormat="1" x14ac:dyDescent="0.15">
      <c r="A54" s="386">
        <v>1982</v>
      </c>
      <c r="B54" s="355">
        <v>30259</v>
      </c>
      <c r="C54" s="812" t="s">
        <v>670</v>
      </c>
      <c r="D54" s="812"/>
      <c r="E54" s="334">
        <f>365-E52-E53</f>
        <v>58</v>
      </c>
      <c r="F54" s="334">
        <v>1</v>
      </c>
      <c r="G54" s="419"/>
      <c r="H54" s="334">
        <v>14</v>
      </c>
      <c r="J54" s="435">
        <v>14</v>
      </c>
      <c r="K54" s="384">
        <f t="shared" si="0"/>
        <v>0</v>
      </c>
      <c r="L54" s="384">
        <f t="shared" si="0"/>
        <v>100</v>
      </c>
      <c r="M54" s="384">
        <f t="shared" si="0"/>
        <v>0</v>
      </c>
      <c r="N54" s="421">
        <f t="shared" si="1"/>
        <v>100</v>
      </c>
      <c r="O54" s="383">
        <v>24</v>
      </c>
      <c r="P54" s="384">
        <v>30</v>
      </c>
      <c r="Q54" s="384"/>
      <c r="R54" s="385">
        <f t="shared" si="2"/>
        <v>54</v>
      </c>
      <c r="S54" s="334">
        <v>2</v>
      </c>
      <c r="T54" s="342">
        <v>30202</v>
      </c>
      <c r="U54" s="355">
        <v>30259</v>
      </c>
      <c r="V54" s="343" t="s">
        <v>503</v>
      </c>
      <c r="W54" s="334" t="s">
        <v>338</v>
      </c>
      <c r="X54" s="334" t="s">
        <v>18</v>
      </c>
      <c r="Y54" s="344">
        <v>30</v>
      </c>
      <c r="Z54" s="334" t="s">
        <v>499</v>
      </c>
      <c r="AA54" s="334" t="s">
        <v>22</v>
      </c>
      <c r="AB54" s="334" t="s">
        <v>11</v>
      </c>
      <c r="AC54" s="334">
        <v>24</v>
      </c>
      <c r="AD54" s="343"/>
      <c r="AG54" s="344"/>
      <c r="AL54" s="343"/>
      <c r="AO54" s="344"/>
      <c r="AP54" s="343"/>
      <c r="AS54" s="344"/>
      <c r="AW54" s="344"/>
      <c r="BA54" s="345"/>
    </row>
    <row r="55" spans="1:53" s="334" customFormat="1" x14ac:dyDescent="0.15">
      <c r="A55" s="386">
        <v>1983</v>
      </c>
      <c r="B55" s="355"/>
      <c r="C55" s="812" t="s">
        <v>670</v>
      </c>
      <c r="D55" s="812"/>
      <c r="E55" s="334">
        <v>0</v>
      </c>
      <c r="G55" s="419"/>
      <c r="H55" s="334">
        <v>14</v>
      </c>
      <c r="J55" s="435">
        <v>14</v>
      </c>
      <c r="K55" s="384">
        <f t="shared" si="0"/>
        <v>0</v>
      </c>
      <c r="L55" s="384">
        <f t="shared" si="0"/>
        <v>100</v>
      </c>
      <c r="M55" s="384">
        <f t="shared" si="0"/>
        <v>0</v>
      </c>
      <c r="N55" s="421">
        <f t="shared" si="1"/>
        <v>100</v>
      </c>
      <c r="O55" s="383">
        <v>24</v>
      </c>
      <c r="P55" s="384">
        <v>30</v>
      </c>
      <c r="Q55" s="384"/>
      <c r="R55" s="385">
        <f t="shared" si="2"/>
        <v>54</v>
      </c>
      <c r="S55" s="334">
        <v>2</v>
      </c>
      <c r="T55" s="357"/>
      <c r="V55" s="343" t="s">
        <v>503</v>
      </c>
      <c r="W55" s="334" t="s">
        <v>338</v>
      </c>
      <c r="X55" s="334" t="s">
        <v>18</v>
      </c>
      <c r="Y55" s="344">
        <v>30</v>
      </c>
      <c r="Z55" s="334" t="s">
        <v>499</v>
      </c>
      <c r="AA55" s="334" t="s">
        <v>22</v>
      </c>
      <c r="AB55" s="334" t="s">
        <v>11</v>
      </c>
      <c r="AC55" s="334">
        <v>24</v>
      </c>
      <c r="AD55" s="343"/>
      <c r="AG55" s="344"/>
      <c r="AL55" s="343"/>
      <c r="AO55" s="344"/>
      <c r="AP55" s="343"/>
      <c r="AS55" s="344"/>
      <c r="AW55" s="344"/>
      <c r="BA55" s="345"/>
    </row>
    <row r="56" spans="1:53" s="334" customFormat="1" x14ac:dyDescent="0.15">
      <c r="A56" s="386">
        <v>1983</v>
      </c>
      <c r="B56" s="355"/>
      <c r="C56" s="812" t="s">
        <v>670</v>
      </c>
      <c r="D56" s="812"/>
      <c r="E56" s="334">
        <v>365</v>
      </c>
      <c r="G56" s="419"/>
      <c r="H56" s="334">
        <v>14</v>
      </c>
      <c r="J56" s="435">
        <v>14</v>
      </c>
      <c r="K56" s="384">
        <f t="shared" si="0"/>
        <v>0</v>
      </c>
      <c r="L56" s="384">
        <f t="shared" si="0"/>
        <v>100</v>
      </c>
      <c r="M56" s="384">
        <f t="shared" si="0"/>
        <v>0</v>
      </c>
      <c r="N56" s="421">
        <f t="shared" si="1"/>
        <v>100</v>
      </c>
      <c r="O56" s="383">
        <v>24</v>
      </c>
      <c r="P56" s="384">
        <v>30</v>
      </c>
      <c r="Q56" s="384"/>
      <c r="R56" s="385">
        <f t="shared" si="2"/>
        <v>54</v>
      </c>
      <c r="S56" s="334">
        <v>2</v>
      </c>
      <c r="T56" s="357"/>
      <c r="V56" s="343" t="s">
        <v>503</v>
      </c>
      <c r="W56" s="334" t="s">
        <v>338</v>
      </c>
      <c r="X56" s="334" t="s">
        <v>18</v>
      </c>
      <c r="Y56" s="344">
        <v>30</v>
      </c>
      <c r="Z56" s="334" t="s">
        <v>499</v>
      </c>
      <c r="AA56" s="334" t="s">
        <v>22</v>
      </c>
      <c r="AB56" s="334" t="s">
        <v>11</v>
      </c>
      <c r="AC56" s="334">
        <v>24</v>
      </c>
      <c r="AD56" s="343"/>
      <c r="AG56" s="344"/>
      <c r="AL56" s="343"/>
      <c r="AO56" s="344"/>
      <c r="AP56" s="343"/>
      <c r="AS56" s="344"/>
      <c r="AW56" s="344"/>
      <c r="BA56" s="345"/>
    </row>
    <row r="57" spans="1:53" s="334" customFormat="1" x14ac:dyDescent="0.15">
      <c r="A57" s="386">
        <v>1984</v>
      </c>
      <c r="B57" s="355"/>
      <c r="C57" s="812" t="s">
        <v>670</v>
      </c>
      <c r="D57" s="812"/>
      <c r="E57" s="334">
        <v>0</v>
      </c>
      <c r="G57" s="419"/>
      <c r="H57" s="334">
        <v>14</v>
      </c>
      <c r="J57" s="435">
        <v>14</v>
      </c>
      <c r="K57" s="384">
        <f t="shared" si="0"/>
        <v>0</v>
      </c>
      <c r="L57" s="384">
        <f t="shared" si="0"/>
        <v>100</v>
      </c>
      <c r="M57" s="384">
        <f t="shared" si="0"/>
        <v>0</v>
      </c>
      <c r="N57" s="421">
        <f t="shared" si="1"/>
        <v>100</v>
      </c>
      <c r="O57" s="383">
        <v>24</v>
      </c>
      <c r="P57" s="384">
        <v>30</v>
      </c>
      <c r="Q57" s="384"/>
      <c r="R57" s="385">
        <f t="shared" si="2"/>
        <v>54</v>
      </c>
      <c r="S57" s="334">
        <v>2</v>
      </c>
      <c r="T57" s="357"/>
      <c r="V57" s="343" t="s">
        <v>503</v>
      </c>
      <c r="W57" s="334" t="s">
        <v>338</v>
      </c>
      <c r="X57" s="334" t="s">
        <v>18</v>
      </c>
      <c r="Y57" s="344">
        <v>30</v>
      </c>
      <c r="Z57" s="334" t="s">
        <v>499</v>
      </c>
      <c r="AA57" s="334" t="s">
        <v>22</v>
      </c>
      <c r="AB57" s="334" t="s">
        <v>11</v>
      </c>
      <c r="AC57" s="334">
        <v>24</v>
      </c>
      <c r="AD57" s="343"/>
      <c r="AG57" s="344"/>
      <c r="AL57" s="343"/>
      <c r="AO57" s="344"/>
      <c r="AP57" s="343"/>
      <c r="AS57" s="344"/>
      <c r="AW57" s="344"/>
      <c r="BA57" s="345"/>
    </row>
    <row r="58" spans="1:53" s="334" customFormat="1" x14ac:dyDescent="0.15">
      <c r="A58" s="386">
        <v>1984</v>
      </c>
      <c r="B58" s="355"/>
      <c r="C58" s="812" t="s">
        <v>670</v>
      </c>
      <c r="D58" s="812"/>
      <c r="E58" s="334">
        <v>366</v>
      </c>
      <c r="G58" s="419"/>
      <c r="H58" s="334">
        <v>14</v>
      </c>
      <c r="J58" s="435">
        <v>14</v>
      </c>
      <c r="K58" s="384">
        <f t="shared" si="0"/>
        <v>0</v>
      </c>
      <c r="L58" s="384">
        <f t="shared" si="0"/>
        <v>100</v>
      </c>
      <c r="M58" s="384">
        <f t="shared" si="0"/>
        <v>0</v>
      </c>
      <c r="N58" s="421">
        <f t="shared" si="1"/>
        <v>100</v>
      </c>
      <c r="O58" s="383">
        <v>24</v>
      </c>
      <c r="P58" s="384">
        <v>30</v>
      </c>
      <c r="Q58" s="384"/>
      <c r="R58" s="385">
        <f t="shared" si="2"/>
        <v>54</v>
      </c>
      <c r="S58" s="334">
        <v>2</v>
      </c>
      <c r="T58" s="357"/>
      <c r="V58" s="343" t="s">
        <v>503</v>
      </c>
      <c r="W58" s="334" t="s">
        <v>338</v>
      </c>
      <c r="X58" s="334" t="s">
        <v>18</v>
      </c>
      <c r="Y58" s="344">
        <v>30</v>
      </c>
      <c r="Z58" s="334" t="s">
        <v>499</v>
      </c>
      <c r="AA58" s="334" t="s">
        <v>22</v>
      </c>
      <c r="AB58" s="334" t="s">
        <v>11</v>
      </c>
      <c r="AC58" s="334">
        <v>24</v>
      </c>
      <c r="AD58" s="343"/>
      <c r="AG58" s="344"/>
      <c r="AL58" s="343"/>
      <c r="AO58" s="344"/>
      <c r="AP58" s="343"/>
      <c r="AS58" s="344"/>
      <c r="AW58" s="344"/>
      <c r="BA58" s="345"/>
    </row>
    <row r="59" spans="1:53" s="334" customFormat="1" x14ac:dyDescent="0.15">
      <c r="A59" s="386">
        <v>1985</v>
      </c>
      <c r="B59" s="355"/>
      <c r="C59" s="812" t="s">
        <v>670</v>
      </c>
      <c r="D59" s="812"/>
      <c r="E59" s="334">
        <v>0</v>
      </c>
      <c r="G59" s="419"/>
      <c r="H59" s="334">
        <v>14</v>
      </c>
      <c r="J59" s="435">
        <v>14</v>
      </c>
      <c r="K59" s="384">
        <f t="shared" si="0"/>
        <v>0</v>
      </c>
      <c r="L59" s="384">
        <f t="shared" si="0"/>
        <v>100</v>
      </c>
      <c r="M59" s="384">
        <f t="shared" si="0"/>
        <v>0</v>
      </c>
      <c r="N59" s="421">
        <f t="shared" si="1"/>
        <v>100</v>
      </c>
      <c r="O59" s="383">
        <v>24</v>
      </c>
      <c r="P59" s="384">
        <v>30</v>
      </c>
      <c r="Q59" s="384"/>
      <c r="R59" s="385">
        <f t="shared" si="2"/>
        <v>54</v>
      </c>
      <c r="S59" s="334">
        <v>2</v>
      </c>
      <c r="T59" s="357"/>
      <c r="V59" s="343" t="s">
        <v>503</v>
      </c>
      <c r="W59" s="334" t="s">
        <v>338</v>
      </c>
      <c r="X59" s="334" t="s">
        <v>18</v>
      </c>
      <c r="Y59" s="344">
        <v>30</v>
      </c>
      <c r="Z59" s="334" t="s">
        <v>499</v>
      </c>
      <c r="AA59" s="334" t="s">
        <v>22</v>
      </c>
      <c r="AB59" s="334" t="s">
        <v>11</v>
      </c>
      <c r="AC59" s="334">
        <v>24</v>
      </c>
      <c r="AD59" s="343"/>
      <c r="AG59" s="344"/>
      <c r="AL59" s="343"/>
      <c r="AO59" s="344"/>
      <c r="AP59" s="343"/>
      <c r="AS59" s="344"/>
      <c r="AW59" s="344"/>
      <c r="BA59" s="345"/>
    </row>
    <row r="60" spans="1:53" s="334" customFormat="1" x14ac:dyDescent="0.15">
      <c r="A60" s="386">
        <v>1985</v>
      </c>
      <c r="B60" s="355"/>
      <c r="C60" s="812" t="s">
        <v>670</v>
      </c>
      <c r="D60" s="812"/>
      <c r="E60" s="334">
        <v>365</v>
      </c>
      <c r="G60" s="419"/>
      <c r="H60" s="334">
        <v>14</v>
      </c>
      <c r="J60" s="435">
        <v>14</v>
      </c>
      <c r="K60" s="384">
        <f>G60/$J60*100</f>
        <v>0</v>
      </c>
      <c r="L60" s="384">
        <f t="shared" ref="L60:M112" si="3">H60/$J60*100</f>
        <v>100</v>
      </c>
      <c r="M60" s="384">
        <f t="shared" si="3"/>
        <v>0</v>
      </c>
      <c r="N60" s="421">
        <f t="shared" si="1"/>
        <v>100</v>
      </c>
      <c r="O60" s="383">
        <v>24</v>
      </c>
      <c r="P60" s="384">
        <v>30</v>
      </c>
      <c r="Q60" s="384"/>
      <c r="R60" s="385">
        <f t="shared" si="2"/>
        <v>54</v>
      </c>
      <c r="S60" s="334">
        <v>2</v>
      </c>
      <c r="T60" s="357"/>
      <c r="V60" s="343" t="s">
        <v>503</v>
      </c>
      <c r="W60" s="334" t="s">
        <v>338</v>
      </c>
      <c r="X60" s="334" t="s">
        <v>18</v>
      </c>
      <c r="Y60" s="344">
        <v>30</v>
      </c>
      <c r="Z60" s="334" t="s">
        <v>499</v>
      </c>
      <c r="AA60" s="334" t="s">
        <v>22</v>
      </c>
      <c r="AB60" s="334" t="s">
        <v>11</v>
      </c>
      <c r="AC60" s="334">
        <v>24</v>
      </c>
      <c r="AD60" s="343"/>
      <c r="AG60" s="344"/>
      <c r="AL60" s="343"/>
      <c r="AO60" s="344"/>
      <c r="AP60" s="343"/>
      <c r="AS60" s="344"/>
      <c r="AW60" s="344"/>
      <c r="BA60" s="345"/>
    </row>
    <row r="61" spans="1:53" s="334" customFormat="1" x14ac:dyDescent="0.15">
      <c r="A61" s="386">
        <v>1986</v>
      </c>
      <c r="B61" s="355"/>
      <c r="C61" s="812" t="s">
        <v>670</v>
      </c>
      <c r="D61" s="812"/>
      <c r="E61" s="334">
        <v>317</v>
      </c>
      <c r="G61" s="419"/>
      <c r="H61" s="334">
        <v>14</v>
      </c>
      <c r="J61" s="435">
        <v>14</v>
      </c>
      <c r="K61" s="384">
        <f t="shared" ref="K61:K102" si="4">G61/$J61*100</f>
        <v>0</v>
      </c>
      <c r="L61" s="384">
        <f t="shared" si="3"/>
        <v>100</v>
      </c>
      <c r="M61" s="384">
        <f t="shared" si="3"/>
        <v>0</v>
      </c>
      <c r="N61" s="421">
        <f t="shared" si="1"/>
        <v>100</v>
      </c>
      <c r="O61" s="383">
        <v>24</v>
      </c>
      <c r="P61" s="384">
        <v>30</v>
      </c>
      <c r="Q61" s="384"/>
      <c r="R61" s="385">
        <f t="shared" si="2"/>
        <v>54</v>
      </c>
      <c r="S61" s="334">
        <v>2</v>
      </c>
      <c r="T61" s="357"/>
      <c r="V61" s="343" t="s">
        <v>503</v>
      </c>
      <c r="W61" s="334" t="s">
        <v>338</v>
      </c>
      <c r="X61" s="334" t="s">
        <v>18</v>
      </c>
      <c r="Y61" s="344">
        <v>30</v>
      </c>
      <c r="Z61" s="334" t="s">
        <v>499</v>
      </c>
      <c r="AA61" s="334" t="s">
        <v>22</v>
      </c>
      <c r="AB61" s="334" t="s">
        <v>11</v>
      </c>
      <c r="AC61" s="334">
        <v>24</v>
      </c>
      <c r="AD61" s="343"/>
      <c r="AG61" s="344"/>
      <c r="AL61" s="343"/>
      <c r="AO61" s="344"/>
      <c r="AP61" s="343"/>
      <c r="AS61" s="344"/>
      <c r="AW61" s="344"/>
      <c r="BA61" s="345"/>
    </row>
    <row r="62" spans="1:53" s="208" customFormat="1" x14ac:dyDescent="0.15">
      <c r="A62" s="102">
        <v>1986</v>
      </c>
      <c r="B62" s="207">
        <v>31730</v>
      </c>
      <c r="C62" s="811" t="s">
        <v>671</v>
      </c>
      <c r="D62" s="811"/>
      <c r="E62" s="208">
        <f>365-E61</f>
        <v>48</v>
      </c>
      <c r="F62" s="208">
        <v>1</v>
      </c>
      <c r="G62" s="123">
        <v>5</v>
      </c>
      <c r="H62" s="208">
        <v>9</v>
      </c>
      <c r="J62" s="134">
        <v>14</v>
      </c>
      <c r="K62" s="92">
        <f t="shared" si="4"/>
        <v>35.714285714285715</v>
      </c>
      <c r="L62" s="92">
        <f t="shared" si="3"/>
        <v>64.285714285714292</v>
      </c>
      <c r="M62" s="92">
        <f t="shared" si="3"/>
        <v>0</v>
      </c>
      <c r="N62" s="125">
        <f t="shared" si="1"/>
        <v>100</v>
      </c>
      <c r="O62" s="91">
        <v>18</v>
      </c>
      <c r="P62" s="92">
        <v>36</v>
      </c>
      <c r="Q62" s="92"/>
      <c r="R62" s="93">
        <f t="shared" si="2"/>
        <v>54</v>
      </c>
      <c r="S62" s="208">
        <v>2</v>
      </c>
      <c r="T62" s="95">
        <v>31553</v>
      </c>
      <c r="U62" s="207">
        <v>31730</v>
      </c>
      <c r="V62" s="82" t="s">
        <v>503</v>
      </c>
      <c r="W62" s="208" t="s">
        <v>338</v>
      </c>
      <c r="X62" s="208" t="s">
        <v>18</v>
      </c>
      <c r="Y62" s="83">
        <v>36</v>
      </c>
      <c r="Z62" s="208" t="s">
        <v>499</v>
      </c>
      <c r="AA62" s="208" t="s">
        <v>22</v>
      </c>
      <c r="AB62" s="208" t="s">
        <v>11</v>
      </c>
      <c r="AC62" s="208">
        <v>18</v>
      </c>
      <c r="AD62" s="82"/>
      <c r="AG62" s="83"/>
      <c r="AL62" s="82"/>
      <c r="AO62" s="83"/>
      <c r="AP62" s="82"/>
      <c r="AS62" s="83"/>
      <c r="AW62" s="83"/>
      <c r="BA62" s="84"/>
    </row>
    <row r="63" spans="1:53" s="208" customFormat="1" x14ac:dyDescent="0.15">
      <c r="A63" s="102">
        <v>1987</v>
      </c>
      <c r="B63" s="207"/>
      <c r="C63" s="811" t="s">
        <v>671</v>
      </c>
      <c r="D63" s="811"/>
      <c r="E63" s="208">
        <v>0</v>
      </c>
      <c r="G63" s="123">
        <v>5</v>
      </c>
      <c r="H63" s="208">
        <v>9</v>
      </c>
      <c r="J63" s="134">
        <v>14</v>
      </c>
      <c r="K63" s="92">
        <f t="shared" si="4"/>
        <v>35.714285714285715</v>
      </c>
      <c r="L63" s="92">
        <f t="shared" si="3"/>
        <v>64.285714285714292</v>
      </c>
      <c r="M63" s="92">
        <f t="shared" si="3"/>
        <v>0</v>
      </c>
      <c r="N63" s="125">
        <f t="shared" si="1"/>
        <v>100</v>
      </c>
      <c r="O63" s="91">
        <v>18</v>
      </c>
      <c r="P63" s="92">
        <v>36</v>
      </c>
      <c r="Q63" s="92"/>
      <c r="R63" s="93">
        <f t="shared" si="2"/>
        <v>54</v>
      </c>
      <c r="S63" s="208">
        <v>2</v>
      </c>
      <c r="T63" s="81"/>
      <c r="V63" s="82" t="s">
        <v>503</v>
      </c>
      <c r="W63" s="208" t="s">
        <v>338</v>
      </c>
      <c r="X63" s="208" t="s">
        <v>18</v>
      </c>
      <c r="Y63" s="83">
        <v>36</v>
      </c>
      <c r="Z63" s="208" t="s">
        <v>499</v>
      </c>
      <c r="AA63" s="208" t="s">
        <v>22</v>
      </c>
      <c r="AB63" s="208" t="s">
        <v>11</v>
      </c>
      <c r="AC63" s="208">
        <v>18</v>
      </c>
      <c r="AD63" s="82"/>
      <c r="AG63" s="83"/>
      <c r="AL63" s="82"/>
      <c r="AO63" s="83"/>
      <c r="AP63" s="82"/>
      <c r="AS63" s="83"/>
      <c r="AW63" s="83"/>
      <c r="BA63" s="84"/>
    </row>
    <row r="64" spans="1:53" s="208" customFormat="1" x14ac:dyDescent="0.15">
      <c r="A64" s="102">
        <v>1987</v>
      </c>
      <c r="B64" s="207"/>
      <c r="C64" s="811" t="s">
        <v>671</v>
      </c>
      <c r="D64" s="811"/>
      <c r="E64" s="208">
        <v>365</v>
      </c>
      <c r="G64" s="123">
        <v>5</v>
      </c>
      <c r="H64" s="208">
        <v>9</v>
      </c>
      <c r="J64" s="134">
        <v>14</v>
      </c>
      <c r="K64" s="92">
        <f t="shared" si="4"/>
        <v>35.714285714285715</v>
      </c>
      <c r="L64" s="92">
        <f t="shared" si="3"/>
        <v>64.285714285714292</v>
      </c>
      <c r="M64" s="92">
        <f t="shared" si="3"/>
        <v>0</v>
      </c>
      <c r="N64" s="125">
        <f t="shared" si="1"/>
        <v>100</v>
      </c>
      <c r="O64" s="91">
        <v>18</v>
      </c>
      <c r="P64" s="92">
        <v>36</v>
      </c>
      <c r="Q64" s="92"/>
      <c r="R64" s="93">
        <f t="shared" si="2"/>
        <v>54</v>
      </c>
      <c r="S64" s="208">
        <v>2</v>
      </c>
      <c r="T64" s="81"/>
      <c r="V64" s="82" t="s">
        <v>503</v>
      </c>
      <c r="W64" s="208" t="s">
        <v>338</v>
      </c>
      <c r="X64" s="208" t="s">
        <v>18</v>
      </c>
      <c r="Y64" s="83">
        <v>36</v>
      </c>
      <c r="Z64" s="208" t="s">
        <v>499</v>
      </c>
      <c r="AA64" s="208" t="s">
        <v>22</v>
      </c>
      <c r="AB64" s="208" t="s">
        <v>11</v>
      </c>
      <c r="AC64" s="208">
        <v>18</v>
      </c>
      <c r="AD64" s="82"/>
      <c r="AG64" s="83"/>
      <c r="AL64" s="82"/>
      <c r="AO64" s="83"/>
      <c r="AP64" s="82"/>
      <c r="AS64" s="83"/>
      <c r="AW64" s="83"/>
      <c r="BA64" s="84"/>
    </row>
    <row r="65" spans="1:53" s="208" customFormat="1" x14ac:dyDescent="0.15">
      <c r="A65" s="102">
        <v>1988</v>
      </c>
      <c r="B65" s="207"/>
      <c r="C65" s="811" t="s">
        <v>671</v>
      </c>
      <c r="D65" s="811"/>
      <c r="E65" s="208">
        <v>0</v>
      </c>
      <c r="G65" s="123">
        <v>5</v>
      </c>
      <c r="H65" s="208">
        <v>9</v>
      </c>
      <c r="J65" s="134">
        <v>14</v>
      </c>
      <c r="K65" s="92">
        <f t="shared" si="4"/>
        <v>35.714285714285715</v>
      </c>
      <c r="L65" s="92">
        <f t="shared" si="3"/>
        <v>64.285714285714292</v>
      </c>
      <c r="M65" s="92">
        <f t="shared" si="3"/>
        <v>0</v>
      </c>
      <c r="N65" s="125">
        <f t="shared" si="1"/>
        <v>100</v>
      </c>
      <c r="O65" s="91">
        <v>18</v>
      </c>
      <c r="P65" s="92">
        <v>36</v>
      </c>
      <c r="Q65" s="92"/>
      <c r="R65" s="93">
        <f t="shared" si="2"/>
        <v>54</v>
      </c>
      <c r="S65" s="208">
        <v>2</v>
      </c>
      <c r="T65" s="81"/>
      <c r="V65" s="82" t="s">
        <v>503</v>
      </c>
      <c r="W65" s="208" t="s">
        <v>338</v>
      </c>
      <c r="X65" s="208" t="s">
        <v>18</v>
      </c>
      <c r="Y65" s="83">
        <v>36</v>
      </c>
      <c r="Z65" s="208" t="s">
        <v>499</v>
      </c>
      <c r="AA65" s="208" t="s">
        <v>22</v>
      </c>
      <c r="AB65" s="208" t="s">
        <v>11</v>
      </c>
      <c r="AC65" s="208">
        <v>18</v>
      </c>
      <c r="AD65" s="82"/>
      <c r="AG65" s="83"/>
      <c r="AL65" s="82"/>
      <c r="AO65" s="83"/>
      <c r="AP65" s="82"/>
      <c r="AS65" s="83"/>
      <c r="AW65" s="83"/>
      <c r="BA65" s="84"/>
    </row>
    <row r="66" spans="1:53" s="208" customFormat="1" x14ac:dyDescent="0.15">
      <c r="A66" s="102">
        <v>1988</v>
      </c>
      <c r="B66" s="207"/>
      <c r="C66" s="811" t="s">
        <v>671</v>
      </c>
      <c r="D66" s="811"/>
      <c r="E66" s="208">
        <v>366</v>
      </c>
      <c r="G66" s="123">
        <v>5</v>
      </c>
      <c r="H66" s="208">
        <v>9</v>
      </c>
      <c r="J66" s="134">
        <v>14</v>
      </c>
      <c r="K66" s="92">
        <f t="shared" si="4"/>
        <v>35.714285714285715</v>
      </c>
      <c r="L66" s="92">
        <f t="shared" si="3"/>
        <v>64.285714285714292</v>
      </c>
      <c r="M66" s="92">
        <f t="shared" si="3"/>
        <v>0</v>
      </c>
      <c r="N66" s="125">
        <f t="shared" si="1"/>
        <v>100</v>
      </c>
      <c r="O66" s="91">
        <v>18</v>
      </c>
      <c r="P66" s="92">
        <v>36</v>
      </c>
      <c r="Q66" s="92"/>
      <c r="R66" s="93">
        <f t="shared" si="2"/>
        <v>54</v>
      </c>
      <c r="S66" s="208">
        <v>2</v>
      </c>
      <c r="T66" s="81"/>
      <c r="V66" s="82" t="s">
        <v>503</v>
      </c>
      <c r="W66" s="208" t="s">
        <v>338</v>
      </c>
      <c r="X66" s="208" t="s">
        <v>18</v>
      </c>
      <c r="Y66" s="83">
        <v>36</v>
      </c>
      <c r="Z66" s="208" t="s">
        <v>499</v>
      </c>
      <c r="AA66" s="208" t="s">
        <v>22</v>
      </c>
      <c r="AB66" s="208" t="s">
        <v>11</v>
      </c>
      <c r="AC66" s="208">
        <v>18</v>
      </c>
      <c r="AD66" s="82"/>
      <c r="AG66" s="83"/>
      <c r="AL66" s="82"/>
      <c r="AO66" s="83"/>
      <c r="AP66" s="82"/>
      <c r="AS66" s="83"/>
      <c r="AW66" s="83"/>
      <c r="BA66" s="84"/>
    </row>
    <row r="67" spans="1:53" s="208" customFormat="1" x14ac:dyDescent="0.15">
      <c r="A67" s="102">
        <v>1989</v>
      </c>
      <c r="B67" s="207"/>
      <c r="C67" s="811" t="s">
        <v>671</v>
      </c>
      <c r="D67" s="811"/>
      <c r="E67" s="208">
        <v>310</v>
      </c>
      <c r="G67" s="123">
        <v>5</v>
      </c>
      <c r="H67" s="208">
        <v>9</v>
      </c>
      <c r="J67" s="134">
        <v>14</v>
      </c>
      <c r="K67" s="92">
        <f t="shared" si="4"/>
        <v>35.714285714285715</v>
      </c>
      <c r="L67" s="92">
        <f t="shared" si="3"/>
        <v>64.285714285714292</v>
      </c>
      <c r="M67" s="92">
        <f t="shared" si="3"/>
        <v>0</v>
      </c>
      <c r="N67" s="125">
        <f t="shared" si="1"/>
        <v>100</v>
      </c>
      <c r="O67" s="91">
        <v>18</v>
      </c>
      <c r="P67" s="92">
        <v>36</v>
      </c>
      <c r="Q67" s="92"/>
      <c r="R67" s="93">
        <f t="shared" si="2"/>
        <v>54</v>
      </c>
      <c r="S67" s="208">
        <v>2</v>
      </c>
      <c r="T67" s="81"/>
      <c r="V67" s="82" t="s">
        <v>503</v>
      </c>
      <c r="W67" s="208" t="s">
        <v>338</v>
      </c>
      <c r="X67" s="208" t="s">
        <v>18</v>
      </c>
      <c r="Y67" s="83">
        <v>36</v>
      </c>
      <c r="Z67" s="208" t="s">
        <v>499</v>
      </c>
      <c r="AA67" s="208" t="s">
        <v>22</v>
      </c>
      <c r="AB67" s="208" t="s">
        <v>11</v>
      </c>
      <c r="AC67" s="208">
        <v>18</v>
      </c>
      <c r="AD67" s="82"/>
      <c r="AG67" s="83"/>
      <c r="AL67" s="82"/>
      <c r="AO67" s="83"/>
      <c r="AP67" s="82"/>
      <c r="AS67" s="83"/>
      <c r="AW67" s="83"/>
      <c r="BA67" s="84"/>
    </row>
    <row r="68" spans="1:53" s="104" customFormat="1" x14ac:dyDescent="0.15">
      <c r="A68" s="201">
        <v>1989</v>
      </c>
      <c r="B68" s="407">
        <v>32819</v>
      </c>
      <c r="C68" s="818" t="s">
        <v>672</v>
      </c>
      <c r="D68" s="818"/>
      <c r="E68" s="104">
        <f>365-E67</f>
        <v>55</v>
      </c>
      <c r="F68" s="104">
        <v>5</v>
      </c>
      <c r="G68" s="447"/>
      <c r="H68" s="104">
        <v>7</v>
      </c>
      <c r="I68" s="104">
        <v>7</v>
      </c>
      <c r="J68" s="448">
        <v>14</v>
      </c>
      <c r="K68" s="403">
        <f t="shared" si="4"/>
        <v>0</v>
      </c>
      <c r="L68" s="404">
        <f t="shared" si="3"/>
        <v>50</v>
      </c>
      <c r="M68" s="404">
        <f t="shared" si="3"/>
        <v>50</v>
      </c>
      <c r="N68" s="405">
        <f t="shared" si="1"/>
        <v>100</v>
      </c>
      <c r="O68" s="403"/>
      <c r="P68" s="404">
        <v>36</v>
      </c>
      <c r="Q68" s="404">
        <v>32.700000000000003</v>
      </c>
      <c r="R68" s="405">
        <f t="shared" si="2"/>
        <v>68.7</v>
      </c>
      <c r="S68" s="458">
        <v>2</v>
      </c>
      <c r="T68" s="406">
        <v>32757</v>
      </c>
      <c r="U68" s="407">
        <v>32819</v>
      </c>
      <c r="V68" s="105" t="s">
        <v>503</v>
      </c>
      <c r="W68" s="104" t="s">
        <v>338</v>
      </c>
      <c r="X68" s="104" t="s">
        <v>18</v>
      </c>
      <c r="Y68" s="106">
        <v>36</v>
      </c>
      <c r="Z68" s="105" t="s">
        <v>500</v>
      </c>
      <c r="AA68" s="104" t="s">
        <v>20</v>
      </c>
      <c r="AB68" s="104" t="s">
        <v>12</v>
      </c>
      <c r="AC68" s="104">
        <v>32.700000000000003</v>
      </c>
      <c r="AD68" s="105"/>
      <c r="AG68" s="106"/>
      <c r="AL68" s="105"/>
      <c r="AO68" s="106"/>
      <c r="AP68" s="105"/>
      <c r="AS68" s="106"/>
      <c r="AW68" s="106"/>
      <c r="BA68" s="107"/>
    </row>
    <row r="69" spans="1:53" s="334" customFormat="1" x14ac:dyDescent="0.15">
      <c r="A69" s="334">
        <v>1990</v>
      </c>
      <c r="C69" s="812" t="s">
        <v>672</v>
      </c>
      <c r="D69" s="812"/>
      <c r="E69" s="334">
        <v>0</v>
      </c>
      <c r="G69" s="419"/>
      <c r="H69" s="334">
        <v>7</v>
      </c>
      <c r="I69" s="334">
        <v>7</v>
      </c>
      <c r="J69" s="435">
        <v>14</v>
      </c>
      <c r="K69" s="384">
        <f t="shared" si="4"/>
        <v>0</v>
      </c>
      <c r="L69" s="384">
        <f t="shared" si="3"/>
        <v>50</v>
      </c>
      <c r="M69" s="384">
        <f t="shared" si="3"/>
        <v>50</v>
      </c>
      <c r="N69" s="421">
        <f t="shared" si="1"/>
        <v>100</v>
      </c>
      <c r="O69" s="383"/>
      <c r="P69" s="384">
        <v>36</v>
      </c>
      <c r="Q69" s="384">
        <v>32.700000000000003</v>
      </c>
      <c r="R69" s="385">
        <f t="shared" si="2"/>
        <v>68.7</v>
      </c>
      <c r="S69" s="334">
        <v>2</v>
      </c>
      <c r="T69" s="357"/>
      <c r="V69" s="343" t="s">
        <v>503</v>
      </c>
      <c r="W69" s="334" t="s">
        <v>338</v>
      </c>
      <c r="X69" s="334" t="s">
        <v>18</v>
      </c>
      <c r="Y69" s="334">
        <v>36</v>
      </c>
      <c r="Z69" s="343" t="s">
        <v>500</v>
      </c>
      <c r="AA69" s="334" t="s">
        <v>20</v>
      </c>
      <c r="AB69" s="334" t="s">
        <v>12</v>
      </c>
      <c r="AC69" s="334">
        <v>32.700000000000003</v>
      </c>
      <c r="AD69" s="343"/>
      <c r="AG69" s="344"/>
      <c r="AL69" s="343"/>
      <c r="AO69" s="344"/>
      <c r="AP69" s="343"/>
      <c r="AS69" s="344"/>
      <c r="AW69" s="344"/>
      <c r="BA69" s="345"/>
    </row>
    <row r="70" spans="1:53" s="334" customFormat="1" x14ac:dyDescent="0.15">
      <c r="A70" s="334">
        <v>1990</v>
      </c>
      <c r="C70" s="812" t="s">
        <v>672</v>
      </c>
      <c r="D70" s="812"/>
      <c r="E70" s="334">
        <f>365-E69</f>
        <v>365</v>
      </c>
      <c r="G70" s="419"/>
      <c r="H70" s="334">
        <v>7</v>
      </c>
      <c r="I70" s="334">
        <v>7</v>
      </c>
      <c r="J70" s="435">
        <v>14</v>
      </c>
      <c r="K70" s="384">
        <f t="shared" si="4"/>
        <v>0</v>
      </c>
      <c r="L70" s="384">
        <f t="shared" si="3"/>
        <v>50</v>
      </c>
      <c r="M70" s="384">
        <f t="shared" si="3"/>
        <v>50</v>
      </c>
      <c r="N70" s="421">
        <f t="shared" si="1"/>
        <v>100</v>
      </c>
      <c r="O70" s="383"/>
      <c r="P70" s="384">
        <v>36</v>
      </c>
      <c r="Q70" s="384">
        <v>32.700000000000003</v>
      </c>
      <c r="R70" s="385">
        <f t="shared" si="2"/>
        <v>68.7</v>
      </c>
      <c r="S70" s="334">
        <v>2</v>
      </c>
      <c r="T70" s="357"/>
      <c r="V70" s="343" t="s">
        <v>503</v>
      </c>
      <c r="W70" s="334" t="s">
        <v>338</v>
      </c>
      <c r="X70" s="334" t="s">
        <v>18</v>
      </c>
      <c r="Y70" s="334">
        <v>36</v>
      </c>
      <c r="Z70" s="343" t="s">
        <v>500</v>
      </c>
      <c r="AA70" s="334" t="s">
        <v>20</v>
      </c>
      <c r="AB70" s="334" t="s">
        <v>12</v>
      </c>
      <c r="AC70" s="334">
        <v>32.700000000000003</v>
      </c>
      <c r="AD70" s="343"/>
      <c r="AG70" s="344"/>
      <c r="AL70" s="343"/>
      <c r="AO70" s="344"/>
      <c r="AP70" s="343"/>
      <c r="AS70" s="344"/>
      <c r="AW70" s="344"/>
      <c r="BA70" s="345"/>
    </row>
    <row r="71" spans="1:53" s="334" customFormat="1" x14ac:dyDescent="0.15">
      <c r="A71" s="334">
        <v>1991</v>
      </c>
      <c r="C71" s="812" t="s">
        <v>672</v>
      </c>
      <c r="D71" s="812"/>
      <c r="E71" s="334">
        <v>0</v>
      </c>
      <c r="G71" s="419"/>
      <c r="H71" s="334">
        <v>7</v>
      </c>
      <c r="I71" s="334">
        <v>7</v>
      </c>
      <c r="J71" s="435">
        <v>14</v>
      </c>
      <c r="K71" s="384">
        <f t="shared" si="4"/>
        <v>0</v>
      </c>
      <c r="L71" s="384">
        <f t="shared" si="3"/>
        <v>50</v>
      </c>
      <c r="M71" s="384">
        <f t="shared" si="3"/>
        <v>50</v>
      </c>
      <c r="N71" s="421">
        <f t="shared" si="1"/>
        <v>100</v>
      </c>
      <c r="O71" s="383"/>
      <c r="P71" s="384">
        <v>36</v>
      </c>
      <c r="Q71" s="384">
        <v>32.700000000000003</v>
      </c>
      <c r="R71" s="385">
        <f t="shared" si="2"/>
        <v>68.7</v>
      </c>
      <c r="S71" s="334">
        <v>2</v>
      </c>
      <c r="T71" s="357"/>
      <c r="V71" s="343" t="s">
        <v>503</v>
      </c>
      <c r="W71" s="334" t="s">
        <v>338</v>
      </c>
      <c r="X71" s="334" t="s">
        <v>18</v>
      </c>
      <c r="Y71" s="334">
        <v>36</v>
      </c>
      <c r="Z71" s="343" t="s">
        <v>500</v>
      </c>
      <c r="AA71" s="334" t="s">
        <v>20</v>
      </c>
      <c r="AB71" s="334" t="s">
        <v>12</v>
      </c>
      <c r="AC71" s="334">
        <v>32.700000000000003</v>
      </c>
      <c r="AD71" s="343"/>
      <c r="AG71" s="344"/>
      <c r="AL71" s="343"/>
      <c r="AO71" s="344"/>
      <c r="AP71" s="343"/>
      <c r="AS71" s="344"/>
      <c r="AW71" s="344"/>
      <c r="BA71" s="345"/>
    </row>
    <row r="72" spans="1:53" s="334" customFormat="1" x14ac:dyDescent="0.15">
      <c r="A72" s="334">
        <v>1991</v>
      </c>
      <c r="C72" s="812" t="s">
        <v>672</v>
      </c>
      <c r="D72" s="812"/>
      <c r="E72" s="334">
        <f>365-E71</f>
        <v>365</v>
      </c>
      <c r="G72" s="419"/>
      <c r="H72" s="334">
        <v>7</v>
      </c>
      <c r="I72" s="334">
        <v>7</v>
      </c>
      <c r="J72" s="435">
        <v>14</v>
      </c>
      <c r="K72" s="384">
        <f t="shared" si="4"/>
        <v>0</v>
      </c>
      <c r="L72" s="384">
        <f t="shared" si="3"/>
        <v>50</v>
      </c>
      <c r="M72" s="384">
        <f t="shared" si="3"/>
        <v>50</v>
      </c>
      <c r="N72" s="421">
        <f t="shared" si="1"/>
        <v>100</v>
      </c>
      <c r="O72" s="383"/>
      <c r="P72" s="384">
        <v>36</v>
      </c>
      <c r="Q72" s="384">
        <v>32.700000000000003</v>
      </c>
      <c r="R72" s="385">
        <f t="shared" si="2"/>
        <v>68.7</v>
      </c>
      <c r="S72" s="334">
        <v>2</v>
      </c>
      <c r="T72" s="357"/>
      <c r="V72" s="343" t="s">
        <v>503</v>
      </c>
      <c r="W72" s="334" t="s">
        <v>338</v>
      </c>
      <c r="X72" s="334" t="s">
        <v>18</v>
      </c>
      <c r="Y72" s="334">
        <v>36</v>
      </c>
      <c r="Z72" s="343" t="s">
        <v>500</v>
      </c>
      <c r="AA72" s="334" t="s">
        <v>20</v>
      </c>
      <c r="AB72" s="334" t="s">
        <v>12</v>
      </c>
      <c r="AC72" s="334">
        <v>32.700000000000003</v>
      </c>
      <c r="AD72" s="343"/>
      <c r="AG72" s="344"/>
      <c r="AL72" s="343"/>
      <c r="AO72" s="344"/>
      <c r="AP72" s="343"/>
      <c r="AS72" s="344"/>
      <c r="AW72" s="344"/>
      <c r="BA72" s="345"/>
    </row>
    <row r="73" spans="1:53" s="334" customFormat="1" x14ac:dyDescent="0.15">
      <c r="A73" s="334">
        <v>1992</v>
      </c>
      <c r="C73" s="812" t="s">
        <v>672</v>
      </c>
      <c r="D73" s="812"/>
      <c r="E73" s="334">
        <v>0</v>
      </c>
      <c r="G73" s="419"/>
      <c r="H73" s="334">
        <v>7</v>
      </c>
      <c r="I73" s="334">
        <v>7</v>
      </c>
      <c r="J73" s="435">
        <v>14</v>
      </c>
      <c r="K73" s="384">
        <f t="shared" si="4"/>
        <v>0</v>
      </c>
      <c r="L73" s="384">
        <f t="shared" si="3"/>
        <v>50</v>
      </c>
      <c r="M73" s="384">
        <f t="shared" si="3"/>
        <v>50</v>
      </c>
      <c r="N73" s="421">
        <f t="shared" ref="N73:N120" si="5">K73+L73+M73</f>
        <v>100</v>
      </c>
      <c r="O73" s="383"/>
      <c r="P73" s="384">
        <v>36</v>
      </c>
      <c r="Q73" s="384">
        <v>32.700000000000003</v>
      </c>
      <c r="R73" s="385">
        <f t="shared" ref="R73:R118" si="6">O73+P73+Q73</f>
        <v>68.7</v>
      </c>
      <c r="S73" s="334">
        <v>2</v>
      </c>
      <c r="T73" s="357"/>
      <c r="V73" s="343" t="s">
        <v>503</v>
      </c>
      <c r="W73" s="334" t="s">
        <v>338</v>
      </c>
      <c r="X73" s="334" t="s">
        <v>18</v>
      </c>
      <c r="Y73" s="334">
        <v>36</v>
      </c>
      <c r="Z73" s="343" t="s">
        <v>500</v>
      </c>
      <c r="AA73" s="334" t="s">
        <v>20</v>
      </c>
      <c r="AB73" s="334" t="s">
        <v>12</v>
      </c>
      <c r="AC73" s="334">
        <v>32.700000000000003</v>
      </c>
      <c r="AD73" s="343"/>
      <c r="AG73" s="344"/>
      <c r="AL73" s="343"/>
      <c r="AO73" s="344"/>
      <c r="AP73" s="343"/>
      <c r="AS73" s="344"/>
      <c r="AW73" s="344"/>
      <c r="BA73" s="345"/>
    </row>
    <row r="74" spans="1:53" s="334" customFormat="1" x14ac:dyDescent="0.15">
      <c r="A74" s="334">
        <v>1992</v>
      </c>
      <c r="C74" s="812" t="s">
        <v>672</v>
      </c>
      <c r="D74" s="812"/>
      <c r="E74" s="334">
        <v>366</v>
      </c>
      <c r="G74" s="419"/>
      <c r="H74" s="334">
        <v>7</v>
      </c>
      <c r="I74" s="334">
        <v>7</v>
      </c>
      <c r="J74" s="435">
        <v>14</v>
      </c>
      <c r="K74" s="384">
        <f t="shared" si="4"/>
        <v>0</v>
      </c>
      <c r="L74" s="384">
        <f t="shared" si="3"/>
        <v>50</v>
      </c>
      <c r="M74" s="384">
        <f t="shared" si="3"/>
        <v>50</v>
      </c>
      <c r="N74" s="421">
        <f t="shared" si="5"/>
        <v>100</v>
      </c>
      <c r="O74" s="383"/>
      <c r="P74" s="384">
        <v>36</v>
      </c>
      <c r="Q74" s="384">
        <v>32.700000000000003</v>
      </c>
      <c r="R74" s="385">
        <f t="shared" si="6"/>
        <v>68.7</v>
      </c>
      <c r="S74" s="334">
        <v>2</v>
      </c>
      <c r="T74" s="357"/>
      <c r="V74" s="343" t="s">
        <v>503</v>
      </c>
      <c r="W74" s="334" t="s">
        <v>338</v>
      </c>
      <c r="X74" s="334" t="s">
        <v>18</v>
      </c>
      <c r="Y74" s="334">
        <v>36</v>
      </c>
      <c r="Z74" s="343" t="s">
        <v>500</v>
      </c>
      <c r="AA74" s="334" t="s">
        <v>20</v>
      </c>
      <c r="AB74" s="334" t="s">
        <v>12</v>
      </c>
      <c r="AC74" s="334">
        <v>32.700000000000003</v>
      </c>
      <c r="AD74" s="343"/>
      <c r="AG74" s="344"/>
      <c r="AL74" s="343"/>
      <c r="AO74" s="344"/>
      <c r="AP74" s="343"/>
      <c r="AS74" s="344"/>
      <c r="AW74" s="344"/>
      <c r="BA74" s="345"/>
    </row>
    <row r="75" spans="1:53" s="334" customFormat="1" x14ac:dyDescent="0.15">
      <c r="A75" s="334">
        <v>1993</v>
      </c>
      <c r="C75" s="812" t="s">
        <v>672</v>
      </c>
      <c r="D75" s="812"/>
      <c r="E75" s="334">
        <v>0</v>
      </c>
      <c r="G75" s="419"/>
      <c r="H75" s="334">
        <v>7</v>
      </c>
      <c r="I75" s="334">
        <v>7</v>
      </c>
      <c r="J75" s="435">
        <v>14</v>
      </c>
      <c r="K75" s="384">
        <f t="shared" si="4"/>
        <v>0</v>
      </c>
      <c r="L75" s="384">
        <f t="shared" si="3"/>
        <v>50</v>
      </c>
      <c r="M75" s="384">
        <f t="shared" si="3"/>
        <v>50</v>
      </c>
      <c r="N75" s="421">
        <f t="shared" si="5"/>
        <v>100</v>
      </c>
      <c r="O75" s="383"/>
      <c r="P75" s="384">
        <v>36</v>
      </c>
      <c r="Q75" s="384">
        <v>32.700000000000003</v>
      </c>
      <c r="R75" s="385">
        <f t="shared" si="6"/>
        <v>68.7</v>
      </c>
      <c r="S75" s="334">
        <v>2</v>
      </c>
      <c r="T75" s="357"/>
      <c r="V75" s="343" t="s">
        <v>503</v>
      </c>
      <c r="W75" s="334" t="s">
        <v>338</v>
      </c>
      <c r="X75" s="334" t="s">
        <v>18</v>
      </c>
      <c r="Y75" s="334">
        <v>36</v>
      </c>
      <c r="Z75" s="343" t="s">
        <v>500</v>
      </c>
      <c r="AA75" s="334" t="s">
        <v>20</v>
      </c>
      <c r="AB75" s="334" t="s">
        <v>12</v>
      </c>
      <c r="AC75" s="334">
        <v>32.700000000000003</v>
      </c>
      <c r="AD75" s="343"/>
      <c r="AG75" s="344"/>
      <c r="AL75" s="343"/>
      <c r="AO75" s="344"/>
      <c r="AP75" s="343"/>
      <c r="AS75" s="344"/>
      <c r="AW75" s="344"/>
      <c r="BA75" s="345"/>
    </row>
    <row r="76" spans="1:53" s="334" customFormat="1" x14ac:dyDescent="0.15">
      <c r="A76" s="334">
        <v>1993</v>
      </c>
      <c r="C76" s="812" t="s">
        <v>672</v>
      </c>
      <c r="D76" s="812"/>
      <c r="E76" s="334">
        <f>365-E75</f>
        <v>365</v>
      </c>
      <c r="G76" s="419"/>
      <c r="H76" s="334">
        <v>7</v>
      </c>
      <c r="I76" s="334">
        <v>7</v>
      </c>
      <c r="J76" s="435">
        <v>14</v>
      </c>
      <c r="K76" s="384">
        <f t="shared" si="4"/>
        <v>0</v>
      </c>
      <c r="L76" s="384">
        <f t="shared" si="3"/>
        <v>50</v>
      </c>
      <c r="M76" s="384">
        <f t="shared" si="3"/>
        <v>50</v>
      </c>
      <c r="N76" s="421">
        <f t="shared" si="5"/>
        <v>100</v>
      </c>
      <c r="O76" s="383"/>
      <c r="P76" s="384">
        <v>36</v>
      </c>
      <c r="Q76" s="384">
        <v>32.700000000000003</v>
      </c>
      <c r="R76" s="385">
        <f t="shared" si="6"/>
        <v>68.7</v>
      </c>
      <c r="S76" s="334">
        <v>2</v>
      </c>
      <c r="T76" s="357"/>
      <c r="V76" s="343" t="s">
        <v>503</v>
      </c>
      <c r="W76" s="334" t="s">
        <v>338</v>
      </c>
      <c r="X76" s="334" t="s">
        <v>18</v>
      </c>
      <c r="Y76" s="334">
        <v>36</v>
      </c>
      <c r="Z76" s="343" t="s">
        <v>500</v>
      </c>
      <c r="AA76" s="334" t="s">
        <v>20</v>
      </c>
      <c r="AB76" s="334" t="s">
        <v>12</v>
      </c>
      <c r="AC76" s="334">
        <v>32.700000000000003</v>
      </c>
      <c r="AD76" s="343"/>
      <c r="AG76" s="344"/>
      <c r="AL76" s="343"/>
      <c r="AO76" s="344"/>
      <c r="AP76" s="343"/>
      <c r="AS76" s="344"/>
      <c r="AW76" s="344"/>
      <c r="BA76" s="345"/>
    </row>
    <row r="77" spans="1:53" s="334" customFormat="1" x14ac:dyDescent="0.15">
      <c r="A77" s="334">
        <v>1994</v>
      </c>
      <c r="C77" s="812" t="s">
        <v>672</v>
      </c>
      <c r="D77" s="812"/>
      <c r="E77" s="334">
        <v>233</v>
      </c>
      <c r="G77" s="419"/>
      <c r="H77" s="334">
        <v>7</v>
      </c>
      <c r="I77" s="334">
        <v>7</v>
      </c>
      <c r="J77" s="435">
        <v>14</v>
      </c>
      <c r="K77" s="384">
        <f t="shared" si="4"/>
        <v>0</v>
      </c>
      <c r="L77" s="384">
        <f t="shared" si="3"/>
        <v>50</v>
      </c>
      <c r="M77" s="384">
        <f t="shared" si="3"/>
        <v>50</v>
      </c>
      <c r="N77" s="421">
        <f t="shared" si="5"/>
        <v>100</v>
      </c>
      <c r="O77" s="383"/>
      <c r="P77" s="384">
        <v>36</v>
      </c>
      <c r="Q77" s="384">
        <v>32.700000000000003</v>
      </c>
      <c r="R77" s="385">
        <f t="shared" si="6"/>
        <v>68.7</v>
      </c>
      <c r="S77" s="334">
        <v>2</v>
      </c>
      <c r="T77" s="357"/>
      <c r="V77" s="343" t="s">
        <v>503</v>
      </c>
      <c r="W77" s="334" t="s">
        <v>338</v>
      </c>
      <c r="X77" s="334" t="s">
        <v>18</v>
      </c>
      <c r="Y77" s="334">
        <v>36</v>
      </c>
      <c r="Z77" s="343" t="s">
        <v>500</v>
      </c>
      <c r="AA77" s="334" t="s">
        <v>20</v>
      </c>
      <c r="AB77" s="334" t="s">
        <v>12</v>
      </c>
      <c r="AC77" s="334">
        <v>32.700000000000003</v>
      </c>
      <c r="AD77" s="343"/>
      <c r="AG77" s="344"/>
      <c r="AL77" s="343"/>
      <c r="AO77" s="344"/>
      <c r="AP77" s="343"/>
      <c r="AS77" s="344"/>
      <c r="AW77" s="344"/>
      <c r="BA77" s="345"/>
    </row>
    <row r="78" spans="1:53" s="208" customFormat="1" x14ac:dyDescent="0.15">
      <c r="A78" s="208">
        <v>1994</v>
      </c>
      <c r="B78" s="207">
        <v>34568</v>
      </c>
      <c r="C78" s="811" t="s">
        <v>673</v>
      </c>
      <c r="D78" s="811"/>
      <c r="E78" s="208">
        <f>365-E77</f>
        <v>132</v>
      </c>
      <c r="F78" s="208">
        <v>1</v>
      </c>
      <c r="G78" s="123">
        <v>5</v>
      </c>
      <c r="H78" s="208">
        <v>4</v>
      </c>
      <c r="I78" s="208">
        <v>5</v>
      </c>
      <c r="J78" s="134">
        <v>14</v>
      </c>
      <c r="K78" s="92">
        <f t="shared" si="4"/>
        <v>35.714285714285715</v>
      </c>
      <c r="L78" s="92">
        <f t="shared" si="3"/>
        <v>28.571428571428569</v>
      </c>
      <c r="M78" s="92">
        <f t="shared" si="3"/>
        <v>35.714285714285715</v>
      </c>
      <c r="N78" s="125">
        <f t="shared" si="5"/>
        <v>100</v>
      </c>
      <c r="O78" s="91">
        <v>20.7</v>
      </c>
      <c r="P78" s="92">
        <v>16</v>
      </c>
      <c r="Q78" s="92">
        <v>24.7</v>
      </c>
      <c r="R78" s="93">
        <f t="shared" si="6"/>
        <v>61.400000000000006</v>
      </c>
      <c r="S78" s="208">
        <v>2</v>
      </c>
      <c r="T78" s="95">
        <v>34457</v>
      </c>
      <c r="U78" s="207">
        <v>34568</v>
      </c>
      <c r="V78" s="82" t="s">
        <v>500</v>
      </c>
      <c r="W78" s="208" t="s">
        <v>20</v>
      </c>
      <c r="X78" s="208" t="s">
        <v>12</v>
      </c>
      <c r="Y78" s="83">
        <v>24.7</v>
      </c>
      <c r="Z78" s="208" t="s">
        <v>499</v>
      </c>
      <c r="AA78" s="208" t="s">
        <v>22</v>
      </c>
      <c r="AB78" s="208" t="s">
        <v>11</v>
      </c>
      <c r="AC78" s="208">
        <v>20.7</v>
      </c>
      <c r="AD78" s="82" t="s">
        <v>502</v>
      </c>
      <c r="AE78" s="208" t="s">
        <v>88</v>
      </c>
      <c r="AF78" s="208" t="s">
        <v>18</v>
      </c>
      <c r="AG78" s="83">
        <v>16</v>
      </c>
      <c r="AL78" s="82"/>
      <c r="AO78" s="83"/>
      <c r="AP78" s="82"/>
      <c r="AS78" s="83"/>
      <c r="AW78" s="83"/>
      <c r="BA78" s="84"/>
    </row>
    <row r="79" spans="1:53" s="208" customFormat="1" x14ac:dyDescent="0.15">
      <c r="A79" s="208">
        <v>1995</v>
      </c>
      <c r="C79" s="811" t="s">
        <v>673</v>
      </c>
      <c r="D79" s="811"/>
      <c r="E79" s="208">
        <v>0</v>
      </c>
      <c r="G79" s="123">
        <v>5</v>
      </c>
      <c r="H79" s="208">
        <v>4</v>
      </c>
      <c r="I79" s="208">
        <v>5</v>
      </c>
      <c r="J79" s="134">
        <v>14</v>
      </c>
      <c r="K79" s="92">
        <f t="shared" si="4"/>
        <v>35.714285714285715</v>
      </c>
      <c r="L79" s="92">
        <f t="shared" si="3"/>
        <v>28.571428571428569</v>
      </c>
      <c r="M79" s="92">
        <f t="shared" si="3"/>
        <v>35.714285714285715</v>
      </c>
      <c r="N79" s="125">
        <f t="shared" si="5"/>
        <v>100</v>
      </c>
      <c r="O79" s="91">
        <v>20.7</v>
      </c>
      <c r="P79" s="92">
        <v>16</v>
      </c>
      <c r="Q79" s="92">
        <v>24.7</v>
      </c>
      <c r="R79" s="93">
        <f t="shared" si="6"/>
        <v>61.400000000000006</v>
      </c>
      <c r="S79" s="208">
        <v>2</v>
      </c>
      <c r="T79" s="81"/>
      <c r="V79" s="82" t="s">
        <v>500</v>
      </c>
      <c r="W79" s="208" t="s">
        <v>20</v>
      </c>
      <c r="X79" s="208" t="s">
        <v>12</v>
      </c>
      <c r="Y79" s="83">
        <v>24.7</v>
      </c>
      <c r="Z79" s="208" t="s">
        <v>499</v>
      </c>
      <c r="AA79" s="208" t="s">
        <v>22</v>
      </c>
      <c r="AB79" s="208" t="s">
        <v>11</v>
      </c>
      <c r="AC79" s="208">
        <v>20.7</v>
      </c>
      <c r="AD79" s="82" t="s">
        <v>502</v>
      </c>
      <c r="AE79" s="208" t="s">
        <v>88</v>
      </c>
      <c r="AF79" s="208" t="s">
        <v>18</v>
      </c>
      <c r="AG79" s="83">
        <v>16</v>
      </c>
      <c r="AL79" s="82"/>
      <c r="AO79" s="83"/>
      <c r="AP79" s="82"/>
      <c r="AS79" s="83"/>
      <c r="AW79" s="83"/>
      <c r="BA79" s="84"/>
    </row>
    <row r="80" spans="1:53" s="208" customFormat="1" x14ac:dyDescent="0.15">
      <c r="A80" s="208">
        <v>1995</v>
      </c>
      <c r="C80" s="811" t="s">
        <v>673</v>
      </c>
      <c r="D80" s="811"/>
      <c r="E80" s="208">
        <f>365-E79</f>
        <v>365</v>
      </c>
      <c r="G80" s="123">
        <v>5</v>
      </c>
      <c r="H80" s="208">
        <v>4</v>
      </c>
      <c r="I80" s="208">
        <v>5</v>
      </c>
      <c r="J80" s="134">
        <v>14</v>
      </c>
      <c r="K80" s="92">
        <f t="shared" si="4"/>
        <v>35.714285714285715</v>
      </c>
      <c r="L80" s="92">
        <f t="shared" si="3"/>
        <v>28.571428571428569</v>
      </c>
      <c r="M80" s="92">
        <f t="shared" si="3"/>
        <v>35.714285714285715</v>
      </c>
      <c r="N80" s="125">
        <f t="shared" si="5"/>
        <v>100</v>
      </c>
      <c r="O80" s="91">
        <v>20.7</v>
      </c>
      <c r="P80" s="92">
        <v>16</v>
      </c>
      <c r="Q80" s="92">
        <v>24.7</v>
      </c>
      <c r="R80" s="93">
        <f t="shared" si="6"/>
        <v>61.400000000000006</v>
      </c>
      <c r="S80" s="208">
        <v>2</v>
      </c>
      <c r="T80" s="81"/>
      <c r="V80" s="82" t="s">
        <v>500</v>
      </c>
      <c r="W80" s="208" t="s">
        <v>20</v>
      </c>
      <c r="X80" s="208" t="s">
        <v>12</v>
      </c>
      <c r="Y80" s="83">
        <v>24.7</v>
      </c>
      <c r="Z80" s="208" t="s">
        <v>499</v>
      </c>
      <c r="AA80" s="208" t="s">
        <v>22</v>
      </c>
      <c r="AB80" s="208" t="s">
        <v>11</v>
      </c>
      <c r="AC80" s="208">
        <v>20.7</v>
      </c>
      <c r="AD80" s="82" t="s">
        <v>502</v>
      </c>
      <c r="AE80" s="208" t="s">
        <v>88</v>
      </c>
      <c r="AF80" s="208" t="s">
        <v>18</v>
      </c>
      <c r="AG80" s="83">
        <v>16</v>
      </c>
      <c r="AL80" s="82"/>
      <c r="AO80" s="83"/>
      <c r="AP80" s="82"/>
      <c r="AS80" s="83"/>
      <c r="AW80" s="83"/>
      <c r="BA80" s="84"/>
    </row>
    <row r="81" spans="1:53" s="208" customFormat="1" x14ac:dyDescent="0.15">
      <c r="A81" s="208">
        <v>1996</v>
      </c>
      <c r="C81" s="811" t="s">
        <v>673</v>
      </c>
      <c r="D81" s="811"/>
      <c r="E81" s="208">
        <v>0</v>
      </c>
      <c r="G81" s="123">
        <v>5</v>
      </c>
      <c r="H81" s="208">
        <v>4</v>
      </c>
      <c r="I81" s="208">
        <v>5</v>
      </c>
      <c r="J81" s="134">
        <v>14</v>
      </c>
      <c r="K81" s="92">
        <f t="shared" si="4"/>
        <v>35.714285714285715</v>
      </c>
      <c r="L81" s="92">
        <f t="shared" si="3"/>
        <v>28.571428571428569</v>
      </c>
      <c r="M81" s="92">
        <f t="shared" si="3"/>
        <v>35.714285714285715</v>
      </c>
      <c r="N81" s="125">
        <f t="shared" si="5"/>
        <v>100</v>
      </c>
      <c r="O81" s="91">
        <v>20.7</v>
      </c>
      <c r="P81" s="92">
        <v>16</v>
      </c>
      <c r="Q81" s="92">
        <v>24.7</v>
      </c>
      <c r="R81" s="93">
        <f t="shared" si="6"/>
        <v>61.400000000000006</v>
      </c>
      <c r="S81" s="208">
        <v>2</v>
      </c>
      <c r="T81" s="81"/>
      <c r="V81" s="82" t="s">
        <v>500</v>
      </c>
      <c r="W81" s="208" t="s">
        <v>20</v>
      </c>
      <c r="X81" s="208" t="s">
        <v>12</v>
      </c>
      <c r="Y81" s="83">
        <v>24.7</v>
      </c>
      <c r="Z81" s="208" t="s">
        <v>499</v>
      </c>
      <c r="AA81" s="208" t="s">
        <v>22</v>
      </c>
      <c r="AB81" s="208" t="s">
        <v>11</v>
      </c>
      <c r="AC81" s="208">
        <v>20.7</v>
      </c>
      <c r="AD81" s="82" t="s">
        <v>502</v>
      </c>
      <c r="AE81" s="208" t="s">
        <v>88</v>
      </c>
      <c r="AF81" s="208" t="s">
        <v>18</v>
      </c>
      <c r="AG81" s="83">
        <v>16</v>
      </c>
      <c r="AL81" s="82"/>
      <c r="AO81" s="83"/>
      <c r="AP81" s="82"/>
      <c r="AS81" s="83"/>
      <c r="AW81" s="83"/>
      <c r="BA81" s="84"/>
    </row>
    <row r="82" spans="1:53" s="208" customFormat="1" x14ac:dyDescent="0.15">
      <c r="A82" s="208">
        <v>1996</v>
      </c>
      <c r="C82" s="811" t="s">
        <v>673</v>
      </c>
      <c r="D82" s="811"/>
      <c r="E82" s="208">
        <v>366</v>
      </c>
      <c r="G82" s="123">
        <v>5</v>
      </c>
      <c r="H82" s="208">
        <v>4</v>
      </c>
      <c r="I82" s="208">
        <v>5</v>
      </c>
      <c r="J82" s="134">
        <v>14</v>
      </c>
      <c r="K82" s="92">
        <f t="shared" si="4"/>
        <v>35.714285714285715</v>
      </c>
      <c r="L82" s="92">
        <f t="shared" si="3"/>
        <v>28.571428571428569</v>
      </c>
      <c r="M82" s="92">
        <f t="shared" si="3"/>
        <v>35.714285714285715</v>
      </c>
      <c r="N82" s="125">
        <f t="shared" si="5"/>
        <v>100</v>
      </c>
      <c r="O82" s="91">
        <v>20.7</v>
      </c>
      <c r="P82" s="92">
        <v>16</v>
      </c>
      <c r="Q82" s="92">
        <v>24.7</v>
      </c>
      <c r="R82" s="93">
        <f t="shared" si="6"/>
        <v>61.400000000000006</v>
      </c>
      <c r="S82" s="208">
        <v>2</v>
      </c>
      <c r="T82" s="81"/>
      <c r="V82" s="82" t="s">
        <v>500</v>
      </c>
      <c r="W82" s="208" t="s">
        <v>20</v>
      </c>
      <c r="X82" s="208" t="s">
        <v>12</v>
      </c>
      <c r="Y82" s="83">
        <v>24.7</v>
      </c>
      <c r="Z82" s="208" t="s">
        <v>499</v>
      </c>
      <c r="AA82" s="208" t="s">
        <v>22</v>
      </c>
      <c r="AB82" s="208" t="s">
        <v>11</v>
      </c>
      <c r="AC82" s="208">
        <v>20.7</v>
      </c>
      <c r="AD82" s="82" t="s">
        <v>502</v>
      </c>
      <c r="AE82" s="208" t="s">
        <v>88</v>
      </c>
      <c r="AF82" s="208" t="s">
        <v>18</v>
      </c>
      <c r="AG82" s="83">
        <v>16</v>
      </c>
      <c r="AL82" s="82"/>
      <c r="AO82" s="83"/>
      <c r="AP82" s="82"/>
      <c r="AS82" s="83"/>
      <c r="AW82" s="83"/>
      <c r="BA82" s="84"/>
    </row>
    <row r="83" spans="1:53" s="208" customFormat="1" x14ac:dyDescent="0.15">
      <c r="A83" s="208">
        <v>1997</v>
      </c>
      <c r="C83" s="811" t="s">
        <v>673</v>
      </c>
      <c r="D83" s="811"/>
      <c r="E83" s="208">
        <v>0</v>
      </c>
      <c r="G83" s="123">
        <v>5</v>
      </c>
      <c r="H83" s="208">
        <v>4</v>
      </c>
      <c r="I83" s="208">
        <v>5</v>
      </c>
      <c r="J83" s="134">
        <v>14</v>
      </c>
      <c r="K83" s="92">
        <f t="shared" si="4"/>
        <v>35.714285714285715</v>
      </c>
      <c r="L83" s="92">
        <f t="shared" si="3"/>
        <v>28.571428571428569</v>
      </c>
      <c r="M83" s="92">
        <f t="shared" si="3"/>
        <v>35.714285714285715</v>
      </c>
      <c r="N83" s="125">
        <f t="shared" si="5"/>
        <v>100</v>
      </c>
      <c r="O83" s="91">
        <v>20.7</v>
      </c>
      <c r="P83" s="92">
        <v>16</v>
      </c>
      <c r="Q83" s="92">
        <v>24.7</v>
      </c>
      <c r="R83" s="93">
        <f t="shared" si="6"/>
        <v>61.400000000000006</v>
      </c>
      <c r="S83" s="208">
        <v>2</v>
      </c>
      <c r="T83" s="81"/>
      <c r="V83" s="82" t="s">
        <v>500</v>
      </c>
      <c r="W83" s="208" t="s">
        <v>20</v>
      </c>
      <c r="X83" s="208" t="s">
        <v>12</v>
      </c>
      <c r="Y83" s="83">
        <v>24.7</v>
      </c>
      <c r="Z83" s="208" t="s">
        <v>499</v>
      </c>
      <c r="AA83" s="208" t="s">
        <v>22</v>
      </c>
      <c r="AB83" s="208" t="s">
        <v>11</v>
      </c>
      <c r="AC83" s="208">
        <v>20.7</v>
      </c>
      <c r="AD83" s="82" t="s">
        <v>502</v>
      </c>
      <c r="AE83" s="208" t="s">
        <v>88</v>
      </c>
      <c r="AF83" s="208" t="s">
        <v>18</v>
      </c>
      <c r="AG83" s="83">
        <v>16</v>
      </c>
      <c r="AL83" s="82"/>
      <c r="AO83" s="83"/>
      <c r="AP83" s="82"/>
      <c r="AS83" s="83"/>
      <c r="AW83" s="83"/>
      <c r="BA83" s="84"/>
    </row>
    <row r="84" spans="1:53" s="208" customFormat="1" x14ac:dyDescent="0.15">
      <c r="A84" s="208">
        <v>1997</v>
      </c>
      <c r="C84" s="811" t="s">
        <v>673</v>
      </c>
      <c r="D84" s="811"/>
      <c r="E84" s="208">
        <f>365-E83</f>
        <v>365</v>
      </c>
      <c r="G84" s="123">
        <v>5</v>
      </c>
      <c r="H84" s="208">
        <v>4</v>
      </c>
      <c r="I84" s="208">
        <v>5</v>
      </c>
      <c r="J84" s="134">
        <v>14</v>
      </c>
      <c r="K84" s="92">
        <f t="shared" si="4"/>
        <v>35.714285714285715</v>
      </c>
      <c r="L84" s="92">
        <f t="shared" si="3"/>
        <v>28.571428571428569</v>
      </c>
      <c r="M84" s="92">
        <f t="shared" si="3"/>
        <v>35.714285714285715</v>
      </c>
      <c r="N84" s="125">
        <f t="shared" si="5"/>
        <v>100</v>
      </c>
      <c r="O84" s="91">
        <v>20.7</v>
      </c>
      <c r="P84" s="92">
        <v>16</v>
      </c>
      <c r="Q84" s="92">
        <v>24.7</v>
      </c>
      <c r="R84" s="93">
        <f t="shared" si="6"/>
        <v>61.400000000000006</v>
      </c>
      <c r="S84" s="208">
        <v>2</v>
      </c>
      <c r="T84" s="81"/>
      <c r="V84" s="82" t="s">
        <v>500</v>
      </c>
      <c r="W84" s="208" t="s">
        <v>20</v>
      </c>
      <c r="X84" s="208" t="s">
        <v>12</v>
      </c>
      <c r="Y84" s="83">
        <v>24.7</v>
      </c>
      <c r="Z84" s="208" t="s">
        <v>499</v>
      </c>
      <c r="AA84" s="208" t="s">
        <v>22</v>
      </c>
      <c r="AB84" s="208" t="s">
        <v>11</v>
      </c>
      <c r="AC84" s="208">
        <v>20.7</v>
      </c>
      <c r="AD84" s="82" t="s">
        <v>502</v>
      </c>
      <c r="AE84" s="208" t="s">
        <v>88</v>
      </c>
      <c r="AF84" s="208" t="s">
        <v>18</v>
      </c>
      <c r="AG84" s="83">
        <v>16</v>
      </c>
      <c r="AL84" s="82"/>
      <c r="AO84" s="83"/>
      <c r="AP84" s="82"/>
      <c r="AS84" s="83"/>
      <c r="AW84" s="83"/>
      <c r="BA84" s="84"/>
    </row>
    <row r="85" spans="1:53" s="208" customFormat="1" x14ac:dyDescent="0.15">
      <c r="A85" s="208">
        <v>1998</v>
      </c>
      <c r="C85" s="811" t="s">
        <v>673</v>
      </c>
      <c r="D85" s="811"/>
      <c r="E85" s="208">
        <v>214</v>
      </c>
      <c r="G85" s="123">
        <v>5</v>
      </c>
      <c r="H85" s="208">
        <v>4</v>
      </c>
      <c r="I85" s="208">
        <v>5</v>
      </c>
      <c r="J85" s="134">
        <v>14</v>
      </c>
      <c r="K85" s="92">
        <f t="shared" si="4"/>
        <v>35.714285714285715</v>
      </c>
      <c r="L85" s="92">
        <f t="shared" si="3"/>
        <v>28.571428571428569</v>
      </c>
      <c r="M85" s="92">
        <f t="shared" si="3"/>
        <v>35.714285714285715</v>
      </c>
      <c r="N85" s="125">
        <f t="shared" si="5"/>
        <v>100</v>
      </c>
      <c r="O85" s="91">
        <v>20.7</v>
      </c>
      <c r="P85" s="92">
        <v>16</v>
      </c>
      <c r="Q85" s="92">
        <v>24.7</v>
      </c>
      <c r="R85" s="93">
        <f t="shared" si="6"/>
        <v>61.400000000000006</v>
      </c>
      <c r="S85" s="208">
        <v>2</v>
      </c>
      <c r="T85" s="81"/>
      <c r="V85" s="82" t="s">
        <v>500</v>
      </c>
      <c r="W85" s="208" t="s">
        <v>20</v>
      </c>
      <c r="X85" s="208" t="s">
        <v>12</v>
      </c>
      <c r="Y85" s="83">
        <v>24.7</v>
      </c>
      <c r="Z85" s="208" t="s">
        <v>499</v>
      </c>
      <c r="AA85" s="208" t="s">
        <v>22</v>
      </c>
      <c r="AB85" s="208" t="s">
        <v>11</v>
      </c>
      <c r="AC85" s="208">
        <v>20.7</v>
      </c>
      <c r="AD85" s="82" t="s">
        <v>502</v>
      </c>
      <c r="AE85" s="208" t="s">
        <v>88</v>
      </c>
      <c r="AF85" s="208" t="s">
        <v>18</v>
      </c>
      <c r="AG85" s="83">
        <v>16</v>
      </c>
      <c r="AL85" s="82"/>
      <c r="AO85" s="83"/>
      <c r="AP85" s="82"/>
      <c r="AS85" s="83"/>
      <c r="AW85" s="83"/>
      <c r="BA85" s="84"/>
    </row>
    <row r="86" spans="1:53" s="334" customFormat="1" x14ac:dyDescent="0.15">
      <c r="A86" s="334">
        <v>1998</v>
      </c>
      <c r="B86" s="355">
        <v>36010</v>
      </c>
      <c r="C86" s="812" t="s">
        <v>674</v>
      </c>
      <c r="D86" s="812"/>
      <c r="E86" s="334">
        <f>365-E85</f>
        <v>151</v>
      </c>
      <c r="F86" s="334">
        <v>1</v>
      </c>
      <c r="G86" s="419">
        <v>6</v>
      </c>
      <c r="H86" s="334">
        <v>3</v>
      </c>
      <c r="I86" s="334">
        <v>5</v>
      </c>
      <c r="J86" s="435">
        <v>14</v>
      </c>
      <c r="K86" s="384">
        <f t="shared" si="4"/>
        <v>42.857142857142854</v>
      </c>
      <c r="L86" s="384">
        <f t="shared" si="3"/>
        <v>21.428571428571427</v>
      </c>
      <c r="M86" s="384">
        <f t="shared" si="3"/>
        <v>35.714285714285715</v>
      </c>
      <c r="N86" s="421">
        <f t="shared" si="5"/>
        <v>100</v>
      </c>
      <c r="O86" s="383">
        <v>25.3</v>
      </c>
      <c r="P86" s="384">
        <v>9.3000000000000007</v>
      </c>
      <c r="Q86" s="384">
        <v>30</v>
      </c>
      <c r="R86" s="385">
        <f t="shared" si="6"/>
        <v>64.599999999999994</v>
      </c>
      <c r="S86" s="334">
        <v>3</v>
      </c>
      <c r="T86" s="342">
        <v>35921</v>
      </c>
      <c r="U86" s="355">
        <v>36010</v>
      </c>
      <c r="V86" s="343" t="s">
        <v>500</v>
      </c>
      <c r="W86" s="334" t="s">
        <v>20</v>
      </c>
      <c r="X86" s="334" t="s">
        <v>12</v>
      </c>
      <c r="Y86" s="344">
        <v>30</v>
      </c>
      <c r="Z86" s="334" t="s">
        <v>499</v>
      </c>
      <c r="AA86" s="334" t="s">
        <v>22</v>
      </c>
      <c r="AB86" s="334" t="s">
        <v>11</v>
      </c>
      <c r="AC86" s="334">
        <v>25.3</v>
      </c>
      <c r="AD86" s="343" t="s">
        <v>502</v>
      </c>
      <c r="AE86" s="334" t="s">
        <v>88</v>
      </c>
      <c r="AF86" s="334" t="s">
        <v>18</v>
      </c>
      <c r="AG86" s="344">
        <v>9.3000000000000007</v>
      </c>
      <c r="AL86" s="343"/>
      <c r="AO86" s="344"/>
      <c r="AP86" s="343"/>
      <c r="AS86" s="344"/>
      <c r="AW86" s="344"/>
      <c r="BA86" s="345"/>
    </row>
    <row r="87" spans="1:53" s="334" customFormat="1" x14ac:dyDescent="0.15">
      <c r="A87" s="334">
        <v>1999</v>
      </c>
      <c r="C87" s="812" t="s">
        <v>674</v>
      </c>
      <c r="D87" s="812"/>
      <c r="E87" s="334">
        <v>0</v>
      </c>
      <c r="G87" s="419">
        <v>6</v>
      </c>
      <c r="H87" s="334">
        <v>3</v>
      </c>
      <c r="I87" s="334">
        <v>6</v>
      </c>
      <c r="J87" s="435">
        <v>15</v>
      </c>
      <c r="K87" s="384">
        <f t="shared" si="4"/>
        <v>40</v>
      </c>
      <c r="L87" s="384">
        <f t="shared" si="3"/>
        <v>20</v>
      </c>
      <c r="M87" s="384">
        <f t="shared" si="3"/>
        <v>40</v>
      </c>
      <c r="N87" s="421">
        <f t="shared" si="5"/>
        <v>100</v>
      </c>
      <c r="O87" s="383">
        <v>25.3</v>
      </c>
      <c r="P87" s="384">
        <v>9.3000000000000007</v>
      </c>
      <c r="Q87" s="384">
        <v>30</v>
      </c>
      <c r="R87" s="385">
        <f t="shared" si="6"/>
        <v>64.599999999999994</v>
      </c>
      <c r="S87" s="334">
        <v>3</v>
      </c>
      <c r="T87" s="357"/>
      <c r="V87" s="343" t="s">
        <v>500</v>
      </c>
      <c r="W87" s="334" t="s">
        <v>20</v>
      </c>
      <c r="X87" s="334" t="s">
        <v>12</v>
      </c>
      <c r="Y87" s="344">
        <v>30</v>
      </c>
      <c r="Z87" s="334" t="s">
        <v>499</v>
      </c>
      <c r="AA87" s="334" t="s">
        <v>22</v>
      </c>
      <c r="AB87" s="334" t="s">
        <v>11</v>
      </c>
      <c r="AC87" s="334">
        <v>25.3</v>
      </c>
      <c r="AD87" s="343" t="s">
        <v>502</v>
      </c>
      <c r="AE87" s="334" t="s">
        <v>88</v>
      </c>
      <c r="AF87" s="334" t="s">
        <v>18</v>
      </c>
      <c r="AG87" s="344">
        <v>9.3000000000000007</v>
      </c>
      <c r="AL87" s="343"/>
      <c r="AO87" s="344"/>
      <c r="AP87" s="343"/>
      <c r="AS87" s="344"/>
      <c r="AW87" s="344"/>
      <c r="BA87" s="345"/>
    </row>
    <row r="88" spans="1:53" s="334" customFormat="1" x14ac:dyDescent="0.15">
      <c r="A88" s="334">
        <v>1999</v>
      </c>
      <c r="C88" s="812" t="s">
        <v>674</v>
      </c>
      <c r="D88" s="812"/>
      <c r="E88" s="334">
        <f>365-E87</f>
        <v>365</v>
      </c>
      <c r="G88" s="419">
        <v>6</v>
      </c>
      <c r="H88" s="334">
        <v>3</v>
      </c>
      <c r="I88" s="334">
        <v>6</v>
      </c>
      <c r="J88" s="435">
        <v>15</v>
      </c>
      <c r="K88" s="384">
        <f t="shared" si="4"/>
        <v>40</v>
      </c>
      <c r="L88" s="384">
        <f t="shared" si="3"/>
        <v>20</v>
      </c>
      <c r="M88" s="384">
        <f t="shared" si="3"/>
        <v>40</v>
      </c>
      <c r="N88" s="421">
        <f t="shared" si="5"/>
        <v>100</v>
      </c>
      <c r="O88" s="383">
        <v>25.3</v>
      </c>
      <c r="P88" s="384">
        <v>9.3000000000000007</v>
      </c>
      <c r="Q88" s="384">
        <v>30</v>
      </c>
      <c r="R88" s="385">
        <f t="shared" si="6"/>
        <v>64.599999999999994</v>
      </c>
      <c r="S88" s="334">
        <v>3</v>
      </c>
      <c r="T88" s="357"/>
      <c r="V88" s="343" t="s">
        <v>500</v>
      </c>
      <c r="W88" s="334" t="s">
        <v>20</v>
      </c>
      <c r="X88" s="334" t="s">
        <v>12</v>
      </c>
      <c r="Y88" s="344">
        <v>30</v>
      </c>
      <c r="Z88" s="334" t="s">
        <v>499</v>
      </c>
      <c r="AA88" s="334" t="s">
        <v>22</v>
      </c>
      <c r="AB88" s="334" t="s">
        <v>11</v>
      </c>
      <c r="AC88" s="334">
        <v>25.3</v>
      </c>
      <c r="AD88" s="343" t="s">
        <v>502</v>
      </c>
      <c r="AE88" s="334" t="s">
        <v>88</v>
      </c>
      <c r="AF88" s="334" t="s">
        <v>18</v>
      </c>
      <c r="AG88" s="344">
        <v>9.3000000000000007</v>
      </c>
      <c r="AL88" s="343"/>
      <c r="AO88" s="344"/>
      <c r="AP88" s="343"/>
      <c r="AS88" s="344"/>
      <c r="AW88" s="344"/>
      <c r="BA88" s="345"/>
    </row>
    <row r="89" spans="1:53" s="334" customFormat="1" x14ac:dyDescent="0.15">
      <c r="A89" s="334">
        <v>2000</v>
      </c>
      <c r="C89" s="812" t="s">
        <v>674</v>
      </c>
      <c r="D89" s="812"/>
      <c r="E89" s="334">
        <v>0</v>
      </c>
      <c r="G89" s="419">
        <v>6</v>
      </c>
      <c r="H89" s="334">
        <v>3</v>
      </c>
      <c r="I89" s="334">
        <v>6</v>
      </c>
      <c r="J89" s="435">
        <v>15</v>
      </c>
      <c r="K89" s="384">
        <f t="shared" si="4"/>
        <v>40</v>
      </c>
      <c r="L89" s="384">
        <f t="shared" si="3"/>
        <v>20</v>
      </c>
      <c r="M89" s="384">
        <f t="shared" si="3"/>
        <v>40</v>
      </c>
      <c r="N89" s="421">
        <f t="shared" si="5"/>
        <v>100</v>
      </c>
      <c r="O89" s="383">
        <v>25.3</v>
      </c>
      <c r="P89" s="384">
        <v>9.3000000000000007</v>
      </c>
      <c r="Q89" s="384">
        <v>30</v>
      </c>
      <c r="R89" s="385">
        <f t="shared" si="6"/>
        <v>64.599999999999994</v>
      </c>
      <c r="S89" s="334">
        <v>3</v>
      </c>
      <c r="T89" s="357"/>
      <c r="V89" s="343" t="s">
        <v>500</v>
      </c>
      <c r="W89" s="334" t="s">
        <v>20</v>
      </c>
      <c r="X89" s="334" t="s">
        <v>12</v>
      </c>
      <c r="Y89" s="344">
        <v>30</v>
      </c>
      <c r="Z89" s="334" t="s">
        <v>499</v>
      </c>
      <c r="AA89" s="334" t="s">
        <v>22</v>
      </c>
      <c r="AB89" s="334" t="s">
        <v>11</v>
      </c>
      <c r="AC89" s="334">
        <v>25.3</v>
      </c>
      <c r="AD89" s="343" t="s">
        <v>502</v>
      </c>
      <c r="AE89" s="334" t="s">
        <v>88</v>
      </c>
      <c r="AF89" s="334" t="s">
        <v>18</v>
      </c>
      <c r="AG89" s="344">
        <v>9.3000000000000007</v>
      </c>
      <c r="AL89" s="343"/>
      <c r="AO89" s="344"/>
      <c r="AP89" s="343"/>
      <c r="AS89" s="344"/>
      <c r="AW89" s="344"/>
      <c r="BA89" s="345"/>
    </row>
    <row r="90" spans="1:53" s="334" customFormat="1" x14ac:dyDescent="0.15">
      <c r="A90" s="334">
        <v>2000</v>
      </c>
      <c r="C90" s="812" t="s">
        <v>674</v>
      </c>
      <c r="D90" s="812"/>
      <c r="E90" s="334">
        <v>366</v>
      </c>
      <c r="G90" s="419">
        <v>6</v>
      </c>
      <c r="H90" s="334">
        <v>3</v>
      </c>
      <c r="I90" s="334">
        <v>6</v>
      </c>
      <c r="J90" s="435">
        <v>15</v>
      </c>
      <c r="K90" s="384">
        <f t="shared" si="4"/>
        <v>40</v>
      </c>
      <c r="L90" s="384">
        <f t="shared" si="3"/>
        <v>20</v>
      </c>
      <c r="M90" s="384">
        <f t="shared" si="3"/>
        <v>40</v>
      </c>
      <c r="N90" s="421">
        <f t="shared" si="5"/>
        <v>100</v>
      </c>
      <c r="O90" s="383">
        <v>25.3</v>
      </c>
      <c r="P90" s="384">
        <v>9.3000000000000007</v>
      </c>
      <c r="Q90" s="384">
        <v>30</v>
      </c>
      <c r="R90" s="385">
        <f t="shared" si="6"/>
        <v>64.599999999999994</v>
      </c>
      <c r="S90" s="334">
        <v>3</v>
      </c>
      <c r="T90" s="357"/>
      <c r="V90" s="343" t="s">
        <v>500</v>
      </c>
      <c r="W90" s="334" t="s">
        <v>20</v>
      </c>
      <c r="X90" s="334" t="s">
        <v>12</v>
      </c>
      <c r="Y90" s="344">
        <v>30</v>
      </c>
      <c r="Z90" s="334" t="s">
        <v>499</v>
      </c>
      <c r="AA90" s="334" t="s">
        <v>22</v>
      </c>
      <c r="AB90" s="334" t="s">
        <v>11</v>
      </c>
      <c r="AC90" s="334">
        <v>25.3</v>
      </c>
      <c r="AD90" s="343" t="s">
        <v>502</v>
      </c>
      <c r="AE90" s="334" t="s">
        <v>88</v>
      </c>
      <c r="AF90" s="334" t="s">
        <v>18</v>
      </c>
      <c r="AG90" s="344">
        <v>9.3000000000000007</v>
      </c>
      <c r="AL90" s="343"/>
      <c r="AO90" s="344"/>
      <c r="AP90" s="343"/>
      <c r="AS90" s="344"/>
      <c r="AW90" s="344"/>
      <c r="BA90" s="345"/>
    </row>
    <row r="91" spans="1:53" s="334" customFormat="1" x14ac:dyDescent="0.15">
      <c r="A91" s="334">
        <v>2001</v>
      </c>
      <c r="C91" s="812" t="s">
        <v>674</v>
      </c>
      <c r="D91" s="812"/>
      <c r="E91" s="334">
        <v>0</v>
      </c>
      <c r="G91" s="419">
        <v>6</v>
      </c>
      <c r="H91" s="334">
        <v>3</v>
      </c>
      <c r="I91" s="334">
        <v>6</v>
      </c>
      <c r="J91" s="435">
        <v>15</v>
      </c>
      <c r="K91" s="384">
        <f t="shared" si="4"/>
        <v>40</v>
      </c>
      <c r="L91" s="384">
        <f t="shared" si="3"/>
        <v>20</v>
      </c>
      <c r="M91" s="384">
        <f t="shared" si="3"/>
        <v>40</v>
      </c>
      <c r="N91" s="421">
        <f t="shared" si="5"/>
        <v>100</v>
      </c>
      <c r="O91" s="383">
        <v>25.3</v>
      </c>
      <c r="P91" s="384">
        <v>9.3000000000000007</v>
      </c>
      <c r="Q91" s="384">
        <v>30</v>
      </c>
      <c r="R91" s="385">
        <f t="shared" si="6"/>
        <v>64.599999999999994</v>
      </c>
      <c r="S91" s="334">
        <v>3</v>
      </c>
      <c r="T91" s="357"/>
      <c r="V91" s="343" t="s">
        <v>500</v>
      </c>
      <c r="W91" s="334" t="s">
        <v>20</v>
      </c>
      <c r="X91" s="334" t="s">
        <v>12</v>
      </c>
      <c r="Y91" s="344">
        <v>30</v>
      </c>
      <c r="Z91" s="334" t="s">
        <v>499</v>
      </c>
      <c r="AA91" s="334" t="s">
        <v>22</v>
      </c>
      <c r="AB91" s="334" t="s">
        <v>11</v>
      </c>
      <c r="AC91" s="334">
        <v>25.3</v>
      </c>
      <c r="AD91" s="343" t="s">
        <v>502</v>
      </c>
      <c r="AE91" s="334" t="s">
        <v>88</v>
      </c>
      <c r="AF91" s="334" t="s">
        <v>18</v>
      </c>
      <c r="AG91" s="344">
        <v>9.3000000000000007</v>
      </c>
      <c r="AL91" s="343"/>
      <c r="AO91" s="344"/>
      <c r="AP91" s="343"/>
      <c r="AS91" s="344"/>
      <c r="AW91" s="344"/>
      <c r="BA91" s="345"/>
    </row>
    <row r="92" spans="1:53" s="334" customFormat="1" x14ac:dyDescent="0.15">
      <c r="A92" s="334">
        <v>2001</v>
      </c>
      <c r="C92" s="812" t="s">
        <v>674</v>
      </c>
      <c r="D92" s="812"/>
      <c r="E92" s="334">
        <f>365-E91</f>
        <v>365</v>
      </c>
      <c r="G92" s="419">
        <v>6</v>
      </c>
      <c r="H92" s="334">
        <v>3</v>
      </c>
      <c r="I92" s="334">
        <v>6</v>
      </c>
      <c r="J92" s="435">
        <v>15</v>
      </c>
      <c r="K92" s="384">
        <f t="shared" si="4"/>
        <v>40</v>
      </c>
      <c r="L92" s="384">
        <f t="shared" si="3"/>
        <v>20</v>
      </c>
      <c r="M92" s="384">
        <f t="shared" si="3"/>
        <v>40</v>
      </c>
      <c r="N92" s="421">
        <f t="shared" si="5"/>
        <v>100</v>
      </c>
      <c r="O92" s="383">
        <v>25.3</v>
      </c>
      <c r="P92" s="384">
        <v>9.3000000000000007</v>
      </c>
      <c r="Q92" s="384">
        <v>30</v>
      </c>
      <c r="R92" s="385">
        <f t="shared" si="6"/>
        <v>64.599999999999994</v>
      </c>
      <c r="S92" s="334">
        <v>3</v>
      </c>
      <c r="T92" s="357"/>
      <c r="V92" s="343" t="s">
        <v>500</v>
      </c>
      <c r="W92" s="334" t="s">
        <v>20</v>
      </c>
      <c r="X92" s="334" t="s">
        <v>12</v>
      </c>
      <c r="Y92" s="344">
        <v>30</v>
      </c>
      <c r="Z92" s="334" t="s">
        <v>499</v>
      </c>
      <c r="AA92" s="334" t="s">
        <v>22</v>
      </c>
      <c r="AB92" s="334" t="s">
        <v>11</v>
      </c>
      <c r="AC92" s="334">
        <v>25.3</v>
      </c>
      <c r="AD92" s="343" t="s">
        <v>502</v>
      </c>
      <c r="AE92" s="334" t="s">
        <v>88</v>
      </c>
      <c r="AF92" s="334" t="s">
        <v>18</v>
      </c>
      <c r="AG92" s="344">
        <v>9.3000000000000007</v>
      </c>
      <c r="AL92" s="343"/>
      <c r="AO92" s="344"/>
      <c r="AP92" s="343"/>
      <c r="AS92" s="344"/>
      <c r="AW92" s="344"/>
      <c r="BA92" s="345"/>
    </row>
    <row r="93" spans="1:53" s="334" customFormat="1" x14ac:dyDescent="0.15">
      <c r="A93" s="334">
        <v>2002</v>
      </c>
      <c r="C93" s="812" t="s">
        <v>674</v>
      </c>
      <c r="D93" s="812"/>
      <c r="E93" s="334">
        <v>105</v>
      </c>
      <c r="G93" s="419">
        <v>6</v>
      </c>
      <c r="H93" s="334">
        <v>3</v>
      </c>
      <c r="I93" s="334">
        <v>6</v>
      </c>
      <c r="J93" s="435">
        <v>15</v>
      </c>
      <c r="K93" s="384">
        <f t="shared" si="4"/>
        <v>40</v>
      </c>
      <c r="L93" s="384">
        <f t="shared" si="3"/>
        <v>20</v>
      </c>
      <c r="M93" s="384">
        <f t="shared" si="3"/>
        <v>40</v>
      </c>
      <c r="N93" s="421">
        <f t="shared" si="5"/>
        <v>100</v>
      </c>
      <c r="O93" s="383">
        <v>25.3</v>
      </c>
      <c r="P93" s="384">
        <v>9.3000000000000007</v>
      </c>
      <c r="Q93" s="384">
        <v>30</v>
      </c>
      <c r="R93" s="385">
        <f t="shared" si="6"/>
        <v>64.599999999999994</v>
      </c>
      <c r="S93" s="334">
        <v>3</v>
      </c>
      <c r="T93" s="357"/>
      <c r="V93" s="343" t="s">
        <v>500</v>
      </c>
      <c r="W93" s="334" t="s">
        <v>20</v>
      </c>
      <c r="X93" s="334" t="s">
        <v>12</v>
      </c>
      <c r="Y93" s="344">
        <v>30</v>
      </c>
      <c r="Z93" s="334" t="s">
        <v>499</v>
      </c>
      <c r="AA93" s="334" t="s">
        <v>22</v>
      </c>
      <c r="AB93" s="334" t="s">
        <v>11</v>
      </c>
      <c r="AC93" s="334">
        <v>25.3</v>
      </c>
      <c r="AD93" s="343" t="s">
        <v>502</v>
      </c>
      <c r="AE93" s="334" t="s">
        <v>88</v>
      </c>
      <c r="AF93" s="334" t="s">
        <v>18</v>
      </c>
      <c r="AG93" s="344">
        <v>9.3000000000000007</v>
      </c>
      <c r="AL93" s="343"/>
      <c r="AO93" s="344"/>
      <c r="AP93" s="343"/>
      <c r="AS93" s="344"/>
      <c r="AW93" s="344"/>
      <c r="BA93" s="345"/>
    </row>
    <row r="94" spans="1:53" s="208" customFormat="1" x14ac:dyDescent="0.15">
      <c r="A94" s="208">
        <v>2002</v>
      </c>
      <c r="B94" s="207">
        <v>37362</v>
      </c>
      <c r="C94" s="811" t="s">
        <v>675</v>
      </c>
      <c r="D94" s="811"/>
      <c r="E94" s="208">
        <v>97</v>
      </c>
      <c r="F94" s="208">
        <v>2</v>
      </c>
      <c r="G94" s="123">
        <v>6</v>
      </c>
      <c r="H94" s="208">
        <v>3</v>
      </c>
      <c r="I94" s="208">
        <v>6</v>
      </c>
      <c r="J94" s="134">
        <v>15</v>
      </c>
      <c r="K94" s="92">
        <f t="shared" si="4"/>
        <v>40</v>
      </c>
      <c r="L94" s="92">
        <f t="shared" si="3"/>
        <v>20</v>
      </c>
      <c r="M94" s="92">
        <f t="shared" si="3"/>
        <v>40</v>
      </c>
      <c r="N94" s="125">
        <f t="shared" si="5"/>
        <v>100</v>
      </c>
      <c r="O94" s="91">
        <v>25.3</v>
      </c>
      <c r="P94" s="92">
        <v>9.3000000000000007</v>
      </c>
      <c r="Q94" s="92">
        <v>30</v>
      </c>
      <c r="R94" s="93">
        <f t="shared" si="6"/>
        <v>64.599999999999994</v>
      </c>
      <c r="S94" s="208">
        <v>6</v>
      </c>
      <c r="T94" s="81"/>
      <c r="U94" s="207">
        <v>37362</v>
      </c>
      <c r="V94" s="82" t="s">
        <v>500</v>
      </c>
      <c r="W94" s="208" t="s">
        <v>20</v>
      </c>
      <c r="X94" s="208" t="s">
        <v>12</v>
      </c>
      <c r="Y94" s="83">
        <v>30</v>
      </c>
      <c r="Z94" s="208" t="s">
        <v>499</v>
      </c>
      <c r="AA94" s="208" t="s">
        <v>22</v>
      </c>
      <c r="AB94" s="208" t="s">
        <v>11</v>
      </c>
      <c r="AC94" s="208">
        <v>25.3</v>
      </c>
      <c r="AD94" s="82" t="s">
        <v>502</v>
      </c>
      <c r="AE94" s="208" t="s">
        <v>88</v>
      </c>
      <c r="AF94" s="208" t="s">
        <v>18</v>
      </c>
      <c r="AG94" s="83">
        <v>9.3000000000000007</v>
      </c>
      <c r="AL94" s="82"/>
      <c r="AO94" s="83"/>
      <c r="AP94" s="82"/>
      <c r="AS94" s="83"/>
      <c r="AW94" s="83"/>
      <c r="BA94" s="84"/>
    </row>
    <row r="95" spans="1:53" s="334" customFormat="1" x14ac:dyDescent="0.15">
      <c r="A95" s="334">
        <v>2002</v>
      </c>
      <c r="B95" s="355">
        <v>37459</v>
      </c>
      <c r="C95" s="812" t="s">
        <v>676</v>
      </c>
      <c r="D95" s="812"/>
      <c r="E95" s="334">
        <v>86</v>
      </c>
      <c r="F95" s="334">
        <v>1</v>
      </c>
      <c r="G95" s="419">
        <v>5</v>
      </c>
      <c r="H95" s="334">
        <v>6</v>
      </c>
      <c r="J95" s="435">
        <v>11</v>
      </c>
      <c r="K95" s="384">
        <f t="shared" si="4"/>
        <v>45.454545454545453</v>
      </c>
      <c r="L95" s="384">
        <f t="shared" si="3"/>
        <v>54.54545454545454</v>
      </c>
      <c r="M95" s="384">
        <f t="shared" si="3"/>
        <v>0</v>
      </c>
      <c r="N95" s="421">
        <f t="shared" si="5"/>
        <v>100</v>
      </c>
      <c r="O95" s="383">
        <v>33.299999999999997</v>
      </c>
      <c r="P95" s="384">
        <v>28.7</v>
      </c>
      <c r="Q95" s="384"/>
      <c r="R95" s="385">
        <f t="shared" si="6"/>
        <v>62</v>
      </c>
      <c r="S95" s="334">
        <v>2</v>
      </c>
      <c r="T95" s="342">
        <v>37391</v>
      </c>
      <c r="U95" s="355">
        <v>37459</v>
      </c>
      <c r="V95" s="343" t="s">
        <v>503</v>
      </c>
      <c r="W95" s="334" t="s">
        <v>338</v>
      </c>
      <c r="X95" s="334" t="s">
        <v>18</v>
      </c>
      <c r="Y95" s="344">
        <v>28.7</v>
      </c>
      <c r="Z95" s="334" t="s">
        <v>499</v>
      </c>
      <c r="AA95" s="334" t="s">
        <v>22</v>
      </c>
      <c r="AB95" s="334" t="s">
        <v>11</v>
      </c>
      <c r="AC95" s="334">
        <v>16</v>
      </c>
      <c r="AD95" s="343" t="s">
        <v>504</v>
      </c>
      <c r="AE95" s="334" t="s">
        <v>307</v>
      </c>
      <c r="AF95" s="334" t="s">
        <v>11</v>
      </c>
      <c r="AG95" s="344">
        <v>17.3</v>
      </c>
      <c r="AL95" s="343"/>
      <c r="AO95" s="344"/>
      <c r="AP95" s="343"/>
      <c r="AS95" s="344"/>
      <c r="AW95" s="344"/>
      <c r="BA95" s="345"/>
    </row>
    <row r="96" spans="1:53" s="208" customFormat="1" x14ac:dyDescent="0.15">
      <c r="A96" s="208">
        <v>2002</v>
      </c>
      <c r="B96" s="207">
        <v>37545</v>
      </c>
      <c r="C96" s="811" t="s">
        <v>677</v>
      </c>
      <c r="D96" s="811"/>
      <c r="E96" s="208">
        <v>57</v>
      </c>
      <c r="F96" s="208">
        <v>2</v>
      </c>
      <c r="G96" s="123">
        <v>3</v>
      </c>
      <c r="H96" s="208">
        <v>6</v>
      </c>
      <c r="J96" s="134">
        <v>9</v>
      </c>
      <c r="K96" s="92">
        <f t="shared" si="4"/>
        <v>33.333333333333329</v>
      </c>
      <c r="L96" s="92">
        <f t="shared" si="3"/>
        <v>66.666666666666657</v>
      </c>
      <c r="M96" s="92">
        <f t="shared" si="3"/>
        <v>0</v>
      </c>
      <c r="N96" s="125">
        <f t="shared" si="5"/>
        <v>99.999999999999986</v>
      </c>
      <c r="O96" s="91">
        <v>16</v>
      </c>
      <c r="P96" s="92">
        <v>28.7</v>
      </c>
      <c r="Q96" s="92"/>
      <c r="R96" s="93">
        <f t="shared" si="6"/>
        <v>44.7</v>
      </c>
      <c r="S96" s="208">
        <v>6</v>
      </c>
      <c r="T96" s="95"/>
      <c r="U96" s="207">
        <v>37545</v>
      </c>
      <c r="V96" s="82" t="s">
        <v>503</v>
      </c>
      <c r="W96" s="208" t="s">
        <v>338</v>
      </c>
      <c r="X96" s="208" t="s">
        <v>18</v>
      </c>
      <c r="Y96" s="83">
        <v>28.7</v>
      </c>
      <c r="Z96" s="208" t="s">
        <v>499</v>
      </c>
      <c r="AA96" s="208" t="s">
        <v>22</v>
      </c>
      <c r="AB96" s="208" t="s">
        <v>11</v>
      </c>
      <c r="AC96" s="208">
        <v>16</v>
      </c>
      <c r="AD96" s="82"/>
      <c r="AG96" s="83"/>
      <c r="AL96" s="82"/>
      <c r="AO96" s="83"/>
      <c r="AP96" s="82"/>
      <c r="AS96" s="83"/>
      <c r="AW96" s="83"/>
      <c r="BA96" s="84"/>
    </row>
    <row r="97" spans="1:53" s="208" customFormat="1" x14ac:dyDescent="0.15">
      <c r="A97" s="208">
        <v>2002</v>
      </c>
      <c r="B97" s="149">
        <v>37602</v>
      </c>
      <c r="C97" s="811" t="s">
        <v>677</v>
      </c>
      <c r="D97" s="811"/>
      <c r="E97" s="208">
        <f>365-E93-E94-E95-E96</f>
        <v>20</v>
      </c>
      <c r="F97" s="150">
        <v>0</v>
      </c>
      <c r="G97" s="123">
        <v>2</v>
      </c>
      <c r="H97" s="208">
        <v>6</v>
      </c>
      <c r="J97" s="134">
        <v>8</v>
      </c>
      <c r="K97" s="92">
        <f t="shared" si="4"/>
        <v>25</v>
      </c>
      <c r="L97" s="92">
        <f t="shared" si="3"/>
        <v>75</v>
      </c>
      <c r="M97" s="92">
        <f t="shared" si="3"/>
        <v>0</v>
      </c>
      <c r="N97" s="125">
        <f t="shared" si="5"/>
        <v>100</v>
      </c>
      <c r="O97" s="91">
        <v>16</v>
      </c>
      <c r="P97" s="92">
        <v>28.7</v>
      </c>
      <c r="Q97" s="92"/>
      <c r="R97" s="93">
        <f>O97+P97+Q97</f>
        <v>44.7</v>
      </c>
      <c r="S97" s="208">
        <v>6</v>
      </c>
      <c r="T97" s="95"/>
      <c r="U97" s="207"/>
      <c r="V97" s="82" t="s">
        <v>503</v>
      </c>
      <c r="W97" s="208" t="s">
        <v>338</v>
      </c>
      <c r="X97" s="208" t="s">
        <v>18</v>
      </c>
      <c r="Y97" s="83">
        <v>28.7</v>
      </c>
      <c r="Z97" s="208" t="s">
        <v>499</v>
      </c>
      <c r="AA97" s="208" t="s">
        <v>22</v>
      </c>
      <c r="AB97" s="208" t="s">
        <v>11</v>
      </c>
      <c r="AC97" s="208">
        <v>16</v>
      </c>
      <c r="AD97" s="82"/>
      <c r="AG97" s="83"/>
      <c r="AL97" s="82"/>
      <c r="AO97" s="83"/>
      <c r="AP97" s="82"/>
      <c r="AS97" s="83"/>
      <c r="AW97" s="83"/>
      <c r="BA97" s="84"/>
    </row>
    <row r="98" spans="1:53" s="208" customFormat="1" x14ac:dyDescent="0.15">
      <c r="A98" s="208">
        <v>2003</v>
      </c>
      <c r="C98" s="811" t="s">
        <v>677</v>
      </c>
      <c r="D98" s="811"/>
      <c r="E98" s="208">
        <v>146</v>
      </c>
      <c r="G98" s="123">
        <v>2</v>
      </c>
      <c r="H98" s="208">
        <v>6</v>
      </c>
      <c r="J98" s="134">
        <v>8</v>
      </c>
      <c r="K98" s="92">
        <f t="shared" si="4"/>
        <v>25</v>
      </c>
      <c r="L98" s="92">
        <f t="shared" si="3"/>
        <v>75</v>
      </c>
      <c r="M98" s="92">
        <f t="shared" si="3"/>
        <v>0</v>
      </c>
      <c r="N98" s="125">
        <f t="shared" si="5"/>
        <v>100</v>
      </c>
      <c r="O98" s="91">
        <v>16</v>
      </c>
      <c r="P98" s="92">
        <v>28.7</v>
      </c>
      <c r="Q98" s="92"/>
      <c r="R98" s="93">
        <f t="shared" si="6"/>
        <v>44.7</v>
      </c>
      <c r="S98" s="208">
        <v>6</v>
      </c>
      <c r="T98" s="81"/>
      <c r="V98" s="82" t="s">
        <v>503</v>
      </c>
      <c r="W98" s="208" t="s">
        <v>338</v>
      </c>
      <c r="X98" s="208" t="s">
        <v>18</v>
      </c>
      <c r="Y98" s="83">
        <v>28.7</v>
      </c>
      <c r="Z98" s="208" t="s">
        <v>499</v>
      </c>
      <c r="AA98" s="208" t="s">
        <v>22</v>
      </c>
      <c r="AB98" s="208" t="s">
        <v>11</v>
      </c>
      <c r="AC98" s="208">
        <v>16</v>
      </c>
      <c r="AD98" s="82"/>
      <c r="AG98" s="83"/>
      <c r="AL98" s="82"/>
      <c r="AO98" s="83"/>
      <c r="AP98" s="82"/>
      <c r="AS98" s="83"/>
      <c r="AW98" s="83"/>
      <c r="BA98" s="84"/>
    </row>
    <row r="99" spans="1:53" s="334" customFormat="1" x14ac:dyDescent="0.15">
      <c r="A99" s="334">
        <v>2003</v>
      </c>
      <c r="B99" s="355">
        <v>37768</v>
      </c>
      <c r="C99" s="812" t="s">
        <v>678</v>
      </c>
      <c r="D99" s="812"/>
      <c r="E99" s="334">
        <f>365-E98</f>
        <v>219</v>
      </c>
      <c r="F99" s="334">
        <v>1</v>
      </c>
      <c r="G99" s="419">
        <v>6</v>
      </c>
      <c r="H99" s="334">
        <v>10</v>
      </c>
      <c r="J99" s="435">
        <v>16</v>
      </c>
      <c r="K99" s="384">
        <f t="shared" si="4"/>
        <v>37.5</v>
      </c>
      <c r="L99" s="384">
        <f t="shared" si="3"/>
        <v>62.5</v>
      </c>
      <c r="M99" s="384">
        <f t="shared" si="3"/>
        <v>0</v>
      </c>
      <c r="N99" s="421">
        <f t="shared" si="5"/>
        <v>100</v>
      </c>
      <c r="O99" s="383">
        <v>18.7</v>
      </c>
      <c r="P99" s="384">
        <v>33.299999999999997</v>
      </c>
      <c r="Q99" s="384"/>
      <c r="R99" s="385">
        <f t="shared" si="6"/>
        <v>52</v>
      </c>
      <c r="S99" s="334">
        <v>2</v>
      </c>
      <c r="T99" s="342">
        <v>37643</v>
      </c>
      <c r="U99" s="355">
        <v>37768</v>
      </c>
      <c r="V99" s="343" t="s">
        <v>503</v>
      </c>
      <c r="W99" s="334" t="s">
        <v>338</v>
      </c>
      <c r="X99" s="334" t="s">
        <v>18</v>
      </c>
      <c r="Y99" s="344">
        <v>29.3</v>
      </c>
      <c r="Z99" s="334" t="s">
        <v>499</v>
      </c>
      <c r="AA99" s="334" t="s">
        <v>22</v>
      </c>
      <c r="AB99" s="334" t="s">
        <v>11</v>
      </c>
      <c r="AC99" s="334">
        <v>18.7</v>
      </c>
      <c r="AD99" s="343" t="s">
        <v>502</v>
      </c>
      <c r="AE99" s="334" t="s">
        <v>88</v>
      </c>
      <c r="AF99" s="334" t="s">
        <v>18</v>
      </c>
      <c r="AG99" s="344">
        <v>4</v>
      </c>
      <c r="AL99" s="343"/>
      <c r="AO99" s="344"/>
      <c r="AP99" s="343"/>
      <c r="AS99" s="344"/>
      <c r="AW99" s="344"/>
      <c r="BA99" s="345"/>
    </row>
    <row r="100" spans="1:53" s="334" customFormat="1" x14ac:dyDescent="0.15">
      <c r="A100" s="334">
        <v>2004</v>
      </c>
      <c r="C100" s="812" t="s">
        <v>678</v>
      </c>
      <c r="D100" s="812"/>
      <c r="E100" s="334">
        <v>0</v>
      </c>
      <c r="G100" s="419">
        <v>6</v>
      </c>
      <c r="H100" s="334">
        <v>10</v>
      </c>
      <c r="J100" s="435">
        <v>16</v>
      </c>
      <c r="K100" s="384">
        <f t="shared" si="4"/>
        <v>37.5</v>
      </c>
      <c r="L100" s="384">
        <f t="shared" si="3"/>
        <v>62.5</v>
      </c>
      <c r="M100" s="384">
        <f t="shared" si="3"/>
        <v>0</v>
      </c>
      <c r="N100" s="421">
        <f t="shared" si="5"/>
        <v>100</v>
      </c>
      <c r="O100" s="383">
        <v>18.7</v>
      </c>
      <c r="P100" s="384">
        <v>33.299999999999997</v>
      </c>
      <c r="Q100" s="384"/>
      <c r="R100" s="385">
        <f t="shared" si="6"/>
        <v>52</v>
      </c>
      <c r="S100" s="334">
        <v>2</v>
      </c>
      <c r="T100" s="357"/>
      <c r="V100" s="343" t="s">
        <v>503</v>
      </c>
      <c r="W100" s="334" t="s">
        <v>338</v>
      </c>
      <c r="X100" s="334" t="s">
        <v>18</v>
      </c>
      <c r="Y100" s="344">
        <v>29.3</v>
      </c>
      <c r="Z100" s="334" t="s">
        <v>499</v>
      </c>
      <c r="AA100" s="334" t="s">
        <v>22</v>
      </c>
      <c r="AB100" s="334" t="s">
        <v>11</v>
      </c>
      <c r="AC100" s="334">
        <v>18.7</v>
      </c>
      <c r="AD100" s="343" t="s">
        <v>502</v>
      </c>
      <c r="AE100" s="334" t="s">
        <v>88</v>
      </c>
      <c r="AF100" s="334" t="s">
        <v>18</v>
      </c>
      <c r="AG100" s="344">
        <v>4</v>
      </c>
      <c r="AL100" s="343"/>
      <c r="AO100" s="344"/>
      <c r="AP100" s="343"/>
      <c r="AS100" s="344"/>
      <c r="AW100" s="344"/>
      <c r="BA100" s="345"/>
    </row>
    <row r="101" spans="1:53" s="334" customFormat="1" x14ac:dyDescent="0.15">
      <c r="A101" s="334">
        <v>2004</v>
      </c>
      <c r="C101" s="812" t="s">
        <v>678</v>
      </c>
      <c r="D101" s="812"/>
      <c r="E101" s="334">
        <v>366</v>
      </c>
      <c r="G101" s="419">
        <v>6</v>
      </c>
      <c r="H101" s="334">
        <v>10</v>
      </c>
      <c r="J101" s="435">
        <v>16</v>
      </c>
      <c r="K101" s="384">
        <f t="shared" si="4"/>
        <v>37.5</v>
      </c>
      <c r="L101" s="384">
        <f t="shared" si="3"/>
        <v>62.5</v>
      </c>
      <c r="M101" s="384">
        <f t="shared" si="3"/>
        <v>0</v>
      </c>
      <c r="N101" s="421">
        <f t="shared" si="5"/>
        <v>100</v>
      </c>
      <c r="O101" s="383">
        <v>18.7</v>
      </c>
      <c r="P101" s="384">
        <v>33.299999999999997</v>
      </c>
      <c r="Q101" s="384"/>
      <c r="R101" s="385">
        <f t="shared" si="6"/>
        <v>52</v>
      </c>
      <c r="S101" s="334">
        <v>2</v>
      </c>
      <c r="T101" s="357"/>
      <c r="V101" s="343" t="s">
        <v>503</v>
      </c>
      <c r="W101" s="334" t="s">
        <v>338</v>
      </c>
      <c r="X101" s="334" t="s">
        <v>18</v>
      </c>
      <c r="Y101" s="344">
        <v>29.3</v>
      </c>
      <c r="Z101" s="334" t="s">
        <v>499</v>
      </c>
      <c r="AA101" s="334" t="s">
        <v>22</v>
      </c>
      <c r="AB101" s="334" t="s">
        <v>11</v>
      </c>
      <c r="AC101" s="334">
        <v>18.7</v>
      </c>
      <c r="AD101" s="343" t="s">
        <v>502</v>
      </c>
      <c r="AE101" s="334" t="s">
        <v>88</v>
      </c>
      <c r="AF101" s="334" t="s">
        <v>18</v>
      </c>
      <c r="AG101" s="344">
        <v>4</v>
      </c>
      <c r="AL101" s="343"/>
      <c r="AO101" s="344"/>
      <c r="AP101" s="343"/>
      <c r="AS101" s="344"/>
      <c r="AW101" s="344"/>
      <c r="BA101" s="345"/>
    </row>
    <row r="102" spans="1:53" s="334" customFormat="1" x14ac:dyDescent="0.15">
      <c r="A102" s="334">
        <v>2005</v>
      </c>
      <c r="C102" s="812" t="s">
        <v>678</v>
      </c>
      <c r="D102" s="812"/>
      <c r="E102" s="334">
        <v>0</v>
      </c>
      <c r="G102" s="419">
        <v>6</v>
      </c>
      <c r="H102" s="334">
        <v>10</v>
      </c>
      <c r="J102" s="435">
        <v>16</v>
      </c>
      <c r="K102" s="384">
        <f t="shared" si="4"/>
        <v>37.5</v>
      </c>
      <c r="L102" s="384">
        <f t="shared" si="3"/>
        <v>62.5</v>
      </c>
      <c r="M102" s="384">
        <f t="shared" si="3"/>
        <v>0</v>
      </c>
      <c r="N102" s="421">
        <f t="shared" si="5"/>
        <v>100</v>
      </c>
      <c r="O102" s="383">
        <v>18.7</v>
      </c>
      <c r="P102" s="384">
        <v>33.299999999999997</v>
      </c>
      <c r="Q102" s="384"/>
      <c r="R102" s="385">
        <f t="shared" si="6"/>
        <v>52</v>
      </c>
      <c r="S102" s="334">
        <v>2</v>
      </c>
      <c r="T102" s="357"/>
      <c r="V102" s="343" t="s">
        <v>503</v>
      </c>
      <c r="W102" s="334" t="s">
        <v>338</v>
      </c>
      <c r="X102" s="334" t="s">
        <v>18</v>
      </c>
      <c r="Y102" s="344">
        <v>29.3</v>
      </c>
      <c r="Z102" s="334" t="s">
        <v>499</v>
      </c>
      <c r="AA102" s="334" t="s">
        <v>22</v>
      </c>
      <c r="AB102" s="334" t="s">
        <v>11</v>
      </c>
      <c r="AC102" s="334">
        <v>18.7</v>
      </c>
      <c r="AD102" s="343" t="s">
        <v>502</v>
      </c>
      <c r="AE102" s="334" t="s">
        <v>88</v>
      </c>
      <c r="AF102" s="334" t="s">
        <v>18</v>
      </c>
      <c r="AG102" s="344">
        <v>4</v>
      </c>
      <c r="AL102" s="343"/>
      <c r="AO102" s="344"/>
      <c r="AP102" s="343"/>
      <c r="AS102" s="344"/>
      <c r="AW102" s="344"/>
      <c r="BA102" s="345"/>
    </row>
    <row r="103" spans="1:53" s="334" customFormat="1" x14ac:dyDescent="0.15">
      <c r="A103" s="334">
        <v>2005</v>
      </c>
      <c r="C103" s="812" t="s">
        <v>678</v>
      </c>
      <c r="D103" s="812"/>
      <c r="E103" s="334">
        <f>365-E102</f>
        <v>365</v>
      </c>
      <c r="G103" s="419">
        <v>6</v>
      </c>
      <c r="H103" s="334">
        <v>10</v>
      </c>
      <c r="J103" s="435">
        <v>16</v>
      </c>
      <c r="K103" s="384">
        <f>G103/$J103*100</f>
        <v>37.5</v>
      </c>
      <c r="L103" s="384">
        <f t="shared" si="3"/>
        <v>62.5</v>
      </c>
      <c r="M103" s="384">
        <f t="shared" si="3"/>
        <v>0</v>
      </c>
      <c r="N103" s="421">
        <f t="shared" si="5"/>
        <v>100</v>
      </c>
      <c r="O103" s="383">
        <v>18.7</v>
      </c>
      <c r="P103" s="384">
        <v>33.299999999999997</v>
      </c>
      <c r="Q103" s="384"/>
      <c r="R103" s="385">
        <f t="shared" si="6"/>
        <v>52</v>
      </c>
      <c r="S103" s="334">
        <v>2</v>
      </c>
      <c r="T103" s="357"/>
      <c r="V103" s="343" t="s">
        <v>503</v>
      </c>
      <c r="W103" s="334" t="s">
        <v>338</v>
      </c>
      <c r="X103" s="334" t="s">
        <v>18</v>
      </c>
      <c r="Y103" s="344">
        <v>29.3</v>
      </c>
      <c r="Z103" s="334" t="s">
        <v>499</v>
      </c>
      <c r="AA103" s="334" t="s">
        <v>22</v>
      </c>
      <c r="AB103" s="334" t="s">
        <v>11</v>
      </c>
      <c r="AC103" s="334">
        <v>18.7</v>
      </c>
      <c r="AD103" s="343" t="s">
        <v>502</v>
      </c>
      <c r="AE103" s="334" t="s">
        <v>88</v>
      </c>
      <c r="AF103" s="334" t="s">
        <v>18</v>
      </c>
      <c r="AG103" s="344">
        <v>4</v>
      </c>
      <c r="AL103" s="343"/>
      <c r="AO103" s="344"/>
      <c r="AP103" s="343"/>
      <c r="AS103" s="344"/>
      <c r="AW103" s="344"/>
      <c r="BA103" s="345"/>
    </row>
    <row r="104" spans="1:53" s="334" customFormat="1" x14ac:dyDescent="0.15">
      <c r="A104" s="334">
        <v>2006</v>
      </c>
      <c r="C104" s="812" t="s">
        <v>678</v>
      </c>
      <c r="D104" s="812"/>
      <c r="E104" s="334">
        <v>187</v>
      </c>
      <c r="G104" s="419">
        <v>6</v>
      </c>
      <c r="H104" s="334">
        <v>10</v>
      </c>
      <c r="J104" s="435">
        <v>16</v>
      </c>
      <c r="K104" s="384">
        <f t="shared" ref="K104:M120" si="7">G104/$J104*100</f>
        <v>37.5</v>
      </c>
      <c r="L104" s="384">
        <f t="shared" si="3"/>
        <v>62.5</v>
      </c>
      <c r="M104" s="384">
        <f t="shared" si="3"/>
        <v>0</v>
      </c>
      <c r="N104" s="421">
        <f t="shared" si="5"/>
        <v>100</v>
      </c>
      <c r="O104" s="383">
        <v>18.7</v>
      </c>
      <c r="P104" s="384">
        <v>33.299999999999997</v>
      </c>
      <c r="Q104" s="384"/>
      <c r="R104" s="385">
        <f t="shared" si="6"/>
        <v>52</v>
      </c>
      <c r="S104" s="334">
        <v>2</v>
      </c>
      <c r="T104" s="357"/>
      <c r="V104" s="343" t="s">
        <v>503</v>
      </c>
      <c r="W104" s="334" t="s">
        <v>338</v>
      </c>
      <c r="X104" s="334" t="s">
        <v>18</v>
      </c>
      <c r="Y104" s="344">
        <v>29.3</v>
      </c>
      <c r="Z104" s="334" t="s">
        <v>499</v>
      </c>
      <c r="AA104" s="334" t="s">
        <v>22</v>
      </c>
      <c r="AB104" s="334" t="s">
        <v>11</v>
      </c>
      <c r="AC104" s="334">
        <v>18.7</v>
      </c>
      <c r="AD104" s="343" t="s">
        <v>502</v>
      </c>
      <c r="AE104" s="334" t="s">
        <v>88</v>
      </c>
      <c r="AF104" s="334" t="s">
        <v>18</v>
      </c>
      <c r="AG104" s="344">
        <v>4</v>
      </c>
      <c r="AL104" s="343"/>
      <c r="AO104" s="344"/>
      <c r="AP104" s="343"/>
      <c r="AS104" s="344"/>
      <c r="AW104" s="344"/>
      <c r="BA104" s="345"/>
    </row>
    <row r="105" spans="1:53" s="208" customFormat="1" x14ac:dyDescent="0.15">
      <c r="A105" s="208">
        <v>2006</v>
      </c>
      <c r="B105" s="207">
        <v>38905</v>
      </c>
      <c r="C105" s="811" t="s">
        <v>679</v>
      </c>
      <c r="D105" s="811"/>
      <c r="E105" s="208">
        <f>365-E104</f>
        <v>178</v>
      </c>
      <c r="F105" s="208">
        <v>4</v>
      </c>
      <c r="G105" s="123">
        <v>7</v>
      </c>
      <c r="H105" s="208">
        <v>9</v>
      </c>
      <c r="J105" s="134">
        <v>16</v>
      </c>
      <c r="K105" s="92">
        <f t="shared" si="7"/>
        <v>43.75</v>
      </c>
      <c r="L105" s="92">
        <f t="shared" si="3"/>
        <v>56.25</v>
      </c>
      <c r="M105" s="92">
        <f t="shared" si="3"/>
        <v>0</v>
      </c>
      <c r="N105" s="125">
        <f t="shared" si="5"/>
        <v>100</v>
      </c>
      <c r="O105" s="91">
        <v>18.7</v>
      </c>
      <c r="P105" s="92">
        <v>29.3</v>
      </c>
      <c r="Q105" s="92"/>
      <c r="R105" s="93">
        <f t="shared" si="6"/>
        <v>48</v>
      </c>
      <c r="S105" s="208">
        <v>5</v>
      </c>
      <c r="T105" s="95"/>
      <c r="U105" s="207">
        <v>38905</v>
      </c>
      <c r="V105" s="82" t="s">
        <v>503</v>
      </c>
      <c r="W105" s="208" t="s">
        <v>338</v>
      </c>
      <c r="X105" s="208" t="s">
        <v>18</v>
      </c>
      <c r="Y105" s="83">
        <v>29.3</v>
      </c>
      <c r="Z105" s="208" t="s">
        <v>499</v>
      </c>
      <c r="AA105" s="208" t="s">
        <v>22</v>
      </c>
      <c r="AB105" s="208" t="s">
        <v>11</v>
      </c>
      <c r="AC105" s="208">
        <v>18.7</v>
      </c>
      <c r="AD105" s="82"/>
      <c r="AG105" s="83"/>
      <c r="AL105" s="82"/>
      <c r="AO105" s="83"/>
      <c r="AP105" s="82"/>
      <c r="AS105" s="83"/>
      <c r="AW105" s="83"/>
      <c r="BA105" s="84"/>
    </row>
    <row r="106" spans="1:53" s="208" customFormat="1" x14ac:dyDescent="0.15">
      <c r="A106" s="208">
        <v>2007</v>
      </c>
      <c r="C106" s="811" t="s">
        <v>679</v>
      </c>
      <c r="D106" s="811"/>
      <c r="E106" s="208">
        <v>52</v>
      </c>
      <c r="G106" s="123">
        <v>7</v>
      </c>
      <c r="H106" s="208">
        <v>9</v>
      </c>
      <c r="J106" s="134">
        <v>16</v>
      </c>
      <c r="K106" s="92">
        <f t="shared" si="7"/>
        <v>43.75</v>
      </c>
      <c r="L106" s="92">
        <f t="shared" si="3"/>
        <v>56.25</v>
      </c>
      <c r="M106" s="92">
        <f t="shared" si="3"/>
        <v>0</v>
      </c>
      <c r="N106" s="125">
        <f t="shared" si="5"/>
        <v>100</v>
      </c>
      <c r="O106" s="91">
        <v>18.7</v>
      </c>
      <c r="P106" s="92">
        <v>29.3</v>
      </c>
      <c r="Q106" s="92"/>
      <c r="R106" s="93">
        <f t="shared" si="6"/>
        <v>48</v>
      </c>
      <c r="S106" s="208">
        <v>5</v>
      </c>
      <c r="T106" s="95">
        <v>39043</v>
      </c>
      <c r="V106" s="82" t="s">
        <v>503</v>
      </c>
      <c r="W106" s="208" t="s">
        <v>338</v>
      </c>
      <c r="X106" s="208" t="s">
        <v>18</v>
      </c>
      <c r="Y106" s="83">
        <v>29.3</v>
      </c>
      <c r="Z106" s="208" t="s">
        <v>499</v>
      </c>
      <c r="AA106" s="208" t="s">
        <v>22</v>
      </c>
      <c r="AB106" s="208" t="s">
        <v>11</v>
      </c>
      <c r="AC106" s="208">
        <v>18.7</v>
      </c>
      <c r="AD106" s="82"/>
      <c r="AG106" s="83"/>
      <c r="AL106" s="82"/>
      <c r="AO106" s="83"/>
      <c r="AP106" s="82"/>
      <c r="AS106" s="83"/>
      <c r="AW106" s="83"/>
      <c r="BA106" s="84"/>
    </row>
    <row r="107" spans="1:53" s="334" customFormat="1" x14ac:dyDescent="0.15">
      <c r="A107" s="334">
        <v>2007</v>
      </c>
      <c r="B107" s="355">
        <v>39135</v>
      </c>
      <c r="C107" s="812" t="s">
        <v>680</v>
      </c>
      <c r="D107" s="812"/>
      <c r="E107" s="334">
        <f>365-E106</f>
        <v>313</v>
      </c>
      <c r="F107" s="334">
        <v>1</v>
      </c>
      <c r="G107" s="419"/>
      <c r="H107" s="334">
        <v>10</v>
      </c>
      <c r="I107" s="334">
        <v>6</v>
      </c>
      <c r="J107" s="435">
        <v>16</v>
      </c>
      <c r="K107" s="384">
        <f t="shared" si="7"/>
        <v>0</v>
      </c>
      <c r="L107" s="384">
        <f t="shared" si="3"/>
        <v>62.5</v>
      </c>
      <c r="M107" s="384">
        <f t="shared" si="3"/>
        <v>37.5</v>
      </c>
      <c r="N107" s="421">
        <f t="shared" si="5"/>
        <v>100</v>
      </c>
      <c r="O107" s="383"/>
      <c r="P107" s="384">
        <v>31.3</v>
      </c>
      <c r="Q107" s="384">
        <v>22</v>
      </c>
      <c r="R107" s="385">
        <f t="shared" si="6"/>
        <v>53.3</v>
      </c>
      <c r="S107" s="334">
        <v>2</v>
      </c>
      <c r="T107" s="357"/>
      <c r="U107" s="355">
        <v>39135</v>
      </c>
      <c r="V107" s="343" t="s">
        <v>503</v>
      </c>
      <c r="W107" s="334" t="s">
        <v>338</v>
      </c>
      <c r="X107" s="334" t="s">
        <v>18</v>
      </c>
      <c r="Y107" s="344">
        <v>27.3</v>
      </c>
      <c r="Z107" s="343" t="s">
        <v>500</v>
      </c>
      <c r="AA107" s="334" t="s">
        <v>20</v>
      </c>
      <c r="AB107" s="334" t="s">
        <v>12</v>
      </c>
      <c r="AC107" s="334">
        <v>22</v>
      </c>
      <c r="AD107" s="343" t="s">
        <v>578</v>
      </c>
      <c r="AE107" s="334" t="s">
        <v>339</v>
      </c>
      <c r="AF107" s="334" t="s">
        <v>18</v>
      </c>
      <c r="AG107" s="344">
        <v>4</v>
      </c>
      <c r="AL107" s="343"/>
      <c r="AO107" s="344"/>
      <c r="AP107" s="343"/>
      <c r="AS107" s="344"/>
      <c r="AW107" s="344"/>
      <c r="BA107" s="345"/>
    </row>
    <row r="108" spans="1:53" s="334" customFormat="1" x14ac:dyDescent="0.15">
      <c r="A108" s="334">
        <v>2008</v>
      </c>
      <c r="C108" s="812" t="s">
        <v>680</v>
      </c>
      <c r="D108" s="812"/>
      <c r="E108" s="334">
        <v>0</v>
      </c>
      <c r="G108" s="419"/>
      <c r="H108" s="334">
        <v>10</v>
      </c>
      <c r="I108" s="334">
        <v>6</v>
      </c>
      <c r="J108" s="435">
        <v>16</v>
      </c>
      <c r="K108" s="384">
        <f t="shared" si="7"/>
        <v>0</v>
      </c>
      <c r="L108" s="384">
        <f t="shared" si="3"/>
        <v>62.5</v>
      </c>
      <c r="M108" s="384">
        <f t="shared" si="3"/>
        <v>37.5</v>
      </c>
      <c r="N108" s="421">
        <f t="shared" si="5"/>
        <v>100</v>
      </c>
      <c r="O108" s="383"/>
      <c r="P108" s="384">
        <v>31.3</v>
      </c>
      <c r="Q108" s="384">
        <v>22</v>
      </c>
      <c r="R108" s="385">
        <f t="shared" si="6"/>
        <v>53.3</v>
      </c>
      <c r="S108" s="334">
        <v>2</v>
      </c>
      <c r="T108" s="357"/>
      <c r="V108" s="343" t="s">
        <v>503</v>
      </c>
      <c r="W108" s="334" t="s">
        <v>338</v>
      </c>
      <c r="X108" s="334" t="s">
        <v>18</v>
      </c>
      <c r="Y108" s="344">
        <v>27.3</v>
      </c>
      <c r="Z108" s="343" t="s">
        <v>500</v>
      </c>
      <c r="AA108" s="334" t="s">
        <v>20</v>
      </c>
      <c r="AB108" s="334" t="s">
        <v>12</v>
      </c>
      <c r="AC108" s="334">
        <v>22</v>
      </c>
      <c r="AD108" s="343" t="s">
        <v>578</v>
      </c>
      <c r="AE108" s="334" t="s">
        <v>339</v>
      </c>
      <c r="AF108" s="334" t="s">
        <v>18</v>
      </c>
      <c r="AG108" s="344">
        <v>4</v>
      </c>
      <c r="AL108" s="343"/>
      <c r="AO108" s="344"/>
      <c r="AP108" s="343"/>
      <c r="AS108" s="344"/>
      <c r="AW108" s="344"/>
      <c r="BA108" s="345"/>
    </row>
    <row r="109" spans="1:53" s="334" customFormat="1" x14ac:dyDescent="0.15">
      <c r="A109" s="334">
        <v>2008</v>
      </c>
      <c r="C109" s="812" t="s">
        <v>680</v>
      </c>
      <c r="D109" s="812"/>
      <c r="E109" s="334">
        <v>366</v>
      </c>
      <c r="G109" s="419"/>
      <c r="H109" s="334">
        <v>10</v>
      </c>
      <c r="I109" s="334">
        <v>6</v>
      </c>
      <c r="J109" s="435">
        <v>16</v>
      </c>
      <c r="K109" s="384">
        <f t="shared" si="7"/>
        <v>0</v>
      </c>
      <c r="L109" s="384">
        <f t="shared" si="3"/>
        <v>62.5</v>
      </c>
      <c r="M109" s="384">
        <f t="shared" si="3"/>
        <v>37.5</v>
      </c>
      <c r="N109" s="421">
        <f t="shared" si="5"/>
        <v>100</v>
      </c>
      <c r="O109" s="383"/>
      <c r="P109" s="384">
        <v>31.3</v>
      </c>
      <c r="Q109" s="384">
        <v>22</v>
      </c>
      <c r="R109" s="385">
        <f t="shared" si="6"/>
        <v>53.3</v>
      </c>
      <c r="S109" s="334">
        <v>2</v>
      </c>
      <c r="T109" s="357"/>
      <c r="V109" s="343" t="s">
        <v>503</v>
      </c>
      <c r="W109" s="334" t="s">
        <v>338</v>
      </c>
      <c r="X109" s="334" t="s">
        <v>18</v>
      </c>
      <c r="Y109" s="344">
        <v>27.3</v>
      </c>
      <c r="Z109" s="343" t="s">
        <v>500</v>
      </c>
      <c r="AA109" s="334" t="s">
        <v>20</v>
      </c>
      <c r="AB109" s="334" t="s">
        <v>12</v>
      </c>
      <c r="AC109" s="334">
        <v>22</v>
      </c>
      <c r="AD109" s="343" t="s">
        <v>578</v>
      </c>
      <c r="AE109" s="334" t="s">
        <v>339</v>
      </c>
      <c r="AF109" s="334" t="s">
        <v>18</v>
      </c>
      <c r="AG109" s="344">
        <v>4</v>
      </c>
      <c r="AL109" s="343"/>
      <c r="AO109" s="344"/>
      <c r="AP109" s="343"/>
      <c r="AS109" s="344"/>
      <c r="AW109" s="344"/>
      <c r="BA109" s="345"/>
    </row>
    <row r="110" spans="1:53" s="334" customFormat="1" x14ac:dyDescent="0.15">
      <c r="A110" s="334">
        <v>2009</v>
      </c>
      <c r="C110" s="812" t="s">
        <v>680</v>
      </c>
      <c r="D110" s="812"/>
      <c r="E110" s="334">
        <v>0</v>
      </c>
      <c r="G110" s="419"/>
      <c r="H110" s="334">
        <v>10</v>
      </c>
      <c r="I110" s="334">
        <v>6</v>
      </c>
      <c r="J110" s="435">
        <v>16</v>
      </c>
      <c r="K110" s="384">
        <f t="shared" si="7"/>
        <v>0</v>
      </c>
      <c r="L110" s="384">
        <f t="shared" si="3"/>
        <v>62.5</v>
      </c>
      <c r="M110" s="384">
        <f t="shared" si="3"/>
        <v>37.5</v>
      </c>
      <c r="N110" s="421">
        <f t="shared" si="5"/>
        <v>100</v>
      </c>
      <c r="O110" s="383"/>
      <c r="P110" s="384">
        <v>31.3</v>
      </c>
      <c r="Q110" s="384">
        <v>22</v>
      </c>
      <c r="R110" s="385">
        <f t="shared" si="6"/>
        <v>53.3</v>
      </c>
      <c r="S110" s="334">
        <v>2</v>
      </c>
      <c r="T110" s="357"/>
      <c r="V110" s="343" t="s">
        <v>503</v>
      </c>
      <c r="W110" s="334" t="s">
        <v>338</v>
      </c>
      <c r="X110" s="334" t="s">
        <v>18</v>
      </c>
      <c r="Y110" s="344">
        <v>27.3</v>
      </c>
      <c r="Z110" s="343" t="s">
        <v>500</v>
      </c>
      <c r="AA110" s="334" t="s">
        <v>20</v>
      </c>
      <c r="AB110" s="334" t="s">
        <v>12</v>
      </c>
      <c r="AC110" s="334">
        <v>22</v>
      </c>
      <c r="AD110" s="343" t="s">
        <v>578</v>
      </c>
      <c r="AE110" s="334" t="s">
        <v>339</v>
      </c>
      <c r="AF110" s="334" t="s">
        <v>18</v>
      </c>
      <c r="AG110" s="344">
        <v>4</v>
      </c>
      <c r="AL110" s="343"/>
      <c r="AO110" s="344"/>
      <c r="AP110" s="343"/>
      <c r="AS110" s="344"/>
      <c r="AW110" s="344"/>
      <c r="BA110" s="345"/>
    </row>
    <row r="111" spans="1:53" s="334" customFormat="1" x14ac:dyDescent="0.15">
      <c r="A111" s="334">
        <v>2009</v>
      </c>
      <c r="C111" s="812" t="s">
        <v>680</v>
      </c>
      <c r="D111" s="812"/>
      <c r="E111" s="334">
        <v>365</v>
      </c>
      <c r="G111" s="419"/>
      <c r="H111" s="334">
        <v>10</v>
      </c>
      <c r="I111" s="334">
        <v>6</v>
      </c>
      <c r="J111" s="435">
        <v>16</v>
      </c>
      <c r="K111" s="384">
        <f t="shared" si="7"/>
        <v>0</v>
      </c>
      <c r="L111" s="384">
        <f t="shared" si="3"/>
        <v>62.5</v>
      </c>
      <c r="M111" s="384">
        <f t="shared" si="3"/>
        <v>37.5</v>
      </c>
      <c r="N111" s="421">
        <f t="shared" si="5"/>
        <v>100</v>
      </c>
      <c r="O111" s="383"/>
      <c r="P111" s="384">
        <v>31.3</v>
      </c>
      <c r="Q111" s="384">
        <v>22</v>
      </c>
      <c r="R111" s="385">
        <f t="shared" si="6"/>
        <v>53.3</v>
      </c>
      <c r="S111" s="334">
        <v>2</v>
      </c>
      <c r="T111" s="357"/>
      <c r="V111" s="343" t="s">
        <v>503</v>
      </c>
      <c r="W111" s="334" t="s">
        <v>338</v>
      </c>
      <c r="X111" s="334" t="s">
        <v>18</v>
      </c>
      <c r="Y111" s="344">
        <v>27.3</v>
      </c>
      <c r="Z111" s="343" t="s">
        <v>500</v>
      </c>
      <c r="AA111" s="334" t="s">
        <v>20</v>
      </c>
      <c r="AB111" s="334" t="s">
        <v>12</v>
      </c>
      <c r="AC111" s="334">
        <v>22</v>
      </c>
      <c r="AD111" s="343" t="s">
        <v>578</v>
      </c>
      <c r="AE111" s="334" t="s">
        <v>339</v>
      </c>
      <c r="AF111" s="334" t="s">
        <v>18</v>
      </c>
      <c r="AG111" s="344">
        <v>4</v>
      </c>
      <c r="AL111" s="343"/>
      <c r="AO111" s="344"/>
      <c r="AP111" s="343"/>
      <c r="AS111" s="344"/>
      <c r="AW111" s="344"/>
      <c r="BA111" s="345"/>
    </row>
    <row r="112" spans="1:53" s="334" customFormat="1" x14ac:dyDescent="0.15">
      <c r="A112" s="334">
        <v>2010</v>
      </c>
      <c r="C112" s="812" t="s">
        <v>680</v>
      </c>
      <c r="D112" s="812"/>
      <c r="E112" s="334">
        <v>50</v>
      </c>
      <c r="G112" s="419"/>
      <c r="H112" s="334">
        <v>10</v>
      </c>
      <c r="I112" s="334">
        <v>6</v>
      </c>
      <c r="J112" s="435">
        <v>16</v>
      </c>
      <c r="K112" s="384">
        <f t="shared" si="7"/>
        <v>0</v>
      </c>
      <c r="L112" s="384">
        <f t="shared" si="3"/>
        <v>62.5</v>
      </c>
      <c r="M112" s="384">
        <f t="shared" si="3"/>
        <v>37.5</v>
      </c>
      <c r="N112" s="421">
        <f t="shared" si="5"/>
        <v>100</v>
      </c>
      <c r="O112" s="383"/>
      <c r="P112" s="384">
        <v>31.3</v>
      </c>
      <c r="Q112" s="384">
        <v>22</v>
      </c>
      <c r="R112" s="385">
        <f t="shared" si="6"/>
        <v>53.3</v>
      </c>
      <c r="S112" s="334">
        <v>2</v>
      </c>
      <c r="T112" s="357"/>
      <c r="V112" s="343" t="s">
        <v>503</v>
      </c>
      <c r="W112" s="334" t="s">
        <v>338</v>
      </c>
      <c r="X112" s="334" t="s">
        <v>18</v>
      </c>
      <c r="Y112" s="344">
        <v>27.3</v>
      </c>
      <c r="Z112" s="343" t="s">
        <v>500</v>
      </c>
      <c r="AA112" s="334" t="s">
        <v>20</v>
      </c>
      <c r="AB112" s="334" t="s">
        <v>12</v>
      </c>
      <c r="AC112" s="334">
        <v>22</v>
      </c>
      <c r="AD112" s="343" t="s">
        <v>578</v>
      </c>
      <c r="AE112" s="334" t="s">
        <v>339</v>
      </c>
      <c r="AF112" s="334" t="s">
        <v>18</v>
      </c>
      <c r="AG112" s="344">
        <v>4</v>
      </c>
      <c r="AL112" s="343"/>
      <c r="AO112" s="344"/>
      <c r="AP112" s="343"/>
      <c r="AS112" s="344"/>
      <c r="AW112" s="344"/>
      <c r="BA112" s="345"/>
    </row>
    <row r="113" spans="1:53" s="208" customFormat="1" x14ac:dyDescent="0.15">
      <c r="A113" s="208">
        <v>2010</v>
      </c>
      <c r="B113" s="207">
        <v>40229</v>
      </c>
      <c r="C113" s="811" t="s">
        <v>681</v>
      </c>
      <c r="D113" s="811"/>
      <c r="E113" s="208">
        <f>365-E112-E114</f>
        <v>236</v>
      </c>
      <c r="F113" s="208">
        <v>4</v>
      </c>
      <c r="G113" s="123"/>
      <c r="H113" s="208">
        <v>10</v>
      </c>
      <c r="J113" s="134">
        <v>10</v>
      </c>
      <c r="K113" s="92">
        <f t="shared" si="7"/>
        <v>0</v>
      </c>
      <c r="L113" s="92">
        <f t="shared" si="7"/>
        <v>100</v>
      </c>
      <c r="M113" s="92">
        <f t="shared" si="7"/>
        <v>0</v>
      </c>
      <c r="N113" s="125">
        <f t="shared" si="5"/>
        <v>100</v>
      </c>
      <c r="O113" s="91"/>
      <c r="P113" s="92">
        <v>31.3</v>
      </c>
      <c r="Q113" s="92"/>
      <c r="R113" s="93">
        <f t="shared" si="6"/>
        <v>31.3</v>
      </c>
      <c r="S113" s="208">
        <v>6</v>
      </c>
      <c r="T113" s="81"/>
      <c r="U113" s="207">
        <v>40229</v>
      </c>
      <c r="V113" s="82" t="s">
        <v>503</v>
      </c>
      <c r="W113" s="208" t="s">
        <v>338</v>
      </c>
      <c r="X113" s="208" t="s">
        <v>18</v>
      </c>
      <c r="Y113" s="83">
        <v>27.3</v>
      </c>
      <c r="Z113" s="82" t="s">
        <v>578</v>
      </c>
      <c r="AA113" s="208" t="s">
        <v>339</v>
      </c>
      <c r="AB113" s="208" t="s">
        <v>18</v>
      </c>
      <c r="AC113" s="208">
        <v>4</v>
      </c>
      <c r="AD113" s="82"/>
      <c r="AG113" s="83"/>
      <c r="AL113" s="82"/>
      <c r="AO113" s="83"/>
      <c r="AP113" s="82"/>
      <c r="AS113" s="83"/>
      <c r="AW113" s="83"/>
      <c r="BA113" s="84"/>
    </row>
    <row r="114" spans="1:53" s="334" customFormat="1" x14ac:dyDescent="0.15">
      <c r="A114" s="334">
        <v>2010</v>
      </c>
      <c r="B114" s="355">
        <v>40465</v>
      </c>
      <c r="C114" s="812" t="s">
        <v>682</v>
      </c>
      <c r="D114" s="812"/>
      <c r="E114" s="334">
        <v>79</v>
      </c>
      <c r="F114" s="334">
        <v>1</v>
      </c>
      <c r="G114" s="419">
        <v>8</v>
      </c>
      <c r="H114" s="334">
        <v>8</v>
      </c>
      <c r="J114" s="435">
        <v>16</v>
      </c>
      <c r="K114" s="384">
        <f t="shared" si="7"/>
        <v>50</v>
      </c>
      <c r="L114" s="384">
        <f t="shared" si="7"/>
        <v>50</v>
      </c>
      <c r="M114" s="384">
        <f t="shared" si="7"/>
        <v>0</v>
      </c>
      <c r="N114" s="421">
        <f t="shared" si="5"/>
        <v>100</v>
      </c>
      <c r="O114" s="383">
        <v>20.7</v>
      </c>
      <c r="P114" s="384">
        <v>14</v>
      </c>
      <c r="Q114" s="384"/>
      <c r="R114" s="385">
        <f t="shared" si="6"/>
        <v>34.700000000000003</v>
      </c>
      <c r="S114" s="334">
        <v>5</v>
      </c>
      <c r="T114" s="342">
        <v>40338</v>
      </c>
      <c r="U114" s="355">
        <v>40465</v>
      </c>
      <c r="V114" s="343" t="s">
        <v>499</v>
      </c>
      <c r="W114" s="334" t="s">
        <v>22</v>
      </c>
      <c r="X114" s="334" t="s">
        <v>11</v>
      </c>
      <c r="Y114" s="344">
        <v>20.7</v>
      </c>
      <c r="Z114" s="334" t="s">
        <v>503</v>
      </c>
      <c r="AA114" s="334" t="s">
        <v>338</v>
      </c>
      <c r="AB114" s="334" t="s">
        <v>18</v>
      </c>
      <c r="AC114" s="334">
        <v>14</v>
      </c>
      <c r="AD114" s="343"/>
      <c r="AG114" s="344"/>
      <c r="AL114" s="343"/>
      <c r="AO114" s="344"/>
      <c r="AP114" s="343"/>
      <c r="AS114" s="344"/>
      <c r="AW114" s="344"/>
      <c r="BA114" s="345"/>
    </row>
    <row r="115" spans="1:53" s="334" customFormat="1" x14ac:dyDescent="0.15">
      <c r="A115" s="334">
        <v>2011</v>
      </c>
      <c r="C115" s="812" t="s">
        <v>682</v>
      </c>
      <c r="D115" s="812"/>
      <c r="E115" s="334">
        <v>0</v>
      </c>
      <c r="G115" s="419">
        <v>8</v>
      </c>
      <c r="H115" s="334">
        <v>8</v>
      </c>
      <c r="J115" s="435">
        <v>16</v>
      </c>
      <c r="K115" s="384">
        <f t="shared" si="7"/>
        <v>50</v>
      </c>
      <c r="L115" s="384">
        <f t="shared" si="7"/>
        <v>50</v>
      </c>
      <c r="M115" s="384">
        <f t="shared" si="7"/>
        <v>0</v>
      </c>
      <c r="N115" s="421">
        <f t="shared" si="5"/>
        <v>100</v>
      </c>
      <c r="O115" s="383">
        <v>20.7</v>
      </c>
      <c r="P115" s="384">
        <v>14</v>
      </c>
      <c r="Q115" s="384"/>
      <c r="R115" s="385">
        <f t="shared" si="6"/>
        <v>34.700000000000003</v>
      </c>
      <c r="S115" s="334">
        <v>5</v>
      </c>
      <c r="T115" s="357"/>
      <c r="V115" s="343" t="s">
        <v>499</v>
      </c>
      <c r="W115" s="334" t="s">
        <v>22</v>
      </c>
      <c r="X115" s="334" t="s">
        <v>11</v>
      </c>
      <c r="Y115" s="344">
        <v>20.7</v>
      </c>
      <c r="Z115" s="334" t="s">
        <v>503</v>
      </c>
      <c r="AA115" s="334" t="s">
        <v>338</v>
      </c>
      <c r="AB115" s="334" t="s">
        <v>18</v>
      </c>
      <c r="AC115" s="334">
        <v>14</v>
      </c>
      <c r="AD115" s="343"/>
      <c r="AG115" s="344"/>
      <c r="AL115" s="343"/>
      <c r="AO115" s="344"/>
      <c r="AP115" s="343"/>
      <c r="AS115" s="344"/>
      <c r="AW115" s="344"/>
      <c r="BA115" s="345"/>
    </row>
    <row r="116" spans="1:53" s="334" customFormat="1" x14ac:dyDescent="0.15">
      <c r="A116" s="334">
        <v>2011</v>
      </c>
      <c r="C116" s="812" t="s">
        <v>682</v>
      </c>
      <c r="D116" s="812"/>
      <c r="E116" s="334">
        <v>365</v>
      </c>
      <c r="G116" s="419">
        <v>8</v>
      </c>
      <c r="H116" s="334">
        <v>8</v>
      </c>
      <c r="J116" s="435">
        <v>16</v>
      </c>
      <c r="K116" s="384">
        <f t="shared" si="7"/>
        <v>50</v>
      </c>
      <c r="L116" s="384">
        <f t="shared" si="7"/>
        <v>50</v>
      </c>
      <c r="M116" s="384">
        <f t="shared" si="7"/>
        <v>0</v>
      </c>
      <c r="N116" s="421">
        <f t="shared" si="5"/>
        <v>100</v>
      </c>
      <c r="O116" s="383">
        <v>20.7</v>
      </c>
      <c r="P116" s="384">
        <v>14</v>
      </c>
      <c r="Q116" s="384"/>
      <c r="R116" s="385">
        <f t="shared" si="6"/>
        <v>34.700000000000003</v>
      </c>
      <c r="S116" s="334">
        <v>5</v>
      </c>
      <c r="T116" s="357"/>
      <c r="V116" s="343" t="s">
        <v>499</v>
      </c>
      <c r="W116" s="334" t="s">
        <v>22</v>
      </c>
      <c r="X116" s="334" t="s">
        <v>11</v>
      </c>
      <c r="Y116" s="344">
        <v>20.7</v>
      </c>
      <c r="Z116" s="334" t="s">
        <v>503</v>
      </c>
      <c r="AA116" s="334" t="s">
        <v>338</v>
      </c>
      <c r="AB116" s="334" t="s">
        <v>18</v>
      </c>
      <c r="AC116" s="334">
        <v>14</v>
      </c>
      <c r="AD116" s="343"/>
      <c r="AG116" s="344"/>
      <c r="AL116" s="343"/>
      <c r="AO116" s="344"/>
      <c r="AP116" s="343"/>
      <c r="AS116" s="344"/>
      <c r="AW116" s="344"/>
      <c r="BA116" s="345"/>
    </row>
    <row r="117" spans="1:53" s="334" customFormat="1" x14ac:dyDescent="0.15">
      <c r="A117" s="334">
        <v>2012</v>
      </c>
      <c r="C117" s="812" t="s">
        <v>682</v>
      </c>
      <c r="D117" s="812"/>
      <c r="E117" s="334">
        <v>309</v>
      </c>
      <c r="G117" s="419">
        <v>8</v>
      </c>
      <c r="H117" s="334">
        <v>8</v>
      </c>
      <c r="J117" s="435">
        <v>16</v>
      </c>
      <c r="K117" s="384">
        <f t="shared" si="7"/>
        <v>50</v>
      </c>
      <c r="L117" s="384">
        <f t="shared" si="7"/>
        <v>50</v>
      </c>
      <c r="M117" s="384">
        <f t="shared" si="7"/>
        <v>0</v>
      </c>
      <c r="N117" s="421">
        <f t="shared" si="5"/>
        <v>100</v>
      </c>
      <c r="O117" s="383">
        <v>20.7</v>
      </c>
      <c r="P117" s="384">
        <v>14</v>
      </c>
      <c r="Q117" s="384"/>
      <c r="R117" s="385">
        <f t="shared" si="6"/>
        <v>34.700000000000003</v>
      </c>
      <c r="S117" s="334">
        <v>5</v>
      </c>
      <c r="T117" s="357"/>
      <c r="V117" s="343" t="s">
        <v>499</v>
      </c>
      <c r="W117" s="334" t="s">
        <v>22</v>
      </c>
      <c r="X117" s="334" t="s">
        <v>11</v>
      </c>
      <c r="Y117" s="344">
        <v>20.7</v>
      </c>
      <c r="Z117" s="334" t="s">
        <v>503</v>
      </c>
      <c r="AA117" s="334" t="s">
        <v>338</v>
      </c>
      <c r="AB117" s="334" t="s">
        <v>18</v>
      </c>
      <c r="AC117" s="334">
        <v>14</v>
      </c>
      <c r="AD117" s="343"/>
      <c r="AG117" s="344"/>
      <c r="AL117" s="343"/>
      <c r="AO117" s="344"/>
      <c r="AP117" s="343"/>
      <c r="AS117" s="344"/>
      <c r="AW117" s="344"/>
      <c r="BA117" s="345"/>
    </row>
    <row r="118" spans="1:53" s="208" customFormat="1" x14ac:dyDescent="0.15">
      <c r="A118" s="208">
        <v>2012</v>
      </c>
      <c r="B118" s="207">
        <v>41218</v>
      </c>
      <c r="C118" s="811" t="s">
        <v>683</v>
      </c>
      <c r="D118" s="811"/>
      <c r="E118" s="208">
        <v>57</v>
      </c>
      <c r="F118" s="208">
        <v>1</v>
      </c>
      <c r="G118" s="123">
        <v>7</v>
      </c>
      <c r="I118" s="208">
        <v>6</v>
      </c>
      <c r="J118" s="134">
        <v>13</v>
      </c>
      <c r="K118" s="92">
        <f t="shared" si="7"/>
        <v>53.846153846153847</v>
      </c>
      <c r="L118" s="92">
        <f t="shared" si="7"/>
        <v>0</v>
      </c>
      <c r="M118" s="92">
        <f t="shared" si="7"/>
        <v>46.153846153846153</v>
      </c>
      <c r="N118" s="125">
        <f t="shared" si="5"/>
        <v>100</v>
      </c>
      <c r="O118" s="91">
        <v>27.3</v>
      </c>
      <c r="P118" s="92"/>
      <c r="Q118" s="92">
        <v>25.3</v>
      </c>
      <c r="R118" s="93">
        <f t="shared" si="6"/>
        <v>52.6</v>
      </c>
      <c r="S118" s="208">
        <v>2</v>
      </c>
      <c r="T118" s="95">
        <v>41164</v>
      </c>
      <c r="U118" s="207">
        <v>41218</v>
      </c>
      <c r="V118" s="82" t="s">
        <v>499</v>
      </c>
      <c r="W118" s="208" t="s">
        <v>22</v>
      </c>
      <c r="X118" s="208" t="s">
        <v>11</v>
      </c>
      <c r="Y118" s="83">
        <v>27.3</v>
      </c>
      <c r="Z118" s="208" t="s">
        <v>500</v>
      </c>
      <c r="AA118" s="208" t="s">
        <v>20</v>
      </c>
      <c r="AB118" s="208" t="s">
        <v>12</v>
      </c>
      <c r="AC118" s="208">
        <v>25.3</v>
      </c>
      <c r="AD118" s="82"/>
      <c r="AG118" s="83"/>
      <c r="AL118" s="82"/>
      <c r="AO118" s="83"/>
      <c r="AP118" s="82"/>
      <c r="AS118" s="83"/>
      <c r="AW118" s="83"/>
      <c r="BA118" s="84"/>
    </row>
    <row r="119" spans="1:53" s="305" customFormat="1" x14ac:dyDescent="0.15">
      <c r="A119" s="305">
        <v>2013</v>
      </c>
      <c r="B119" s="303"/>
      <c r="C119" s="811" t="s">
        <v>683</v>
      </c>
      <c r="D119" s="811"/>
      <c r="E119" s="305">
        <v>0</v>
      </c>
      <c r="G119" s="123">
        <v>7</v>
      </c>
      <c r="I119" s="305">
        <v>6</v>
      </c>
      <c r="J119" s="134">
        <v>13</v>
      </c>
      <c r="K119" s="92">
        <f t="shared" si="7"/>
        <v>53.846153846153847</v>
      </c>
      <c r="L119" s="92">
        <f t="shared" si="7"/>
        <v>0</v>
      </c>
      <c r="M119" s="92">
        <f t="shared" si="7"/>
        <v>46.153846153846153</v>
      </c>
      <c r="N119" s="125">
        <f t="shared" si="5"/>
        <v>100</v>
      </c>
      <c r="O119" s="91">
        <v>27.3</v>
      </c>
      <c r="P119" s="92"/>
      <c r="Q119" s="92">
        <v>25.3</v>
      </c>
      <c r="R119" s="93">
        <f>O119+P119+Q119</f>
        <v>52.6</v>
      </c>
      <c r="S119" s="305">
        <v>2</v>
      </c>
      <c r="T119" s="95"/>
      <c r="U119" s="303"/>
      <c r="V119" s="82" t="s">
        <v>499</v>
      </c>
      <c r="W119" s="305" t="s">
        <v>22</v>
      </c>
      <c r="X119" s="305" t="s">
        <v>11</v>
      </c>
      <c r="Y119" s="83">
        <v>27.3</v>
      </c>
      <c r="Z119" s="305" t="s">
        <v>500</v>
      </c>
      <c r="AA119" s="305" t="s">
        <v>20</v>
      </c>
      <c r="AB119" s="305" t="s">
        <v>12</v>
      </c>
      <c r="AC119" s="305">
        <v>25.3</v>
      </c>
      <c r="AD119" s="82"/>
      <c r="AG119" s="83"/>
      <c r="AL119" s="82"/>
      <c r="AO119" s="83"/>
      <c r="AP119" s="82"/>
      <c r="AS119" s="83"/>
      <c r="AW119" s="83"/>
      <c r="BA119" s="84"/>
    </row>
    <row r="120" spans="1:53" s="305" customFormat="1" x14ac:dyDescent="0.15">
      <c r="A120" s="305">
        <v>2013</v>
      </c>
      <c r="B120" s="303"/>
      <c r="C120" s="811" t="s">
        <v>683</v>
      </c>
      <c r="D120" s="811"/>
      <c r="E120" s="305">
        <v>365</v>
      </c>
      <c r="G120" s="123">
        <v>7</v>
      </c>
      <c r="I120" s="305">
        <v>6</v>
      </c>
      <c r="J120" s="134">
        <v>13</v>
      </c>
      <c r="K120" s="92">
        <f t="shared" si="7"/>
        <v>53.846153846153847</v>
      </c>
      <c r="L120" s="92">
        <f t="shared" si="7"/>
        <v>0</v>
      </c>
      <c r="M120" s="92">
        <f t="shared" si="7"/>
        <v>46.153846153846153</v>
      </c>
      <c r="N120" s="125">
        <f t="shared" si="5"/>
        <v>100</v>
      </c>
      <c r="O120" s="91">
        <v>27.3</v>
      </c>
      <c r="P120" s="92"/>
      <c r="Q120" s="92">
        <v>25.3</v>
      </c>
      <c r="R120" s="93">
        <f>O120+P120+Q120</f>
        <v>52.6</v>
      </c>
      <c r="S120" s="305">
        <v>2</v>
      </c>
      <c r="T120" s="95"/>
      <c r="U120" s="303"/>
      <c r="V120" s="82" t="s">
        <v>499</v>
      </c>
      <c r="W120" s="305" t="s">
        <v>22</v>
      </c>
      <c r="X120" s="305" t="s">
        <v>11</v>
      </c>
      <c r="Y120" s="83">
        <v>27.3</v>
      </c>
      <c r="Z120" s="305" t="s">
        <v>500</v>
      </c>
      <c r="AA120" s="305" t="s">
        <v>20</v>
      </c>
      <c r="AB120" s="305" t="s">
        <v>12</v>
      </c>
      <c r="AC120" s="305">
        <v>25.3</v>
      </c>
      <c r="AD120" s="82"/>
      <c r="AG120" s="83"/>
      <c r="AL120" s="82"/>
      <c r="AO120" s="83"/>
      <c r="AP120" s="82"/>
      <c r="AS120" s="83"/>
      <c r="AW120" s="83"/>
      <c r="BA120" s="84"/>
    </row>
    <row r="121" spans="1:53" s="657" customFormat="1" x14ac:dyDescent="0.15">
      <c r="A121" s="657">
        <v>2014</v>
      </c>
      <c r="B121" s="654"/>
      <c r="C121" s="811" t="s">
        <v>683</v>
      </c>
      <c r="D121" s="811"/>
      <c r="E121" s="657">
        <v>0</v>
      </c>
      <c r="G121" s="600">
        <v>7</v>
      </c>
      <c r="I121" s="657">
        <v>6</v>
      </c>
      <c r="J121" s="602">
        <v>13</v>
      </c>
      <c r="K121" s="597">
        <f t="shared" ref="K121:M122" si="8">G121/$J121*100</f>
        <v>53.846153846153847</v>
      </c>
      <c r="L121" s="597">
        <f t="shared" si="8"/>
        <v>0</v>
      </c>
      <c r="M121" s="597">
        <f t="shared" si="8"/>
        <v>46.153846153846153</v>
      </c>
      <c r="N121" s="601">
        <f>K121+L121+M121</f>
        <v>100</v>
      </c>
      <c r="O121" s="596">
        <v>27.3</v>
      </c>
      <c r="P121" s="597"/>
      <c r="Q121" s="597">
        <v>25.3</v>
      </c>
      <c r="R121" s="598">
        <f>O121+P121+Q121</f>
        <v>52.6</v>
      </c>
      <c r="S121" s="657">
        <v>2</v>
      </c>
      <c r="T121" s="599"/>
      <c r="U121" s="654"/>
      <c r="V121" s="592" t="s">
        <v>499</v>
      </c>
      <c r="W121" s="657" t="s">
        <v>22</v>
      </c>
      <c r="X121" s="657" t="s">
        <v>11</v>
      </c>
      <c r="Y121" s="593">
        <v>27.3</v>
      </c>
      <c r="Z121" s="657" t="s">
        <v>500</v>
      </c>
      <c r="AA121" s="657" t="s">
        <v>20</v>
      </c>
      <c r="AB121" s="657" t="s">
        <v>12</v>
      </c>
      <c r="AC121" s="657">
        <v>25.3</v>
      </c>
      <c r="AD121" s="592"/>
      <c r="AG121" s="593"/>
      <c r="AL121" s="592"/>
      <c r="AO121" s="593"/>
      <c r="AP121" s="592"/>
      <c r="AS121" s="593"/>
      <c r="AW121" s="593"/>
      <c r="BA121" s="594"/>
    </row>
    <row r="122" spans="1:53" s="657" customFormat="1" x14ac:dyDescent="0.15">
      <c r="A122" s="657">
        <v>2014</v>
      </c>
      <c r="B122" s="654"/>
      <c r="C122" s="811" t="s">
        <v>683</v>
      </c>
      <c r="D122" s="811"/>
      <c r="E122" s="657">
        <v>365</v>
      </c>
      <c r="G122" s="600">
        <v>7</v>
      </c>
      <c r="I122" s="657">
        <v>6</v>
      </c>
      <c r="J122" s="602">
        <v>13</v>
      </c>
      <c r="K122" s="597">
        <f t="shared" si="8"/>
        <v>53.846153846153847</v>
      </c>
      <c r="L122" s="597">
        <f t="shared" si="8"/>
        <v>0</v>
      </c>
      <c r="M122" s="597">
        <f t="shared" si="8"/>
        <v>46.153846153846153</v>
      </c>
      <c r="N122" s="601">
        <f>K122+L122+M122</f>
        <v>100</v>
      </c>
      <c r="O122" s="596">
        <v>27.3</v>
      </c>
      <c r="P122" s="597"/>
      <c r="Q122" s="597">
        <v>25.3</v>
      </c>
      <c r="R122" s="598">
        <f>O122+P122+Q122</f>
        <v>52.6</v>
      </c>
      <c r="S122" s="657">
        <v>2</v>
      </c>
      <c r="T122" s="599"/>
      <c r="U122" s="654"/>
      <c r="V122" s="592" t="s">
        <v>499</v>
      </c>
      <c r="W122" s="657" t="s">
        <v>22</v>
      </c>
      <c r="X122" s="657" t="s">
        <v>11</v>
      </c>
      <c r="Y122" s="593">
        <v>27.3</v>
      </c>
      <c r="Z122" s="657" t="s">
        <v>500</v>
      </c>
      <c r="AA122" s="657" t="s">
        <v>20</v>
      </c>
      <c r="AB122" s="657" t="s">
        <v>12</v>
      </c>
      <c r="AC122" s="657">
        <v>25.3</v>
      </c>
      <c r="AD122" s="592"/>
      <c r="AG122" s="593"/>
      <c r="AL122" s="592"/>
      <c r="AO122" s="593"/>
      <c r="AP122" s="592"/>
      <c r="AS122" s="593"/>
      <c r="AW122" s="593"/>
      <c r="BA122" s="594"/>
    </row>
    <row r="123" spans="1:53" s="751" customFormat="1" x14ac:dyDescent="0.15">
      <c r="A123" s="751">
        <v>2015</v>
      </c>
      <c r="B123" s="747"/>
      <c r="C123" s="811" t="s">
        <v>683</v>
      </c>
      <c r="D123" s="811"/>
      <c r="E123" s="751">
        <v>0</v>
      </c>
      <c r="G123" s="600">
        <v>7</v>
      </c>
      <c r="I123" s="751">
        <v>6</v>
      </c>
      <c r="J123" s="602">
        <v>13</v>
      </c>
      <c r="K123" s="597">
        <f t="shared" ref="K123:K124" si="9">G123/$J123*100</f>
        <v>53.846153846153847</v>
      </c>
      <c r="L123" s="597">
        <f t="shared" ref="L123:L124" si="10">H123/$J123*100</f>
        <v>0</v>
      </c>
      <c r="M123" s="597">
        <f t="shared" ref="M123:M124" si="11">I123/$J123*100</f>
        <v>46.153846153846153</v>
      </c>
      <c r="N123" s="601">
        <f t="shared" ref="N123:N124" si="12">K123+L123+M123</f>
        <v>100</v>
      </c>
      <c r="O123" s="596">
        <v>27.3</v>
      </c>
      <c r="P123" s="597"/>
      <c r="Q123" s="597">
        <v>25.3</v>
      </c>
      <c r="R123" s="598">
        <f t="shared" ref="R123:R124" si="13">O123+P123+Q123</f>
        <v>52.6</v>
      </c>
      <c r="S123" s="751">
        <v>2</v>
      </c>
      <c r="T123" s="599"/>
      <c r="U123" s="747"/>
      <c r="V123" s="592" t="s">
        <v>499</v>
      </c>
      <c r="W123" s="751" t="s">
        <v>22</v>
      </c>
      <c r="X123" s="751" t="s">
        <v>11</v>
      </c>
      <c r="Y123" s="593">
        <v>27.3</v>
      </c>
      <c r="Z123" s="751" t="s">
        <v>500</v>
      </c>
      <c r="AA123" s="751" t="s">
        <v>20</v>
      </c>
      <c r="AB123" s="751" t="s">
        <v>12</v>
      </c>
      <c r="AC123" s="751">
        <v>25.3</v>
      </c>
      <c r="AD123" s="592"/>
      <c r="AG123" s="593"/>
      <c r="AL123" s="592"/>
      <c r="AO123" s="593"/>
      <c r="AP123" s="592"/>
      <c r="AS123" s="593"/>
      <c r="AW123" s="593"/>
      <c r="BA123" s="594"/>
    </row>
    <row r="124" spans="1:53" s="751" customFormat="1" x14ac:dyDescent="0.15">
      <c r="A124" s="751">
        <v>2015</v>
      </c>
      <c r="B124" s="747"/>
      <c r="C124" s="811" t="s">
        <v>683</v>
      </c>
      <c r="D124" s="811"/>
      <c r="E124" s="751">
        <v>365</v>
      </c>
      <c r="G124" s="600">
        <v>7</v>
      </c>
      <c r="I124" s="751">
        <v>6</v>
      </c>
      <c r="J124" s="602">
        <v>13</v>
      </c>
      <c r="K124" s="597">
        <f t="shared" si="9"/>
        <v>53.846153846153847</v>
      </c>
      <c r="L124" s="597">
        <f t="shared" si="10"/>
        <v>0</v>
      </c>
      <c r="M124" s="597">
        <f t="shared" si="11"/>
        <v>46.153846153846153</v>
      </c>
      <c r="N124" s="601">
        <f t="shared" si="12"/>
        <v>100</v>
      </c>
      <c r="O124" s="596">
        <v>27.3</v>
      </c>
      <c r="P124" s="597"/>
      <c r="Q124" s="597">
        <v>25.3</v>
      </c>
      <c r="R124" s="598">
        <f t="shared" si="13"/>
        <v>52.6</v>
      </c>
      <c r="S124" s="751">
        <v>2</v>
      </c>
      <c r="T124" s="599"/>
      <c r="U124" s="747"/>
      <c r="V124" s="592" t="s">
        <v>499</v>
      </c>
      <c r="W124" s="751" t="s">
        <v>22</v>
      </c>
      <c r="X124" s="751" t="s">
        <v>11</v>
      </c>
      <c r="Y124" s="593">
        <v>27.3</v>
      </c>
      <c r="Z124" s="751" t="s">
        <v>500</v>
      </c>
      <c r="AA124" s="751" t="s">
        <v>20</v>
      </c>
      <c r="AB124" s="751" t="s">
        <v>12</v>
      </c>
      <c r="AC124" s="751">
        <v>25.3</v>
      </c>
      <c r="AD124" s="592"/>
      <c r="AG124" s="593"/>
      <c r="AL124" s="592"/>
      <c r="AO124" s="593"/>
      <c r="AP124" s="592"/>
      <c r="AS124" s="593"/>
      <c r="AW124" s="593"/>
      <c r="BA124" s="594"/>
    </row>
    <row r="127" spans="1:53" s="2" customFormat="1" ht="18" customHeight="1" x14ac:dyDescent="0.2">
      <c r="B127" s="22" t="s">
        <v>1284</v>
      </c>
      <c r="H127" s="6"/>
    </row>
    <row r="128" spans="1:53" s="2" customFormat="1" ht="9" customHeight="1" x14ac:dyDescent="0.15">
      <c r="H128" s="6"/>
    </row>
    <row r="129" spans="1:30" s="364" customFormat="1" ht="9" customHeight="1" x14ac:dyDescent="0.15">
      <c r="A129" s="362"/>
      <c r="B129" s="363" t="s">
        <v>1235</v>
      </c>
      <c r="C129" s="363"/>
      <c r="D129" s="363"/>
      <c r="E129" s="363"/>
      <c r="F129" s="363"/>
      <c r="G129" s="363" t="s">
        <v>1236</v>
      </c>
      <c r="H129" s="363"/>
      <c r="I129" s="363"/>
      <c r="J129" s="363"/>
      <c r="K129" s="363"/>
      <c r="L129" s="363"/>
      <c r="M129" s="363"/>
      <c r="N129" s="363"/>
      <c r="R129" s="802" t="s">
        <v>1237</v>
      </c>
      <c r="S129" s="802"/>
      <c r="T129" s="802"/>
      <c r="U129" s="802"/>
      <c r="V129" s="802"/>
      <c r="W129" s="802"/>
      <c r="X129" s="365"/>
      <c r="Y129" s="365"/>
      <c r="AA129" s="365"/>
      <c r="AB129" s="365"/>
      <c r="AC129" s="365"/>
      <c r="AD129" s="365"/>
    </row>
    <row r="130" spans="1:30" s="369" customFormat="1" ht="9" customHeight="1" x14ac:dyDescent="0.15">
      <c r="A130" s="366"/>
      <c r="B130" s="367" t="s">
        <v>1239</v>
      </c>
      <c r="C130" s="368"/>
      <c r="D130" s="368"/>
      <c r="E130" s="368"/>
      <c r="F130" s="368"/>
      <c r="G130" s="367" t="s">
        <v>1238</v>
      </c>
      <c r="H130" s="368"/>
      <c r="I130" s="368"/>
      <c r="J130" s="368"/>
      <c r="K130" s="368"/>
      <c r="L130" s="368"/>
      <c r="M130" s="368"/>
      <c r="N130" s="368"/>
      <c r="R130" s="370" t="s">
        <v>1240</v>
      </c>
      <c r="S130" s="371"/>
      <c r="T130" s="372"/>
      <c r="U130" s="372"/>
      <c r="V130" s="372"/>
      <c r="W130" s="370" t="s">
        <v>1241</v>
      </c>
      <c r="X130" s="372"/>
      <c r="Y130" s="372"/>
      <c r="AA130" s="372"/>
      <c r="AB130" s="372"/>
      <c r="AC130" s="372"/>
      <c r="AD130" s="372"/>
    </row>
    <row r="131" spans="1:30" s="351" customFormat="1" ht="12" customHeight="1" x14ac:dyDescent="0.15">
      <c r="A131" s="373" t="s">
        <v>3</v>
      </c>
      <c r="B131" s="374" t="s">
        <v>8</v>
      </c>
      <c r="C131" s="374" t="s">
        <v>9</v>
      </c>
      <c r="D131" s="374" t="s">
        <v>10</v>
      </c>
      <c r="E131" s="375" t="s">
        <v>1215</v>
      </c>
      <c r="F131" s="374"/>
      <c r="G131" s="351" t="s">
        <v>3</v>
      </c>
      <c r="H131" s="803" t="s">
        <v>0</v>
      </c>
      <c r="I131" s="803"/>
      <c r="J131" s="803" t="s">
        <v>1</v>
      </c>
      <c r="K131" s="803"/>
      <c r="L131" s="803" t="s">
        <v>2</v>
      </c>
      <c r="M131" s="803"/>
      <c r="N131" s="804" t="s">
        <v>1215</v>
      </c>
      <c r="O131" s="804"/>
      <c r="P131" s="376"/>
      <c r="Q131" s="376"/>
      <c r="R131" s="377" t="s">
        <v>3</v>
      </c>
      <c r="S131" s="378" t="s">
        <v>136</v>
      </c>
      <c r="T131" s="376" t="s">
        <v>134</v>
      </c>
      <c r="U131" s="374" t="s">
        <v>135</v>
      </c>
      <c r="V131" s="376"/>
      <c r="W131" s="379" t="s">
        <v>26</v>
      </c>
    </row>
    <row r="132" spans="1:30" s="273" customFormat="1" x14ac:dyDescent="0.15">
      <c r="A132" s="273">
        <v>1959</v>
      </c>
      <c r="B132" s="260">
        <f>(K6*($E6/365)) + (K7*($E7/365))</f>
        <v>40.028703898840888</v>
      </c>
      <c r="C132" s="260">
        <f>(L6*($E6/365)) + (L7*($E7/365))</f>
        <v>41.06718651211802</v>
      </c>
      <c r="D132" s="260">
        <f>(M6*($E6/365)) + (M7*($E7/365))</f>
        <v>0</v>
      </c>
      <c r="E132" s="261">
        <f>B132+C132+D132</f>
        <v>81.095890410958901</v>
      </c>
      <c r="G132" s="273">
        <v>1959</v>
      </c>
      <c r="H132" s="819">
        <f>(O6/$R6*100*($E6/365))+(O7/$R7*100*($E7/365))</f>
        <v>47.846889952153113</v>
      </c>
      <c r="I132" s="819"/>
      <c r="J132" s="819">
        <f>(P6/$R6*100*($E6/365))+(P7/$R7*100*($E7/365))</f>
        <v>52.153110047846894</v>
      </c>
      <c r="K132" s="819"/>
      <c r="L132" s="819">
        <f>(Q6/$R6*100*($E6/365))+(Q7/$R7*100*($E7/365))</f>
        <v>0</v>
      </c>
      <c r="M132" s="819"/>
      <c r="N132" s="813">
        <f>H132+J132+L132</f>
        <v>100</v>
      </c>
      <c r="O132" s="813"/>
      <c r="R132" s="273">
        <v>1959</v>
      </c>
      <c r="S132" s="260">
        <f>(O6*($E6/365)) + (O7*($E7/365))</f>
        <v>30</v>
      </c>
      <c r="T132" s="260">
        <f>(P6*($E6/365)) + (P7*($E7/365))</f>
        <v>32.700000000000003</v>
      </c>
      <c r="U132" s="260">
        <f>(Q6*($E6/365)) + (Q7*($E7/365))</f>
        <v>0</v>
      </c>
      <c r="V132" s="274"/>
      <c r="W132" s="274">
        <f>S132+T132+U132</f>
        <v>62.7</v>
      </c>
    </row>
    <row r="133" spans="1:30" x14ac:dyDescent="0.15">
      <c r="A133" s="1">
        <v>1960</v>
      </c>
      <c r="B133" s="8">
        <f>(K8*($E8/366))+(K9*($E9/366))</f>
        <v>53.846153846153847</v>
      </c>
      <c r="C133" s="8">
        <f>(L8*($E8/366))+(L9*($E9/366))</f>
        <v>46.153846153846153</v>
      </c>
      <c r="D133" s="8">
        <f>(M8*($E8/366))+(M9*($E9/366))</f>
        <v>0</v>
      </c>
      <c r="E133" s="48">
        <f>B133+C133+D133</f>
        <v>100</v>
      </c>
      <c r="G133" s="1">
        <v>1960</v>
      </c>
      <c r="H133" s="809">
        <f>(O8/$R8*100*($E8/366))+(O9/$R9*100*($E9/366))</f>
        <v>47.846889952153113</v>
      </c>
      <c r="I133" s="809"/>
      <c r="J133" s="809">
        <f>(P8/$R8*100*($E8/366))+(P9/$R9*100*($E9/366))</f>
        <v>52.153110047846894</v>
      </c>
      <c r="K133" s="809"/>
      <c r="L133" s="809">
        <f>(Q8/$R8*100*($E8/366))+(Q9/$R9*100*($E9/366))</f>
        <v>0</v>
      </c>
      <c r="M133" s="809"/>
      <c r="N133" s="810">
        <f>H133+J133+L133</f>
        <v>100</v>
      </c>
      <c r="O133" s="810"/>
      <c r="R133" s="1">
        <v>1960</v>
      </c>
      <c r="S133" s="8">
        <f>(O8*($E8/366))+(O9*($E9/366))</f>
        <v>30</v>
      </c>
      <c r="T133" s="8">
        <f>(P8*($E8/366))+(P9*($E9/366))</f>
        <v>32.700000000000003</v>
      </c>
      <c r="U133" s="8">
        <f>(Q8*($E8/366))+(Q9*($E9/366))</f>
        <v>0</v>
      </c>
      <c r="V133" s="7"/>
      <c r="W133" s="7">
        <f>S133+T133+U133</f>
        <v>62.7</v>
      </c>
    </row>
    <row r="134" spans="1:30" x14ac:dyDescent="0.15">
      <c r="A134" s="1">
        <v>1961</v>
      </c>
      <c r="B134" s="8">
        <f>(K10*($E10/365))+(K11*($E11/365))</f>
        <v>53.846153846153847</v>
      </c>
      <c r="C134" s="8">
        <f>(L10*($E10/365))+(L11*($E11/365))</f>
        <v>46.153846153846153</v>
      </c>
      <c r="D134" s="8">
        <f>(M10*($E10/365))+(M11*($E11/365))</f>
        <v>0</v>
      </c>
      <c r="E134" s="48">
        <f t="shared" ref="E134:E186" si="14">B134+C134+D134</f>
        <v>100</v>
      </c>
      <c r="G134" s="1">
        <v>1961</v>
      </c>
      <c r="H134" s="809">
        <f>(O10/$R10*100*($E10/365))+(O11/$R11*100*($E11/365))</f>
        <v>47.846889952153113</v>
      </c>
      <c r="I134" s="809"/>
      <c r="J134" s="809">
        <f>(P10/$R10*100*($E10/365))+(P11/$R11*100*($E11/365))</f>
        <v>52.153110047846894</v>
      </c>
      <c r="K134" s="809"/>
      <c r="L134" s="809">
        <f>(Q10/$R10*100*($E10/365))+(Q11/$R11*100*($E11/365))</f>
        <v>0</v>
      </c>
      <c r="M134" s="809"/>
      <c r="N134" s="781">
        <f>H134+J134+L134</f>
        <v>100</v>
      </c>
      <c r="O134" s="781"/>
      <c r="R134" s="1">
        <v>1961</v>
      </c>
      <c r="S134" s="8">
        <f>(O10*($E10/365))+(O11*($E11/365))</f>
        <v>30</v>
      </c>
      <c r="T134" s="8">
        <f>(P10*($E10/365))+(P11*($E11/365))</f>
        <v>32.700000000000003</v>
      </c>
      <c r="U134" s="8">
        <f>(Q10*($E10/365))+(Q11*($E11/365))</f>
        <v>0</v>
      </c>
      <c r="V134" s="7"/>
      <c r="W134" s="7">
        <f t="shared" ref="W134:W186" si="15">S134+T134+U134</f>
        <v>62.7</v>
      </c>
    </row>
    <row r="135" spans="1:30" x14ac:dyDescent="0.15">
      <c r="A135" s="1">
        <v>1962</v>
      </c>
      <c r="B135" s="8">
        <f>(K12*($E12/365))+(K13*($E13/365))</f>
        <v>53.846153846153847</v>
      </c>
      <c r="C135" s="8">
        <f>(L12*($E12/365))+(L13*($E13/365))</f>
        <v>46.153846153846153</v>
      </c>
      <c r="D135" s="8">
        <f>(M12*($E12/365))+(M13*($E13/365))</f>
        <v>0</v>
      </c>
      <c r="E135" s="48">
        <f t="shared" si="14"/>
        <v>100</v>
      </c>
      <c r="G135" s="1">
        <v>1962</v>
      </c>
      <c r="H135" s="809">
        <f>(O12/$R12*100*($E12/365))+(O13/$R13*100*($E13/365))</f>
        <v>47.846889952153113</v>
      </c>
      <c r="I135" s="809"/>
      <c r="J135" s="809">
        <f>(P12/$R12*100*($E12/365))+(P13/$R13*100*($E13/365))</f>
        <v>52.153110047846894</v>
      </c>
      <c r="K135" s="809"/>
      <c r="L135" s="809">
        <f>(Q12/$R12*100*($E12/365))+(Q13/$R13*100*($E13/365))</f>
        <v>0</v>
      </c>
      <c r="M135" s="809"/>
      <c r="N135" s="781">
        <f t="shared" ref="N135:N185" si="16">H135+J135+L135</f>
        <v>100</v>
      </c>
      <c r="O135" s="781"/>
      <c r="R135" s="1">
        <v>1962</v>
      </c>
      <c r="S135" s="8">
        <f>(O12*($E12/365))+(O13*($E13/365))</f>
        <v>30</v>
      </c>
      <c r="T135" s="8">
        <f>(P12*($E12/365))+(P13*($E13/365))</f>
        <v>32.700000000000003</v>
      </c>
      <c r="U135" s="8">
        <f>(Q12*($E12/365))+(Q13*($E13/365))</f>
        <v>0</v>
      </c>
      <c r="V135" s="7"/>
      <c r="W135" s="7">
        <f t="shared" si="15"/>
        <v>62.7</v>
      </c>
    </row>
    <row r="136" spans="1:30" x14ac:dyDescent="0.15">
      <c r="A136" s="1">
        <v>1963</v>
      </c>
      <c r="B136" s="8">
        <f>(K14*($E14/365))+(K15*($E15/365))</f>
        <v>53.846153846153854</v>
      </c>
      <c r="C136" s="8">
        <f>(L14*($E14/365))+(L15*($E15/365))</f>
        <v>46.15384615384616</v>
      </c>
      <c r="D136" s="8">
        <f>(M14*($E14/365))+(M15*($E15/365))</f>
        <v>0</v>
      </c>
      <c r="E136" s="48">
        <f t="shared" si="14"/>
        <v>100.00000000000001</v>
      </c>
      <c r="G136" s="1">
        <v>1963</v>
      </c>
      <c r="H136" s="809">
        <f>(O14/$R14*100*($E14/365))+(O15/$R15*100*($E15/365))</f>
        <v>46.928785185163051</v>
      </c>
      <c r="I136" s="809"/>
      <c r="J136" s="809">
        <f>(P14/$R14*100*($E14/365))+(P15/$R15*100*($E15/365))</f>
        <v>53.071214814836964</v>
      </c>
      <c r="K136" s="809"/>
      <c r="L136" s="809">
        <f>(Q14/$R14*100*($E14/365))+(Q15/$R15*100*($E15/365))</f>
        <v>0</v>
      </c>
      <c r="M136" s="809"/>
      <c r="N136" s="781">
        <f t="shared" si="16"/>
        <v>100.00000000000001</v>
      </c>
      <c r="O136" s="781"/>
      <c r="R136" s="1">
        <v>1963</v>
      </c>
      <c r="S136" s="8">
        <f>(O14*($E14/365))+(O15*($E15/365))</f>
        <v>29.161917808219179</v>
      </c>
      <c r="T136" s="8">
        <f>(P14*($E14/365))+(P15*($E15/365))</f>
        <v>32.964657534246577</v>
      </c>
      <c r="U136" s="8">
        <f>(Q14*($E14/365))+(Q15*($E15/365))</f>
        <v>0</v>
      </c>
      <c r="V136" s="7"/>
      <c r="W136" s="7">
        <f t="shared" si="15"/>
        <v>62.126575342465756</v>
      </c>
    </row>
    <row r="137" spans="1:30" x14ac:dyDescent="0.15">
      <c r="A137" s="1">
        <v>1964</v>
      </c>
      <c r="B137" s="8">
        <f>(K16*($E16/366))+(K17*($E17/366))</f>
        <v>53.846153846153847</v>
      </c>
      <c r="C137" s="8">
        <f>(L16*($E16/366))+(L17*($E17/366))</f>
        <v>46.153846153846153</v>
      </c>
      <c r="D137" s="8">
        <f>(M16*($E16/366))+(M17*($E17/366))</f>
        <v>0</v>
      </c>
      <c r="E137" s="48">
        <f t="shared" si="14"/>
        <v>100</v>
      </c>
      <c r="G137" s="1">
        <v>1964</v>
      </c>
      <c r="H137" s="809">
        <f>(O16/$R16*100*($E16/366))+(O17/$R17*100*($E17/366))</f>
        <v>45.765472312703587</v>
      </c>
      <c r="I137" s="809"/>
      <c r="J137" s="809">
        <f>(P16/$R16*100*($E16/366))+(P17/$R17*100*($E17/366))</f>
        <v>54.234527687296421</v>
      </c>
      <c r="K137" s="809"/>
      <c r="L137" s="809">
        <f>(Q16/$R16*100*($E16/366))+(Q17/$R17*100*($E17/366))</f>
        <v>0</v>
      </c>
      <c r="M137" s="809"/>
      <c r="N137" s="781">
        <f t="shared" si="16"/>
        <v>100</v>
      </c>
      <c r="O137" s="781"/>
      <c r="R137" s="1">
        <v>1964</v>
      </c>
      <c r="S137" s="8">
        <f>(O16*($E16/366))+(O17*($E17/366))</f>
        <v>28.099999999999998</v>
      </c>
      <c r="T137" s="8">
        <f>(P16*($E16/366))+(P17*($E17/366))</f>
        <v>33.299999999999997</v>
      </c>
      <c r="U137" s="8">
        <f>(Q16*($E16/366))+(Q17*($E17/366))</f>
        <v>0</v>
      </c>
      <c r="V137" s="7"/>
      <c r="W137" s="7">
        <f t="shared" si="15"/>
        <v>61.399999999999991</v>
      </c>
    </row>
    <row r="138" spans="1:30" x14ac:dyDescent="0.15">
      <c r="A138" s="1">
        <v>1965</v>
      </c>
      <c r="B138" s="8">
        <f>(K18*($E18/365))+(K19*($E19/365))</f>
        <v>26.858347132319736</v>
      </c>
      <c r="C138" s="8">
        <f>(L18*($E18/365))+(L19*($E19/365))</f>
        <v>43.904862261026643</v>
      </c>
      <c r="D138" s="8">
        <f>(M18*($E18/365))+(M19*($E19/365))</f>
        <v>24.363992172211351</v>
      </c>
      <c r="E138" s="48">
        <f t="shared" si="14"/>
        <v>95.127201565557741</v>
      </c>
      <c r="G138" s="1">
        <v>1965</v>
      </c>
      <c r="H138" s="809">
        <f>(O18/$R18*100*($E18/365))+(O19/$R19*100*($E19/365))</f>
        <v>22.939365310919946</v>
      </c>
      <c r="I138" s="809"/>
      <c r="J138" s="809">
        <f>(P18/$R18*100*($E18/365))+(P19/$R19*100*($E19/365))</f>
        <v>49.367701012150718</v>
      </c>
      <c r="K138" s="809"/>
      <c r="L138" s="809">
        <f>(Q18/$R18*100*($E18/365))+(Q19/$R19*100*($E19/365))</f>
        <v>27.692933676929332</v>
      </c>
      <c r="M138" s="809"/>
      <c r="N138" s="781">
        <f t="shared" si="16"/>
        <v>100</v>
      </c>
      <c r="O138" s="781"/>
      <c r="R138" s="1">
        <v>1965</v>
      </c>
      <c r="S138" s="8">
        <f>(O18*($E18/365))+(O19*($E19/365))</f>
        <v>14.865479452054794</v>
      </c>
      <c r="T138" s="8">
        <f>(P18*($E18/365))+(P19*($E19/365))</f>
        <v>33.299999999999997</v>
      </c>
      <c r="U138" s="8">
        <f>(Q18*($E18/365))+(Q19*($E19/365))</f>
        <v>19.57890410958904</v>
      </c>
      <c r="V138" s="7"/>
      <c r="W138" s="7">
        <f t="shared" si="15"/>
        <v>67.744383561643829</v>
      </c>
    </row>
    <row r="139" spans="1:30" x14ac:dyDescent="0.15">
      <c r="A139" s="1">
        <v>1966</v>
      </c>
      <c r="B139" s="8">
        <f>(K20*($E20/365))+(K21*($E21/365))</f>
        <v>16.092127051031159</v>
      </c>
      <c r="C139" s="8">
        <f>(L20*($E20/365))+(L21*($E21/365))</f>
        <v>45.747403281649852</v>
      </c>
      <c r="D139" s="8">
        <f>(M20*($E20/365))+(M21*($E21/365))</f>
        <v>31.800391389432487</v>
      </c>
      <c r="E139" s="48">
        <f t="shared" si="14"/>
        <v>93.639921722113499</v>
      </c>
      <c r="G139" s="1">
        <v>1966</v>
      </c>
      <c r="H139" s="809">
        <f>(O20/$R20*100*($E20/365))+(O21/$R21*100*($E21/365))</f>
        <v>13.227025246555966</v>
      </c>
      <c r="I139" s="809"/>
      <c r="J139" s="809">
        <f>(P20/$R20*100*($E20/365))+(P21/$R21*100*($E21/365))</f>
        <v>50.627579391990068</v>
      </c>
      <c r="K139" s="809"/>
      <c r="L139" s="809">
        <f>(Q20/$R20*100*($E20/365))+(Q21/$R21*100*($E21/365))</f>
        <v>36.14539536145395</v>
      </c>
      <c r="M139" s="809"/>
      <c r="N139" s="781">
        <f t="shared" si="16"/>
        <v>99.999999999999986</v>
      </c>
      <c r="O139" s="781"/>
      <c r="R139" s="1">
        <v>1966</v>
      </c>
      <c r="S139" s="8">
        <f>(O20*($E20/365))+(O21*($E21/365))</f>
        <v>8.6999999999999993</v>
      </c>
      <c r="T139" s="8">
        <f>(P20*($E20/365))+(P21*($E21/365))</f>
        <v>33.299999999999997</v>
      </c>
      <c r="U139" s="8">
        <f>(Q20*($E20/365))+(Q21*($E21/365))</f>
        <v>25.554794520547944</v>
      </c>
      <c r="V139" s="7"/>
      <c r="W139" s="7">
        <f t="shared" si="15"/>
        <v>67.554794520547944</v>
      </c>
    </row>
    <row r="140" spans="1:30" x14ac:dyDescent="0.15">
      <c r="A140" s="1">
        <v>1967</v>
      </c>
      <c r="B140" s="8">
        <f>(K22*($E22/365))+(K23*($E23/365))</f>
        <v>50.495258166491041</v>
      </c>
      <c r="C140" s="8">
        <f>(L22*($E22/365))+(L23*($E23/365))</f>
        <v>49.504741833508959</v>
      </c>
      <c r="D140" s="8">
        <f>(M22*($E22/365))+(M23*($E23/365))</f>
        <v>0</v>
      </c>
      <c r="E140" s="48">
        <f t="shared" si="14"/>
        <v>100</v>
      </c>
      <c r="G140" s="1">
        <v>1967</v>
      </c>
      <c r="H140" s="809">
        <f>(O22/$R22*100*($E22/365))+(O23/$R23*100*($E23/365))</f>
        <v>43.466849724900364</v>
      </c>
      <c r="I140" s="809"/>
      <c r="J140" s="809">
        <f>(P22/$R22*100*($E22/365))+(P23/$R23*100*($E23/365))</f>
        <v>56.533150275099644</v>
      </c>
      <c r="K140" s="809"/>
      <c r="L140" s="809">
        <f>(Q22/$R22*100*($E22/365))+(Q23/$R23*100*($E23/365))</f>
        <v>0</v>
      </c>
      <c r="M140" s="809"/>
      <c r="N140" s="781">
        <f t="shared" si="16"/>
        <v>100</v>
      </c>
      <c r="O140" s="781"/>
      <c r="R140" s="1">
        <v>1967</v>
      </c>
      <c r="S140" s="8">
        <f>(O22*($E22/365))+(O23*($E23/365))</f>
        <v>24.107671232876715</v>
      </c>
      <c r="T140" s="8">
        <f>(P22*($E22/365))+(P23*($E23/365))</f>
        <v>29.335890410958907</v>
      </c>
      <c r="U140" s="8">
        <f>(Q22*($E22/365))+(Q23*($E23/365))</f>
        <v>0</v>
      </c>
      <c r="V140" s="7"/>
      <c r="W140" s="7">
        <f t="shared" si="15"/>
        <v>53.443561643835622</v>
      </c>
    </row>
    <row r="141" spans="1:30" x14ac:dyDescent="0.15">
      <c r="A141" s="1">
        <v>1968</v>
      </c>
      <c r="B141" s="8">
        <f>(K24*($E24/366))+(K25*($E25/366))</f>
        <v>57.142857142857139</v>
      </c>
      <c r="C141" s="8">
        <f>(L24*($E24/366))+(L25*($E25/366))</f>
        <v>42.857142857142854</v>
      </c>
      <c r="D141" s="8">
        <f>(M24*($E24/366))+(M25*($E25/366))</f>
        <v>0</v>
      </c>
      <c r="E141" s="48">
        <f t="shared" si="14"/>
        <v>100</v>
      </c>
      <c r="G141" s="1">
        <v>1968</v>
      </c>
      <c r="H141" s="809">
        <f>(O24/$R24*100*($E24/366))+(O25/$R25*100*($E25/366))</f>
        <v>51.134380453752179</v>
      </c>
      <c r="I141" s="809"/>
      <c r="J141" s="809">
        <f>(P24/$R24*100*($E24/366))+(P25/$R25*100*($E25/366))</f>
        <v>48.865619546247821</v>
      </c>
      <c r="K141" s="809"/>
      <c r="L141" s="809">
        <f>(Q24/$R24*100*($E24/366))+(Q25/$R25*100*($E25/366))</f>
        <v>0</v>
      </c>
      <c r="M141" s="809"/>
      <c r="N141" s="781">
        <f t="shared" si="16"/>
        <v>100</v>
      </c>
      <c r="O141" s="781"/>
      <c r="R141" s="1">
        <v>1968</v>
      </c>
      <c r="S141" s="8">
        <f>(O24*($E24/366))+(O25*($E25/366))</f>
        <v>29.3</v>
      </c>
      <c r="T141" s="8">
        <f>(P24*($E24/366))+(P25*($E25/366))</f>
        <v>28</v>
      </c>
      <c r="U141" s="8">
        <f>(Q24*($E24/366))+(Q25*($E25/366))</f>
        <v>0</v>
      </c>
      <c r="V141" s="7"/>
      <c r="W141" s="7">
        <f t="shared" si="15"/>
        <v>57.3</v>
      </c>
    </row>
    <row r="142" spans="1:30" x14ac:dyDescent="0.15">
      <c r="A142" s="1">
        <v>1969</v>
      </c>
      <c r="B142" s="8">
        <f>(K26*($E26/365))+(K27*($E27/365))</f>
        <v>57.142857142857139</v>
      </c>
      <c r="C142" s="8">
        <f>(L26*($E26/365))+(L27*($E27/365))</f>
        <v>42.857142857142854</v>
      </c>
      <c r="D142" s="8">
        <f>(M26*($E26/365))+(M27*($E27/365))</f>
        <v>0</v>
      </c>
      <c r="E142" s="48">
        <f t="shared" si="14"/>
        <v>100</v>
      </c>
      <c r="G142" s="1">
        <v>1969</v>
      </c>
      <c r="H142" s="809">
        <f>(O26/$R26*100*($E26/365))+(O27/$R27*100*($E27/365))</f>
        <v>51.134380453752179</v>
      </c>
      <c r="I142" s="809"/>
      <c r="J142" s="809">
        <f>(P26/$R26*100*($E26/365))+(P27/$R27*100*($E27/365))</f>
        <v>48.865619546247821</v>
      </c>
      <c r="K142" s="809"/>
      <c r="L142" s="809">
        <f>(Q26/$R26*100*($E26/365))+(Q27/$R27*100*($E27/365))</f>
        <v>0</v>
      </c>
      <c r="M142" s="809"/>
      <c r="N142" s="781">
        <f t="shared" si="16"/>
        <v>100</v>
      </c>
      <c r="O142" s="781"/>
      <c r="R142" s="1">
        <v>1969</v>
      </c>
      <c r="S142" s="8">
        <f>(O26*($E26/365))+(O27*($E27/365))</f>
        <v>29.3</v>
      </c>
      <c r="T142" s="8">
        <f>(P26*($E26/365))+(P27*($E27/365))</f>
        <v>28</v>
      </c>
      <c r="U142" s="8">
        <f>(Q26*($E26/365))+(Q27*($E27/365))</f>
        <v>0</v>
      </c>
      <c r="V142" s="7"/>
      <c r="W142" s="7">
        <f t="shared" si="15"/>
        <v>57.3</v>
      </c>
    </row>
    <row r="143" spans="1:30" x14ac:dyDescent="0.15">
      <c r="A143" s="1">
        <v>1970</v>
      </c>
      <c r="B143" s="8">
        <f>(K28*($E28/365))+(K29*($E29/365))</f>
        <v>57.142857142857139</v>
      </c>
      <c r="C143" s="8">
        <f>(L28*($E28/365))+(L29*($E29/365))</f>
        <v>42.857142857142854</v>
      </c>
      <c r="D143" s="8">
        <f>(M28*($E28/365))+(M29*($E29/365))</f>
        <v>0</v>
      </c>
      <c r="E143" s="48">
        <f t="shared" si="14"/>
        <v>100</v>
      </c>
      <c r="G143" s="1">
        <v>1970</v>
      </c>
      <c r="H143" s="809">
        <f>(O28/$R28*100*($E28/365))+(O29/$R29*100*($E29/365))</f>
        <v>51.134380453752179</v>
      </c>
      <c r="I143" s="809"/>
      <c r="J143" s="809">
        <f>(P28/$R28*100*($E28/365))+(P29/$R29*100*($E29/365))</f>
        <v>48.865619546247821</v>
      </c>
      <c r="K143" s="809"/>
      <c r="L143" s="809">
        <f>(Q28/$R28*100*($E28/365))+(Q29/$R29*100*($E29/365))</f>
        <v>0</v>
      </c>
      <c r="M143" s="809"/>
      <c r="N143" s="781">
        <f t="shared" si="16"/>
        <v>100</v>
      </c>
      <c r="O143" s="781"/>
      <c r="R143" s="1">
        <v>1970</v>
      </c>
      <c r="S143" s="8">
        <f>(O28*($E28/365))+(O29*($E29/365))</f>
        <v>29.3</v>
      </c>
      <c r="T143" s="8">
        <f>(P28*($E28/365))+(P29*($E29/365))</f>
        <v>28</v>
      </c>
      <c r="U143" s="8">
        <f>(Q28*($E28/365))+(Q29*($E29/365))</f>
        <v>0</v>
      </c>
      <c r="V143" s="7"/>
      <c r="W143" s="7">
        <f t="shared" si="15"/>
        <v>57.3</v>
      </c>
    </row>
    <row r="144" spans="1:30" x14ac:dyDescent="0.15">
      <c r="A144" s="1">
        <v>1971</v>
      </c>
      <c r="B144" s="8">
        <f>(K30*($E30/365))+(K31*($E31/365))</f>
        <v>53.639921722113499</v>
      </c>
      <c r="C144" s="8">
        <f>(L30*($E30/365))+(L31*($E31/365))</f>
        <v>46.360078277886494</v>
      </c>
      <c r="D144" s="8">
        <f>(M30*($E30/365))+(M31*($E31/365))</f>
        <v>0</v>
      </c>
      <c r="E144" s="48">
        <f t="shared" si="14"/>
        <v>100</v>
      </c>
      <c r="G144" s="1">
        <v>1971</v>
      </c>
      <c r="H144" s="809">
        <f>(O30/$R30*100*($E30/365))+(O31/$R31*100*($E31/365))</f>
        <v>49.457384669182602</v>
      </c>
      <c r="I144" s="809"/>
      <c r="J144" s="809">
        <f>(P30/$R30*100*($E30/365))+(P31/$R31*100*($E31/365))</f>
        <v>50.542615330817384</v>
      </c>
      <c r="K144" s="809"/>
      <c r="L144" s="809">
        <f>(Q30/$R30*100*($E30/365))+(Q31/$R31*100*($E31/365))</f>
        <v>0</v>
      </c>
      <c r="M144" s="809"/>
      <c r="N144" s="781">
        <f t="shared" si="16"/>
        <v>99.999999999999986</v>
      </c>
      <c r="O144" s="781"/>
      <c r="R144" s="1">
        <v>1971</v>
      </c>
      <c r="S144" s="8">
        <f>(O30*($E30/365))+(O31*($E31/365))</f>
        <v>27.73068493150685</v>
      </c>
      <c r="T144" s="8">
        <f>(P30*($E30/365))+(P31*($E31/365))</f>
        <v>28.294246575342466</v>
      </c>
      <c r="U144" s="8">
        <f>(Q30*($E30/365))+(Q31*($E31/365))</f>
        <v>0</v>
      </c>
      <c r="V144" s="7"/>
      <c r="W144" s="7">
        <f t="shared" si="15"/>
        <v>56.024931506849313</v>
      </c>
    </row>
    <row r="145" spans="1:23" x14ac:dyDescent="0.15">
      <c r="A145" s="1">
        <v>1972</v>
      </c>
      <c r="B145" s="8">
        <f>(K32*($E32/366))+(K33*($E33/366))</f>
        <v>52.67369242779079</v>
      </c>
      <c r="C145" s="8">
        <f>(L32*($E32/366))+(L33*($E33/366))</f>
        <v>47.326307572209217</v>
      </c>
      <c r="D145" s="8">
        <f>(M32*($E32/366))+(M33*($E33/366))</f>
        <v>0</v>
      </c>
      <c r="E145" s="48">
        <f t="shared" si="14"/>
        <v>100</v>
      </c>
      <c r="G145" s="1">
        <v>1972</v>
      </c>
      <c r="H145" s="809">
        <f>(O32/$R32*100*($E32/366))+(O33/$R33*100*($E33/366))</f>
        <v>49.63101134251167</v>
      </c>
      <c r="I145" s="809"/>
      <c r="J145" s="809">
        <f>(P32/$R32*100*($E32/366))+(P33/$R33*100*($E33/366))</f>
        <v>50.368988657488323</v>
      </c>
      <c r="K145" s="809"/>
      <c r="L145" s="809">
        <f>(Q32/$R32*100*($E32/366))+(Q33/$R33*100*($E33/366))</f>
        <v>0</v>
      </c>
      <c r="M145" s="809"/>
      <c r="N145" s="781">
        <f t="shared" si="16"/>
        <v>100</v>
      </c>
      <c r="O145" s="781"/>
      <c r="R145" s="1">
        <v>1972</v>
      </c>
      <c r="S145" s="8">
        <f>(O32*($E32/366))+(O33*($E33/366))</f>
        <v>26.099999999999998</v>
      </c>
      <c r="T145" s="8">
        <f>(P32*($E32/366))+(P33*($E33/366))</f>
        <v>26.61612021857924</v>
      </c>
      <c r="U145" s="8">
        <f>(Q32*($E32/366))+(Q33*($E33/366))</f>
        <v>0</v>
      </c>
      <c r="V145" s="7"/>
      <c r="W145" s="7">
        <f t="shared" si="15"/>
        <v>52.716120218579235</v>
      </c>
    </row>
    <row r="146" spans="1:23" x14ac:dyDescent="0.15">
      <c r="A146" s="1">
        <v>1973</v>
      </c>
      <c r="B146" s="8">
        <f>(K34*($E34/365))+(K35*($E35/365))</f>
        <v>28.400195694716238</v>
      </c>
      <c r="C146" s="8">
        <f>(L34*($E34/365))+(L35*($E35/365))</f>
        <v>35.384050880626219</v>
      </c>
      <c r="D146" s="8">
        <f>(M34*($E34/365))+(M35*($E35/365))</f>
        <v>36.215753424657535</v>
      </c>
      <c r="E146" s="48">
        <f t="shared" si="14"/>
        <v>100</v>
      </c>
      <c r="G146" s="1">
        <v>1973</v>
      </c>
      <c r="H146" s="809">
        <f>(O34/$R34*100*($E34/365))+(O35/$R35*100*($E35/365))</f>
        <v>28.07210696810413</v>
      </c>
      <c r="I146" s="809"/>
      <c r="J146" s="809">
        <f>(P34/$R34*100*($E34/365))+(P35/$R35*100*($E35/365))</f>
        <v>38.69124760833931</v>
      </c>
      <c r="K146" s="809"/>
      <c r="L146" s="809">
        <f>(Q34/$R34*100*($E34/365))+(Q35/$R35*100*($E35/365))</f>
        <v>33.23664542355656</v>
      </c>
      <c r="M146" s="809"/>
      <c r="N146" s="781">
        <f t="shared" si="16"/>
        <v>100</v>
      </c>
      <c r="O146" s="781"/>
      <c r="R146" s="1">
        <v>1973</v>
      </c>
      <c r="S146" s="8">
        <f>(O34*($E34/365))+(O35*($E35/365))</f>
        <v>15.283561643835615</v>
      </c>
      <c r="T146" s="8">
        <f>(P34*($E34/365))+(P35*($E35/365))</f>
        <v>22.463013698630135</v>
      </c>
      <c r="U146" s="8">
        <f>(Q34*($E34/365))+(Q35*($E35/365))</f>
        <v>21.504109589041096</v>
      </c>
      <c r="V146" s="7"/>
      <c r="W146" s="7">
        <f t="shared" si="15"/>
        <v>59.250684931506839</v>
      </c>
    </row>
    <row r="147" spans="1:23" x14ac:dyDescent="0.15">
      <c r="A147" s="1">
        <v>1974</v>
      </c>
      <c r="B147" s="8">
        <f>(K36*($E36/365))+(K37*($E37/365))</f>
        <v>12.5</v>
      </c>
      <c r="C147" s="8">
        <f>(L36*($E36/365))+(L37*($E37/365))</f>
        <v>31.25</v>
      </c>
      <c r="D147" s="8">
        <f>(M36*($E36/365))+(M37*($E37/365))</f>
        <v>56.25</v>
      </c>
      <c r="E147" s="48">
        <f t="shared" si="14"/>
        <v>100</v>
      </c>
      <c r="G147" s="1">
        <v>1974</v>
      </c>
      <c r="H147" s="809">
        <f>(O36/$R36*100*($E36/365))+(O37/$R37*100*($E37/365))</f>
        <v>14.374034003091191</v>
      </c>
      <c r="I147" s="809"/>
      <c r="J147" s="809">
        <f>(P36/$R36*100*($E36/365))+(P37/$R37*100*($E37/365))</f>
        <v>34.003091190108194</v>
      </c>
      <c r="K147" s="809"/>
      <c r="L147" s="809">
        <f>(Q36/$R36*100*($E36/365))+(Q37/$R37*100*($E37/365))</f>
        <v>51.62287480680061</v>
      </c>
      <c r="M147" s="809"/>
      <c r="N147" s="781">
        <f t="shared" si="16"/>
        <v>100</v>
      </c>
      <c r="O147" s="781"/>
      <c r="R147" s="1">
        <v>1974</v>
      </c>
      <c r="S147" s="8">
        <f>(O36*($E36/365))+(O37*($E37/365))</f>
        <v>9.3000000000000007</v>
      </c>
      <c r="T147" s="8">
        <f>(P36*($E36/365))+(P37*($E37/365))</f>
        <v>22</v>
      </c>
      <c r="U147" s="8">
        <f>(Q36*($E36/365))+(Q37*($E37/365))</f>
        <v>33.4</v>
      </c>
      <c r="V147" s="7"/>
      <c r="W147" s="7">
        <f t="shared" si="15"/>
        <v>64.7</v>
      </c>
    </row>
    <row r="148" spans="1:23" x14ac:dyDescent="0.15">
      <c r="A148" s="1">
        <v>1975</v>
      </c>
      <c r="B148" s="8">
        <f>(K38*($E38/365))+(K39*($E39/365))</f>
        <v>12.5</v>
      </c>
      <c r="C148" s="8">
        <f>(L38*($E38/365))+(L39*($E39/365))</f>
        <v>31.25</v>
      </c>
      <c r="D148" s="8">
        <f>(M38*($E38/365))+(M39*($E39/365))</f>
        <v>56.25</v>
      </c>
      <c r="E148" s="48">
        <f t="shared" si="14"/>
        <v>100</v>
      </c>
      <c r="G148" s="1">
        <v>1975</v>
      </c>
      <c r="H148" s="809">
        <f>(O38/$R38*100*($E38/365))+(O39/$R39*100*($E39/365))</f>
        <v>14.374034003091191</v>
      </c>
      <c r="I148" s="809"/>
      <c r="J148" s="809">
        <f>(P38/$R38*100*($E38/365))+(P39/$R39*100*($E39/365))</f>
        <v>34.003091190108194</v>
      </c>
      <c r="K148" s="809"/>
      <c r="L148" s="809">
        <f>(Q38/$R38*100*($E38/365))+(Q39/$R39*100*($E39/365))</f>
        <v>51.62287480680061</v>
      </c>
      <c r="M148" s="809"/>
      <c r="N148" s="781">
        <f t="shared" si="16"/>
        <v>100</v>
      </c>
      <c r="O148" s="781"/>
      <c r="R148" s="1">
        <v>1975</v>
      </c>
      <c r="S148" s="8">
        <f>(O38*($E38/365))+(O39*($E39/365))</f>
        <v>9.3000000000000007</v>
      </c>
      <c r="T148" s="8">
        <f>(P38*($E38/365))+(P39*($E39/365))</f>
        <v>22</v>
      </c>
      <c r="U148" s="8">
        <f>(Q38*($E38/365))+(Q39*($E39/365))</f>
        <v>33.4</v>
      </c>
      <c r="V148" s="7"/>
      <c r="W148" s="7">
        <f t="shared" si="15"/>
        <v>64.7</v>
      </c>
    </row>
    <row r="149" spans="1:23" x14ac:dyDescent="0.15">
      <c r="A149" s="1">
        <v>1976</v>
      </c>
      <c r="B149" s="8">
        <f>(K40*($E40/366))+(K41*($E41/366))</f>
        <v>12.5</v>
      </c>
      <c r="C149" s="8">
        <f>(L40*($E40/366))+(L41*($E41/366))</f>
        <v>31.25</v>
      </c>
      <c r="D149" s="8">
        <f>(M40*($E40/366))+(M41*($E41/366))</f>
        <v>56.25</v>
      </c>
      <c r="E149" s="48">
        <f t="shared" si="14"/>
        <v>100</v>
      </c>
      <c r="G149" s="1">
        <v>1976</v>
      </c>
      <c r="H149" s="809">
        <f>(O40/$R40*100*($E40/366))+(O41/$R41*100*($E41/366))</f>
        <v>14.374034003091191</v>
      </c>
      <c r="I149" s="809"/>
      <c r="J149" s="809">
        <f>(P40/$R40*100*($E40/366))+(P41/$R41*100*($E41/366))</f>
        <v>34.003091190108194</v>
      </c>
      <c r="K149" s="809"/>
      <c r="L149" s="809">
        <f>(Q40/$R40*100*($E40/366))+(Q41/$R41*100*($E41/366))</f>
        <v>51.62287480680061</v>
      </c>
      <c r="M149" s="809"/>
      <c r="N149" s="781">
        <f t="shared" si="16"/>
        <v>100</v>
      </c>
      <c r="O149" s="781"/>
      <c r="R149" s="1">
        <v>1976</v>
      </c>
      <c r="S149" s="8">
        <f>(O40*($E40/366))+(O41*($E41/366))</f>
        <v>9.3000000000000007</v>
      </c>
      <c r="T149" s="8">
        <f>(P40*($E40/366))+(P41*($E41/366))</f>
        <v>22</v>
      </c>
      <c r="U149" s="8">
        <f>(Q40*($E40/366))+(Q41*($E41/366))</f>
        <v>33.4</v>
      </c>
      <c r="V149" s="7"/>
      <c r="W149" s="7">
        <f t="shared" si="15"/>
        <v>64.7</v>
      </c>
    </row>
    <row r="150" spans="1:23" x14ac:dyDescent="0.15">
      <c r="A150" s="1">
        <v>1977</v>
      </c>
      <c r="B150" s="8">
        <f>(K42*($E42/365))+(K43*($E43/365))</f>
        <v>13.24200913242009</v>
      </c>
      <c r="C150" s="8">
        <f>(L42*($E42/365))+(L43*($E43/365))</f>
        <v>32.511415525114153</v>
      </c>
      <c r="D150" s="8">
        <f>(M42*($E42/365))+(M43*($E43/365))</f>
        <v>54.246575342465754</v>
      </c>
      <c r="E150" s="48">
        <f t="shared" si="14"/>
        <v>100</v>
      </c>
      <c r="G150" s="1">
        <v>1977</v>
      </c>
      <c r="H150" s="809">
        <f>(O42/$R42*100*($E42/365))+(O43/$R43*100*($E43/365))</f>
        <v>15.15785525351145</v>
      </c>
      <c r="I150" s="809"/>
      <c r="J150" s="809">
        <f>(P42/$R42*100*($E42/365))+(P43/$R43*100*($E43/365))</f>
        <v>35.057892878012346</v>
      </c>
      <c r="K150" s="809"/>
      <c r="L150" s="809">
        <f>(Q42/$R42*100*($E42/365))+(Q43/$R43*100*($E43/365))</f>
        <v>49.784251868476204</v>
      </c>
      <c r="M150" s="809"/>
      <c r="N150" s="781">
        <f t="shared" si="16"/>
        <v>100</v>
      </c>
      <c r="O150" s="781"/>
      <c r="R150" s="1">
        <v>1977</v>
      </c>
      <c r="S150" s="8">
        <f>(O42*($E42/365))+(O43*($E43/365))</f>
        <v>9.6347945205479473</v>
      </c>
      <c r="T150" s="8">
        <f>(P42*($E42/365))+(P43*($E43/365))</f>
        <v>22.381095890410961</v>
      </c>
      <c r="U150" s="8">
        <f>(Q42*($E42/365))+(Q43*($E43/365))</f>
        <v>32.210410958904106</v>
      </c>
      <c r="V150" s="7"/>
      <c r="W150" s="7">
        <f t="shared" si="15"/>
        <v>64.226301369863023</v>
      </c>
    </row>
    <row r="151" spans="1:23" x14ac:dyDescent="0.15">
      <c r="A151" s="1">
        <v>1978</v>
      </c>
      <c r="B151" s="8">
        <f>(K44*($E44/365))+(K45*($E45/365))</f>
        <v>33.333333333333329</v>
      </c>
      <c r="C151" s="8">
        <f>(L44*($E44/365))+(L45*($E45/365))</f>
        <v>66.666666666666657</v>
      </c>
      <c r="D151" s="8">
        <f>(M44*($E44/365))+(M45*($E45/365))</f>
        <v>0</v>
      </c>
      <c r="E151" s="48">
        <f t="shared" si="14"/>
        <v>99.999999999999986</v>
      </c>
      <c r="G151" s="1">
        <v>1978</v>
      </c>
      <c r="H151" s="809">
        <f>(O44/$R44*100*($E44/365))+(O45/$R45*100*($E45/365))</f>
        <v>36.381322957198435</v>
      </c>
      <c r="I151" s="809"/>
      <c r="J151" s="809">
        <f>(P44/$R44*100*($E44/365))+(P45/$R45*100*($E45/365))</f>
        <v>63.618677042801551</v>
      </c>
      <c r="K151" s="809"/>
      <c r="L151" s="809">
        <f>(Q44/$R44*100*($E44/365))+(Q45/$R45*100*($E45/365))</f>
        <v>0</v>
      </c>
      <c r="M151" s="809"/>
      <c r="N151" s="781">
        <f t="shared" si="16"/>
        <v>99.999999999999986</v>
      </c>
      <c r="O151" s="781"/>
      <c r="R151" s="1">
        <v>1978</v>
      </c>
      <c r="S151" s="8">
        <f>(O44*($E44/365))+(O45*($E45/365))</f>
        <v>18.7</v>
      </c>
      <c r="T151" s="8">
        <f>(P44*($E44/365))+(P45*($E45/365))</f>
        <v>32.700000000000003</v>
      </c>
      <c r="U151" s="8">
        <f>(Q44*($E44/365))+(Q45*($E45/365))</f>
        <v>0</v>
      </c>
      <c r="V151" s="7"/>
      <c r="W151" s="7">
        <f t="shared" si="15"/>
        <v>51.400000000000006</v>
      </c>
    </row>
    <row r="152" spans="1:23" x14ac:dyDescent="0.15">
      <c r="A152" s="1">
        <v>1979</v>
      </c>
      <c r="B152" s="8">
        <f>(K46*($E46/365))+(K47*($E47/365))</f>
        <v>33.333333333333329</v>
      </c>
      <c r="C152" s="8">
        <f>(L46*($E46/365))+(L47*($E47/365))</f>
        <v>66.666666666666657</v>
      </c>
      <c r="D152" s="8">
        <f>(M46*($E46/365))+(M47*($E47/365))</f>
        <v>0</v>
      </c>
      <c r="E152" s="48">
        <f t="shared" si="14"/>
        <v>99.999999999999986</v>
      </c>
      <c r="G152" s="1">
        <v>1979</v>
      </c>
      <c r="H152" s="809">
        <f>(O46/$R46*100*($E46/365))+(O47/$R47*100*($E47/365))</f>
        <v>36.381322957198435</v>
      </c>
      <c r="I152" s="809"/>
      <c r="J152" s="809">
        <f>(P46/$R46*100*($E46/365))+(P47/$R47*100*($E47/365))</f>
        <v>63.618677042801551</v>
      </c>
      <c r="K152" s="809"/>
      <c r="L152" s="809">
        <f>(Q46/$R46*100*($E46/365))+(Q47/$R47*100*($E47/365))</f>
        <v>0</v>
      </c>
      <c r="M152" s="809"/>
      <c r="N152" s="781">
        <f t="shared" si="16"/>
        <v>99.999999999999986</v>
      </c>
      <c r="O152" s="781"/>
      <c r="R152" s="1">
        <v>1979</v>
      </c>
      <c r="S152" s="8">
        <f>(O46*($E46/365))+(O47*($E47/365))</f>
        <v>18.7</v>
      </c>
      <c r="T152" s="8">
        <f>(P46*($E46/365))+(P47*($E47/365))</f>
        <v>32.700000000000003</v>
      </c>
      <c r="U152" s="8">
        <f>(Q46*($E46/365))+(Q47*($E47/365))</f>
        <v>0</v>
      </c>
      <c r="V152" s="7"/>
      <c r="W152" s="7">
        <f t="shared" si="15"/>
        <v>51.400000000000006</v>
      </c>
    </row>
    <row r="153" spans="1:23" x14ac:dyDescent="0.15">
      <c r="A153" s="1">
        <v>1980</v>
      </c>
      <c r="B153" s="8">
        <f>(K48*($E48/366))+(K49*($E49/366))</f>
        <v>33.333333333333329</v>
      </c>
      <c r="C153" s="8">
        <f>(L48*($E48/366))+(L49*($E49/366))</f>
        <v>66.666666666666657</v>
      </c>
      <c r="D153" s="8">
        <f>(M48*($E48/366))+(M49*($E49/366))</f>
        <v>0</v>
      </c>
      <c r="E153" s="48">
        <f t="shared" si="14"/>
        <v>99.999999999999986</v>
      </c>
      <c r="G153" s="1">
        <v>1980</v>
      </c>
      <c r="H153" s="809">
        <f>(O48/$R48*100*($E48/366))+(O49/$R49*100*($E49/366))</f>
        <v>36.381322957198435</v>
      </c>
      <c r="I153" s="809"/>
      <c r="J153" s="809">
        <f>(P48/$R48*100*($E48/366))+(P49/$R49*100*($E49/366))</f>
        <v>63.618677042801551</v>
      </c>
      <c r="K153" s="809"/>
      <c r="L153" s="809">
        <f>(Q48/$R48*100*($E48/366))+(Q49/$R49*100*($E49/366))</f>
        <v>0</v>
      </c>
      <c r="M153" s="809"/>
      <c r="N153" s="781">
        <f t="shared" si="16"/>
        <v>99.999999999999986</v>
      </c>
      <c r="O153" s="781"/>
      <c r="R153" s="1">
        <v>1980</v>
      </c>
      <c r="S153" s="8">
        <f>(O48*($E48/366))+(O49*($E49/366))</f>
        <v>18.7</v>
      </c>
      <c r="T153" s="8">
        <f>(P48*($E48/366))+(P49*($E49/366))</f>
        <v>32.700000000000003</v>
      </c>
      <c r="U153" s="8">
        <f>(Q48*($E48/366))+(Q49*($E49/366))</f>
        <v>0</v>
      </c>
      <c r="V153" s="7"/>
      <c r="W153" s="7">
        <f t="shared" si="15"/>
        <v>51.400000000000006</v>
      </c>
    </row>
    <row r="154" spans="1:23" x14ac:dyDescent="0.15">
      <c r="A154" s="1">
        <v>1981</v>
      </c>
      <c r="B154" s="8">
        <f>(K50*($E50/365))+(K51*($E51/365))</f>
        <v>23.105022831050228</v>
      </c>
      <c r="C154" s="8">
        <f>(L50*($E50/365))+(L51*($E51/365))</f>
        <v>64.621004566210047</v>
      </c>
      <c r="D154" s="8">
        <f>(M50*($E50/365))+(M51*($E51/365))</f>
        <v>12.273972602739727</v>
      </c>
      <c r="E154" s="48">
        <f t="shared" si="14"/>
        <v>100.00000000000001</v>
      </c>
      <c r="G154" s="1">
        <v>1981</v>
      </c>
      <c r="H154" s="809">
        <f>(O50/$R50*100*($E50/365))+(O51/$R51*100*($E51/365))</f>
        <v>25.217738926496452</v>
      </c>
      <c r="I154" s="809"/>
      <c r="J154" s="809">
        <f>(P50/$R50*100*($E50/365))+(P51/$R51*100*($E51/365))</f>
        <v>62.398397531483099</v>
      </c>
      <c r="K154" s="809"/>
      <c r="L154" s="809">
        <f>(Q50/$R50*100*($E50/365))+(Q51/$R51*100*($E51/365))</f>
        <v>12.383863542020455</v>
      </c>
      <c r="M154" s="809"/>
      <c r="N154" s="781">
        <f t="shared" si="16"/>
        <v>100</v>
      </c>
      <c r="O154" s="781"/>
      <c r="R154" s="1">
        <v>1981</v>
      </c>
      <c r="S154" s="8">
        <f>(O50*($E50/365))+(O51*($E51/365))</f>
        <v>12.961917808219178</v>
      </c>
      <c r="T154" s="8">
        <f>(P50*($E50/365))+(P51*($E51/365))</f>
        <v>35.952602739726032</v>
      </c>
      <c r="U154" s="8">
        <f>(Q50*($E50/365))+(Q51*($E51/365))</f>
        <v>8.9906849315068502</v>
      </c>
      <c r="V154" s="7"/>
      <c r="W154" s="7">
        <f t="shared" si="15"/>
        <v>57.905205479452057</v>
      </c>
    </row>
    <row r="155" spans="1:23" x14ac:dyDescent="0.15">
      <c r="A155" s="1">
        <v>1982</v>
      </c>
      <c r="B155" s="8">
        <f>(K52*($E52/365))+(K53*($E53/365))+(K54*($E54/365))</f>
        <v>0</v>
      </c>
      <c r="C155" s="8">
        <f>(L52*($E52/365))+(L53*($E53/365))+(L54*($E54/365))</f>
        <v>66.356164383561648</v>
      </c>
      <c r="D155" s="8">
        <f>(M52*($E52/365))+(M53*($E53/365))+(M54*($E54/365))</f>
        <v>33.643835616438352</v>
      </c>
      <c r="E155" s="48">
        <f t="shared" si="14"/>
        <v>100</v>
      </c>
      <c r="G155" s="1">
        <v>1982</v>
      </c>
      <c r="H155" s="822">
        <f>(O52/$R52*100*($E52/365))+(O53/$R53*100*($E53/365))+(O54/$R54*100*($E54/365))</f>
        <v>7.0624048706240492</v>
      </c>
      <c r="I155" s="822"/>
      <c r="J155" s="822">
        <f>(P52/$R52*100*($E52/365))+(P53/$R53*100*($E53/365))+(P54/$R54*100*($E54/365))</f>
        <v>76.573204020277501</v>
      </c>
      <c r="K155" s="822"/>
      <c r="L155" s="822">
        <f>(Q52/$R52*100*($E52/365))+(Q53/$R53*100*($E53/365))+(Q54/$R54*100*($E54/365))</f>
        <v>16.364391109098456</v>
      </c>
      <c r="M155" s="822"/>
      <c r="N155" s="781">
        <f t="shared" si="16"/>
        <v>100</v>
      </c>
      <c r="O155" s="781"/>
      <c r="R155" s="1">
        <v>1982</v>
      </c>
      <c r="S155" s="8">
        <f>(O52*($E52/365))+(O53*($E53/365))+(O54*($E54/365))</f>
        <v>3.8136986301369866</v>
      </c>
      <c r="T155" s="8">
        <f>(P52*($E52/365))+(P53*($E53/365))+(P54*($E54/365))</f>
        <v>41.186575342465751</v>
      </c>
      <c r="U155" s="8">
        <f>(Q52*($E52/365))+(Q53*($E53/365))+(Q54*($E54/365))</f>
        <v>11.88054794520548</v>
      </c>
      <c r="V155" s="7"/>
      <c r="W155" s="7">
        <f t="shared" si="15"/>
        <v>56.88082191780822</v>
      </c>
    </row>
    <row r="156" spans="1:23" x14ac:dyDescent="0.15">
      <c r="A156" s="1">
        <v>1983</v>
      </c>
      <c r="B156" s="8">
        <f>(K55*($E55/365))+(K56*($E56/365))</f>
        <v>0</v>
      </c>
      <c r="C156" s="8">
        <f>(L55*($E55/365))+(L56*($E56/365))</f>
        <v>100</v>
      </c>
      <c r="D156" s="8">
        <f>(M55*($E55/365))+(M56*($E56/365))</f>
        <v>0</v>
      </c>
      <c r="E156" s="48">
        <f t="shared" si="14"/>
        <v>100</v>
      </c>
      <c r="G156" s="1">
        <v>1983</v>
      </c>
      <c r="H156" s="822">
        <f>(O55/$R55*100*($E55/365))+(O56/$R56*100*($E56/365))</f>
        <v>44.444444444444443</v>
      </c>
      <c r="I156" s="822"/>
      <c r="J156" s="822">
        <f>(P55/$R55*100*($E55/365))+(P56/$R56*100*($E56/365))</f>
        <v>55.555555555555557</v>
      </c>
      <c r="K156" s="822"/>
      <c r="L156" s="822">
        <f>(Q55/$R55*100*($E55/365))+(Q56/$R56*100*($E56/365))</f>
        <v>0</v>
      </c>
      <c r="M156" s="822"/>
      <c r="N156" s="781">
        <f t="shared" si="16"/>
        <v>100</v>
      </c>
      <c r="O156" s="781"/>
      <c r="R156" s="1">
        <v>1983</v>
      </c>
      <c r="S156" s="8">
        <f>(O55*($E55/365))+(O56*($E56/365))</f>
        <v>24</v>
      </c>
      <c r="T156" s="8">
        <f>(P55*($E55/365))+(P56*($E56/365))</f>
        <v>30</v>
      </c>
      <c r="U156" s="8">
        <f>(Q55*($E55/365))+(Q56*($E56/365))</f>
        <v>0</v>
      </c>
      <c r="V156" s="7"/>
      <c r="W156" s="7">
        <f t="shared" si="15"/>
        <v>54</v>
      </c>
    </row>
    <row r="157" spans="1:23" x14ac:dyDescent="0.15">
      <c r="A157" s="1">
        <v>1984</v>
      </c>
      <c r="B157" s="8">
        <f>(K57*($E57/366))+(K58*($E58/366))</f>
        <v>0</v>
      </c>
      <c r="C157" s="8">
        <f>(L57*($E57/366))+(L58*($E58/366))</f>
        <v>100</v>
      </c>
      <c r="D157" s="8">
        <f>(M57*($E57/366))+(M58*($E58/366))</f>
        <v>0</v>
      </c>
      <c r="E157" s="48">
        <f t="shared" si="14"/>
        <v>100</v>
      </c>
      <c r="G157" s="1">
        <v>1984</v>
      </c>
      <c r="H157" s="822">
        <f>(O57/$R57*100*($E57/366))+(O58/$R58*100*($E58/366))</f>
        <v>44.444444444444443</v>
      </c>
      <c r="I157" s="822"/>
      <c r="J157" s="822">
        <f>(P57/$R57*100*($E57/366))+(P58/$R58*100*($E58/366))</f>
        <v>55.555555555555557</v>
      </c>
      <c r="K157" s="822"/>
      <c r="L157" s="822">
        <f>(Q57/$R57*100*($E57/366))+(Q58/$R58*100*($E58/366))</f>
        <v>0</v>
      </c>
      <c r="M157" s="822"/>
      <c r="N157" s="781">
        <f t="shared" si="16"/>
        <v>100</v>
      </c>
      <c r="O157" s="781"/>
      <c r="R157" s="1">
        <v>1984</v>
      </c>
      <c r="S157" s="8">
        <f>(O57*($E57/366))+(O58*($E58/366))</f>
        <v>24</v>
      </c>
      <c r="T157" s="8">
        <f>(P57*($E57/366))+(P58*($E58/366))</f>
        <v>30</v>
      </c>
      <c r="U157" s="8">
        <f>(Q57*($E57/366))+(Q58*($E58/366))</f>
        <v>0</v>
      </c>
      <c r="V157" s="7"/>
      <c r="W157" s="7">
        <f t="shared" si="15"/>
        <v>54</v>
      </c>
    </row>
    <row r="158" spans="1:23" x14ac:dyDescent="0.15">
      <c r="A158" s="1">
        <v>1985</v>
      </c>
      <c r="B158" s="8">
        <f>(K59*($E59/365))+(K60*($E60/365))</f>
        <v>0</v>
      </c>
      <c r="C158" s="8">
        <f>(L59*($E59/365))+(L60*($E60/365))</f>
        <v>100</v>
      </c>
      <c r="D158" s="8">
        <f>(M59*($E59/365))+(M60*($E60/365))</f>
        <v>0</v>
      </c>
      <c r="E158" s="48">
        <f t="shared" si="14"/>
        <v>100</v>
      </c>
      <c r="G158" s="1">
        <v>1985</v>
      </c>
      <c r="H158" s="822">
        <f>(O59/$R59*100*($E59/365))+(O60/$R60*100*($E60/365))</f>
        <v>44.444444444444443</v>
      </c>
      <c r="I158" s="822"/>
      <c r="J158" s="822">
        <f>(P59/$R59*100*($E59/365))+(P60/$R60*100*($E60/365))</f>
        <v>55.555555555555557</v>
      </c>
      <c r="K158" s="822"/>
      <c r="L158" s="822">
        <f>(Q59/$R59*100*($E59/365))+(Q60/$R60*100*($E60/365))</f>
        <v>0</v>
      </c>
      <c r="M158" s="822"/>
      <c r="N158" s="781">
        <f t="shared" si="16"/>
        <v>100</v>
      </c>
      <c r="O158" s="781"/>
      <c r="R158" s="1">
        <v>1985</v>
      </c>
      <c r="S158" s="8">
        <f>(O59*($E59/365))+(O60*($E60/365))</f>
        <v>24</v>
      </c>
      <c r="T158" s="8">
        <f>(P59*($E59/365))+(P60*($E60/365))</f>
        <v>30</v>
      </c>
      <c r="U158" s="8">
        <f>(Q59*($E59/365))+(Q60*($E60/365))</f>
        <v>0</v>
      </c>
      <c r="V158" s="7"/>
      <c r="W158" s="7">
        <f t="shared" si="15"/>
        <v>54</v>
      </c>
    </row>
    <row r="159" spans="1:23" x14ac:dyDescent="0.15">
      <c r="A159" s="1">
        <v>1986</v>
      </c>
      <c r="B159" s="8">
        <f>(K61*($E61/365))+(K62*($E62/365))</f>
        <v>4.6966731898238745</v>
      </c>
      <c r="C159" s="8">
        <f>(L61*($E61/365))+(L62*($E62/365))</f>
        <v>95.303326810176131</v>
      </c>
      <c r="D159" s="8">
        <f>(M61*($E61/365))+(M62*($E62/365))</f>
        <v>0</v>
      </c>
      <c r="E159" s="48">
        <f t="shared" si="14"/>
        <v>100</v>
      </c>
      <c r="G159" s="1">
        <v>1986</v>
      </c>
      <c r="H159" s="822">
        <f>(O61/$R61*100*($E61/365))+(O62/$R62*100*($E62/365))</f>
        <v>42.983257229832567</v>
      </c>
      <c r="I159" s="822"/>
      <c r="J159" s="822">
        <f>(P61/$R61*100*($E61/365))+(P62/$R62*100*($E62/365))</f>
        <v>57.016742770167426</v>
      </c>
      <c r="K159" s="822"/>
      <c r="L159" s="822">
        <f>(Q61/$R61*100*($E61/365))+(Q62/$R62*100*($E62/365))</f>
        <v>0</v>
      </c>
      <c r="M159" s="822"/>
      <c r="N159" s="781">
        <f t="shared" si="16"/>
        <v>100</v>
      </c>
      <c r="O159" s="781"/>
      <c r="R159" s="1">
        <v>1986</v>
      </c>
      <c r="S159" s="8">
        <f>(O61*($E61/365))+(O62*($E62/365))</f>
        <v>23.210958904109589</v>
      </c>
      <c r="T159" s="8">
        <f>(P61*($E61/365))+(P62*($E62/365))</f>
        <v>30.789041095890408</v>
      </c>
      <c r="U159" s="8">
        <f>(Q61*($E61/365))+(Q62*($E62/365))</f>
        <v>0</v>
      </c>
      <c r="V159" s="7"/>
      <c r="W159" s="7">
        <f t="shared" si="15"/>
        <v>54</v>
      </c>
    </row>
    <row r="160" spans="1:23" x14ac:dyDescent="0.15">
      <c r="A160" s="1">
        <v>1987</v>
      </c>
      <c r="B160" s="8">
        <f>(K63*($E63/365))+(K64*($E64/365))</f>
        <v>35.714285714285715</v>
      </c>
      <c r="C160" s="8">
        <f>(L63*($E63/365))+(L64*($E64/365))</f>
        <v>64.285714285714292</v>
      </c>
      <c r="D160" s="8">
        <f>(M63*($E63/365))+(M64*($E64/365))</f>
        <v>0</v>
      </c>
      <c r="E160" s="48">
        <f t="shared" si="14"/>
        <v>100</v>
      </c>
      <c r="G160" s="1">
        <v>1987</v>
      </c>
      <c r="H160" s="822">
        <f>(O63/$R63*100*($E63/365))+(O64/$R64*100*($E64/365))</f>
        <v>33.333333333333329</v>
      </c>
      <c r="I160" s="822"/>
      <c r="J160" s="822">
        <f>(P63/$R63*100*($E63/365))+(P64/$R64*100*($E64/365))</f>
        <v>66.666666666666657</v>
      </c>
      <c r="K160" s="822"/>
      <c r="L160" s="822">
        <f>(Q63/$R63*100*($E63/365))+(Q64/$R64*100*($E64/365))</f>
        <v>0</v>
      </c>
      <c r="M160" s="822"/>
      <c r="N160" s="781">
        <f t="shared" si="16"/>
        <v>99.999999999999986</v>
      </c>
      <c r="O160" s="781"/>
      <c r="R160" s="1">
        <v>1987</v>
      </c>
      <c r="S160" s="8">
        <f>(O63*($E63/365))+(O64*($E64/365))</f>
        <v>18</v>
      </c>
      <c r="T160" s="8">
        <f>(P63*($E63/365))+(P64*($E64/365))</f>
        <v>36</v>
      </c>
      <c r="U160" s="8">
        <f>(Q63*($E63/365))+(Q64*($E64/365))</f>
        <v>0</v>
      </c>
      <c r="V160" s="7"/>
      <c r="W160" s="7">
        <f t="shared" si="15"/>
        <v>54</v>
      </c>
    </row>
    <row r="161" spans="1:23" x14ac:dyDescent="0.15">
      <c r="A161" s="1">
        <v>1988</v>
      </c>
      <c r="B161" s="8">
        <f>(K65*($E65/366))+(K66*($E66/366))</f>
        <v>35.714285714285715</v>
      </c>
      <c r="C161" s="8">
        <f>(L65*($E65/366))+(L66*($E66/366))</f>
        <v>64.285714285714292</v>
      </c>
      <c r="D161" s="8">
        <f>(M65*($E65/366))+(M66*($E66/366))</f>
        <v>0</v>
      </c>
      <c r="E161" s="48">
        <f t="shared" si="14"/>
        <v>100</v>
      </c>
      <c r="G161" s="1">
        <v>1988</v>
      </c>
      <c r="H161" s="822">
        <f>(O65/$R65*100*($E65/366))+(O66/$R66*100*($E66/366))</f>
        <v>33.333333333333329</v>
      </c>
      <c r="I161" s="822"/>
      <c r="J161" s="822">
        <f>(P65/$R65*100*($E65/366))+(P66/$R66*100*($E66/366))</f>
        <v>66.666666666666657</v>
      </c>
      <c r="K161" s="822"/>
      <c r="L161" s="822">
        <f>(Q65/$R65*100*($E65/366))+(Q66/$R66*100*($E66/366))</f>
        <v>0</v>
      </c>
      <c r="M161" s="822"/>
      <c r="N161" s="781">
        <f t="shared" si="16"/>
        <v>99.999999999999986</v>
      </c>
      <c r="O161" s="781"/>
      <c r="R161" s="1">
        <v>1988</v>
      </c>
      <c r="S161" s="8">
        <f>(O65*($E65/366))+(O66*($E66/366))</f>
        <v>18</v>
      </c>
      <c r="T161" s="8">
        <f>(P65*($E65/366))+(P66*($E66/366))</f>
        <v>36</v>
      </c>
      <c r="U161" s="8">
        <f>(Q65*($E65/366))+(Q66*($E66/366))</f>
        <v>0</v>
      </c>
      <c r="V161" s="7"/>
      <c r="W161" s="7">
        <f t="shared" si="15"/>
        <v>54</v>
      </c>
    </row>
    <row r="162" spans="1:23" x14ac:dyDescent="0.15">
      <c r="A162" s="1">
        <v>1989</v>
      </c>
      <c r="B162" s="8">
        <f>(K67*($E67/365))+(K68*($E68/365))</f>
        <v>30.332681017612522</v>
      </c>
      <c r="C162" s="8">
        <f>(L67*($E67/365))+(L68*($E68/365))</f>
        <v>62.133072407045013</v>
      </c>
      <c r="D162" s="8">
        <f>(M67*($E67/365))+(M68*($E68/365))</f>
        <v>7.5342465753424657</v>
      </c>
      <c r="E162" s="48">
        <f t="shared" si="14"/>
        <v>100</v>
      </c>
      <c r="G162" s="1">
        <v>1989</v>
      </c>
      <c r="H162" s="822">
        <f>(O67/$R67*100*($E67/365))+(O68/$R68*100*($E68/365))</f>
        <v>28.310502283105016</v>
      </c>
      <c r="I162" s="822"/>
      <c r="J162" s="822">
        <f>(P67/$R67*100*($E67/365))+(P68/$R68*100*($E68/365))</f>
        <v>64.517158182289478</v>
      </c>
      <c r="K162" s="822"/>
      <c r="L162" s="822">
        <f>(Q67/$R67*100*($E67/365))+(Q68/$R68*100*($E68/365))</f>
        <v>7.1723395346054915</v>
      </c>
      <c r="M162" s="822"/>
      <c r="N162" s="781">
        <f t="shared" si="16"/>
        <v>100</v>
      </c>
      <c r="O162" s="781"/>
      <c r="R162" s="1">
        <v>1989</v>
      </c>
      <c r="S162" s="8">
        <f>(O67*($E67/365))+(O68*($E68/365))</f>
        <v>15.287671232876711</v>
      </c>
      <c r="T162" s="8">
        <f>(P67*($E67/365))+(P68*($E68/365))</f>
        <v>36</v>
      </c>
      <c r="U162" s="8">
        <f>(Q67*($E67/365))+(Q68*($E68/365))</f>
        <v>4.9273972602739731</v>
      </c>
      <c r="V162" s="7"/>
      <c r="W162" s="7">
        <f t="shared" si="15"/>
        <v>56.215068493150682</v>
      </c>
    </row>
    <row r="163" spans="1:23" x14ac:dyDescent="0.15">
      <c r="A163" s="1">
        <v>1990</v>
      </c>
      <c r="B163" s="8">
        <f>(K69*($E69/365))+(K70*($E70/365))</f>
        <v>0</v>
      </c>
      <c r="C163" s="8">
        <f>(L69*($E69/365))+(L70*($E70/365))</f>
        <v>50</v>
      </c>
      <c r="D163" s="8">
        <f>(M69*($E69/365))+(M70*($E70/365))</f>
        <v>50</v>
      </c>
      <c r="E163" s="48">
        <f t="shared" si="14"/>
        <v>100</v>
      </c>
      <c r="G163" s="1">
        <v>1990</v>
      </c>
      <c r="H163" s="822">
        <f>(O69/$R69*100*($E69/365))+(O70/$R70*100*($E70/365))</f>
        <v>0</v>
      </c>
      <c r="I163" s="822"/>
      <c r="J163" s="822">
        <f>(P69/$R69*100*($E69/365))+(P70/$R70*100*($E70/365))</f>
        <v>52.401746724890828</v>
      </c>
      <c r="K163" s="822"/>
      <c r="L163" s="822">
        <f>(Q69/$R69*100*($E69/365))+(Q70/$R70*100*($E70/365))</f>
        <v>47.598253275109172</v>
      </c>
      <c r="M163" s="822"/>
      <c r="N163" s="781">
        <f t="shared" si="16"/>
        <v>100</v>
      </c>
      <c r="O163" s="781"/>
      <c r="R163" s="1">
        <v>1990</v>
      </c>
      <c r="S163" s="8">
        <f>(O69*($E69/365))+(O70*($E70/365))</f>
        <v>0</v>
      </c>
      <c r="T163" s="8">
        <f>(P69*($E69/365))+(P70*($E70/365))</f>
        <v>36</v>
      </c>
      <c r="U163" s="8">
        <f>(Q69*($E69/365))+(Q70*($E70/365))</f>
        <v>32.700000000000003</v>
      </c>
      <c r="V163" s="7"/>
      <c r="W163" s="7">
        <f t="shared" si="15"/>
        <v>68.7</v>
      </c>
    </row>
    <row r="164" spans="1:23" x14ac:dyDescent="0.15">
      <c r="A164" s="1">
        <v>1991</v>
      </c>
      <c r="B164" s="8">
        <f>(K71*($E71/365))+(K72*($E72/365))</f>
        <v>0</v>
      </c>
      <c r="C164" s="8">
        <f>(L71*($E71/365))+(L72*($E72/365))</f>
        <v>50</v>
      </c>
      <c r="D164" s="8">
        <f>(M71*($E71/365))+(M72*($E72/365))</f>
        <v>50</v>
      </c>
      <c r="E164" s="48">
        <f t="shared" si="14"/>
        <v>100</v>
      </c>
      <c r="G164" s="1">
        <v>1991</v>
      </c>
      <c r="H164" s="822">
        <f>(O71/$R71*100*($E71/365))+(O72/$R72*100*($E72/365))</f>
        <v>0</v>
      </c>
      <c r="I164" s="822"/>
      <c r="J164" s="822">
        <f>(P71/$R71*100*($E71/365))+(P72/$R72*100*($E72/365))</f>
        <v>52.401746724890828</v>
      </c>
      <c r="K164" s="822"/>
      <c r="L164" s="822">
        <f>(Q71/$R71*100*($E71/365))+(Q72/$R72*100*($E72/365))</f>
        <v>47.598253275109172</v>
      </c>
      <c r="M164" s="822"/>
      <c r="N164" s="781">
        <f t="shared" si="16"/>
        <v>100</v>
      </c>
      <c r="O164" s="781"/>
      <c r="R164" s="1">
        <v>1991</v>
      </c>
      <c r="S164" s="8">
        <f>(O71*($E71/365))+(O72*($E72/365))</f>
        <v>0</v>
      </c>
      <c r="T164" s="8">
        <f>(P71*($E71/365))+(P72*($E72/365))</f>
        <v>36</v>
      </c>
      <c r="U164" s="8">
        <f>(Q71*($E71/365))+(Q72*($E72/365))</f>
        <v>32.700000000000003</v>
      </c>
      <c r="V164" s="7"/>
      <c r="W164" s="7">
        <f t="shared" si="15"/>
        <v>68.7</v>
      </c>
    </row>
    <row r="165" spans="1:23" x14ac:dyDescent="0.15">
      <c r="A165" s="1">
        <v>1992</v>
      </c>
      <c r="B165" s="8">
        <f>(K73*($E73/366))+(K74*($E74/366))</f>
        <v>0</v>
      </c>
      <c r="C165" s="8">
        <f>(L73*($E73/366))+(L74*($E74/366))</f>
        <v>50</v>
      </c>
      <c r="D165" s="8">
        <f>(M73*($E73/366))+(M74*($E74/366))</f>
        <v>50</v>
      </c>
      <c r="E165" s="48">
        <f t="shared" si="14"/>
        <v>100</v>
      </c>
      <c r="G165" s="1">
        <v>1992</v>
      </c>
      <c r="H165" s="822">
        <f>(O73/$R73*100*($E73/366))+(O74/$R74*100*($E74/366))</f>
        <v>0</v>
      </c>
      <c r="I165" s="822"/>
      <c r="J165" s="822">
        <f>(P73/$R73*100*($E73/366))+(P74/$R74*100*($E74/366))</f>
        <v>52.401746724890828</v>
      </c>
      <c r="K165" s="822"/>
      <c r="L165" s="822">
        <f>(Q73/$R73*100*($E73/366))+(Q74/$R74*100*($E74/366))</f>
        <v>47.598253275109172</v>
      </c>
      <c r="M165" s="822"/>
      <c r="N165" s="781">
        <f t="shared" si="16"/>
        <v>100</v>
      </c>
      <c r="O165" s="781"/>
      <c r="R165" s="1">
        <v>1992</v>
      </c>
      <c r="S165" s="8">
        <f>(O73*($E73/366))+(O74*($E74/366))</f>
        <v>0</v>
      </c>
      <c r="T165" s="8">
        <f>(P73*($E73/366))+(P74*($E74/366))</f>
        <v>36</v>
      </c>
      <c r="U165" s="8">
        <f>(Q73*($E73/366))+(Q74*($E74/366))</f>
        <v>32.700000000000003</v>
      </c>
      <c r="V165" s="7"/>
      <c r="W165" s="7">
        <f t="shared" si="15"/>
        <v>68.7</v>
      </c>
    </row>
    <row r="166" spans="1:23" x14ac:dyDescent="0.15">
      <c r="A166" s="1">
        <v>1993</v>
      </c>
      <c r="B166" s="8">
        <f>(K75*($E75/365))+(K76*($E76/365))</f>
        <v>0</v>
      </c>
      <c r="C166" s="8">
        <f>(L75*($E75/365))+(L76*($E76/365))</f>
        <v>50</v>
      </c>
      <c r="D166" s="8">
        <f>(M75*($E75/365))+(M76*($E76/365))</f>
        <v>50</v>
      </c>
      <c r="E166" s="48">
        <f t="shared" si="14"/>
        <v>100</v>
      </c>
      <c r="G166" s="1">
        <v>1993</v>
      </c>
      <c r="H166" s="822">
        <f>(O75/$R75*100*($E75/365))+(O76/$R76*100*($E76/365))</f>
        <v>0</v>
      </c>
      <c r="I166" s="822"/>
      <c r="J166" s="822">
        <f>(P75/$R75*100*($E75/365))+(P76/$R76*100*($E76/365))</f>
        <v>52.401746724890828</v>
      </c>
      <c r="K166" s="822"/>
      <c r="L166" s="822">
        <f>(Q75/$R75*100*($E75/365))+(Q76/$R76*100*($E76/365))</f>
        <v>47.598253275109172</v>
      </c>
      <c r="M166" s="822"/>
      <c r="N166" s="781">
        <f t="shared" si="16"/>
        <v>100</v>
      </c>
      <c r="O166" s="781"/>
      <c r="R166" s="1">
        <v>1993</v>
      </c>
      <c r="S166" s="8">
        <f>(O75*($E75/365))+(O76*($E76/365))</f>
        <v>0</v>
      </c>
      <c r="T166" s="8">
        <f>(P75*($E75/365))+(P76*($E76/365))</f>
        <v>36</v>
      </c>
      <c r="U166" s="8">
        <f>(Q75*($E75/365))+(Q76*($E76/365))</f>
        <v>32.700000000000003</v>
      </c>
      <c r="V166" s="7"/>
      <c r="W166" s="7">
        <f t="shared" si="15"/>
        <v>68.7</v>
      </c>
    </row>
    <row r="167" spans="1:23" x14ac:dyDescent="0.15">
      <c r="A167" s="1">
        <v>1994</v>
      </c>
      <c r="B167" s="8">
        <f>(K77*($E77/365))+(K78*($E78/365))</f>
        <v>12.915851272015656</v>
      </c>
      <c r="C167" s="8">
        <f>(L77*($E77/365))+(L78*($E78/365))</f>
        <v>42.250489236790607</v>
      </c>
      <c r="D167" s="8">
        <f>(M77*($E77/365))+(M78*($E78/365))</f>
        <v>44.833659491193742</v>
      </c>
      <c r="E167" s="48">
        <f t="shared" si="14"/>
        <v>100</v>
      </c>
      <c r="G167" s="1">
        <v>1994</v>
      </c>
      <c r="H167" s="822">
        <f>(O77/$R77*100*($E77/365))+(O78/$R78*100*($E78/365))</f>
        <v>12.192227031368523</v>
      </c>
      <c r="I167" s="822"/>
      <c r="J167" s="822">
        <f>(P77/$R77*100*($E77/365))+(P78/$R78*100*($E78/365))</f>
        <v>42.874921645425601</v>
      </c>
      <c r="K167" s="822"/>
      <c r="L167" s="822">
        <f>(Q77/$R77*100*($E77/365))+(Q78/$R78*100*($E78/365))</f>
        <v>44.932851323205874</v>
      </c>
      <c r="M167" s="822"/>
      <c r="N167" s="781">
        <f t="shared" si="16"/>
        <v>100</v>
      </c>
      <c r="O167" s="781"/>
      <c r="R167" s="1">
        <v>1994</v>
      </c>
      <c r="S167" s="8">
        <f>(O77*($E77/365))+(O78*($E78/365))</f>
        <v>7.4860273972602736</v>
      </c>
      <c r="T167" s="8">
        <f>(P77*($E77/365))+(P78*($E78/365))</f>
        <v>28.767123287671236</v>
      </c>
      <c r="U167" s="8">
        <f>(Q77*($E77/365))+(Q78*($E78/365))</f>
        <v>29.806849315068497</v>
      </c>
      <c r="V167" s="7"/>
      <c r="W167" s="7">
        <f t="shared" si="15"/>
        <v>66.06</v>
      </c>
    </row>
    <row r="168" spans="1:23" x14ac:dyDescent="0.15">
      <c r="A168" s="1">
        <v>1995</v>
      </c>
      <c r="B168" s="8">
        <f>(K79*($E79/365))+(K80*($E80/365))</f>
        <v>35.714285714285715</v>
      </c>
      <c r="C168" s="8">
        <f>(L79*($E79/365))+(L80*($E80/365))</f>
        <v>28.571428571428569</v>
      </c>
      <c r="D168" s="8">
        <f>(M79*($E79/365))+(M80*($E80/365))</f>
        <v>35.714285714285715</v>
      </c>
      <c r="E168" s="48">
        <f t="shared" si="14"/>
        <v>100</v>
      </c>
      <c r="G168" s="1">
        <v>1995</v>
      </c>
      <c r="H168" s="822">
        <f>(O79/$R79*100*($E79/365))+(O80/$R80*100*($E80/365))</f>
        <v>33.713355048859931</v>
      </c>
      <c r="I168" s="822"/>
      <c r="J168" s="822">
        <f>(P79/$R79*100*($E79/365))+(P80/$R80*100*($E80/365))</f>
        <v>26.058631921824098</v>
      </c>
      <c r="K168" s="822"/>
      <c r="L168" s="822">
        <f>(Q79/$R79*100*($E79/365))+(Q80/$R80*100*($E80/365))</f>
        <v>40.22801302931596</v>
      </c>
      <c r="M168" s="822"/>
      <c r="N168" s="781">
        <f t="shared" si="16"/>
        <v>99.999999999999986</v>
      </c>
      <c r="O168" s="781"/>
      <c r="R168" s="1">
        <v>1995</v>
      </c>
      <c r="S168" s="8">
        <f>(O79*($E79/365))+(O80*($E80/365))</f>
        <v>20.7</v>
      </c>
      <c r="T168" s="8">
        <f>(P79*($E79/365))+(P80*($E80/365))</f>
        <v>16</v>
      </c>
      <c r="U168" s="8">
        <f>(Q79*($E79/365))+(Q80*($E80/365))</f>
        <v>24.7</v>
      </c>
      <c r="V168" s="7"/>
      <c r="W168" s="7">
        <f t="shared" si="15"/>
        <v>61.400000000000006</v>
      </c>
    </row>
    <row r="169" spans="1:23" x14ac:dyDescent="0.15">
      <c r="A169" s="1">
        <v>1996</v>
      </c>
      <c r="B169" s="8">
        <f>(K81*($E81/366))+(K82*($E82/366))</f>
        <v>35.714285714285715</v>
      </c>
      <c r="C169" s="8">
        <f>(L81*($E81/366))+(L82*($E82/366))</f>
        <v>28.571428571428569</v>
      </c>
      <c r="D169" s="8">
        <f>(M81*($E81/366))+(M82*($E82/366))</f>
        <v>35.714285714285715</v>
      </c>
      <c r="E169" s="48">
        <f t="shared" si="14"/>
        <v>100</v>
      </c>
      <c r="G169" s="1">
        <v>1996</v>
      </c>
      <c r="H169" s="822">
        <f>(O81/$R81*100*($E81/366))+(O82/$R82*100*($E82/366))</f>
        <v>33.713355048859931</v>
      </c>
      <c r="I169" s="822"/>
      <c r="J169" s="822">
        <f>(P81/$R81*100*($E81/366))+(P82/$R82*100*($E82/366))</f>
        <v>26.058631921824098</v>
      </c>
      <c r="K169" s="822"/>
      <c r="L169" s="822">
        <f>(Q81/$R81*100*($E81/366))+(Q82/$R82*100*($E82/366))</f>
        <v>40.22801302931596</v>
      </c>
      <c r="M169" s="822"/>
      <c r="N169" s="781">
        <f t="shared" si="16"/>
        <v>99.999999999999986</v>
      </c>
      <c r="O169" s="781"/>
      <c r="R169" s="1">
        <v>1996</v>
      </c>
      <c r="S169" s="8">
        <f>(O81*($E81/366))+(O82*($E82/366))</f>
        <v>20.7</v>
      </c>
      <c r="T169" s="8">
        <f>(P81*($E81/366))+(P82*($E82/366))</f>
        <v>16</v>
      </c>
      <c r="U169" s="8">
        <f>(Q81*($E81/366))+(Q82*($E82/366))</f>
        <v>24.7</v>
      </c>
      <c r="V169" s="7"/>
      <c r="W169" s="7">
        <f t="shared" si="15"/>
        <v>61.400000000000006</v>
      </c>
    </row>
    <row r="170" spans="1:23" x14ac:dyDescent="0.15">
      <c r="A170" s="1">
        <v>1997</v>
      </c>
      <c r="B170" s="8">
        <f>(K83*($E83/365))+(K84*($E84/365))</f>
        <v>35.714285714285715</v>
      </c>
      <c r="C170" s="8">
        <f>(L83*($E83/365))+(L84*($E84/365))</f>
        <v>28.571428571428569</v>
      </c>
      <c r="D170" s="8">
        <f>(M83*($E83/365))+(M84*($E84/365))</f>
        <v>35.714285714285715</v>
      </c>
      <c r="E170" s="48">
        <f t="shared" si="14"/>
        <v>100</v>
      </c>
      <c r="G170" s="1">
        <v>1997</v>
      </c>
      <c r="H170" s="822">
        <f>(O83/$R83*100*($E83/365))+(O84/$R84*100*($E84/365))</f>
        <v>33.713355048859931</v>
      </c>
      <c r="I170" s="822"/>
      <c r="J170" s="822">
        <f>(P83/$R83*100*($E83/365))+(P84/$R84*100*($E84/365))</f>
        <v>26.058631921824098</v>
      </c>
      <c r="K170" s="822"/>
      <c r="L170" s="822">
        <f>(Q83/$R83*100*($E83/365))+(Q84/$R84*100*($E84/365))</f>
        <v>40.22801302931596</v>
      </c>
      <c r="M170" s="822"/>
      <c r="N170" s="781">
        <f t="shared" si="16"/>
        <v>99.999999999999986</v>
      </c>
      <c r="O170" s="781"/>
      <c r="R170" s="1">
        <v>1997</v>
      </c>
      <c r="S170" s="8">
        <f>(O83*($E83/365))+(O84*($E84/365))</f>
        <v>20.7</v>
      </c>
      <c r="T170" s="8">
        <f>(P83*($E83/365))+(P84*($E84/365))</f>
        <v>16</v>
      </c>
      <c r="U170" s="8">
        <f>(Q83*($E83/365))+(Q84*($E84/365))</f>
        <v>24.7</v>
      </c>
      <c r="V170" s="7"/>
      <c r="W170" s="7">
        <f t="shared" si="15"/>
        <v>61.400000000000006</v>
      </c>
    </row>
    <row r="171" spans="1:23" x14ac:dyDescent="0.15">
      <c r="A171" s="1">
        <v>1998</v>
      </c>
      <c r="B171" s="8">
        <f>(K85*($E85/365))+(K86*($E86/365))</f>
        <v>38.669275929549904</v>
      </c>
      <c r="C171" s="8">
        <f>(L85*($E85/365))+(L86*($E86/365))</f>
        <v>25.616438356164384</v>
      </c>
      <c r="D171" s="8">
        <f>(M85*($E85/365))+(M86*($E86/365))</f>
        <v>35.714285714285715</v>
      </c>
      <c r="E171" s="48">
        <f t="shared" si="14"/>
        <v>100</v>
      </c>
      <c r="G171" s="1">
        <v>1998</v>
      </c>
      <c r="H171" s="822">
        <f>(O85/$R85*100*($E85/365))+(O86/$R86*100*($E86/365))</f>
        <v>35.968315260929614</v>
      </c>
      <c r="I171" s="822"/>
      <c r="J171" s="822">
        <f>(P85/$R85*100*($E85/365))+(P86/$R86*100*($E86/365))</f>
        <v>21.233934905639135</v>
      </c>
      <c r="K171" s="822"/>
      <c r="L171" s="822">
        <f>(Q85/$R85*100*($E85/365))+(Q86/$R86*100*($E86/365))</f>
        <v>42.797749833431254</v>
      </c>
      <c r="M171" s="822"/>
      <c r="N171" s="781">
        <f t="shared" si="16"/>
        <v>100</v>
      </c>
      <c r="O171" s="781"/>
      <c r="R171" s="1">
        <v>1998</v>
      </c>
      <c r="S171" s="8">
        <f>(O85*($E85/365))+(O86*($E86/365))</f>
        <v>22.603013698630136</v>
      </c>
      <c r="T171" s="8">
        <f>(P85*($E85/365))+(P86*($E86/365))</f>
        <v>13.228219178082192</v>
      </c>
      <c r="U171" s="8">
        <f>(Q85*($E85/365))+(Q86*($E86/365))</f>
        <v>26.89260273972603</v>
      </c>
      <c r="V171" s="7"/>
      <c r="W171" s="7">
        <f t="shared" si="15"/>
        <v>62.723835616438357</v>
      </c>
    </row>
    <row r="172" spans="1:23" x14ac:dyDescent="0.15">
      <c r="A172" s="1">
        <v>1999</v>
      </c>
      <c r="B172" s="8">
        <f>(K87*($E87/365))+(K88*($E88/365))</f>
        <v>40</v>
      </c>
      <c r="C172" s="8">
        <f>(L87*($E87/365))+(L88*($E88/365))</f>
        <v>20</v>
      </c>
      <c r="D172" s="8">
        <f>(M87*($E87/365))+(M88*($E88/365))</f>
        <v>40</v>
      </c>
      <c r="E172" s="48">
        <f t="shared" si="14"/>
        <v>100</v>
      </c>
      <c r="G172" s="1">
        <v>1999</v>
      </c>
      <c r="H172" s="822">
        <f>(O87/$R87*100*($E87/365))+(O88/$R88*100*($E88/365))</f>
        <v>39.164086687306501</v>
      </c>
      <c r="I172" s="822"/>
      <c r="J172" s="822">
        <f>(P87/$R87*100*($E87/365))+(P88/$R88*100*($E88/365))</f>
        <v>14.396284829721365</v>
      </c>
      <c r="K172" s="822"/>
      <c r="L172" s="822">
        <f>(Q87/$R87*100*($E87/365))+(Q88/$R88*100*($E88/365))</f>
        <v>46.43962848297214</v>
      </c>
      <c r="M172" s="822"/>
      <c r="N172" s="781">
        <f t="shared" si="16"/>
        <v>100</v>
      </c>
      <c r="O172" s="781"/>
      <c r="R172" s="1">
        <v>1999</v>
      </c>
      <c r="S172" s="8">
        <f>(O87*($E87/365))+(O88*($E88/365))</f>
        <v>25.3</v>
      </c>
      <c r="T172" s="8">
        <f>(P87*($E87/365))+(P88*($E88/365))</f>
        <v>9.3000000000000007</v>
      </c>
      <c r="U172" s="8">
        <f>(Q87*($E87/365))+(Q88*($E88/365))</f>
        <v>30</v>
      </c>
      <c r="V172" s="7"/>
      <c r="W172" s="7">
        <f t="shared" si="15"/>
        <v>64.599999999999994</v>
      </c>
    </row>
    <row r="173" spans="1:23" x14ac:dyDescent="0.15">
      <c r="A173" s="1">
        <v>2000</v>
      </c>
      <c r="B173" s="8">
        <f>(K89*($E89/366))+(K90*($E90/366))</f>
        <v>40</v>
      </c>
      <c r="C173" s="8">
        <f>(L89*($E89/366))+(L90*($E90/366))</f>
        <v>20</v>
      </c>
      <c r="D173" s="8">
        <f>(M89*($E89/366))+(M90*($E90/366))</f>
        <v>40</v>
      </c>
      <c r="E173" s="48">
        <f t="shared" si="14"/>
        <v>100</v>
      </c>
      <c r="G173" s="1">
        <v>2000</v>
      </c>
      <c r="H173" s="822">
        <f>(O89/$R89*100*($E89/366))+(O90/$R90*100*($E90/366))</f>
        <v>39.164086687306501</v>
      </c>
      <c r="I173" s="822"/>
      <c r="J173" s="822">
        <f>(P89/$R89*100*($E89/366))+(P90/$R90*100*($E90/366))</f>
        <v>14.396284829721365</v>
      </c>
      <c r="K173" s="822"/>
      <c r="L173" s="822">
        <f>(Q89/$R89*100*($E89/366))+(Q90/$R90*100*($E90/366))</f>
        <v>46.43962848297214</v>
      </c>
      <c r="M173" s="822"/>
      <c r="N173" s="781">
        <f t="shared" si="16"/>
        <v>100</v>
      </c>
      <c r="O173" s="781"/>
      <c r="R173" s="1">
        <v>2000</v>
      </c>
      <c r="S173" s="8">
        <f>(O89*($E89/366))+(O90*($E90/366))</f>
        <v>25.3</v>
      </c>
      <c r="T173" s="8">
        <f>(P89*($E89/366))+(P90*($E90/366))</f>
        <v>9.3000000000000007</v>
      </c>
      <c r="U173" s="8">
        <f>(Q89*($E89/366))+(Q90*($E90/366))</f>
        <v>30</v>
      </c>
      <c r="V173" s="7"/>
      <c r="W173" s="7">
        <f t="shared" si="15"/>
        <v>64.599999999999994</v>
      </c>
    </row>
    <row r="174" spans="1:23" x14ac:dyDescent="0.15">
      <c r="A174" s="1">
        <v>2001</v>
      </c>
      <c r="B174" s="8">
        <f>(K91*($E91/365))+(K92*($E92/365))</f>
        <v>40</v>
      </c>
      <c r="C174" s="8">
        <f>(L91*($E91/365))+(L92*($E92/365))</f>
        <v>20</v>
      </c>
      <c r="D174" s="8">
        <f>(M91*($E91/365))+(M92*($E92/365))</f>
        <v>40</v>
      </c>
      <c r="E174" s="48">
        <f t="shared" si="14"/>
        <v>100</v>
      </c>
      <c r="G174" s="1">
        <v>2001</v>
      </c>
      <c r="H174" s="822">
        <f>(O91/$R91*100*($E91/365))+(O92/$R92*100*($E92/365))</f>
        <v>39.164086687306501</v>
      </c>
      <c r="I174" s="822"/>
      <c r="J174" s="822">
        <f>(P91/$R91*100*($E91/365))+(P92/$R92*100*($E92/365))</f>
        <v>14.396284829721365</v>
      </c>
      <c r="K174" s="822"/>
      <c r="L174" s="822">
        <f>(Q91/$R91*100*($E91/365))+(Q92/$R92*100*($E92/365))</f>
        <v>46.43962848297214</v>
      </c>
      <c r="M174" s="822"/>
      <c r="N174" s="781">
        <f t="shared" si="16"/>
        <v>100</v>
      </c>
      <c r="O174" s="781"/>
      <c r="R174" s="1">
        <v>2001</v>
      </c>
      <c r="S174" s="8">
        <f>(O91*($E91/365))+(O92*($E92/365))</f>
        <v>25.3</v>
      </c>
      <c r="T174" s="8">
        <f>(P91*($E91/365))+(P92*($E92/365))</f>
        <v>9.3000000000000007</v>
      </c>
      <c r="U174" s="8">
        <f>(Q91*($E91/365))+(Q92*($E92/365))</f>
        <v>30</v>
      </c>
      <c r="V174" s="7"/>
      <c r="W174" s="7">
        <f t="shared" si="15"/>
        <v>64.599999999999994</v>
      </c>
    </row>
    <row r="175" spans="1:23" x14ac:dyDescent="0.15">
      <c r="A175" s="1">
        <v>2002</v>
      </c>
      <c r="B175" s="8">
        <f>(K93*($E93/365))+(K94*($E94/365))+(K95*($E95/365))+(K96*($E96/365))+(K97*($E97/365))</f>
        <v>39.422166874221666</v>
      </c>
      <c r="C175" s="8">
        <f>(L93*($E93/365))+(L94*($E94/365))+(L95*($E95/365))+(L96*($E96/365))+(L97*($E97/365))</f>
        <v>38.440846824408467</v>
      </c>
      <c r="D175" s="8">
        <f>(M93*($E93/365))+(M94*($E94/365))+(M95*($E95/365))+(M96*($E96/365))+(M97*($E97/365))</f>
        <v>22.136986301369863</v>
      </c>
      <c r="E175" s="48">
        <f t="shared" si="14"/>
        <v>100</v>
      </c>
      <c r="G175" s="1">
        <v>2002</v>
      </c>
      <c r="H175" s="822">
        <f>(O93/$R93*100*($E93/365))+(O94/$R94*100*($E94/365))+(O95/$R95*100*($E95/365))+(O96/$R96*100*($E96/365))+(O97/$R97*100*($E97/365))</f>
        <v>41.880355874465941</v>
      </c>
      <c r="I175" s="822"/>
      <c r="J175" s="822">
        <f>(P93/$R93*100*($E93/365))+(P94/$R94*100*($E94/365))+(P95/$R95*100*($E95/365))+(P96/$R96*100*($E96/365))+(P97/$R97*100*($E97/365))</f>
        <v>32.418808636327554</v>
      </c>
      <c r="K175" s="822"/>
      <c r="L175" s="822">
        <f>(Q93/$R93*100*($E93/365))+(Q94/$R94*100*($E94/365))+(Q95/$R95*100*($E95/365))+(Q96/$R96*100*($E96/365))+(Q97/$R97*100*($E97/365))</f>
        <v>25.700835489206501</v>
      </c>
      <c r="M175" s="822"/>
      <c r="N175" s="781">
        <f t="shared" si="16"/>
        <v>100</v>
      </c>
      <c r="O175" s="781"/>
      <c r="R175" s="1">
        <v>2002</v>
      </c>
      <c r="S175" s="8">
        <f>(O93*($E93/365))+(O94*($E94/365))+(O95*($E95/365))+(O96*($E96/365))+(O97*($E97/365))</f>
        <v>25.223013698630133</v>
      </c>
      <c r="T175" s="8">
        <f>(P93*($E93/365))+(P94*($E94/365))+(P95*($E95/365))+(P96*($E96/365))+(P97*($E97/365))</f>
        <v>17.963561643835614</v>
      </c>
      <c r="U175" s="8">
        <f>(Q93*($E93/365))+(Q94*($E94/365))+(Q95*($E95/365))+(Q96*($E96/365))+(Q97*($E97/365))</f>
        <v>16.602739726027398</v>
      </c>
      <c r="V175" s="7"/>
      <c r="W175" s="7">
        <f t="shared" si="15"/>
        <v>59.789315068493138</v>
      </c>
    </row>
    <row r="176" spans="1:23" x14ac:dyDescent="0.15">
      <c r="A176" s="1">
        <v>2003</v>
      </c>
      <c r="B176" s="8">
        <f>(K98*($E98/365))+(K99*($E99/365))</f>
        <v>32.5</v>
      </c>
      <c r="C176" s="8">
        <f>(L98*($E98/365))+(L99*($E99/365))</f>
        <v>67.5</v>
      </c>
      <c r="D176" s="8">
        <f>(M98*($E98/365))+(M99*($E99/365))</f>
        <v>0</v>
      </c>
      <c r="E176" s="48">
        <f t="shared" si="14"/>
        <v>100</v>
      </c>
      <c r="G176" s="1">
        <v>2003</v>
      </c>
      <c r="H176" s="822">
        <f>(O98/$R98*100*($E98/365))+(O99/$R99*100*($E99/365))</f>
        <v>35.894596454999139</v>
      </c>
      <c r="I176" s="822"/>
      <c r="J176" s="822">
        <f>(P98/$R98*100*($E98/365))+(P99/$R99*100*($E99/365))</f>
        <v>64.105403545000854</v>
      </c>
      <c r="K176" s="822"/>
      <c r="L176" s="822">
        <f>(Q98/$R98*100*($E98/365))+(Q99/$R99*100*($E99/365))</f>
        <v>0</v>
      </c>
      <c r="M176" s="822"/>
      <c r="N176" s="781">
        <f t="shared" si="16"/>
        <v>100</v>
      </c>
      <c r="O176" s="781"/>
      <c r="R176" s="1">
        <v>2003</v>
      </c>
      <c r="S176" s="8">
        <f>(O98*($E98/365))+(O99*($E99/365))</f>
        <v>17.619999999999997</v>
      </c>
      <c r="T176" s="8">
        <f>(P98*($E98/365))+(P99*($E99/365))</f>
        <v>31.459999999999997</v>
      </c>
      <c r="U176" s="8">
        <f>(Q98*($E98/365))+(Q99*($E99/365))</f>
        <v>0</v>
      </c>
      <c r="V176" s="7"/>
      <c r="W176" s="7">
        <f t="shared" si="15"/>
        <v>49.08</v>
      </c>
    </row>
    <row r="177" spans="1:23" x14ac:dyDescent="0.15">
      <c r="A177" s="1">
        <v>2004</v>
      </c>
      <c r="B177" s="8">
        <f>(K100*($E100/366))+(K101*($E101/366))</f>
        <v>37.5</v>
      </c>
      <c r="C177" s="8">
        <f>(L100*($E100/366))+(L101*($E101/366))</f>
        <v>62.5</v>
      </c>
      <c r="D177" s="8">
        <f>(M100*($E100/366))+(M101*($E101/366))</f>
        <v>0</v>
      </c>
      <c r="E177" s="48">
        <f t="shared" si="14"/>
        <v>100</v>
      </c>
      <c r="G177" s="1">
        <v>2004</v>
      </c>
      <c r="H177" s="822">
        <f>(O100/$R100*100*($E100/366))+(O101/$R101*100*($E101/366))</f>
        <v>35.96153846153846</v>
      </c>
      <c r="I177" s="822"/>
      <c r="J177" s="822">
        <f>(P100/$R100*100*($E100/366))+(P101/$R101*100*($E101/366))</f>
        <v>64.038461538461533</v>
      </c>
      <c r="K177" s="822"/>
      <c r="L177" s="822">
        <f>(Q100/$R100*100*($E100/366))+(Q101/$R101*100*($E101/366))</f>
        <v>0</v>
      </c>
      <c r="M177" s="822"/>
      <c r="N177" s="781">
        <f t="shared" si="16"/>
        <v>100</v>
      </c>
      <c r="O177" s="781"/>
      <c r="R177" s="1">
        <v>2004</v>
      </c>
      <c r="S177" s="8">
        <f>(O100*($E100/366))+(O101*($E101/366))</f>
        <v>18.7</v>
      </c>
      <c r="T177" s="8">
        <f>(P100*($E100/366))+(P101*($E101/366))</f>
        <v>33.299999999999997</v>
      </c>
      <c r="U177" s="8">
        <f>(Q100*($E100/366))+(Q101*($E101/366))</f>
        <v>0</v>
      </c>
      <c r="V177" s="7"/>
      <c r="W177" s="7">
        <f t="shared" si="15"/>
        <v>52</v>
      </c>
    </row>
    <row r="178" spans="1:23" x14ac:dyDescent="0.15">
      <c r="A178" s="1">
        <v>2005</v>
      </c>
      <c r="B178" s="8">
        <f>(K102*($E102/365))+(K103*($E103/365))</f>
        <v>37.5</v>
      </c>
      <c r="C178" s="8">
        <f>(L102*($E102/365))+(L103*($E103/365))</f>
        <v>62.5</v>
      </c>
      <c r="D178" s="8">
        <f>(M102*($E102/365))+(M103*($E103/365))</f>
        <v>0</v>
      </c>
      <c r="E178" s="48">
        <f t="shared" si="14"/>
        <v>100</v>
      </c>
      <c r="G178" s="1">
        <v>2005</v>
      </c>
      <c r="H178" s="822">
        <f>(O102/$R102*100*($E102/365))+(O103/$R103*100*($E103/365))</f>
        <v>35.96153846153846</v>
      </c>
      <c r="I178" s="822"/>
      <c r="J178" s="822">
        <f>(P102/$R102*100*($E102/365))+(P103/$R103*100*($E103/365))</f>
        <v>64.038461538461533</v>
      </c>
      <c r="K178" s="822"/>
      <c r="L178" s="822">
        <f>(Q102/$R102*100*($E102/365))+(Q103/$R103*100*($E103/365))</f>
        <v>0</v>
      </c>
      <c r="M178" s="822"/>
      <c r="N178" s="781">
        <f t="shared" si="16"/>
        <v>100</v>
      </c>
      <c r="O178" s="781"/>
      <c r="R178" s="1">
        <v>2005</v>
      </c>
      <c r="S178" s="8">
        <f>(O102*($E102/365))+(O103*($E103/365))</f>
        <v>18.7</v>
      </c>
      <c r="T178" s="8">
        <f>(P102*($E102/365))+(P103*($E103/365))</f>
        <v>33.299999999999997</v>
      </c>
      <c r="U178" s="8">
        <f>(Q102*($E102/365))+(Q103*($E103/365))</f>
        <v>0</v>
      </c>
      <c r="V178" s="7"/>
      <c r="W178" s="7">
        <f t="shared" si="15"/>
        <v>52</v>
      </c>
    </row>
    <row r="179" spans="1:23" x14ac:dyDescent="0.15">
      <c r="A179" s="1">
        <v>2006</v>
      </c>
      <c r="B179" s="8">
        <f>(K104*($E104/365))+(K105*($E105/365))</f>
        <v>40.547945205479451</v>
      </c>
      <c r="C179" s="8">
        <f>(L104*($E104/365))+(L105*($E105/365))</f>
        <v>59.452054794520549</v>
      </c>
      <c r="D179" s="8">
        <f>(M104*($E104/365))+(M105*($E105/365))</f>
        <v>0</v>
      </c>
      <c r="E179" s="48">
        <f t="shared" si="14"/>
        <v>100</v>
      </c>
      <c r="G179" s="1">
        <v>2006</v>
      </c>
      <c r="H179" s="822">
        <f>(O104/$R104*100*($E104/365))+(O105/$R105*100*($E105/365))</f>
        <v>37.422989111345274</v>
      </c>
      <c r="I179" s="822"/>
      <c r="J179" s="822">
        <f>(P104/$R104*100*($E104/365))+(P105/$R105*100*($E105/365))</f>
        <v>62.577010888654726</v>
      </c>
      <c r="K179" s="822"/>
      <c r="L179" s="822">
        <f>(Q104/$R104*100*($E104/365))+(Q105/$R105*100*($E105/365))</f>
        <v>0</v>
      </c>
      <c r="M179" s="822"/>
      <c r="N179" s="781">
        <f t="shared" si="16"/>
        <v>100</v>
      </c>
      <c r="O179" s="781"/>
      <c r="R179" s="1">
        <v>2006</v>
      </c>
      <c r="S179" s="8">
        <f>(O104*($E104/365))+(O105*($E105/365))</f>
        <v>18.7</v>
      </c>
      <c r="T179" s="8">
        <f>(P104*($E104/365))+(P105*($E105/365))</f>
        <v>31.349315068493148</v>
      </c>
      <c r="U179" s="8">
        <f>(Q104*($E104/365))+(Q105*($E105/365))</f>
        <v>0</v>
      </c>
      <c r="V179" s="7"/>
      <c r="W179" s="7">
        <f t="shared" si="15"/>
        <v>50.049315068493144</v>
      </c>
    </row>
    <row r="180" spans="1:23" x14ac:dyDescent="0.15">
      <c r="A180" s="1">
        <v>2007</v>
      </c>
      <c r="B180" s="8">
        <f>(K106*($E106/365))+(K107*($E107/365))</f>
        <v>6.2328767123287667</v>
      </c>
      <c r="C180" s="8">
        <f>(L106*($E106/365))+(L107*($E107/365))</f>
        <v>61.609589041095894</v>
      </c>
      <c r="D180" s="8">
        <f>(M106*($E106/365))+(M107*($E107/365))</f>
        <v>32.157534246575345</v>
      </c>
      <c r="E180" s="48">
        <f t="shared" si="14"/>
        <v>100</v>
      </c>
      <c r="G180" s="1">
        <v>2007</v>
      </c>
      <c r="H180" s="822">
        <f>(O106/$R106*100*($E106/365))+(O107/$R107*100*($E107/365))</f>
        <v>5.5502283105022832</v>
      </c>
      <c r="I180" s="822"/>
      <c r="J180" s="822">
        <f>(P106/$R106*100*($E106/365))+(P107/$R107*100*($E107/365))</f>
        <v>59.05436188713837</v>
      </c>
      <c r="K180" s="822"/>
      <c r="L180" s="822">
        <f>(Q106/$R106*100*($E106/365))+(Q107/$R107*100*($E107/365))</f>
        <v>35.395409802359353</v>
      </c>
      <c r="M180" s="822"/>
      <c r="N180" s="781">
        <f t="shared" si="16"/>
        <v>100</v>
      </c>
      <c r="O180" s="781"/>
      <c r="R180" s="1">
        <v>2007</v>
      </c>
      <c r="S180" s="8">
        <f>(O106*($E106/365))+(O107*($E107/365))</f>
        <v>2.6641095890410957</v>
      </c>
      <c r="T180" s="8">
        <f>(P106*($E106/365))+(P107*($E107/365))</f>
        <v>31.015068493150686</v>
      </c>
      <c r="U180" s="8">
        <f>(Q106*($E106/365))+(Q107*($E107/365))</f>
        <v>18.865753424657534</v>
      </c>
      <c r="V180" s="7"/>
      <c r="W180" s="7">
        <f t="shared" si="15"/>
        <v>52.544931506849316</v>
      </c>
    </row>
    <row r="181" spans="1:23" x14ac:dyDescent="0.15">
      <c r="A181" s="1">
        <v>2008</v>
      </c>
      <c r="B181" s="8">
        <f>(K108*($E108/366))+(K109*($E109/366))</f>
        <v>0</v>
      </c>
      <c r="C181" s="8">
        <f>(L108*($E108/366))+(L109*($E109/366))</f>
        <v>62.5</v>
      </c>
      <c r="D181" s="8">
        <f>(M108*($E108/366))+(M109*($E109/366))</f>
        <v>37.5</v>
      </c>
      <c r="E181" s="48">
        <f t="shared" si="14"/>
        <v>100</v>
      </c>
      <c r="G181" s="1">
        <v>2008</v>
      </c>
      <c r="H181" s="822">
        <f>(O108/$R108*100*($E108/366))+(O109/$R109*100*($E109/366))</f>
        <v>0</v>
      </c>
      <c r="I181" s="822"/>
      <c r="J181" s="822">
        <f>(P108/$R108*100*($E108/366))+(P109/$R109*100*($E109/366))</f>
        <v>58.724202626641656</v>
      </c>
      <c r="K181" s="822"/>
      <c r="L181" s="822">
        <f>(Q108/$R108*100*($E108/366))+(Q109/$R109*100*($E109/366))</f>
        <v>41.275797373358351</v>
      </c>
      <c r="M181" s="822"/>
      <c r="N181" s="781">
        <f t="shared" si="16"/>
        <v>100</v>
      </c>
      <c r="O181" s="781"/>
      <c r="R181" s="1">
        <v>2008</v>
      </c>
      <c r="S181" s="8">
        <f>(O108*($E108/366))+(O109*($E109/366))</f>
        <v>0</v>
      </c>
      <c r="T181" s="8">
        <f>(P108*($E108/366))+(P109*($E109/366))</f>
        <v>31.3</v>
      </c>
      <c r="U181" s="8">
        <f>(Q108*($E108/366))+(Q109*($E109/366))</f>
        <v>22</v>
      </c>
      <c r="V181" s="7"/>
      <c r="W181" s="7">
        <f t="shared" si="15"/>
        <v>53.3</v>
      </c>
    </row>
    <row r="182" spans="1:23" x14ac:dyDescent="0.15">
      <c r="A182" s="1">
        <v>2009</v>
      </c>
      <c r="B182" s="8">
        <f>(K110*($E110/365))+(K111*($E111/365))</f>
        <v>0</v>
      </c>
      <c r="C182" s="8">
        <f>(L110*($E110/365))+(L111*($E111/365))</f>
        <v>62.5</v>
      </c>
      <c r="D182" s="8">
        <f>(M110*($E110/365))+(M111*($E111/365))</f>
        <v>37.5</v>
      </c>
      <c r="E182" s="48">
        <f t="shared" si="14"/>
        <v>100</v>
      </c>
      <c r="G182" s="1">
        <v>2009</v>
      </c>
      <c r="H182" s="822">
        <f>(O110/$R110*100*($E110/365))+(O111/$R111*100*($E111/365))</f>
        <v>0</v>
      </c>
      <c r="I182" s="822"/>
      <c r="J182" s="822">
        <f>(P110/$R110*100*($E110/365))+(P111/$R111*100*($E111/365))</f>
        <v>58.724202626641656</v>
      </c>
      <c r="K182" s="822"/>
      <c r="L182" s="822">
        <f>(Q110/$R110*100*($E110/365))+(Q111/$R111*100*($E111/365))</f>
        <v>41.275797373358351</v>
      </c>
      <c r="M182" s="822"/>
      <c r="N182" s="781">
        <f t="shared" si="16"/>
        <v>100</v>
      </c>
      <c r="O182" s="781"/>
      <c r="R182" s="1">
        <v>2009</v>
      </c>
      <c r="S182" s="8">
        <f>(O110*($E110/365))+(O111*($E111/365))</f>
        <v>0</v>
      </c>
      <c r="T182" s="8">
        <f>(P110*($E110/365))+(P111*($E111/365))</f>
        <v>31.3</v>
      </c>
      <c r="U182" s="8">
        <f>(Q110*($E110/365))+(Q111*($E111/365))</f>
        <v>22</v>
      </c>
      <c r="V182" s="7"/>
      <c r="W182" s="7">
        <f t="shared" si="15"/>
        <v>53.3</v>
      </c>
    </row>
    <row r="183" spans="1:23" x14ac:dyDescent="0.15">
      <c r="A183" s="1">
        <v>2010</v>
      </c>
      <c r="B183" s="8">
        <f>(K112*($E112/365))+(K113*($E113/365))+(K114*($E114/365))</f>
        <v>10.821917808219178</v>
      </c>
      <c r="C183" s="8">
        <f>(L112*($E112/365))+(L113*($E113/365))+(L114*($E114/365))</f>
        <v>84.041095890410958</v>
      </c>
      <c r="D183" s="8">
        <f>(M112*($E112/365))+(M113*($E113/365))+(M114*($E114/365))</f>
        <v>5.1369863013698627</v>
      </c>
      <c r="E183" s="48">
        <f t="shared" si="14"/>
        <v>100</v>
      </c>
      <c r="G183" s="1">
        <v>2010</v>
      </c>
      <c r="H183" s="822">
        <f>(O112/$R112*100*($E112/365))+(O113/$R113*100*($E113/365))+(O114/$R114*100*($E114/365))</f>
        <v>12.91145237061308</v>
      </c>
      <c r="I183" s="822"/>
      <c r="J183" s="822">
        <f>(P112/$R112*100*($E112/365))+(P113/$R113*100*($E113/365))+(P114/$R114*100*($E114/365))</f>
        <v>81.434328811118647</v>
      </c>
      <c r="K183" s="822"/>
      <c r="L183" s="822">
        <f>(Q112/$R112*100*($E112/365))+(Q113/$R113*100*($E113/365))+(Q114/$R114*100*($E114/365))</f>
        <v>5.6542188182682667</v>
      </c>
      <c r="M183" s="822"/>
      <c r="N183" s="781">
        <f t="shared" si="16"/>
        <v>99.999999999999986</v>
      </c>
      <c r="O183" s="781"/>
      <c r="R183" s="1">
        <v>2010</v>
      </c>
      <c r="S183" s="8">
        <f>(O112*($E112/365))+(O113*($E113/365))+(O114*($E114/365))</f>
        <v>4.4802739726027392</v>
      </c>
      <c r="T183" s="8">
        <f>(P112*($E112/365))+(P113*($E113/365))+(P114*($E114/365))</f>
        <v>27.555616438356161</v>
      </c>
      <c r="U183" s="8">
        <f>(Q112*($E112/365))+(Q113*($E113/365))+(Q114*($E114/365))</f>
        <v>3.0136986301369859</v>
      </c>
      <c r="V183" s="7"/>
      <c r="W183" s="7">
        <f t="shared" si="15"/>
        <v>35.049589041095885</v>
      </c>
    </row>
    <row r="184" spans="1:23" x14ac:dyDescent="0.15">
      <c r="A184" s="1">
        <v>2011</v>
      </c>
      <c r="B184" s="8">
        <f>(K115*($E115/365))+(K116*($E116/365))</f>
        <v>50</v>
      </c>
      <c r="C184" s="8">
        <f>(L115*($E115/365))+(L116*($E116/365))</f>
        <v>50</v>
      </c>
      <c r="D184" s="8">
        <f>(M115*($E115/365))+(M116*($E116/365))</f>
        <v>0</v>
      </c>
      <c r="E184" s="48">
        <f t="shared" si="14"/>
        <v>100</v>
      </c>
      <c r="G184" s="1">
        <v>2011</v>
      </c>
      <c r="H184" s="822">
        <f>(O115/$R115*100*($E115/365))+(O116/$R116*100*($E116/365))</f>
        <v>59.654178674351577</v>
      </c>
      <c r="I184" s="822"/>
      <c r="J184" s="822">
        <f>(P115/$R115*100*($E115/365))+(P116/$R116*100*($E116/365))</f>
        <v>40.345821325648416</v>
      </c>
      <c r="K184" s="822"/>
      <c r="L184" s="822">
        <f>(Q115/$R115*100*($E115/365))+(Q116/$R116*100*($E116/365))</f>
        <v>0</v>
      </c>
      <c r="M184" s="822"/>
      <c r="N184" s="781">
        <f t="shared" si="16"/>
        <v>100</v>
      </c>
      <c r="O184" s="781"/>
      <c r="R184" s="1">
        <v>2011</v>
      </c>
      <c r="S184" s="8">
        <f>(O115*($E115/365))+(O116*($E116/365))</f>
        <v>20.7</v>
      </c>
      <c r="T184" s="8">
        <f>(P115*($E115/365))+(P116*($E116/365))</f>
        <v>14</v>
      </c>
      <c r="U184" s="8">
        <f>(Q115*($E115/365))+(Q116*($E116/365))</f>
        <v>0</v>
      </c>
      <c r="V184" s="7"/>
      <c r="W184" s="7">
        <f t="shared" si="15"/>
        <v>34.700000000000003</v>
      </c>
    </row>
    <row r="185" spans="1:23" x14ac:dyDescent="0.15">
      <c r="A185" s="1">
        <v>2012</v>
      </c>
      <c r="B185" s="8">
        <f>(K117*($E117/366))+(K118*($E118/366))</f>
        <v>50.598991172761671</v>
      </c>
      <c r="C185" s="8">
        <f>(L117*($E117/366))+(L118*($E118/366))</f>
        <v>42.213114754098363</v>
      </c>
      <c r="D185" s="8">
        <f>(M117*($E117/366))+(M118*($E118/366))</f>
        <v>7.187894073139975</v>
      </c>
      <c r="E185" s="48">
        <f t="shared" si="14"/>
        <v>100</v>
      </c>
      <c r="G185" s="1">
        <v>2012</v>
      </c>
      <c r="H185" s="822">
        <f>(O117/$R117*100*($E117/366))+(O118/$R118*100*($E118/366))</f>
        <v>58.446738331655865</v>
      </c>
      <c r="I185" s="822"/>
      <c r="J185" s="822">
        <f>(P117/$R117*100*($E117/366))+(P118/$R118*100*($E118/366))</f>
        <v>34.062455709358908</v>
      </c>
      <c r="K185" s="822"/>
      <c r="L185" s="822">
        <f>(Q117/$R117*100*($E117/366))+(Q118/$R118*100*($E118/366))</f>
        <v>7.4908059589852272</v>
      </c>
      <c r="M185" s="822"/>
      <c r="N185" s="781">
        <f t="shared" si="16"/>
        <v>100</v>
      </c>
      <c r="O185" s="781"/>
      <c r="R185" s="1">
        <v>2012</v>
      </c>
      <c r="S185" s="8">
        <f>(O117*($E117/366))+(O118*($E118/366))</f>
        <v>21.727868852459014</v>
      </c>
      <c r="T185" s="8">
        <f>(P117*($E117/366))+(P118*($E118/366))</f>
        <v>11.819672131147541</v>
      </c>
      <c r="U185" s="8">
        <f>(Q117*($E117/366))+(Q118*($E118/366))</f>
        <v>3.9401639344262298</v>
      </c>
      <c r="V185" s="7"/>
      <c r="W185" s="7">
        <f t="shared" si="15"/>
        <v>37.487704918032783</v>
      </c>
    </row>
    <row r="186" spans="1:23" x14ac:dyDescent="0.15">
      <c r="A186" s="1">
        <v>2013</v>
      </c>
      <c r="B186" s="8">
        <f>(K119*($E119/365))+(K120*($E120/365))</f>
        <v>53.846153846153847</v>
      </c>
      <c r="C186" s="8">
        <f>(L119*($E119/365))+(L120*($E120/365))</f>
        <v>0</v>
      </c>
      <c r="D186" s="8">
        <f>(M119*($E119/365))+(M120*($E120/365))</f>
        <v>46.153846153846153</v>
      </c>
      <c r="E186" s="304">
        <f t="shared" si="14"/>
        <v>100</v>
      </c>
      <c r="F186" s="8"/>
      <c r="G186" s="1">
        <v>2013</v>
      </c>
      <c r="H186" s="822">
        <f>(O119/$R119*100*($E119/365))+(O120/$R120*100*($E120/365))</f>
        <v>51.901140684410649</v>
      </c>
      <c r="I186" s="822"/>
      <c r="J186" s="822">
        <f>(P119/$R119*100*($E119/365))+(P120/$R120*100*($E120/365))</f>
        <v>0</v>
      </c>
      <c r="K186" s="822"/>
      <c r="L186" s="822">
        <f>(Q119/$R119*100*($E119/365))+(Q120/$R120*100*($E120/365))</f>
        <v>48.098859315589351</v>
      </c>
      <c r="M186" s="822"/>
      <c r="N186" s="781">
        <f>H186+J186+L186</f>
        <v>100</v>
      </c>
      <c r="O186" s="781"/>
      <c r="R186" s="1">
        <v>2013</v>
      </c>
      <c r="S186" s="8">
        <f>(O119*($E119/365))+(O120*($E120/365))</f>
        <v>27.3</v>
      </c>
      <c r="T186" s="8">
        <f>(P119*($E119/365))+(P120*($E120/365))</f>
        <v>0</v>
      </c>
      <c r="U186" s="8">
        <f>(Q119*($E119/365))+(Q120*($E120/365))</f>
        <v>25.3</v>
      </c>
      <c r="W186" s="7">
        <f t="shared" si="15"/>
        <v>52.6</v>
      </c>
    </row>
    <row r="187" spans="1:23" x14ac:dyDescent="0.15">
      <c r="A187" s="1">
        <v>2014</v>
      </c>
      <c r="B187" s="8">
        <f>(K121*($E121/365))+(K122*($E122/365))</f>
        <v>53.846153846153847</v>
      </c>
      <c r="C187" s="8">
        <f>(L121*($E121/365))+(L122*($E122/365))</f>
        <v>0</v>
      </c>
      <c r="D187" s="8">
        <f>(M121*($E121/365))+(M122*($E122/365))</f>
        <v>46.153846153846153</v>
      </c>
      <c r="E187" s="656">
        <f>B187+C187+D187</f>
        <v>100</v>
      </c>
      <c r="F187" s="8"/>
      <c r="G187" s="1">
        <v>2014</v>
      </c>
      <c r="H187" s="822">
        <f>(O121/$R121*100*($E121/365))+(O122/$R122*100*($E122/365))</f>
        <v>51.901140684410649</v>
      </c>
      <c r="I187" s="822"/>
      <c r="J187" s="822">
        <f>(P121/$R121*100*($E121/365))+(P122/$R122*100*($E122/365))</f>
        <v>0</v>
      </c>
      <c r="K187" s="822"/>
      <c r="L187" s="822">
        <f>(Q121/$R121*100*($E121/365))+(Q122/$R122*100*($E122/365))</f>
        <v>48.098859315589351</v>
      </c>
      <c r="M187" s="822"/>
      <c r="N187" s="781">
        <f>H187+J187+L187</f>
        <v>100</v>
      </c>
      <c r="O187" s="781"/>
      <c r="R187" s="1">
        <v>2014</v>
      </c>
      <c r="S187" s="8">
        <f>(O121*($E121/365))+(O122*($E122/365))</f>
        <v>27.3</v>
      </c>
      <c r="T187" s="8">
        <f>(P121*($E121/365))+(P122*($E122/365))</f>
        <v>0</v>
      </c>
      <c r="U187" s="8">
        <f>(Q121*($E121/365))+(Q122*($E122/365))</f>
        <v>25.3</v>
      </c>
      <c r="W187" s="7">
        <f>S187+T187+U187</f>
        <v>52.6</v>
      </c>
    </row>
    <row r="188" spans="1:23" s="754" customFormat="1" x14ac:dyDescent="0.15">
      <c r="A188" s="754">
        <v>2015</v>
      </c>
      <c r="B188" s="749">
        <f>(K123*($E123/365))+(K124*($E124/365))</f>
        <v>53.846153846153847</v>
      </c>
      <c r="C188" s="749">
        <f>(L123*($E123/365))+(L124*($E124/365))</f>
        <v>0</v>
      </c>
      <c r="D188" s="749">
        <f>(M123*($E123/365))+(M124*($E124/365))</f>
        <v>46.153846153846153</v>
      </c>
      <c r="E188" s="750">
        <f>B188+C188+D188</f>
        <v>100</v>
      </c>
      <c r="F188" s="749"/>
      <c r="G188" s="754">
        <v>2015</v>
      </c>
      <c r="H188" s="822">
        <f>(O123/$R123*100*($E123/365))+(O124/$R124*100*($E124/365))</f>
        <v>51.901140684410649</v>
      </c>
      <c r="I188" s="822"/>
      <c r="J188" s="822">
        <f>(P123/$R123*100*($E123/365))+(P124/$R124*100*($E124/365))</f>
        <v>0</v>
      </c>
      <c r="K188" s="822"/>
      <c r="L188" s="822">
        <f>(Q123/$R123*100*($E123/365))+(Q124/$R124*100*($E124/365))</f>
        <v>48.098859315589351</v>
      </c>
      <c r="M188" s="822"/>
      <c r="N188" s="781">
        <f>H188+J188+L188</f>
        <v>100</v>
      </c>
      <c r="O188" s="781"/>
      <c r="R188" s="754">
        <v>2015</v>
      </c>
      <c r="S188" s="749">
        <f>(O123*($E123/365))+(O124*($E124/365))</f>
        <v>27.3</v>
      </c>
      <c r="T188" s="749">
        <f>(P123*($E123/365))+(P124*($E124/365))</f>
        <v>0</v>
      </c>
      <c r="U188" s="749">
        <f>(Q123*($E123/365))+(Q124*($E124/365))</f>
        <v>25.3</v>
      </c>
      <c r="W188" s="753">
        <f>S188+T188+U188</f>
        <v>52.6</v>
      </c>
    </row>
    <row r="189" spans="1:23" s="754" customFormat="1" x14ac:dyDescent="0.15">
      <c r="F189" s="749"/>
    </row>
  </sheetData>
  <mergeCells count="373">
    <mergeCell ref="C123:D123"/>
    <mergeCell ref="C124:D124"/>
    <mergeCell ref="H188:I188"/>
    <mergeCell ref="J188:K188"/>
    <mergeCell ref="L188:M188"/>
    <mergeCell ref="N188:O188"/>
    <mergeCell ref="C121:D121"/>
    <mergeCell ref="C122:D122"/>
    <mergeCell ref="H187:I187"/>
    <mergeCell ref="J187:K187"/>
    <mergeCell ref="L187:M187"/>
    <mergeCell ref="N187:O187"/>
    <mergeCell ref="H185:I185"/>
    <mergeCell ref="J185:K185"/>
    <mergeCell ref="L185:M185"/>
    <mergeCell ref="N185:O185"/>
    <mergeCell ref="L176:M176"/>
    <mergeCell ref="L175:M175"/>
    <mergeCell ref="L177:M177"/>
    <mergeCell ref="L178:M178"/>
    <mergeCell ref="L164:M164"/>
    <mergeCell ref="L165:M165"/>
    <mergeCell ref="L166:M166"/>
    <mergeCell ref="L167:M167"/>
    <mergeCell ref="L170:M170"/>
    <mergeCell ref="L171:M171"/>
    <mergeCell ref="L172:M172"/>
    <mergeCell ref="L173:M173"/>
    <mergeCell ref="J180:K180"/>
    <mergeCell ref="J181:K181"/>
    <mergeCell ref="AT4:AW4"/>
    <mergeCell ref="AX4:BA4"/>
    <mergeCell ref="H184:I184"/>
    <mergeCell ref="J184:K184"/>
    <mergeCell ref="L184:M184"/>
    <mergeCell ref="N184:O184"/>
    <mergeCell ref="N181:O181"/>
    <mergeCell ref="N182:O182"/>
    <mergeCell ref="L182:M182"/>
    <mergeCell ref="H182:I182"/>
    <mergeCell ref="H183:I183"/>
    <mergeCell ref="J183:K183"/>
    <mergeCell ref="L183:M183"/>
    <mergeCell ref="N183:O183"/>
    <mergeCell ref="N179:O179"/>
    <mergeCell ref="N180:O180"/>
    <mergeCell ref="L179:M179"/>
    <mergeCell ref="L180:M180"/>
    <mergeCell ref="L181:M181"/>
    <mergeCell ref="J179:K179"/>
    <mergeCell ref="N175:O175"/>
    <mergeCell ref="N176:O176"/>
    <mergeCell ref="N177:O177"/>
    <mergeCell ref="N178:O178"/>
    <mergeCell ref="C116:D116"/>
    <mergeCell ref="C117:D117"/>
    <mergeCell ref="C118:D118"/>
    <mergeCell ref="L174:M174"/>
    <mergeCell ref="L168:M168"/>
    <mergeCell ref="L169:M169"/>
    <mergeCell ref="J164:K164"/>
    <mergeCell ref="J165:K165"/>
    <mergeCell ref="J166:K166"/>
    <mergeCell ref="H176:I176"/>
    <mergeCell ref="H177:I177"/>
    <mergeCell ref="H178:I178"/>
    <mergeCell ref="H164:I164"/>
    <mergeCell ref="H165:I165"/>
    <mergeCell ref="H166:I166"/>
    <mergeCell ref="H167:I167"/>
    <mergeCell ref="H168:I168"/>
    <mergeCell ref="H169:I169"/>
    <mergeCell ref="R129:W129"/>
    <mergeCell ref="N173:O173"/>
    <mergeCell ref="N174:O174"/>
    <mergeCell ref="N158:O158"/>
    <mergeCell ref="N159:O159"/>
    <mergeCell ref="N160:O160"/>
    <mergeCell ref="N161:O161"/>
    <mergeCell ref="N167:O167"/>
    <mergeCell ref="N168:O168"/>
    <mergeCell ref="N169:O169"/>
    <mergeCell ref="N170:O170"/>
    <mergeCell ref="N171:O171"/>
    <mergeCell ref="N172:O172"/>
    <mergeCell ref="N162:O162"/>
    <mergeCell ref="N163:O163"/>
    <mergeCell ref="N164:O164"/>
    <mergeCell ref="N165:O165"/>
    <mergeCell ref="N166:O166"/>
    <mergeCell ref="N156:O156"/>
    <mergeCell ref="N157:O157"/>
    <mergeCell ref="J182:K182"/>
    <mergeCell ref="J173:K173"/>
    <mergeCell ref="J174:K174"/>
    <mergeCell ref="J175:K175"/>
    <mergeCell ref="J176:K176"/>
    <mergeCell ref="J177:K177"/>
    <mergeCell ref="J178:K178"/>
    <mergeCell ref="L158:M158"/>
    <mergeCell ref="L159:M159"/>
    <mergeCell ref="L160:M160"/>
    <mergeCell ref="L161:M161"/>
    <mergeCell ref="L162:M162"/>
    <mergeCell ref="L163:M163"/>
    <mergeCell ref="J167:K167"/>
    <mergeCell ref="J168:K168"/>
    <mergeCell ref="J169:K169"/>
    <mergeCell ref="J170:K170"/>
    <mergeCell ref="J171:K171"/>
    <mergeCell ref="J172:K172"/>
    <mergeCell ref="J158:K158"/>
    <mergeCell ref="J159:K159"/>
    <mergeCell ref="J160:K160"/>
    <mergeCell ref="J161:K161"/>
    <mergeCell ref="J162:K162"/>
    <mergeCell ref="H179:I179"/>
    <mergeCell ref="H180:I180"/>
    <mergeCell ref="H181:I181"/>
    <mergeCell ref="H170:I170"/>
    <mergeCell ref="H171:I171"/>
    <mergeCell ref="H172:I172"/>
    <mergeCell ref="H173:I173"/>
    <mergeCell ref="H174:I174"/>
    <mergeCell ref="H175:I175"/>
    <mergeCell ref="H158:I158"/>
    <mergeCell ref="H159:I159"/>
    <mergeCell ref="H160:I160"/>
    <mergeCell ref="H161:I161"/>
    <mergeCell ref="H162:I162"/>
    <mergeCell ref="H163:I163"/>
    <mergeCell ref="H156:I156"/>
    <mergeCell ref="J156:K156"/>
    <mergeCell ref="L156:M156"/>
    <mergeCell ref="J163:K163"/>
    <mergeCell ref="H157:I157"/>
    <mergeCell ref="J157:K157"/>
    <mergeCell ref="L157:M157"/>
    <mergeCell ref="H154:I154"/>
    <mergeCell ref="J154:K154"/>
    <mergeCell ref="L154:M154"/>
    <mergeCell ref="N154:O154"/>
    <mergeCell ref="H155:I155"/>
    <mergeCell ref="J155:K155"/>
    <mergeCell ref="L155:M155"/>
    <mergeCell ref="N155:O155"/>
    <mergeCell ref="H152:I152"/>
    <mergeCell ref="J152:K152"/>
    <mergeCell ref="L152:M152"/>
    <mergeCell ref="N152:O152"/>
    <mergeCell ref="H153:I153"/>
    <mergeCell ref="J153:K153"/>
    <mergeCell ref="L153:M153"/>
    <mergeCell ref="N153:O153"/>
    <mergeCell ref="H150:I150"/>
    <mergeCell ref="J150:K150"/>
    <mergeCell ref="L150:M150"/>
    <mergeCell ref="N150:O150"/>
    <mergeCell ref="H151:I151"/>
    <mergeCell ref="J151:K151"/>
    <mergeCell ref="L151:M151"/>
    <mergeCell ref="N151:O151"/>
    <mergeCell ref="H148:I148"/>
    <mergeCell ref="J148:K148"/>
    <mergeCell ref="L148:M148"/>
    <mergeCell ref="N148:O148"/>
    <mergeCell ref="H149:I149"/>
    <mergeCell ref="J149:K149"/>
    <mergeCell ref="L149:M149"/>
    <mergeCell ref="N149:O149"/>
    <mergeCell ref="H146:I146"/>
    <mergeCell ref="J146:K146"/>
    <mergeCell ref="L146:M146"/>
    <mergeCell ref="N146:O146"/>
    <mergeCell ref="H147:I147"/>
    <mergeCell ref="J147:K147"/>
    <mergeCell ref="L147:M147"/>
    <mergeCell ref="N147:O147"/>
    <mergeCell ref="H144:I144"/>
    <mergeCell ref="J144:K144"/>
    <mergeCell ref="L144:M144"/>
    <mergeCell ref="N144:O144"/>
    <mergeCell ref="H145:I145"/>
    <mergeCell ref="J145:K145"/>
    <mergeCell ref="L145:M145"/>
    <mergeCell ref="N145:O145"/>
    <mergeCell ref="H142:I142"/>
    <mergeCell ref="J142:K142"/>
    <mergeCell ref="L142:M142"/>
    <mergeCell ref="N142:O142"/>
    <mergeCell ref="H143:I143"/>
    <mergeCell ref="J143:K143"/>
    <mergeCell ref="L143:M143"/>
    <mergeCell ref="N143:O143"/>
    <mergeCell ref="H140:I140"/>
    <mergeCell ref="J140:K140"/>
    <mergeCell ref="L140:M140"/>
    <mergeCell ref="N140:O140"/>
    <mergeCell ref="H141:I141"/>
    <mergeCell ref="J141:K141"/>
    <mergeCell ref="L141:M141"/>
    <mergeCell ref="N141:O141"/>
    <mergeCell ref="H138:I138"/>
    <mergeCell ref="J138:K138"/>
    <mergeCell ref="L138:M138"/>
    <mergeCell ref="N138:O138"/>
    <mergeCell ref="H139:I139"/>
    <mergeCell ref="J139:K139"/>
    <mergeCell ref="L139:M139"/>
    <mergeCell ref="N139:O139"/>
    <mergeCell ref="L137:M137"/>
    <mergeCell ref="N137:O137"/>
    <mergeCell ref="H134:I134"/>
    <mergeCell ref="J134:K134"/>
    <mergeCell ref="L134:M134"/>
    <mergeCell ref="N134:O134"/>
    <mergeCell ref="H135:I135"/>
    <mergeCell ref="J135:K135"/>
    <mergeCell ref="L135:M135"/>
    <mergeCell ref="N135:O135"/>
    <mergeCell ref="G3:M3"/>
    <mergeCell ref="O3:Q3"/>
    <mergeCell ref="H133:I133"/>
    <mergeCell ref="J133:K133"/>
    <mergeCell ref="L133:M133"/>
    <mergeCell ref="N133:O133"/>
    <mergeCell ref="H132:I132"/>
    <mergeCell ref="J132:K132"/>
    <mergeCell ref="A4:A5"/>
    <mergeCell ref="B4:B5"/>
    <mergeCell ref="C4:D5"/>
    <mergeCell ref="E4:E5"/>
    <mergeCell ref="H131:I131"/>
    <mergeCell ref="J131:K131"/>
    <mergeCell ref="F4:F5"/>
    <mergeCell ref="G4:J4"/>
    <mergeCell ref="C11:D11"/>
    <mergeCell ref="C12:D12"/>
    <mergeCell ref="C9:D9"/>
    <mergeCell ref="C10:D10"/>
    <mergeCell ref="C21:D21"/>
    <mergeCell ref="C22:D22"/>
    <mergeCell ref="C23:D23"/>
    <mergeCell ref="C24:D24"/>
    <mergeCell ref="C27:D27"/>
    <mergeCell ref="C28:D28"/>
    <mergeCell ref="C25:D25"/>
    <mergeCell ref="C26:D26"/>
    <mergeCell ref="C29:D29"/>
    <mergeCell ref="C30:D30"/>
    <mergeCell ref="C33:D33"/>
    <mergeCell ref="C34:D34"/>
    <mergeCell ref="AH4:AK4"/>
    <mergeCell ref="AL4:AO4"/>
    <mergeCell ref="U4:U5"/>
    <mergeCell ref="V4:Y4"/>
    <mergeCell ref="C7:D7"/>
    <mergeCell ref="C6:D6"/>
    <mergeCell ref="C19:D19"/>
    <mergeCell ref="C20:D20"/>
    <mergeCell ref="AP4:AS4"/>
    <mergeCell ref="C8:D8"/>
    <mergeCell ref="K4:N4"/>
    <mergeCell ref="O4:R4"/>
    <mergeCell ref="S4:S5"/>
    <mergeCell ref="T4:T5"/>
    <mergeCell ref="Z4:AC4"/>
    <mergeCell ref="AD4:AG4"/>
    <mergeCell ref="C13:D13"/>
    <mergeCell ref="C14:D14"/>
    <mergeCell ref="C15:D15"/>
    <mergeCell ref="C16:D16"/>
    <mergeCell ref="C17:D17"/>
    <mergeCell ref="C18:D18"/>
    <mergeCell ref="C31:D31"/>
    <mergeCell ref="C32:D32"/>
    <mergeCell ref="C35:D35"/>
    <mergeCell ref="C36:D36"/>
    <mergeCell ref="C39:D39"/>
    <mergeCell ref="C40:D40"/>
    <mergeCell ref="C37:D37"/>
    <mergeCell ref="C38:D38"/>
    <mergeCell ref="C41:D41"/>
    <mergeCell ref="C42:D42"/>
    <mergeCell ref="C45:D45"/>
    <mergeCell ref="C46:D46"/>
    <mergeCell ref="C43:D43"/>
    <mergeCell ref="C44:D44"/>
    <mergeCell ref="C47:D47"/>
    <mergeCell ref="C48:D48"/>
    <mergeCell ref="C51:D51"/>
    <mergeCell ref="C52:D52"/>
    <mergeCell ref="C49:D49"/>
    <mergeCell ref="C50:D50"/>
    <mergeCell ref="C53:D53"/>
    <mergeCell ref="C54:D54"/>
    <mergeCell ref="C57:D57"/>
    <mergeCell ref="C58:D58"/>
    <mergeCell ref="C55:D55"/>
    <mergeCell ref="C56:D56"/>
    <mergeCell ref="C59:D59"/>
    <mergeCell ref="C60:D60"/>
    <mergeCell ref="C63:D63"/>
    <mergeCell ref="C64:D64"/>
    <mergeCell ref="C61:D61"/>
    <mergeCell ref="C62:D62"/>
    <mergeCell ref="C65:D65"/>
    <mergeCell ref="C66:D66"/>
    <mergeCell ref="C69:D69"/>
    <mergeCell ref="C70:D70"/>
    <mergeCell ref="C67:D67"/>
    <mergeCell ref="C68:D68"/>
    <mergeCell ref="C71:D71"/>
    <mergeCell ref="C72:D72"/>
    <mergeCell ref="C75:D75"/>
    <mergeCell ref="C76:D76"/>
    <mergeCell ref="C73:D73"/>
    <mergeCell ref="C74:D74"/>
    <mergeCell ref="C77:D77"/>
    <mergeCell ref="C78:D78"/>
    <mergeCell ref="C81:D81"/>
    <mergeCell ref="C82:D82"/>
    <mergeCell ref="C79:D79"/>
    <mergeCell ref="C80:D80"/>
    <mergeCell ref="C83:D83"/>
    <mergeCell ref="C84:D84"/>
    <mergeCell ref="C87:D87"/>
    <mergeCell ref="C88:D88"/>
    <mergeCell ref="C85:D85"/>
    <mergeCell ref="C86:D86"/>
    <mergeCell ref="C89:D89"/>
    <mergeCell ref="C90:D90"/>
    <mergeCell ref="C93:D93"/>
    <mergeCell ref="C94:D94"/>
    <mergeCell ref="C91:D91"/>
    <mergeCell ref="C92:D92"/>
    <mergeCell ref="C95:D95"/>
    <mergeCell ref="C96:D96"/>
    <mergeCell ref="C100:D100"/>
    <mergeCell ref="C101:D101"/>
    <mergeCell ref="C98:D98"/>
    <mergeCell ref="C99:D99"/>
    <mergeCell ref="C97:D97"/>
    <mergeCell ref="C102:D102"/>
    <mergeCell ref="C103:D103"/>
    <mergeCell ref="C112:D112"/>
    <mergeCell ref="C113:D113"/>
    <mergeCell ref="C104:D104"/>
    <mergeCell ref="C105:D105"/>
    <mergeCell ref="C114:D114"/>
    <mergeCell ref="C115:D115"/>
    <mergeCell ref="C106:D106"/>
    <mergeCell ref="C107:D107"/>
    <mergeCell ref="C108:D108"/>
    <mergeCell ref="C109:D109"/>
    <mergeCell ref="C110:D110"/>
    <mergeCell ref="C111:D111"/>
    <mergeCell ref="N186:O186"/>
    <mergeCell ref="C119:D119"/>
    <mergeCell ref="C120:D120"/>
    <mergeCell ref="H186:I186"/>
    <mergeCell ref="J186:K186"/>
    <mergeCell ref="L186:M186"/>
    <mergeCell ref="L132:M132"/>
    <mergeCell ref="N132:O132"/>
    <mergeCell ref="L131:M131"/>
    <mergeCell ref="N131:O131"/>
    <mergeCell ref="H136:I136"/>
    <mergeCell ref="J136:K136"/>
    <mergeCell ref="L136:M136"/>
    <mergeCell ref="N136:O136"/>
    <mergeCell ref="H137:I137"/>
    <mergeCell ref="J137:K137"/>
  </mergeCells>
  <phoneticPr fontId="0" type="noConversion"/>
  <pageMargins left="0.78740157499999996" right="0.78740157499999996" top="0.984251969" bottom="0.984251969" header="0.4921259845" footer="0.4921259845"/>
  <pageSetup paperSize="9" orientation="portrait" r:id="rId1"/>
  <headerFooter alignWithMargins="0"/>
  <drawing r:id="rId2"/>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88"/>
  <sheetViews>
    <sheetView zoomScale="120" zoomScaleNormal="120" workbookViewId="0">
      <pane xSplit="1" ySplit="5" topLeftCell="B105" activePane="bottomRight" state="frozen"/>
      <selection pane="topRight" activeCell="B1" sqref="B1"/>
      <selection pane="bottomLeft" activeCell="A6" sqref="A6"/>
      <selection pane="bottomRight" activeCell="W187" sqref="W187"/>
    </sheetView>
  </sheetViews>
  <sheetFormatPr baseColWidth="10" defaultColWidth="10.7109375" defaultRowHeight="9" x14ac:dyDescent="0.15"/>
  <cols>
    <col min="1" max="1" width="5.85546875" style="1" customWidth="1"/>
    <col min="2" max="6" width="7.85546875" style="1" customWidth="1"/>
    <col min="7" max="18" width="4.42578125" style="1" customWidth="1"/>
    <col min="19" max="21" width="7.85546875" style="1" customWidth="1"/>
    <col min="22" max="53" width="5.7109375" style="1" customWidth="1"/>
    <col min="54" max="16384" width="10.7109375" style="1"/>
  </cols>
  <sheetData>
    <row r="1" spans="1:53" s="2" customFormat="1" ht="15" customHeight="1" x14ac:dyDescent="0.2">
      <c r="B1" s="22" t="s">
        <v>14</v>
      </c>
    </row>
    <row r="2" spans="1:53" s="2" customFormat="1" ht="15" customHeight="1" x14ac:dyDescent="0.2">
      <c r="B2" s="22" t="s">
        <v>64</v>
      </c>
    </row>
    <row r="3" spans="1:53" s="2" customFormat="1" x14ac:dyDescent="0.15">
      <c r="G3" s="814"/>
      <c r="H3" s="814"/>
      <c r="I3" s="814"/>
      <c r="J3" s="814"/>
      <c r="K3" s="814"/>
      <c r="L3" s="814"/>
      <c r="M3" s="814"/>
      <c r="O3" s="814"/>
      <c r="P3" s="814"/>
      <c r="Q3" s="814"/>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1" t="s">
        <v>23</v>
      </c>
      <c r="AU5" s="351" t="s">
        <v>24</v>
      </c>
      <c r="AV5" s="351" t="s">
        <v>25</v>
      </c>
      <c r="AW5" s="353" t="s">
        <v>1217</v>
      </c>
      <c r="AX5" s="351" t="s">
        <v>23</v>
      </c>
      <c r="AY5" s="351" t="s">
        <v>24</v>
      </c>
      <c r="AZ5" s="351" t="s">
        <v>25</v>
      </c>
      <c r="BA5" s="354" t="s">
        <v>1217</v>
      </c>
    </row>
    <row r="6" spans="1:53" s="257" customFormat="1" x14ac:dyDescent="0.15">
      <c r="A6" s="263">
        <v>1959</v>
      </c>
      <c r="B6" s="252"/>
      <c r="C6" s="815" t="s">
        <v>639</v>
      </c>
      <c r="D6" s="815"/>
      <c r="E6" s="257">
        <v>0</v>
      </c>
      <c r="G6" s="265"/>
      <c r="I6" s="257">
        <v>16</v>
      </c>
      <c r="J6" s="272">
        <v>16</v>
      </c>
      <c r="K6" s="248">
        <f t="shared" ref="K6:M8" si="0">G6/$J6*100</f>
        <v>0</v>
      </c>
      <c r="L6" s="248">
        <f t="shared" si="0"/>
        <v>0</v>
      </c>
      <c r="M6" s="248">
        <f t="shared" si="0"/>
        <v>100</v>
      </c>
      <c r="N6" s="267">
        <f>K6+L6+M6</f>
        <v>100</v>
      </c>
      <c r="O6" s="247"/>
      <c r="P6" s="248"/>
      <c r="Q6" s="248">
        <v>51.3</v>
      </c>
      <c r="R6" s="249">
        <f>O6+P6+Q6</f>
        <v>51.3</v>
      </c>
      <c r="S6" s="257">
        <v>1</v>
      </c>
      <c r="T6" s="278"/>
      <c r="V6" s="256" t="s">
        <v>464</v>
      </c>
      <c r="W6" s="257" t="s">
        <v>20</v>
      </c>
      <c r="X6" s="257" t="s">
        <v>12</v>
      </c>
      <c r="Y6" s="258">
        <v>51.3</v>
      </c>
      <c r="AD6" s="256"/>
      <c r="AG6" s="258"/>
      <c r="AL6" s="256"/>
      <c r="AO6" s="258"/>
      <c r="AP6" s="256"/>
      <c r="AS6" s="258"/>
      <c r="AW6" s="258"/>
      <c r="BA6" s="259"/>
    </row>
    <row r="7" spans="1:53" s="257" customFormat="1" x14ac:dyDescent="0.15">
      <c r="A7" s="263">
        <v>1959</v>
      </c>
      <c r="B7" s="252"/>
      <c r="C7" s="815" t="s">
        <v>639</v>
      </c>
      <c r="D7" s="815"/>
      <c r="E7" s="257">
        <v>365</v>
      </c>
      <c r="G7" s="265"/>
      <c r="I7" s="257">
        <v>16</v>
      </c>
      <c r="J7" s="272">
        <v>16</v>
      </c>
      <c r="K7" s="248">
        <f t="shared" si="0"/>
        <v>0</v>
      </c>
      <c r="L7" s="248">
        <f t="shared" si="0"/>
        <v>0</v>
      </c>
      <c r="M7" s="248">
        <f t="shared" si="0"/>
        <v>100</v>
      </c>
      <c r="N7" s="267">
        <f>K7+L7+M7</f>
        <v>100</v>
      </c>
      <c r="O7" s="247"/>
      <c r="P7" s="248"/>
      <c r="Q7" s="248">
        <v>51.3</v>
      </c>
      <c r="R7" s="249">
        <f>O7+P7+Q7</f>
        <v>51.3</v>
      </c>
      <c r="S7" s="257">
        <v>1</v>
      </c>
      <c r="T7" s="278"/>
      <c r="V7" s="256" t="s">
        <v>464</v>
      </c>
      <c r="W7" s="257" t="s">
        <v>20</v>
      </c>
      <c r="X7" s="257" t="s">
        <v>12</v>
      </c>
      <c r="Y7" s="258">
        <v>51.3</v>
      </c>
      <c r="AD7" s="256"/>
      <c r="AG7" s="258"/>
      <c r="AL7" s="256"/>
      <c r="AO7" s="258"/>
      <c r="AP7" s="256"/>
      <c r="AS7" s="258"/>
      <c r="AW7" s="258"/>
      <c r="BA7" s="259"/>
    </row>
    <row r="8" spans="1:53" s="208" customFormat="1" x14ac:dyDescent="0.15">
      <c r="A8" s="102">
        <v>1960</v>
      </c>
      <c r="B8" s="207"/>
      <c r="C8" s="811" t="s">
        <v>639</v>
      </c>
      <c r="D8" s="811"/>
      <c r="E8" s="208">
        <v>346</v>
      </c>
      <c r="G8" s="123"/>
      <c r="I8" s="208">
        <v>16</v>
      </c>
      <c r="J8" s="134">
        <v>16</v>
      </c>
      <c r="K8" s="92">
        <f t="shared" si="0"/>
        <v>0</v>
      </c>
      <c r="L8" s="92">
        <f t="shared" si="0"/>
        <v>0</v>
      </c>
      <c r="M8" s="92">
        <f t="shared" si="0"/>
        <v>100</v>
      </c>
      <c r="N8" s="125">
        <f>K8+L8+M8</f>
        <v>100</v>
      </c>
      <c r="O8" s="91"/>
      <c r="P8" s="92"/>
      <c r="Q8" s="92">
        <v>51.3</v>
      </c>
      <c r="R8" s="93">
        <f>O8+P8+Q8</f>
        <v>51.3</v>
      </c>
      <c r="S8" s="208">
        <v>1</v>
      </c>
      <c r="T8" s="81"/>
      <c r="V8" s="82" t="s">
        <v>464</v>
      </c>
      <c r="W8" s="208" t="s">
        <v>20</v>
      </c>
      <c r="X8" s="208" t="s">
        <v>12</v>
      </c>
      <c r="Y8" s="83">
        <v>51.3</v>
      </c>
      <c r="AD8" s="82"/>
      <c r="AG8" s="83"/>
      <c r="AL8" s="82"/>
      <c r="AO8" s="83"/>
      <c r="AP8" s="82"/>
      <c r="AS8" s="83"/>
      <c r="AW8" s="83"/>
      <c r="BA8" s="84"/>
    </row>
    <row r="9" spans="1:53" s="334" customFormat="1" x14ac:dyDescent="0.15">
      <c r="A9" s="386">
        <v>1960</v>
      </c>
      <c r="B9" s="355">
        <v>22262</v>
      </c>
      <c r="C9" s="812" t="s">
        <v>640</v>
      </c>
      <c r="D9" s="812"/>
      <c r="E9" s="334">
        <f>366-E8</f>
        <v>20</v>
      </c>
      <c r="F9" s="334">
        <v>1</v>
      </c>
      <c r="G9" s="419">
        <v>16</v>
      </c>
      <c r="J9" s="435">
        <v>16</v>
      </c>
      <c r="K9" s="384">
        <f t="shared" ref="K9:M57" si="1">G9/$J9*100</f>
        <v>100</v>
      </c>
      <c r="L9" s="384">
        <f t="shared" si="1"/>
        <v>0</v>
      </c>
      <c r="M9" s="384">
        <f t="shared" si="1"/>
        <v>0</v>
      </c>
      <c r="N9" s="421">
        <f t="shared" ref="N9:N72" si="2">K9+L9+M9</f>
        <v>100</v>
      </c>
      <c r="O9" s="383">
        <v>57.5</v>
      </c>
      <c r="P9" s="384"/>
      <c r="Q9" s="384"/>
      <c r="R9" s="385">
        <f t="shared" ref="R9:R72" si="3">O9+P9+Q9</f>
        <v>57.5</v>
      </c>
      <c r="S9" s="334">
        <v>1</v>
      </c>
      <c r="T9" s="342">
        <v>22246</v>
      </c>
      <c r="U9" s="355">
        <v>22262</v>
      </c>
      <c r="V9" s="343" t="s">
        <v>465</v>
      </c>
      <c r="W9" s="334" t="s">
        <v>74</v>
      </c>
      <c r="X9" s="334" t="s">
        <v>11</v>
      </c>
      <c r="Y9" s="344">
        <v>57.5</v>
      </c>
      <c r="AD9" s="343"/>
      <c r="AG9" s="344"/>
      <c r="AL9" s="343"/>
      <c r="AO9" s="344"/>
      <c r="AP9" s="343"/>
      <c r="AS9" s="344"/>
      <c r="AW9" s="344"/>
      <c r="BA9" s="345"/>
    </row>
    <row r="10" spans="1:53" s="334" customFormat="1" x14ac:dyDescent="0.15">
      <c r="A10" s="386">
        <v>1961</v>
      </c>
      <c r="B10" s="355"/>
      <c r="C10" s="812" t="s">
        <v>640</v>
      </c>
      <c r="D10" s="812"/>
      <c r="E10" s="334">
        <v>0</v>
      </c>
      <c r="G10" s="419">
        <v>16</v>
      </c>
      <c r="J10" s="435">
        <v>16</v>
      </c>
      <c r="K10" s="384">
        <f t="shared" si="1"/>
        <v>100</v>
      </c>
      <c r="L10" s="384">
        <f t="shared" si="1"/>
        <v>0</v>
      </c>
      <c r="M10" s="384">
        <f t="shared" si="1"/>
        <v>0</v>
      </c>
      <c r="N10" s="421">
        <f t="shared" si="2"/>
        <v>100</v>
      </c>
      <c r="O10" s="383">
        <v>57.5</v>
      </c>
      <c r="P10" s="384"/>
      <c r="Q10" s="384"/>
      <c r="R10" s="385">
        <f t="shared" si="3"/>
        <v>57.5</v>
      </c>
      <c r="S10" s="334">
        <v>1</v>
      </c>
      <c r="T10" s="357"/>
      <c r="V10" s="343" t="s">
        <v>465</v>
      </c>
      <c r="W10" s="334" t="s">
        <v>74</v>
      </c>
      <c r="X10" s="334" t="s">
        <v>11</v>
      </c>
      <c r="Y10" s="344">
        <v>57.5</v>
      </c>
      <c r="AD10" s="343"/>
      <c r="AG10" s="344"/>
      <c r="AL10" s="343"/>
      <c r="AO10" s="344"/>
      <c r="AP10" s="343"/>
      <c r="AS10" s="344"/>
      <c r="AW10" s="344"/>
      <c r="BA10" s="345"/>
    </row>
    <row r="11" spans="1:53" s="334" customFormat="1" x14ac:dyDescent="0.15">
      <c r="A11" s="386">
        <v>1961</v>
      </c>
      <c r="B11" s="355"/>
      <c r="C11" s="812" t="s">
        <v>640</v>
      </c>
      <c r="D11" s="812"/>
      <c r="E11" s="334">
        <v>365</v>
      </c>
      <c r="G11" s="419">
        <v>16</v>
      </c>
      <c r="J11" s="435">
        <v>16</v>
      </c>
      <c r="K11" s="384">
        <f t="shared" si="1"/>
        <v>100</v>
      </c>
      <c r="L11" s="384">
        <f t="shared" si="1"/>
        <v>0</v>
      </c>
      <c r="M11" s="384">
        <f t="shared" si="1"/>
        <v>0</v>
      </c>
      <c r="N11" s="421">
        <f t="shared" si="2"/>
        <v>100</v>
      </c>
      <c r="O11" s="383">
        <v>57.5</v>
      </c>
      <c r="P11" s="384"/>
      <c r="Q11" s="384"/>
      <c r="R11" s="385">
        <f t="shared" si="3"/>
        <v>57.5</v>
      </c>
      <c r="S11" s="334">
        <v>1</v>
      </c>
      <c r="T11" s="357"/>
      <c r="V11" s="343" t="s">
        <v>465</v>
      </c>
      <c r="W11" s="334" t="s">
        <v>74</v>
      </c>
      <c r="X11" s="334" t="s">
        <v>11</v>
      </c>
      <c r="Y11" s="344">
        <v>57.5</v>
      </c>
      <c r="AD11" s="343"/>
      <c r="AG11" s="344"/>
      <c r="AL11" s="343"/>
      <c r="AO11" s="344"/>
      <c r="AP11" s="343"/>
      <c r="AS11" s="344"/>
      <c r="AW11" s="344"/>
      <c r="BA11" s="345"/>
    </row>
    <row r="12" spans="1:53" s="334" customFormat="1" x14ac:dyDescent="0.15">
      <c r="A12" s="386">
        <v>1962</v>
      </c>
      <c r="B12" s="355"/>
      <c r="C12" s="812" t="s">
        <v>640</v>
      </c>
      <c r="D12" s="812"/>
      <c r="E12" s="334">
        <v>0</v>
      </c>
      <c r="G12" s="419">
        <v>16</v>
      </c>
      <c r="J12" s="435">
        <v>16</v>
      </c>
      <c r="K12" s="384">
        <f t="shared" si="1"/>
        <v>100</v>
      </c>
      <c r="L12" s="384">
        <f t="shared" si="1"/>
        <v>0</v>
      </c>
      <c r="M12" s="384">
        <f t="shared" si="1"/>
        <v>0</v>
      </c>
      <c r="N12" s="421">
        <f t="shared" si="2"/>
        <v>100</v>
      </c>
      <c r="O12" s="383">
        <v>57.5</v>
      </c>
      <c r="P12" s="384"/>
      <c r="Q12" s="384"/>
      <c r="R12" s="385">
        <f t="shared" si="3"/>
        <v>57.5</v>
      </c>
      <c r="S12" s="334">
        <v>1</v>
      </c>
      <c r="T12" s="357"/>
      <c r="V12" s="343" t="s">
        <v>465</v>
      </c>
      <c r="W12" s="334" t="s">
        <v>74</v>
      </c>
      <c r="X12" s="334" t="s">
        <v>11</v>
      </c>
      <c r="Y12" s="344">
        <v>57.5</v>
      </c>
      <c r="AD12" s="343"/>
      <c r="AG12" s="344"/>
      <c r="AL12" s="343"/>
      <c r="AO12" s="344"/>
      <c r="AP12" s="343"/>
      <c r="AS12" s="344"/>
      <c r="AW12" s="344"/>
      <c r="BA12" s="345"/>
    </row>
    <row r="13" spans="1:53" s="334" customFormat="1" x14ac:dyDescent="0.15">
      <c r="A13" s="386">
        <v>1962</v>
      </c>
      <c r="B13" s="355"/>
      <c r="C13" s="812" t="s">
        <v>640</v>
      </c>
      <c r="D13" s="812"/>
      <c r="E13" s="334">
        <v>365</v>
      </c>
      <c r="G13" s="419">
        <v>16</v>
      </c>
      <c r="J13" s="435">
        <v>16</v>
      </c>
      <c r="K13" s="384">
        <f t="shared" si="1"/>
        <v>100</v>
      </c>
      <c r="L13" s="384">
        <f t="shared" si="1"/>
        <v>0</v>
      </c>
      <c r="M13" s="384">
        <f t="shared" si="1"/>
        <v>0</v>
      </c>
      <c r="N13" s="421">
        <f t="shared" si="2"/>
        <v>100</v>
      </c>
      <c r="O13" s="383">
        <v>57.5</v>
      </c>
      <c r="P13" s="384"/>
      <c r="Q13" s="384"/>
      <c r="R13" s="385">
        <f t="shared" si="3"/>
        <v>57.5</v>
      </c>
      <c r="S13" s="334">
        <v>1</v>
      </c>
      <c r="T13" s="357"/>
      <c r="V13" s="343" t="s">
        <v>465</v>
      </c>
      <c r="W13" s="334" t="s">
        <v>74</v>
      </c>
      <c r="X13" s="334" t="s">
        <v>11</v>
      </c>
      <c r="Y13" s="344">
        <v>57.5</v>
      </c>
      <c r="AD13" s="343"/>
      <c r="AG13" s="344"/>
      <c r="AL13" s="343"/>
      <c r="AO13" s="344"/>
      <c r="AP13" s="343"/>
      <c r="AS13" s="344"/>
      <c r="AW13" s="344"/>
      <c r="BA13" s="345"/>
    </row>
    <row r="14" spans="1:53" s="334" customFormat="1" x14ac:dyDescent="0.15">
      <c r="A14" s="386">
        <v>1962.6</v>
      </c>
      <c r="B14" s="355"/>
      <c r="C14" s="812" t="s">
        <v>640</v>
      </c>
      <c r="D14" s="812"/>
      <c r="E14" s="334">
        <v>353</v>
      </c>
      <c r="G14" s="419">
        <v>16</v>
      </c>
      <c r="J14" s="435">
        <v>16</v>
      </c>
      <c r="K14" s="384">
        <f t="shared" si="1"/>
        <v>100</v>
      </c>
      <c r="L14" s="384">
        <f t="shared" si="1"/>
        <v>0</v>
      </c>
      <c r="M14" s="384">
        <f t="shared" si="1"/>
        <v>0</v>
      </c>
      <c r="N14" s="421">
        <f t="shared" si="2"/>
        <v>100</v>
      </c>
      <c r="O14" s="383">
        <v>57.5</v>
      </c>
      <c r="P14" s="384"/>
      <c r="Q14" s="384"/>
      <c r="R14" s="385">
        <f t="shared" si="3"/>
        <v>57.5</v>
      </c>
      <c r="S14" s="334">
        <v>1</v>
      </c>
      <c r="T14" s="357"/>
      <c r="V14" s="343" t="s">
        <v>465</v>
      </c>
      <c r="W14" s="334" t="s">
        <v>74</v>
      </c>
      <c r="X14" s="334" t="s">
        <v>11</v>
      </c>
      <c r="Y14" s="344">
        <v>57.5</v>
      </c>
      <c r="AD14" s="343"/>
      <c r="AG14" s="344"/>
      <c r="AL14" s="343"/>
      <c r="AO14" s="344"/>
      <c r="AP14" s="343"/>
      <c r="AS14" s="344"/>
      <c r="AW14" s="344"/>
      <c r="BA14" s="345"/>
    </row>
    <row r="15" spans="1:53" s="208" customFormat="1" x14ac:dyDescent="0.15">
      <c r="A15" s="102">
        <v>1963.05714285714</v>
      </c>
      <c r="B15" s="207">
        <v>23365</v>
      </c>
      <c r="C15" s="811" t="s">
        <v>641</v>
      </c>
      <c r="D15" s="811"/>
      <c r="E15" s="208">
        <f>365-E14</f>
        <v>12</v>
      </c>
      <c r="F15" s="208">
        <v>1</v>
      </c>
      <c r="G15" s="123">
        <v>16</v>
      </c>
      <c r="J15" s="134">
        <v>16</v>
      </c>
      <c r="K15" s="92">
        <f t="shared" si="1"/>
        <v>100</v>
      </c>
      <c r="L15" s="92">
        <f t="shared" si="1"/>
        <v>0</v>
      </c>
      <c r="M15" s="92">
        <f t="shared" si="1"/>
        <v>0</v>
      </c>
      <c r="N15" s="125">
        <f t="shared" si="2"/>
        <v>100</v>
      </c>
      <c r="O15" s="91">
        <v>56.3</v>
      </c>
      <c r="P15" s="92"/>
      <c r="Q15" s="92"/>
      <c r="R15" s="93">
        <f t="shared" si="3"/>
        <v>56.3</v>
      </c>
      <c r="S15" s="208">
        <v>1</v>
      </c>
      <c r="T15" s="95">
        <v>23345</v>
      </c>
      <c r="U15" s="207">
        <v>23365</v>
      </c>
      <c r="V15" s="82" t="s">
        <v>465</v>
      </c>
      <c r="W15" s="208" t="s">
        <v>74</v>
      </c>
      <c r="X15" s="208" t="s">
        <v>11</v>
      </c>
      <c r="Y15" s="83">
        <v>56.3</v>
      </c>
      <c r="AD15" s="82"/>
      <c r="AG15" s="83"/>
      <c r="AL15" s="82"/>
      <c r="AO15" s="83"/>
      <c r="AP15" s="82"/>
      <c r="AS15" s="83"/>
      <c r="AW15" s="83"/>
      <c r="BA15" s="84"/>
    </row>
    <row r="16" spans="1:53" s="208" customFormat="1" x14ac:dyDescent="0.15">
      <c r="A16" s="102">
        <v>1963.5142857142901</v>
      </c>
      <c r="B16" s="207"/>
      <c r="C16" s="811" t="s">
        <v>641</v>
      </c>
      <c r="D16" s="811"/>
      <c r="E16" s="208">
        <v>0</v>
      </c>
      <c r="G16" s="123">
        <v>16</v>
      </c>
      <c r="J16" s="134">
        <v>16</v>
      </c>
      <c r="K16" s="92">
        <f t="shared" si="1"/>
        <v>100</v>
      </c>
      <c r="L16" s="92">
        <f t="shared" si="1"/>
        <v>0</v>
      </c>
      <c r="M16" s="92">
        <f t="shared" si="1"/>
        <v>0</v>
      </c>
      <c r="N16" s="125">
        <f t="shared" si="2"/>
        <v>100</v>
      </c>
      <c r="O16" s="91">
        <v>56.3</v>
      </c>
      <c r="P16" s="92"/>
      <c r="Q16" s="92"/>
      <c r="R16" s="93">
        <f t="shared" si="3"/>
        <v>56.3</v>
      </c>
      <c r="S16" s="208">
        <v>1</v>
      </c>
      <c r="T16" s="81"/>
      <c r="V16" s="82" t="s">
        <v>465</v>
      </c>
      <c r="W16" s="208" t="s">
        <v>74</v>
      </c>
      <c r="X16" s="208" t="s">
        <v>11</v>
      </c>
      <c r="Y16" s="83">
        <v>56.3</v>
      </c>
      <c r="AD16" s="82"/>
      <c r="AG16" s="83"/>
      <c r="AL16" s="82"/>
      <c r="AO16" s="83"/>
      <c r="AP16" s="82"/>
      <c r="AS16" s="83"/>
      <c r="AW16" s="83"/>
      <c r="BA16" s="84"/>
    </row>
    <row r="17" spans="1:53" s="208" customFormat="1" x14ac:dyDescent="0.15">
      <c r="A17" s="102">
        <v>1963.9714285714299</v>
      </c>
      <c r="B17" s="207"/>
      <c r="C17" s="811" t="s">
        <v>641</v>
      </c>
      <c r="D17" s="811"/>
      <c r="E17" s="208">
        <v>366</v>
      </c>
      <c r="G17" s="123">
        <v>16</v>
      </c>
      <c r="J17" s="134">
        <v>16</v>
      </c>
      <c r="K17" s="92">
        <f t="shared" si="1"/>
        <v>100</v>
      </c>
      <c r="L17" s="92">
        <f t="shared" si="1"/>
        <v>0</v>
      </c>
      <c r="M17" s="92">
        <f t="shared" si="1"/>
        <v>0</v>
      </c>
      <c r="N17" s="125">
        <f t="shared" si="2"/>
        <v>100</v>
      </c>
      <c r="O17" s="91">
        <v>56.3</v>
      </c>
      <c r="P17" s="92"/>
      <c r="Q17" s="92"/>
      <c r="R17" s="93">
        <f t="shared" si="3"/>
        <v>56.3</v>
      </c>
      <c r="S17" s="208">
        <v>1</v>
      </c>
      <c r="T17" s="81"/>
      <c r="V17" s="82" t="s">
        <v>465</v>
      </c>
      <c r="W17" s="208" t="s">
        <v>74</v>
      </c>
      <c r="X17" s="208" t="s">
        <v>11</v>
      </c>
      <c r="Y17" s="83">
        <v>56.3</v>
      </c>
      <c r="AD17" s="82"/>
      <c r="AG17" s="83"/>
      <c r="AL17" s="82"/>
      <c r="AO17" s="83"/>
      <c r="AP17" s="82"/>
      <c r="AS17" s="83"/>
      <c r="AW17" s="83"/>
      <c r="BA17" s="84"/>
    </row>
    <row r="18" spans="1:53" s="208" customFormat="1" x14ac:dyDescent="0.15">
      <c r="A18" s="102">
        <v>1965</v>
      </c>
      <c r="B18" s="207"/>
      <c r="C18" s="811" t="s">
        <v>641</v>
      </c>
      <c r="D18" s="811"/>
      <c r="E18" s="208">
        <v>0</v>
      </c>
      <c r="G18" s="123">
        <v>16</v>
      </c>
      <c r="J18" s="134">
        <v>16</v>
      </c>
      <c r="K18" s="92">
        <f t="shared" si="1"/>
        <v>100</v>
      </c>
      <c r="L18" s="92">
        <f t="shared" si="1"/>
        <v>0</v>
      </c>
      <c r="M18" s="92">
        <f t="shared" si="1"/>
        <v>0</v>
      </c>
      <c r="N18" s="125">
        <f t="shared" si="2"/>
        <v>100</v>
      </c>
      <c r="O18" s="91">
        <v>56.3</v>
      </c>
      <c r="P18" s="92"/>
      <c r="Q18" s="92"/>
      <c r="R18" s="93">
        <f t="shared" si="3"/>
        <v>56.3</v>
      </c>
      <c r="S18" s="208">
        <v>1</v>
      </c>
      <c r="T18" s="81"/>
      <c r="V18" s="82" t="s">
        <v>465</v>
      </c>
      <c r="W18" s="208" t="s">
        <v>74</v>
      </c>
      <c r="X18" s="208" t="s">
        <v>11</v>
      </c>
      <c r="Y18" s="83">
        <v>56.3</v>
      </c>
      <c r="AD18" s="82"/>
      <c r="AG18" s="83"/>
      <c r="AL18" s="82"/>
      <c r="AO18" s="83"/>
      <c r="AP18" s="82"/>
      <c r="AS18" s="83"/>
      <c r="AW18" s="83"/>
      <c r="BA18" s="84"/>
    </row>
    <row r="19" spans="1:53" s="208" customFormat="1" x14ac:dyDescent="0.15">
      <c r="A19" s="102">
        <v>1964.88571428572</v>
      </c>
      <c r="B19" s="207"/>
      <c r="C19" s="811" t="s">
        <v>641</v>
      </c>
      <c r="D19" s="811"/>
      <c r="E19" s="208">
        <v>365</v>
      </c>
      <c r="G19" s="123">
        <v>16</v>
      </c>
      <c r="J19" s="134">
        <v>16</v>
      </c>
      <c r="K19" s="92">
        <f t="shared" si="1"/>
        <v>100</v>
      </c>
      <c r="L19" s="92">
        <f t="shared" si="1"/>
        <v>0</v>
      </c>
      <c r="M19" s="92">
        <f t="shared" si="1"/>
        <v>0</v>
      </c>
      <c r="N19" s="125">
        <f t="shared" si="2"/>
        <v>100</v>
      </c>
      <c r="O19" s="91">
        <v>56.3</v>
      </c>
      <c r="P19" s="92"/>
      <c r="Q19" s="92"/>
      <c r="R19" s="93">
        <f t="shared" si="3"/>
        <v>56.3</v>
      </c>
      <c r="S19" s="208">
        <v>1</v>
      </c>
      <c r="T19" s="81"/>
      <c r="V19" s="82" t="s">
        <v>465</v>
      </c>
      <c r="W19" s="208" t="s">
        <v>74</v>
      </c>
      <c r="X19" s="208" t="s">
        <v>11</v>
      </c>
      <c r="Y19" s="83">
        <v>56.3</v>
      </c>
      <c r="AD19" s="82"/>
      <c r="AG19" s="83"/>
      <c r="AL19" s="82"/>
      <c r="AO19" s="83"/>
      <c r="AP19" s="82"/>
      <c r="AS19" s="83"/>
      <c r="AW19" s="83"/>
      <c r="BA19" s="84"/>
    </row>
    <row r="20" spans="1:53" s="208" customFormat="1" x14ac:dyDescent="0.15">
      <c r="A20" s="102">
        <v>1966</v>
      </c>
      <c r="B20" s="207"/>
      <c r="C20" s="811" t="s">
        <v>641</v>
      </c>
      <c r="D20" s="811"/>
      <c r="E20" s="208">
        <v>345</v>
      </c>
      <c r="G20" s="123">
        <v>16</v>
      </c>
      <c r="J20" s="134">
        <v>16</v>
      </c>
      <c r="K20" s="92">
        <f t="shared" si="1"/>
        <v>100</v>
      </c>
      <c r="L20" s="92">
        <f t="shared" si="1"/>
        <v>0</v>
      </c>
      <c r="M20" s="92">
        <f t="shared" si="1"/>
        <v>0</v>
      </c>
      <c r="N20" s="125">
        <f t="shared" si="2"/>
        <v>100</v>
      </c>
      <c r="O20" s="91">
        <v>56.3</v>
      </c>
      <c r="P20" s="92"/>
      <c r="Q20" s="92"/>
      <c r="R20" s="93">
        <f t="shared" si="3"/>
        <v>56.3</v>
      </c>
      <c r="S20" s="208">
        <v>1</v>
      </c>
      <c r="T20" s="81"/>
      <c r="V20" s="82" t="s">
        <v>465</v>
      </c>
      <c r="W20" s="208" t="s">
        <v>74</v>
      </c>
      <c r="X20" s="208" t="s">
        <v>11</v>
      </c>
      <c r="Y20" s="83">
        <v>56.3</v>
      </c>
      <c r="AD20" s="82"/>
      <c r="AG20" s="83"/>
      <c r="AL20" s="82"/>
      <c r="AO20" s="83"/>
      <c r="AP20" s="82"/>
      <c r="AS20" s="83"/>
      <c r="AW20" s="83"/>
      <c r="BA20" s="84"/>
    </row>
    <row r="21" spans="1:53" s="334" customFormat="1" x14ac:dyDescent="0.15">
      <c r="A21" s="386">
        <v>1965.8</v>
      </c>
      <c r="B21" s="355">
        <v>24453</v>
      </c>
      <c r="C21" s="812" t="s">
        <v>642</v>
      </c>
      <c r="D21" s="812"/>
      <c r="E21" s="334">
        <f>365-E20</f>
        <v>20</v>
      </c>
      <c r="F21" s="334">
        <v>1</v>
      </c>
      <c r="G21" s="419">
        <v>16</v>
      </c>
      <c r="J21" s="435">
        <v>16</v>
      </c>
      <c r="K21" s="384">
        <f t="shared" si="1"/>
        <v>100</v>
      </c>
      <c r="L21" s="384">
        <f t="shared" si="1"/>
        <v>0</v>
      </c>
      <c r="M21" s="384">
        <f t="shared" si="1"/>
        <v>0</v>
      </c>
      <c r="N21" s="421">
        <f t="shared" si="2"/>
        <v>100</v>
      </c>
      <c r="O21" s="383">
        <v>55</v>
      </c>
      <c r="P21" s="384"/>
      <c r="Q21" s="384"/>
      <c r="R21" s="385">
        <f t="shared" si="3"/>
        <v>55</v>
      </c>
      <c r="S21" s="334">
        <v>1</v>
      </c>
      <c r="T21" s="342">
        <v>24437</v>
      </c>
      <c r="U21" s="355">
        <v>24453</v>
      </c>
      <c r="V21" s="343" t="s">
        <v>465</v>
      </c>
      <c r="W21" s="334" t="s">
        <v>74</v>
      </c>
      <c r="X21" s="334" t="s">
        <v>11</v>
      </c>
      <c r="Y21" s="344">
        <v>55</v>
      </c>
      <c r="AD21" s="343"/>
      <c r="AG21" s="344"/>
      <c r="AL21" s="343"/>
      <c r="AO21" s="344"/>
      <c r="AP21" s="343"/>
      <c r="AS21" s="344"/>
      <c r="AW21" s="344"/>
      <c r="BA21" s="345"/>
    </row>
    <row r="22" spans="1:53" s="334" customFormat="1" x14ac:dyDescent="0.15">
      <c r="A22" s="386">
        <v>1967</v>
      </c>
      <c r="B22" s="355"/>
      <c r="C22" s="812" t="s">
        <v>642</v>
      </c>
      <c r="D22" s="812"/>
      <c r="E22" s="334">
        <v>0</v>
      </c>
      <c r="G22" s="419">
        <v>16</v>
      </c>
      <c r="J22" s="435">
        <v>16</v>
      </c>
      <c r="K22" s="384">
        <f t="shared" si="1"/>
        <v>100</v>
      </c>
      <c r="L22" s="384">
        <f t="shared" si="1"/>
        <v>0</v>
      </c>
      <c r="M22" s="384">
        <f t="shared" si="1"/>
        <v>0</v>
      </c>
      <c r="N22" s="421">
        <f t="shared" si="2"/>
        <v>100</v>
      </c>
      <c r="O22" s="383">
        <v>55</v>
      </c>
      <c r="P22" s="384"/>
      <c r="Q22" s="384"/>
      <c r="R22" s="385">
        <f t="shared" si="3"/>
        <v>55</v>
      </c>
      <c r="S22" s="334">
        <v>1</v>
      </c>
      <c r="T22" s="357"/>
      <c r="V22" s="343" t="s">
        <v>465</v>
      </c>
      <c r="W22" s="334" t="s">
        <v>74</v>
      </c>
      <c r="X22" s="334" t="s">
        <v>11</v>
      </c>
      <c r="Y22" s="344">
        <v>55</v>
      </c>
      <c r="AD22" s="343"/>
      <c r="AG22" s="344"/>
      <c r="AL22" s="343"/>
      <c r="AO22" s="344"/>
      <c r="AP22" s="343"/>
      <c r="AS22" s="344"/>
      <c r="AW22" s="344"/>
      <c r="BA22" s="345"/>
    </row>
    <row r="23" spans="1:53" s="334" customFormat="1" x14ac:dyDescent="0.15">
      <c r="A23" s="386">
        <v>1966.7142857142901</v>
      </c>
      <c r="B23" s="355"/>
      <c r="C23" s="812" t="s">
        <v>642</v>
      </c>
      <c r="D23" s="812"/>
      <c r="E23" s="334">
        <v>365</v>
      </c>
      <c r="G23" s="419">
        <v>16</v>
      </c>
      <c r="J23" s="435">
        <v>16</v>
      </c>
      <c r="K23" s="384">
        <f t="shared" si="1"/>
        <v>100</v>
      </c>
      <c r="L23" s="384">
        <f t="shared" si="1"/>
        <v>0</v>
      </c>
      <c r="M23" s="384">
        <f t="shared" si="1"/>
        <v>0</v>
      </c>
      <c r="N23" s="421">
        <f t="shared" si="2"/>
        <v>100</v>
      </c>
      <c r="O23" s="383">
        <v>55</v>
      </c>
      <c r="P23" s="384"/>
      <c r="Q23" s="384"/>
      <c r="R23" s="385">
        <f t="shared" si="3"/>
        <v>55</v>
      </c>
      <c r="S23" s="334">
        <v>1</v>
      </c>
      <c r="T23" s="357"/>
      <c r="V23" s="343" t="s">
        <v>465</v>
      </c>
      <c r="W23" s="334" t="s">
        <v>74</v>
      </c>
      <c r="X23" s="334" t="s">
        <v>11</v>
      </c>
      <c r="Y23" s="344">
        <v>55</v>
      </c>
      <c r="AD23" s="343"/>
      <c r="AG23" s="344"/>
      <c r="AL23" s="343"/>
      <c r="AO23" s="344"/>
      <c r="AP23" s="343"/>
      <c r="AS23" s="344"/>
      <c r="AW23" s="344"/>
      <c r="BA23" s="345"/>
    </row>
    <row r="24" spans="1:53" s="334" customFormat="1" x14ac:dyDescent="0.15">
      <c r="A24" s="386">
        <v>1968</v>
      </c>
      <c r="B24" s="355"/>
      <c r="C24" s="812" t="s">
        <v>642</v>
      </c>
      <c r="D24" s="812"/>
      <c r="E24" s="334">
        <v>0</v>
      </c>
      <c r="G24" s="419">
        <v>16</v>
      </c>
      <c r="J24" s="435">
        <v>16</v>
      </c>
      <c r="K24" s="384">
        <f t="shared" si="1"/>
        <v>100</v>
      </c>
      <c r="L24" s="384">
        <f t="shared" si="1"/>
        <v>0</v>
      </c>
      <c r="M24" s="384">
        <f t="shared" si="1"/>
        <v>0</v>
      </c>
      <c r="N24" s="421">
        <f t="shared" si="2"/>
        <v>100</v>
      </c>
      <c r="O24" s="383">
        <v>55</v>
      </c>
      <c r="P24" s="384"/>
      <c r="Q24" s="384"/>
      <c r="R24" s="385">
        <f t="shared" si="3"/>
        <v>55</v>
      </c>
      <c r="S24" s="334">
        <v>1</v>
      </c>
      <c r="T24" s="357"/>
      <c r="V24" s="343" t="s">
        <v>465</v>
      </c>
      <c r="W24" s="334" t="s">
        <v>74</v>
      </c>
      <c r="X24" s="334" t="s">
        <v>11</v>
      </c>
      <c r="Y24" s="344">
        <v>55</v>
      </c>
      <c r="AD24" s="343"/>
      <c r="AG24" s="344"/>
      <c r="AL24" s="343"/>
      <c r="AO24" s="344"/>
      <c r="AP24" s="343"/>
      <c r="AS24" s="344"/>
      <c r="AW24" s="344"/>
      <c r="BA24" s="345"/>
    </row>
    <row r="25" spans="1:53" s="334" customFormat="1" x14ac:dyDescent="0.15">
      <c r="A25" s="386">
        <v>1967.62857142857</v>
      </c>
      <c r="B25" s="355"/>
      <c r="C25" s="812" t="s">
        <v>642</v>
      </c>
      <c r="D25" s="812"/>
      <c r="E25" s="334">
        <v>366</v>
      </c>
      <c r="G25" s="419">
        <v>16</v>
      </c>
      <c r="J25" s="435">
        <v>16</v>
      </c>
      <c r="K25" s="384">
        <f t="shared" si="1"/>
        <v>100</v>
      </c>
      <c r="L25" s="384">
        <f t="shared" si="1"/>
        <v>0</v>
      </c>
      <c r="M25" s="384">
        <f t="shared" si="1"/>
        <v>0</v>
      </c>
      <c r="N25" s="421">
        <f t="shared" si="2"/>
        <v>100</v>
      </c>
      <c r="O25" s="383">
        <v>55</v>
      </c>
      <c r="P25" s="384"/>
      <c r="Q25" s="384"/>
      <c r="R25" s="385">
        <f t="shared" si="3"/>
        <v>55</v>
      </c>
      <c r="S25" s="334">
        <v>1</v>
      </c>
      <c r="T25" s="357"/>
      <c r="V25" s="343" t="s">
        <v>465</v>
      </c>
      <c r="W25" s="334" t="s">
        <v>74</v>
      </c>
      <c r="X25" s="334" t="s">
        <v>11</v>
      </c>
      <c r="Y25" s="344">
        <v>55</v>
      </c>
      <c r="AD25" s="343"/>
      <c r="AG25" s="344"/>
      <c r="AL25" s="343"/>
      <c r="AO25" s="344"/>
      <c r="AP25" s="343"/>
      <c r="AS25" s="344"/>
      <c r="AW25" s="344"/>
      <c r="BA25" s="345"/>
    </row>
    <row r="26" spans="1:53" s="334" customFormat="1" x14ac:dyDescent="0.15">
      <c r="A26" s="386">
        <v>1969</v>
      </c>
      <c r="B26" s="355"/>
      <c r="C26" s="812" t="s">
        <v>642</v>
      </c>
      <c r="D26" s="812"/>
      <c r="E26" s="334">
        <v>355</v>
      </c>
      <c r="G26" s="419">
        <v>16</v>
      </c>
      <c r="J26" s="435">
        <v>16</v>
      </c>
      <c r="K26" s="384">
        <f t="shared" si="1"/>
        <v>100</v>
      </c>
      <c r="L26" s="384">
        <f t="shared" si="1"/>
        <v>0</v>
      </c>
      <c r="M26" s="384">
        <f t="shared" si="1"/>
        <v>0</v>
      </c>
      <c r="N26" s="421">
        <f t="shared" si="2"/>
        <v>100</v>
      </c>
      <c r="O26" s="383">
        <v>55</v>
      </c>
      <c r="P26" s="384"/>
      <c r="Q26" s="384"/>
      <c r="R26" s="385">
        <f t="shared" si="3"/>
        <v>55</v>
      </c>
      <c r="S26" s="334">
        <v>1</v>
      </c>
      <c r="T26" s="357"/>
      <c r="V26" s="343" t="s">
        <v>465</v>
      </c>
      <c r="W26" s="334" t="s">
        <v>74</v>
      </c>
      <c r="X26" s="334" t="s">
        <v>11</v>
      </c>
      <c r="Y26" s="344">
        <v>55</v>
      </c>
      <c r="AD26" s="343"/>
      <c r="AG26" s="344"/>
      <c r="AL26" s="343"/>
      <c r="AO26" s="344"/>
      <c r="AP26" s="343"/>
      <c r="AS26" s="344"/>
      <c r="AW26" s="344"/>
      <c r="BA26" s="345"/>
    </row>
    <row r="27" spans="1:53" s="208" customFormat="1" x14ac:dyDescent="0.15">
      <c r="A27" s="102">
        <v>1968.5428571428599</v>
      </c>
      <c r="B27" s="207">
        <v>25559</v>
      </c>
      <c r="C27" s="811" t="s">
        <v>643</v>
      </c>
      <c r="D27" s="811"/>
      <c r="E27" s="208">
        <f>365-E26</f>
        <v>10</v>
      </c>
      <c r="F27" s="208">
        <v>1</v>
      </c>
      <c r="G27" s="123">
        <v>18</v>
      </c>
      <c r="J27" s="134">
        <v>18</v>
      </c>
      <c r="K27" s="92">
        <f t="shared" si="1"/>
        <v>100</v>
      </c>
      <c r="L27" s="92">
        <f t="shared" si="1"/>
        <v>0</v>
      </c>
      <c r="M27" s="92">
        <f t="shared" si="1"/>
        <v>0</v>
      </c>
      <c r="N27" s="125">
        <f t="shared" si="2"/>
        <v>100</v>
      </c>
      <c r="O27" s="91">
        <v>53.6</v>
      </c>
      <c r="P27" s="92"/>
      <c r="Q27" s="92"/>
      <c r="R27" s="93">
        <f t="shared" si="3"/>
        <v>53.6</v>
      </c>
      <c r="S27" s="208">
        <v>1</v>
      </c>
      <c r="T27" s="95">
        <v>25536</v>
      </c>
      <c r="U27" s="207">
        <v>25559</v>
      </c>
      <c r="V27" s="82" t="s">
        <v>465</v>
      </c>
      <c r="W27" s="208" t="s">
        <v>74</v>
      </c>
      <c r="X27" s="208" t="s">
        <v>11</v>
      </c>
      <c r="Y27" s="83">
        <v>53.6</v>
      </c>
      <c r="AD27" s="82"/>
      <c r="AG27" s="83"/>
      <c r="AL27" s="82"/>
      <c r="AO27" s="83"/>
      <c r="AP27" s="82"/>
      <c r="AS27" s="83"/>
      <c r="AW27" s="83"/>
      <c r="BA27" s="84"/>
    </row>
    <row r="28" spans="1:53" s="208" customFormat="1" x14ac:dyDescent="0.15">
      <c r="A28" s="102">
        <v>1970</v>
      </c>
      <c r="B28" s="207"/>
      <c r="C28" s="811" t="s">
        <v>643</v>
      </c>
      <c r="D28" s="811"/>
      <c r="E28" s="208">
        <v>0</v>
      </c>
      <c r="G28" s="123">
        <v>18</v>
      </c>
      <c r="J28" s="134">
        <v>18</v>
      </c>
      <c r="K28" s="92">
        <f t="shared" si="1"/>
        <v>100</v>
      </c>
      <c r="L28" s="92">
        <f t="shared" si="1"/>
        <v>0</v>
      </c>
      <c r="M28" s="92">
        <f t="shared" si="1"/>
        <v>0</v>
      </c>
      <c r="N28" s="125">
        <f t="shared" si="2"/>
        <v>100</v>
      </c>
      <c r="O28" s="91">
        <v>53.6</v>
      </c>
      <c r="P28" s="92"/>
      <c r="Q28" s="92"/>
      <c r="R28" s="93">
        <f t="shared" si="3"/>
        <v>53.6</v>
      </c>
      <c r="S28" s="208">
        <v>1</v>
      </c>
      <c r="T28" s="81"/>
      <c r="V28" s="82" t="s">
        <v>465</v>
      </c>
      <c r="W28" s="208" t="s">
        <v>74</v>
      </c>
      <c r="X28" s="208" t="s">
        <v>11</v>
      </c>
      <c r="Y28" s="83">
        <v>53.6</v>
      </c>
      <c r="AD28" s="82"/>
      <c r="AG28" s="83"/>
      <c r="AL28" s="82"/>
      <c r="AO28" s="83"/>
      <c r="AP28" s="82"/>
      <c r="AS28" s="83"/>
      <c r="AW28" s="83"/>
      <c r="BA28" s="84"/>
    </row>
    <row r="29" spans="1:53" s="208" customFormat="1" x14ac:dyDescent="0.15">
      <c r="A29" s="102">
        <v>1970</v>
      </c>
      <c r="B29" s="207"/>
      <c r="C29" s="811" t="s">
        <v>643</v>
      </c>
      <c r="D29" s="811"/>
      <c r="E29" s="208">
        <v>365</v>
      </c>
      <c r="G29" s="123">
        <v>18</v>
      </c>
      <c r="J29" s="134">
        <v>18</v>
      </c>
      <c r="K29" s="92">
        <f t="shared" si="1"/>
        <v>100</v>
      </c>
      <c r="L29" s="92">
        <f t="shared" si="1"/>
        <v>0</v>
      </c>
      <c r="M29" s="92">
        <f t="shared" si="1"/>
        <v>0</v>
      </c>
      <c r="N29" s="125">
        <f t="shared" si="2"/>
        <v>100</v>
      </c>
      <c r="O29" s="91">
        <v>53.6</v>
      </c>
      <c r="P29" s="92"/>
      <c r="Q29" s="92"/>
      <c r="R29" s="93">
        <f t="shared" si="3"/>
        <v>53.6</v>
      </c>
      <c r="S29" s="208">
        <v>1</v>
      </c>
      <c r="T29" s="81"/>
      <c r="V29" s="82" t="s">
        <v>465</v>
      </c>
      <c r="W29" s="208" t="s">
        <v>74</v>
      </c>
      <c r="X29" s="208" t="s">
        <v>11</v>
      </c>
      <c r="Y29" s="83">
        <v>53.6</v>
      </c>
      <c r="AD29" s="82"/>
      <c r="AG29" s="83"/>
      <c r="AL29" s="82"/>
      <c r="AO29" s="83"/>
      <c r="AP29" s="82"/>
      <c r="AS29" s="83"/>
      <c r="AW29" s="83"/>
      <c r="BA29" s="84"/>
    </row>
    <row r="30" spans="1:53" s="208" customFormat="1" x14ac:dyDescent="0.15">
      <c r="A30" s="102">
        <v>1971</v>
      </c>
      <c r="B30" s="207"/>
      <c r="C30" s="811" t="s">
        <v>643</v>
      </c>
      <c r="D30" s="811"/>
      <c r="E30" s="208">
        <v>0</v>
      </c>
      <c r="G30" s="123">
        <v>18</v>
      </c>
      <c r="J30" s="134">
        <v>18</v>
      </c>
      <c r="K30" s="92">
        <f t="shared" si="1"/>
        <v>100</v>
      </c>
      <c r="L30" s="92">
        <f t="shared" si="1"/>
        <v>0</v>
      </c>
      <c r="M30" s="92">
        <f t="shared" si="1"/>
        <v>0</v>
      </c>
      <c r="N30" s="125">
        <f t="shared" si="2"/>
        <v>100</v>
      </c>
      <c r="O30" s="91">
        <v>53.6</v>
      </c>
      <c r="P30" s="92"/>
      <c r="Q30" s="92"/>
      <c r="R30" s="93">
        <f t="shared" si="3"/>
        <v>53.6</v>
      </c>
      <c r="S30" s="208">
        <v>1</v>
      </c>
      <c r="T30" s="81"/>
      <c r="V30" s="82" t="s">
        <v>465</v>
      </c>
      <c r="W30" s="208" t="s">
        <v>74</v>
      </c>
      <c r="X30" s="208" t="s">
        <v>11</v>
      </c>
      <c r="Y30" s="83">
        <v>53.6</v>
      </c>
      <c r="AD30" s="82"/>
      <c r="AG30" s="83"/>
      <c r="AL30" s="82"/>
      <c r="AO30" s="83"/>
      <c r="AP30" s="82"/>
      <c r="AS30" s="83"/>
      <c r="AW30" s="83"/>
      <c r="BA30" s="84"/>
    </row>
    <row r="31" spans="1:53" s="208" customFormat="1" x14ac:dyDescent="0.15">
      <c r="A31" s="102">
        <v>1971</v>
      </c>
      <c r="B31" s="207"/>
      <c r="C31" s="811" t="s">
        <v>643</v>
      </c>
      <c r="D31" s="811"/>
      <c r="E31" s="208">
        <v>365</v>
      </c>
      <c r="G31" s="123">
        <v>18</v>
      </c>
      <c r="J31" s="134">
        <v>18</v>
      </c>
      <c r="K31" s="92">
        <f t="shared" si="1"/>
        <v>100</v>
      </c>
      <c r="L31" s="92">
        <f t="shared" si="1"/>
        <v>0</v>
      </c>
      <c r="M31" s="92">
        <f t="shared" si="1"/>
        <v>0</v>
      </c>
      <c r="N31" s="125">
        <f t="shared" si="2"/>
        <v>100</v>
      </c>
      <c r="O31" s="91">
        <v>53.6</v>
      </c>
      <c r="P31" s="92"/>
      <c r="Q31" s="92"/>
      <c r="R31" s="93">
        <f t="shared" si="3"/>
        <v>53.6</v>
      </c>
      <c r="S31" s="208">
        <v>1</v>
      </c>
      <c r="T31" s="81"/>
      <c r="V31" s="82" t="s">
        <v>465</v>
      </c>
      <c r="W31" s="208" t="s">
        <v>74</v>
      </c>
      <c r="X31" s="208" t="s">
        <v>11</v>
      </c>
      <c r="Y31" s="83">
        <v>53.6</v>
      </c>
      <c r="AD31" s="82"/>
      <c r="AG31" s="83"/>
      <c r="AL31" s="82"/>
      <c r="AO31" s="83"/>
      <c r="AP31" s="82"/>
      <c r="AS31" s="83"/>
      <c r="AW31" s="83"/>
      <c r="BA31" s="84"/>
    </row>
    <row r="32" spans="1:53" s="208" customFormat="1" x14ac:dyDescent="0.15">
      <c r="A32" s="102">
        <v>1972</v>
      </c>
      <c r="B32" s="207"/>
      <c r="C32" s="811" t="s">
        <v>643</v>
      </c>
      <c r="D32" s="811"/>
      <c r="E32" s="208">
        <v>39</v>
      </c>
      <c r="G32" s="123">
        <v>18</v>
      </c>
      <c r="J32" s="134">
        <v>18</v>
      </c>
      <c r="K32" s="92">
        <f t="shared" si="1"/>
        <v>100</v>
      </c>
      <c r="L32" s="92">
        <f t="shared" si="1"/>
        <v>0</v>
      </c>
      <c r="M32" s="92">
        <f t="shared" si="1"/>
        <v>0</v>
      </c>
      <c r="N32" s="125">
        <f t="shared" si="2"/>
        <v>100</v>
      </c>
      <c r="O32" s="91">
        <v>53.6</v>
      </c>
      <c r="P32" s="92"/>
      <c r="Q32" s="92"/>
      <c r="R32" s="93">
        <f t="shared" si="3"/>
        <v>53.6</v>
      </c>
      <c r="S32" s="208">
        <v>1</v>
      </c>
      <c r="T32" s="81"/>
      <c r="V32" s="82" t="s">
        <v>465</v>
      </c>
      <c r="W32" s="208" t="s">
        <v>74</v>
      </c>
      <c r="X32" s="208" t="s">
        <v>11</v>
      </c>
      <c r="Y32" s="83">
        <v>53.6</v>
      </c>
      <c r="AD32" s="82"/>
      <c r="AG32" s="83"/>
      <c r="AL32" s="82"/>
      <c r="AO32" s="83"/>
      <c r="AP32" s="82"/>
      <c r="AS32" s="83"/>
      <c r="AW32" s="83"/>
      <c r="BA32" s="84"/>
    </row>
    <row r="33" spans="1:53" s="334" customFormat="1" x14ac:dyDescent="0.15">
      <c r="A33" s="386">
        <v>1972</v>
      </c>
      <c r="B33" s="355">
        <v>26338</v>
      </c>
      <c r="C33" s="812" t="s">
        <v>644</v>
      </c>
      <c r="D33" s="812"/>
      <c r="E33" s="334">
        <v>303</v>
      </c>
      <c r="F33" s="334">
        <v>2</v>
      </c>
      <c r="G33" s="419">
        <v>18</v>
      </c>
      <c r="J33" s="435">
        <v>18</v>
      </c>
      <c r="K33" s="384">
        <f t="shared" si="1"/>
        <v>100</v>
      </c>
      <c r="L33" s="384">
        <f t="shared" si="1"/>
        <v>0</v>
      </c>
      <c r="M33" s="384">
        <f t="shared" si="1"/>
        <v>0</v>
      </c>
      <c r="N33" s="421">
        <f t="shared" si="2"/>
        <v>100</v>
      </c>
      <c r="O33" s="383">
        <v>53.6</v>
      </c>
      <c r="P33" s="384"/>
      <c r="Q33" s="384"/>
      <c r="R33" s="385">
        <f t="shared" si="3"/>
        <v>53.6</v>
      </c>
      <c r="S33" s="334">
        <v>1</v>
      </c>
      <c r="T33" s="357"/>
      <c r="U33" s="355">
        <v>26338</v>
      </c>
      <c r="V33" s="343" t="s">
        <v>465</v>
      </c>
      <c r="W33" s="334" t="s">
        <v>74</v>
      </c>
      <c r="X33" s="334" t="s">
        <v>11</v>
      </c>
      <c r="Y33" s="344">
        <v>53.6</v>
      </c>
      <c r="AD33" s="343"/>
      <c r="AG33" s="344"/>
      <c r="AL33" s="343"/>
      <c r="AO33" s="344"/>
      <c r="AP33" s="343"/>
      <c r="AS33" s="344"/>
      <c r="AW33" s="344"/>
      <c r="BA33" s="345"/>
    </row>
    <row r="34" spans="1:53" s="208" customFormat="1" x14ac:dyDescent="0.15">
      <c r="A34" s="102">
        <v>1972</v>
      </c>
      <c r="B34" s="207">
        <v>26641</v>
      </c>
      <c r="C34" s="811" t="s">
        <v>645</v>
      </c>
      <c r="D34" s="811"/>
      <c r="E34" s="208">
        <f>366-E33-E32</f>
        <v>24</v>
      </c>
      <c r="F34" s="208">
        <v>1</v>
      </c>
      <c r="G34" s="123"/>
      <c r="I34" s="208">
        <v>20</v>
      </c>
      <c r="J34" s="134">
        <v>20</v>
      </c>
      <c r="K34" s="92">
        <f t="shared" si="1"/>
        <v>0</v>
      </c>
      <c r="L34" s="92">
        <f t="shared" si="1"/>
        <v>0</v>
      </c>
      <c r="M34" s="92">
        <f t="shared" si="1"/>
        <v>100</v>
      </c>
      <c r="N34" s="125">
        <f t="shared" si="2"/>
        <v>100</v>
      </c>
      <c r="O34" s="91"/>
      <c r="P34" s="92"/>
      <c r="Q34" s="92">
        <v>63.2</v>
      </c>
      <c r="R34" s="93">
        <f t="shared" si="3"/>
        <v>63.2</v>
      </c>
      <c r="S34" s="208">
        <v>1</v>
      </c>
      <c r="T34" s="95">
        <v>26628</v>
      </c>
      <c r="U34" s="207">
        <v>26641</v>
      </c>
      <c r="V34" s="82" t="s">
        <v>464</v>
      </c>
      <c r="W34" s="208" t="s">
        <v>20</v>
      </c>
      <c r="X34" s="208" t="s">
        <v>12</v>
      </c>
      <c r="Y34" s="83">
        <v>63.2</v>
      </c>
      <c r="AD34" s="82"/>
      <c r="AG34" s="83"/>
      <c r="AL34" s="82"/>
      <c r="AO34" s="83"/>
      <c r="AP34" s="82"/>
      <c r="AS34" s="83"/>
      <c r="AW34" s="83"/>
      <c r="BA34" s="84"/>
    </row>
    <row r="35" spans="1:53" s="208" customFormat="1" x14ac:dyDescent="0.15">
      <c r="A35" s="102">
        <v>1973</v>
      </c>
      <c r="B35" s="207"/>
      <c r="C35" s="811" t="s">
        <v>645</v>
      </c>
      <c r="D35" s="811"/>
      <c r="E35" s="208">
        <v>0</v>
      </c>
      <c r="G35" s="123"/>
      <c r="I35" s="208">
        <v>20</v>
      </c>
      <c r="J35" s="134">
        <v>20</v>
      </c>
      <c r="K35" s="92">
        <f t="shared" si="1"/>
        <v>0</v>
      </c>
      <c r="L35" s="92">
        <f t="shared" si="1"/>
        <v>0</v>
      </c>
      <c r="M35" s="92">
        <f t="shared" si="1"/>
        <v>100</v>
      </c>
      <c r="N35" s="125">
        <f t="shared" si="2"/>
        <v>100</v>
      </c>
      <c r="O35" s="91"/>
      <c r="P35" s="92"/>
      <c r="Q35" s="92">
        <v>63.2</v>
      </c>
      <c r="R35" s="93">
        <f t="shared" si="3"/>
        <v>63.2</v>
      </c>
      <c r="S35" s="208">
        <v>1</v>
      </c>
      <c r="T35" s="81"/>
      <c r="V35" s="82" t="s">
        <v>464</v>
      </c>
      <c r="W35" s="208" t="s">
        <v>20</v>
      </c>
      <c r="X35" s="208" t="s">
        <v>12</v>
      </c>
      <c r="Y35" s="83">
        <v>63.2</v>
      </c>
      <c r="AD35" s="82"/>
      <c r="AG35" s="83"/>
      <c r="AL35" s="82"/>
      <c r="AO35" s="83"/>
      <c r="AP35" s="82"/>
      <c r="AS35" s="83"/>
      <c r="AW35" s="83"/>
      <c r="BA35" s="84"/>
    </row>
    <row r="36" spans="1:53" s="208" customFormat="1" x14ac:dyDescent="0.15">
      <c r="A36" s="102">
        <v>1973</v>
      </c>
      <c r="B36" s="207"/>
      <c r="C36" s="811" t="s">
        <v>645</v>
      </c>
      <c r="D36" s="811"/>
      <c r="E36" s="208">
        <v>365</v>
      </c>
      <c r="G36" s="123"/>
      <c r="I36" s="208">
        <v>20</v>
      </c>
      <c r="J36" s="134">
        <v>20</v>
      </c>
      <c r="K36" s="92">
        <f t="shared" si="1"/>
        <v>0</v>
      </c>
      <c r="L36" s="92">
        <f t="shared" si="1"/>
        <v>0</v>
      </c>
      <c r="M36" s="92">
        <f t="shared" si="1"/>
        <v>100</v>
      </c>
      <c r="N36" s="125">
        <f t="shared" si="2"/>
        <v>100</v>
      </c>
      <c r="O36" s="91"/>
      <c r="P36" s="92"/>
      <c r="Q36" s="92">
        <v>63.2</v>
      </c>
      <c r="R36" s="93">
        <f t="shared" si="3"/>
        <v>63.2</v>
      </c>
      <c r="S36" s="208">
        <v>1</v>
      </c>
      <c r="T36" s="81"/>
      <c r="V36" s="82" t="s">
        <v>464</v>
      </c>
      <c r="W36" s="208" t="s">
        <v>20</v>
      </c>
      <c r="X36" s="208" t="s">
        <v>12</v>
      </c>
      <c r="Y36" s="83">
        <v>63.2</v>
      </c>
      <c r="AD36" s="82"/>
      <c r="AG36" s="83"/>
      <c r="AL36" s="82"/>
      <c r="AO36" s="83"/>
      <c r="AP36" s="82"/>
      <c r="AS36" s="83"/>
      <c r="AW36" s="83"/>
      <c r="BA36" s="84"/>
    </row>
    <row r="37" spans="1:53" s="208" customFormat="1" x14ac:dyDescent="0.15">
      <c r="A37" s="102">
        <v>1974</v>
      </c>
      <c r="B37" s="207"/>
      <c r="C37" s="811" t="s">
        <v>645</v>
      </c>
      <c r="D37" s="811"/>
      <c r="E37" s="208">
        <v>252</v>
      </c>
      <c r="G37" s="123"/>
      <c r="I37" s="208">
        <v>20</v>
      </c>
      <c r="J37" s="134">
        <v>20</v>
      </c>
      <c r="K37" s="92">
        <f t="shared" si="1"/>
        <v>0</v>
      </c>
      <c r="L37" s="92">
        <f t="shared" si="1"/>
        <v>0</v>
      </c>
      <c r="M37" s="92">
        <f t="shared" si="1"/>
        <v>100</v>
      </c>
      <c r="N37" s="125">
        <f t="shared" si="2"/>
        <v>100</v>
      </c>
      <c r="O37" s="91"/>
      <c r="P37" s="92"/>
      <c r="Q37" s="92">
        <v>63.2</v>
      </c>
      <c r="R37" s="93">
        <f t="shared" si="3"/>
        <v>63.2</v>
      </c>
      <c r="S37" s="208">
        <v>1</v>
      </c>
      <c r="T37" s="81"/>
      <c r="V37" s="82" t="s">
        <v>464</v>
      </c>
      <c r="W37" s="208" t="s">
        <v>20</v>
      </c>
      <c r="X37" s="208" t="s">
        <v>12</v>
      </c>
      <c r="Y37" s="83">
        <v>63.2</v>
      </c>
      <c r="AD37" s="82"/>
      <c r="AG37" s="83"/>
      <c r="AL37" s="82"/>
      <c r="AO37" s="83"/>
      <c r="AP37" s="82"/>
      <c r="AS37" s="83"/>
      <c r="AW37" s="83"/>
      <c r="BA37" s="84"/>
    </row>
    <row r="38" spans="1:53" s="334" customFormat="1" x14ac:dyDescent="0.15">
      <c r="A38" s="386">
        <v>1974</v>
      </c>
      <c r="B38" s="355">
        <v>27282</v>
      </c>
      <c r="C38" s="812" t="s">
        <v>646</v>
      </c>
      <c r="D38" s="812"/>
      <c r="E38" s="334">
        <f>365-E37</f>
        <v>113</v>
      </c>
      <c r="F38" s="334">
        <v>3</v>
      </c>
      <c r="G38" s="419"/>
      <c r="I38" s="334">
        <v>20</v>
      </c>
      <c r="J38" s="435">
        <v>20</v>
      </c>
      <c r="K38" s="384">
        <f t="shared" si="1"/>
        <v>0</v>
      </c>
      <c r="L38" s="384">
        <f t="shared" si="1"/>
        <v>0</v>
      </c>
      <c r="M38" s="384">
        <f t="shared" si="1"/>
        <v>100</v>
      </c>
      <c r="N38" s="421">
        <f t="shared" si="2"/>
        <v>100</v>
      </c>
      <c r="O38" s="383"/>
      <c r="P38" s="384"/>
      <c r="Q38" s="384">
        <v>63.2</v>
      </c>
      <c r="R38" s="385">
        <f t="shared" si="3"/>
        <v>63.2</v>
      </c>
      <c r="S38" s="334">
        <v>1</v>
      </c>
      <c r="T38" s="357"/>
      <c r="U38" s="355">
        <v>27282</v>
      </c>
      <c r="V38" s="343" t="s">
        <v>464</v>
      </c>
      <c r="W38" s="334" t="s">
        <v>20</v>
      </c>
      <c r="X38" s="334" t="s">
        <v>12</v>
      </c>
      <c r="Y38" s="344">
        <v>63.2</v>
      </c>
      <c r="AD38" s="343"/>
      <c r="AG38" s="344"/>
      <c r="AL38" s="343"/>
      <c r="AO38" s="344"/>
      <c r="AP38" s="343"/>
      <c r="AS38" s="344"/>
      <c r="AW38" s="344"/>
      <c r="BA38" s="345"/>
    </row>
    <row r="39" spans="1:53" s="334" customFormat="1" x14ac:dyDescent="0.15">
      <c r="A39" s="386">
        <v>1975</v>
      </c>
      <c r="B39" s="355"/>
      <c r="C39" s="812" t="s">
        <v>646</v>
      </c>
      <c r="D39" s="812"/>
      <c r="E39" s="334">
        <v>345</v>
      </c>
      <c r="G39" s="419"/>
      <c r="I39" s="334">
        <v>20</v>
      </c>
      <c r="J39" s="435">
        <v>20</v>
      </c>
      <c r="K39" s="384">
        <f t="shared" si="1"/>
        <v>0</v>
      </c>
      <c r="L39" s="384">
        <f t="shared" si="1"/>
        <v>0</v>
      </c>
      <c r="M39" s="384">
        <f t="shared" si="1"/>
        <v>100</v>
      </c>
      <c r="N39" s="421">
        <f t="shared" si="2"/>
        <v>100</v>
      </c>
      <c r="O39" s="383"/>
      <c r="P39" s="384"/>
      <c r="Q39" s="384">
        <v>63.2</v>
      </c>
      <c r="R39" s="385">
        <f t="shared" si="3"/>
        <v>63.2</v>
      </c>
      <c r="S39" s="334">
        <v>1</v>
      </c>
      <c r="T39" s="357"/>
      <c r="V39" s="343" t="s">
        <v>464</v>
      </c>
      <c r="W39" s="334" t="s">
        <v>20</v>
      </c>
      <c r="X39" s="334" t="s">
        <v>12</v>
      </c>
      <c r="Y39" s="344">
        <v>63.2</v>
      </c>
      <c r="AD39" s="343"/>
      <c r="AG39" s="344"/>
      <c r="AL39" s="343"/>
      <c r="AO39" s="344"/>
      <c r="AP39" s="343"/>
      <c r="AS39" s="344"/>
      <c r="AW39" s="344"/>
      <c r="BA39" s="345"/>
    </row>
    <row r="40" spans="1:53" s="208" customFormat="1" x14ac:dyDescent="0.15">
      <c r="A40" s="102">
        <v>1975</v>
      </c>
      <c r="B40" s="207">
        <v>27740</v>
      </c>
      <c r="C40" s="811" t="s">
        <v>647</v>
      </c>
      <c r="D40" s="811"/>
      <c r="E40" s="208">
        <f>365-E39</f>
        <v>20</v>
      </c>
      <c r="F40" s="208">
        <v>1</v>
      </c>
      <c r="G40" s="123">
        <v>19</v>
      </c>
      <c r="J40" s="134">
        <v>19</v>
      </c>
      <c r="K40" s="92">
        <f t="shared" si="1"/>
        <v>100</v>
      </c>
      <c r="L40" s="92">
        <f t="shared" si="1"/>
        <v>0</v>
      </c>
      <c r="M40" s="92">
        <f t="shared" si="1"/>
        <v>0</v>
      </c>
      <c r="N40" s="125">
        <f t="shared" si="2"/>
        <v>100</v>
      </c>
      <c r="O40" s="91">
        <v>63.2</v>
      </c>
      <c r="P40" s="92"/>
      <c r="Q40" s="92"/>
      <c r="R40" s="93">
        <f t="shared" si="3"/>
        <v>63.2</v>
      </c>
      <c r="S40" s="208">
        <v>1</v>
      </c>
      <c r="T40" s="95">
        <v>27727</v>
      </c>
      <c r="U40" s="207">
        <v>27740</v>
      </c>
      <c r="V40" s="82" t="s">
        <v>465</v>
      </c>
      <c r="W40" s="208" t="s">
        <v>74</v>
      </c>
      <c r="X40" s="208" t="s">
        <v>11</v>
      </c>
      <c r="Y40" s="83">
        <v>63.2</v>
      </c>
      <c r="AD40" s="82"/>
      <c r="AG40" s="83"/>
      <c r="AL40" s="82"/>
      <c r="AO40" s="83"/>
      <c r="AP40" s="82"/>
      <c r="AS40" s="83"/>
      <c r="AW40" s="83"/>
      <c r="BA40" s="84"/>
    </row>
    <row r="41" spans="1:53" s="208" customFormat="1" x14ac:dyDescent="0.15">
      <c r="A41" s="102">
        <v>1976</v>
      </c>
      <c r="B41" s="207"/>
      <c r="C41" s="811" t="s">
        <v>647</v>
      </c>
      <c r="D41" s="811"/>
      <c r="E41" s="208">
        <v>0</v>
      </c>
      <c r="G41" s="123">
        <v>19</v>
      </c>
      <c r="J41" s="134">
        <v>19</v>
      </c>
      <c r="K41" s="92">
        <f t="shared" si="1"/>
        <v>100</v>
      </c>
      <c r="L41" s="92">
        <f t="shared" si="1"/>
        <v>0</v>
      </c>
      <c r="M41" s="92">
        <f t="shared" si="1"/>
        <v>0</v>
      </c>
      <c r="N41" s="125">
        <f t="shared" si="2"/>
        <v>100</v>
      </c>
      <c r="O41" s="91">
        <v>63.2</v>
      </c>
      <c r="P41" s="92"/>
      <c r="Q41" s="92"/>
      <c r="R41" s="93">
        <f t="shared" si="3"/>
        <v>63.2</v>
      </c>
      <c r="S41" s="208">
        <v>1</v>
      </c>
      <c r="T41" s="81"/>
      <c r="V41" s="82" t="s">
        <v>465</v>
      </c>
      <c r="W41" s="208" t="s">
        <v>74</v>
      </c>
      <c r="X41" s="208" t="s">
        <v>11</v>
      </c>
      <c r="Y41" s="83">
        <v>63.2</v>
      </c>
      <c r="AD41" s="82"/>
      <c r="AG41" s="83"/>
      <c r="AL41" s="82"/>
      <c r="AO41" s="83"/>
      <c r="AP41" s="82"/>
      <c r="AS41" s="83"/>
      <c r="AW41" s="83"/>
      <c r="BA41" s="84"/>
    </row>
    <row r="42" spans="1:53" s="208" customFormat="1" x14ac:dyDescent="0.15">
      <c r="A42" s="102">
        <v>1976</v>
      </c>
      <c r="B42" s="207"/>
      <c r="C42" s="811" t="s">
        <v>647</v>
      </c>
      <c r="D42" s="811"/>
      <c r="E42" s="208">
        <v>366</v>
      </c>
      <c r="G42" s="123">
        <v>19</v>
      </c>
      <c r="J42" s="134">
        <v>19</v>
      </c>
      <c r="K42" s="92">
        <f t="shared" si="1"/>
        <v>100</v>
      </c>
      <c r="L42" s="92">
        <f t="shared" si="1"/>
        <v>0</v>
      </c>
      <c r="M42" s="92">
        <f t="shared" si="1"/>
        <v>0</v>
      </c>
      <c r="N42" s="125">
        <f t="shared" si="2"/>
        <v>100</v>
      </c>
      <c r="O42" s="91">
        <v>63.2</v>
      </c>
      <c r="P42" s="92"/>
      <c r="Q42" s="92"/>
      <c r="R42" s="93">
        <f t="shared" si="3"/>
        <v>63.2</v>
      </c>
      <c r="S42" s="208">
        <v>1</v>
      </c>
      <c r="T42" s="81"/>
      <c r="V42" s="82" t="s">
        <v>465</v>
      </c>
      <c r="W42" s="208" t="s">
        <v>74</v>
      </c>
      <c r="X42" s="208" t="s">
        <v>11</v>
      </c>
      <c r="Y42" s="83">
        <v>63.2</v>
      </c>
      <c r="AD42" s="82"/>
      <c r="AG42" s="83"/>
      <c r="AL42" s="82"/>
      <c r="AO42" s="83"/>
      <c r="AP42" s="82"/>
      <c r="AS42" s="83"/>
      <c r="AW42" s="83"/>
      <c r="BA42" s="84"/>
    </row>
    <row r="43" spans="1:53" s="208" customFormat="1" x14ac:dyDescent="0.15">
      <c r="A43" s="102">
        <v>1977</v>
      </c>
      <c r="B43" s="207"/>
      <c r="C43" s="811" t="s">
        <v>647</v>
      </c>
      <c r="D43" s="811"/>
      <c r="E43" s="208">
        <v>0</v>
      </c>
      <c r="G43" s="123">
        <v>19</v>
      </c>
      <c r="J43" s="134">
        <v>19</v>
      </c>
      <c r="K43" s="92">
        <f t="shared" si="1"/>
        <v>100</v>
      </c>
      <c r="L43" s="92">
        <f t="shared" si="1"/>
        <v>0</v>
      </c>
      <c r="M43" s="92">
        <f t="shared" si="1"/>
        <v>0</v>
      </c>
      <c r="N43" s="125">
        <f t="shared" si="2"/>
        <v>100</v>
      </c>
      <c r="O43" s="91">
        <v>63.2</v>
      </c>
      <c r="P43" s="92"/>
      <c r="Q43" s="92"/>
      <c r="R43" s="93">
        <f t="shared" si="3"/>
        <v>63.2</v>
      </c>
      <c r="S43" s="208">
        <v>1</v>
      </c>
      <c r="T43" s="81"/>
      <c r="V43" s="82" t="s">
        <v>465</v>
      </c>
      <c r="W43" s="208" t="s">
        <v>74</v>
      </c>
      <c r="X43" s="208" t="s">
        <v>11</v>
      </c>
      <c r="Y43" s="83">
        <v>63.2</v>
      </c>
      <c r="AD43" s="82"/>
      <c r="AG43" s="83"/>
      <c r="AL43" s="82"/>
      <c r="AO43" s="83"/>
      <c r="AP43" s="82"/>
      <c r="AS43" s="83"/>
      <c r="AW43" s="83"/>
      <c r="BA43" s="84"/>
    </row>
    <row r="44" spans="1:53" s="208" customFormat="1" x14ac:dyDescent="0.15">
      <c r="A44" s="102">
        <v>1977</v>
      </c>
      <c r="B44" s="207"/>
      <c r="C44" s="811" t="s">
        <v>647</v>
      </c>
      <c r="D44" s="811"/>
      <c r="E44" s="208">
        <v>365</v>
      </c>
      <c r="G44" s="123">
        <v>19</v>
      </c>
      <c r="J44" s="134">
        <v>19</v>
      </c>
      <c r="K44" s="92">
        <f t="shared" si="1"/>
        <v>100</v>
      </c>
      <c r="L44" s="92">
        <f t="shared" si="1"/>
        <v>0</v>
      </c>
      <c r="M44" s="92">
        <f t="shared" si="1"/>
        <v>0</v>
      </c>
      <c r="N44" s="125">
        <f t="shared" si="2"/>
        <v>100</v>
      </c>
      <c r="O44" s="91">
        <v>63.2</v>
      </c>
      <c r="P44" s="92"/>
      <c r="Q44" s="92"/>
      <c r="R44" s="93">
        <f t="shared" si="3"/>
        <v>63.2</v>
      </c>
      <c r="S44" s="208">
        <v>1</v>
      </c>
      <c r="T44" s="81"/>
      <c r="V44" s="82" t="s">
        <v>465</v>
      </c>
      <c r="W44" s="208" t="s">
        <v>74</v>
      </c>
      <c r="X44" s="208" t="s">
        <v>11</v>
      </c>
      <c r="Y44" s="83">
        <v>63.2</v>
      </c>
      <c r="AD44" s="82"/>
      <c r="AG44" s="83"/>
      <c r="AL44" s="82"/>
      <c r="AO44" s="83"/>
      <c r="AP44" s="82"/>
      <c r="AS44" s="83"/>
      <c r="AW44" s="83"/>
      <c r="BA44" s="84"/>
    </row>
    <row r="45" spans="1:53" s="208" customFormat="1" x14ac:dyDescent="0.15">
      <c r="A45" s="102">
        <v>1978</v>
      </c>
      <c r="B45" s="207"/>
      <c r="C45" s="811" t="s">
        <v>647</v>
      </c>
      <c r="D45" s="811"/>
      <c r="E45" s="208">
        <v>346</v>
      </c>
      <c r="G45" s="123">
        <v>19</v>
      </c>
      <c r="J45" s="134">
        <v>19</v>
      </c>
      <c r="K45" s="92">
        <f t="shared" si="1"/>
        <v>100</v>
      </c>
      <c r="L45" s="92">
        <f t="shared" si="1"/>
        <v>0</v>
      </c>
      <c r="M45" s="92">
        <f t="shared" si="1"/>
        <v>0</v>
      </c>
      <c r="N45" s="125">
        <f t="shared" si="2"/>
        <v>100</v>
      </c>
      <c r="O45" s="91">
        <v>63.2</v>
      </c>
      <c r="P45" s="92"/>
      <c r="Q45" s="92"/>
      <c r="R45" s="93">
        <f t="shared" si="3"/>
        <v>63.2</v>
      </c>
      <c r="S45" s="208">
        <v>1</v>
      </c>
      <c r="T45" s="81"/>
      <c r="V45" s="82" t="s">
        <v>465</v>
      </c>
      <c r="W45" s="208" t="s">
        <v>74</v>
      </c>
      <c r="X45" s="208" t="s">
        <v>11</v>
      </c>
      <c r="Y45" s="83">
        <v>63.2</v>
      </c>
      <c r="AD45" s="82"/>
      <c r="AG45" s="83"/>
      <c r="AL45" s="82"/>
      <c r="AO45" s="83"/>
      <c r="AP45" s="82"/>
      <c r="AS45" s="83"/>
      <c r="AW45" s="83"/>
      <c r="BA45" s="84"/>
    </row>
    <row r="46" spans="1:53" s="334" customFormat="1" x14ac:dyDescent="0.15">
      <c r="A46" s="386">
        <v>1978</v>
      </c>
      <c r="B46" s="355">
        <v>28837</v>
      </c>
      <c r="C46" s="812" t="s">
        <v>648</v>
      </c>
      <c r="D46" s="812"/>
      <c r="E46" s="334">
        <f>365-E45</f>
        <v>19</v>
      </c>
      <c r="F46" s="334">
        <v>1</v>
      </c>
      <c r="G46" s="419">
        <v>19</v>
      </c>
      <c r="J46" s="435">
        <v>19</v>
      </c>
      <c r="K46" s="384">
        <f t="shared" si="1"/>
        <v>100</v>
      </c>
      <c r="L46" s="384">
        <f t="shared" si="1"/>
        <v>0</v>
      </c>
      <c r="M46" s="384">
        <f t="shared" si="1"/>
        <v>0</v>
      </c>
      <c r="N46" s="421">
        <f t="shared" si="2"/>
        <v>100</v>
      </c>
      <c r="O46" s="383">
        <v>55.4</v>
      </c>
      <c r="P46" s="384"/>
      <c r="Q46" s="384"/>
      <c r="R46" s="385">
        <f t="shared" si="3"/>
        <v>55.4</v>
      </c>
      <c r="S46" s="334">
        <v>1</v>
      </c>
      <c r="T46" s="342">
        <v>28819</v>
      </c>
      <c r="U46" s="355">
        <v>28837</v>
      </c>
      <c r="V46" s="343" t="s">
        <v>465</v>
      </c>
      <c r="W46" s="334" t="s">
        <v>74</v>
      </c>
      <c r="X46" s="334" t="s">
        <v>11</v>
      </c>
      <c r="Y46" s="344">
        <v>55.4</v>
      </c>
      <c r="AD46" s="343"/>
      <c r="AG46" s="344"/>
      <c r="AL46" s="343"/>
      <c r="AO46" s="344"/>
      <c r="AP46" s="343"/>
      <c r="AS46" s="344"/>
      <c r="AW46" s="344"/>
      <c r="BA46" s="345"/>
    </row>
    <row r="47" spans="1:53" s="334" customFormat="1" x14ac:dyDescent="0.15">
      <c r="A47" s="386">
        <v>1979</v>
      </c>
      <c r="B47" s="355"/>
      <c r="C47" s="812" t="s">
        <v>648</v>
      </c>
      <c r="D47" s="812"/>
      <c r="E47" s="334">
        <v>0</v>
      </c>
      <c r="G47" s="419">
        <v>19</v>
      </c>
      <c r="J47" s="435">
        <v>19</v>
      </c>
      <c r="K47" s="384">
        <f t="shared" si="1"/>
        <v>100</v>
      </c>
      <c r="L47" s="384">
        <f t="shared" si="1"/>
        <v>0</v>
      </c>
      <c r="M47" s="384">
        <f t="shared" si="1"/>
        <v>0</v>
      </c>
      <c r="N47" s="421">
        <f t="shared" si="2"/>
        <v>100</v>
      </c>
      <c r="O47" s="383">
        <v>55.4</v>
      </c>
      <c r="P47" s="384"/>
      <c r="Q47" s="384"/>
      <c r="R47" s="385">
        <f t="shared" si="3"/>
        <v>55.4</v>
      </c>
      <c r="S47" s="334">
        <v>1</v>
      </c>
      <c r="T47" s="357"/>
      <c r="V47" s="343" t="s">
        <v>465</v>
      </c>
      <c r="W47" s="334" t="s">
        <v>74</v>
      </c>
      <c r="X47" s="334" t="s">
        <v>11</v>
      </c>
      <c r="Y47" s="344">
        <v>55.4</v>
      </c>
      <c r="AD47" s="343"/>
      <c r="AG47" s="344"/>
      <c r="AL47" s="343"/>
      <c r="AO47" s="344"/>
      <c r="AP47" s="343"/>
      <c r="AS47" s="344"/>
      <c r="AW47" s="344"/>
      <c r="BA47" s="345"/>
    </row>
    <row r="48" spans="1:53" s="334" customFormat="1" x14ac:dyDescent="0.15">
      <c r="A48" s="386">
        <v>1979</v>
      </c>
      <c r="B48" s="355"/>
      <c r="C48" s="812" t="s">
        <v>648</v>
      </c>
      <c r="D48" s="812"/>
      <c r="E48" s="334">
        <v>365</v>
      </c>
      <c r="G48" s="419">
        <v>19</v>
      </c>
      <c r="J48" s="435">
        <v>19</v>
      </c>
      <c r="K48" s="384">
        <f t="shared" si="1"/>
        <v>100</v>
      </c>
      <c r="L48" s="384">
        <f t="shared" si="1"/>
        <v>0</v>
      </c>
      <c r="M48" s="384">
        <f t="shared" si="1"/>
        <v>0</v>
      </c>
      <c r="N48" s="421">
        <f t="shared" si="2"/>
        <v>100</v>
      </c>
      <c r="O48" s="383">
        <v>55.4</v>
      </c>
      <c r="P48" s="384"/>
      <c r="Q48" s="384"/>
      <c r="R48" s="385">
        <f t="shared" si="3"/>
        <v>55.4</v>
      </c>
      <c r="S48" s="334">
        <v>1</v>
      </c>
      <c r="T48" s="357"/>
      <c r="V48" s="343" t="s">
        <v>465</v>
      </c>
      <c r="W48" s="334" t="s">
        <v>74</v>
      </c>
      <c r="X48" s="334" t="s">
        <v>11</v>
      </c>
      <c r="Y48" s="344">
        <v>55.4</v>
      </c>
      <c r="AD48" s="343"/>
      <c r="AG48" s="344"/>
      <c r="AL48" s="343"/>
      <c r="AO48" s="344"/>
      <c r="AP48" s="343"/>
      <c r="AS48" s="344"/>
      <c r="AW48" s="344"/>
      <c r="BA48" s="345"/>
    </row>
    <row r="49" spans="1:53" s="334" customFormat="1" x14ac:dyDescent="0.15">
      <c r="A49" s="386">
        <v>1980</v>
      </c>
      <c r="B49" s="355"/>
      <c r="C49" s="812" t="s">
        <v>648</v>
      </c>
      <c r="D49" s="812"/>
      <c r="E49" s="334">
        <v>0</v>
      </c>
      <c r="G49" s="419">
        <v>19</v>
      </c>
      <c r="J49" s="435">
        <v>19</v>
      </c>
      <c r="K49" s="384">
        <f t="shared" si="1"/>
        <v>100</v>
      </c>
      <c r="L49" s="384">
        <f t="shared" si="1"/>
        <v>0</v>
      </c>
      <c r="M49" s="384">
        <f t="shared" si="1"/>
        <v>0</v>
      </c>
      <c r="N49" s="421">
        <f t="shared" si="2"/>
        <v>100</v>
      </c>
      <c r="O49" s="383">
        <v>55.4</v>
      </c>
      <c r="P49" s="384"/>
      <c r="Q49" s="384"/>
      <c r="R49" s="385">
        <f t="shared" si="3"/>
        <v>55.4</v>
      </c>
      <c r="S49" s="334">
        <v>1</v>
      </c>
      <c r="T49" s="357"/>
      <c r="V49" s="343" t="s">
        <v>465</v>
      </c>
      <c r="W49" s="334" t="s">
        <v>74</v>
      </c>
      <c r="X49" s="334" t="s">
        <v>11</v>
      </c>
      <c r="Y49" s="344">
        <v>55.4</v>
      </c>
      <c r="AD49" s="343"/>
      <c r="AG49" s="344"/>
      <c r="AL49" s="343"/>
      <c r="AO49" s="344"/>
      <c r="AP49" s="343"/>
      <c r="AS49" s="344"/>
      <c r="AW49" s="344"/>
      <c r="BA49" s="345"/>
    </row>
    <row r="50" spans="1:53" s="334" customFormat="1" x14ac:dyDescent="0.15">
      <c r="A50" s="386">
        <v>1980</v>
      </c>
      <c r="B50" s="355"/>
      <c r="C50" s="812" t="s">
        <v>648</v>
      </c>
      <c r="D50" s="812"/>
      <c r="E50" s="334">
        <v>366</v>
      </c>
      <c r="G50" s="419">
        <v>19</v>
      </c>
      <c r="J50" s="435">
        <v>19</v>
      </c>
      <c r="K50" s="384">
        <f t="shared" si="1"/>
        <v>100</v>
      </c>
      <c r="L50" s="384">
        <f t="shared" si="1"/>
        <v>0</v>
      </c>
      <c r="M50" s="384">
        <f t="shared" si="1"/>
        <v>0</v>
      </c>
      <c r="N50" s="421">
        <f t="shared" si="2"/>
        <v>100</v>
      </c>
      <c r="O50" s="383">
        <v>55.4</v>
      </c>
      <c r="P50" s="384"/>
      <c r="Q50" s="384"/>
      <c r="R50" s="385">
        <f t="shared" si="3"/>
        <v>55.4</v>
      </c>
      <c r="S50" s="334">
        <v>1</v>
      </c>
      <c r="T50" s="357"/>
      <c r="V50" s="343" t="s">
        <v>465</v>
      </c>
      <c r="W50" s="334" t="s">
        <v>74</v>
      </c>
      <c r="X50" s="334" t="s">
        <v>11</v>
      </c>
      <c r="Y50" s="344">
        <v>55.4</v>
      </c>
      <c r="AD50" s="343"/>
      <c r="AG50" s="344"/>
      <c r="AL50" s="343"/>
      <c r="AO50" s="344"/>
      <c r="AP50" s="343"/>
      <c r="AS50" s="344"/>
      <c r="AW50" s="344"/>
      <c r="BA50" s="345"/>
    </row>
    <row r="51" spans="1:53" s="334" customFormat="1" x14ac:dyDescent="0.15">
      <c r="A51" s="386">
        <v>1981</v>
      </c>
      <c r="B51" s="355"/>
      <c r="C51" s="812" t="s">
        <v>648</v>
      </c>
      <c r="D51" s="812"/>
      <c r="E51" s="334">
        <v>344</v>
      </c>
      <c r="G51" s="419">
        <v>19</v>
      </c>
      <c r="J51" s="435">
        <v>19</v>
      </c>
      <c r="K51" s="384">
        <f t="shared" si="1"/>
        <v>100</v>
      </c>
      <c r="L51" s="384">
        <f t="shared" si="1"/>
        <v>0</v>
      </c>
      <c r="M51" s="384">
        <f t="shared" si="1"/>
        <v>0</v>
      </c>
      <c r="N51" s="421">
        <f t="shared" si="2"/>
        <v>100</v>
      </c>
      <c r="O51" s="383">
        <v>55.4</v>
      </c>
      <c r="P51" s="384"/>
      <c r="Q51" s="384"/>
      <c r="R51" s="385">
        <f t="shared" si="3"/>
        <v>55.4</v>
      </c>
      <c r="S51" s="334">
        <v>1</v>
      </c>
      <c r="T51" s="357"/>
      <c r="V51" s="343" t="s">
        <v>465</v>
      </c>
      <c r="W51" s="334" t="s">
        <v>74</v>
      </c>
      <c r="X51" s="334" t="s">
        <v>11</v>
      </c>
      <c r="Y51" s="344">
        <v>55.4</v>
      </c>
      <c r="AD51" s="343"/>
      <c r="AG51" s="344"/>
      <c r="AL51" s="343"/>
      <c r="AO51" s="344"/>
      <c r="AP51" s="343"/>
      <c r="AS51" s="344"/>
      <c r="AW51" s="344"/>
      <c r="BA51" s="345"/>
    </row>
    <row r="52" spans="1:53" s="208" customFormat="1" x14ac:dyDescent="0.15">
      <c r="A52" s="102">
        <v>1981</v>
      </c>
      <c r="B52" s="207">
        <v>29931</v>
      </c>
      <c r="C52" s="811" t="s">
        <v>649</v>
      </c>
      <c r="D52" s="811"/>
      <c r="E52" s="208">
        <f>365-E51</f>
        <v>21</v>
      </c>
      <c r="F52" s="208">
        <v>1</v>
      </c>
      <c r="G52" s="123">
        <v>19</v>
      </c>
      <c r="J52" s="134">
        <v>19</v>
      </c>
      <c r="K52" s="92">
        <f t="shared" si="1"/>
        <v>100</v>
      </c>
      <c r="L52" s="92">
        <f t="shared" si="1"/>
        <v>0</v>
      </c>
      <c r="M52" s="92">
        <f t="shared" si="1"/>
        <v>0</v>
      </c>
      <c r="N52" s="125">
        <f t="shared" si="2"/>
        <v>100</v>
      </c>
      <c r="O52" s="91">
        <v>51.1</v>
      </c>
      <c r="P52" s="92"/>
      <c r="Q52" s="92"/>
      <c r="R52" s="93">
        <f t="shared" si="3"/>
        <v>51.1</v>
      </c>
      <c r="S52" s="208">
        <v>1</v>
      </c>
      <c r="T52" s="95">
        <v>29918</v>
      </c>
      <c r="U52" s="207">
        <v>29931</v>
      </c>
      <c r="V52" s="82" t="s">
        <v>465</v>
      </c>
      <c r="W52" s="208" t="s">
        <v>74</v>
      </c>
      <c r="X52" s="208" t="s">
        <v>11</v>
      </c>
      <c r="Y52" s="83">
        <v>51.1</v>
      </c>
      <c r="AD52" s="82"/>
      <c r="AG52" s="83"/>
      <c r="AL52" s="82"/>
      <c r="AO52" s="83"/>
      <c r="AP52" s="82"/>
      <c r="AS52" s="83"/>
      <c r="AW52" s="83"/>
      <c r="BA52" s="84"/>
    </row>
    <row r="53" spans="1:53" s="208" customFormat="1" x14ac:dyDescent="0.15">
      <c r="A53" s="102">
        <v>1982</v>
      </c>
      <c r="B53" s="207"/>
      <c r="C53" s="811" t="s">
        <v>649</v>
      </c>
      <c r="D53" s="811"/>
      <c r="E53" s="208">
        <v>0</v>
      </c>
      <c r="G53" s="123">
        <v>19</v>
      </c>
      <c r="J53" s="134">
        <v>19</v>
      </c>
      <c r="K53" s="92">
        <f t="shared" si="1"/>
        <v>100</v>
      </c>
      <c r="L53" s="92">
        <f t="shared" si="1"/>
        <v>0</v>
      </c>
      <c r="M53" s="92">
        <f t="shared" si="1"/>
        <v>0</v>
      </c>
      <c r="N53" s="125">
        <f t="shared" si="2"/>
        <v>100</v>
      </c>
      <c r="O53" s="91">
        <v>51.1</v>
      </c>
      <c r="P53" s="92"/>
      <c r="Q53" s="92"/>
      <c r="R53" s="93">
        <f t="shared" si="3"/>
        <v>51.1</v>
      </c>
      <c r="S53" s="208">
        <v>1</v>
      </c>
      <c r="T53" s="81"/>
      <c r="V53" s="82" t="s">
        <v>465</v>
      </c>
      <c r="W53" s="208" t="s">
        <v>74</v>
      </c>
      <c r="X53" s="208" t="s">
        <v>11</v>
      </c>
      <c r="Y53" s="83">
        <v>51.1</v>
      </c>
      <c r="AD53" s="82"/>
      <c r="AG53" s="83"/>
      <c r="AL53" s="82"/>
      <c r="AO53" s="83"/>
      <c r="AP53" s="82"/>
      <c r="AS53" s="83"/>
      <c r="AW53" s="83"/>
      <c r="BA53" s="84"/>
    </row>
    <row r="54" spans="1:53" s="208" customFormat="1" x14ac:dyDescent="0.15">
      <c r="A54" s="102">
        <v>1982</v>
      </c>
      <c r="B54" s="207"/>
      <c r="C54" s="811" t="s">
        <v>649</v>
      </c>
      <c r="D54" s="811"/>
      <c r="E54" s="208">
        <v>365</v>
      </c>
      <c r="G54" s="123">
        <v>19</v>
      </c>
      <c r="J54" s="134">
        <v>19</v>
      </c>
      <c r="K54" s="92">
        <f t="shared" si="1"/>
        <v>100</v>
      </c>
      <c r="L54" s="92">
        <f t="shared" si="1"/>
        <v>0</v>
      </c>
      <c r="M54" s="92">
        <f t="shared" si="1"/>
        <v>0</v>
      </c>
      <c r="N54" s="125">
        <f t="shared" si="2"/>
        <v>100</v>
      </c>
      <c r="O54" s="91">
        <v>51.1</v>
      </c>
      <c r="P54" s="92"/>
      <c r="Q54" s="92"/>
      <c r="R54" s="93">
        <f t="shared" si="3"/>
        <v>51.1</v>
      </c>
      <c r="S54" s="208">
        <v>1</v>
      </c>
      <c r="T54" s="81"/>
      <c r="V54" s="82" t="s">
        <v>465</v>
      </c>
      <c r="W54" s="208" t="s">
        <v>74</v>
      </c>
      <c r="X54" s="208" t="s">
        <v>11</v>
      </c>
      <c r="Y54" s="83">
        <v>51.1</v>
      </c>
      <c r="AD54" s="82"/>
      <c r="AG54" s="83"/>
      <c r="AL54" s="82"/>
      <c r="AO54" s="83"/>
      <c r="AP54" s="82"/>
      <c r="AS54" s="83"/>
      <c r="AW54" s="83"/>
      <c r="BA54" s="84"/>
    </row>
    <row r="55" spans="1:53" s="208" customFormat="1" x14ac:dyDescent="0.15">
      <c r="A55" s="102">
        <v>1983</v>
      </c>
      <c r="B55" s="207"/>
      <c r="C55" s="811" t="s">
        <v>649</v>
      </c>
      <c r="D55" s="811"/>
      <c r="E55" s="208">
        <v>0</v>
      </c>
      <c r="G55" s="123">
        <v>19</v>
      </c>
      <c r="J55" s="134">
        <v>19</v>
      </c>
      <c r="K55" s="92">
        <f t="shared" si="1"/>
        <v>100</v>
      </c>
      <c r="L55" s="92">
        <f t="shared" si="1"/>
        <v>0</v>
      </c>
      <c r="M55" s="92">
        <f t="shared" si="1"/>
        <v>0</v>
      </c>
      <c r="N55" s="125">
        <f t="shared" si="2"/>
        <v>100</v>
      </c>
      <c r="O55" s="91">
        <v>51.1</v>
      </c>
      <c r="P55" s="92"/>
      <c r="Q55" s="92"/>
      <c r="R55" s="93">
        <f t="shared" si="3"/>
        <v>51.1</v>
      </c>
      <c r="S55" s="208">
        <v>1</v>
      </c>
      <c r="T55" s="81"/>
      <c r="V55" s="82" t="s">
        <v>465</v>
      </c>
      <c r="W55" s="208" t="s">
        <v>74</v>
      </c>
      <c r="X55" s="208" t="s">
        <v>11</v>
      </c>
      <c r="Y55" s="83">
        <v>51.1</v>
      </c>
      <c r="AD55" s="82"/>
      <c r="AG55" s="83"/>
      <c r="AL55" s="82"/>
      <c r="AO55" s="83"/>
      <c r="AP55" s="82"/>
      <c r="AS55" s="83"/>
      <c r="AW55" s="83"/>
      <c r="BA55" s="84"/>
    </row>
    <row r="56" spans="1:53" s="208" customFormat="1" x14ac:dyDescent="0.15">
      <c r="A56" s="102">
        <v>1983</v>
      </c>
      <c r="B56" s="207"/>
      <c r="C56" s="811" t="s">
        <v>649</v>
      </c>
      <c r="D56" s="811"/>
      <c r="E56" s="208">
        <v>365</v>
      </c>
      <c r="G56" s="123">
        <v>19</v>
      </c>
      <c r="J56" s="134">
        <v>19</v>
      </c>
      <c r="K56" s="92">
        <f t="shared" si="1"/>
        <v>100</v>
      </c>
      <c r="L56" s="92">
        <f t="shared" si="1"/>
        <v>0</v>
      </c>
      <c r="M56" s="92">
        <f t="shared" si="1"/>
        <v>0</v>
      </c>
      <c r="N56" s="125">
        <f t="shared" si="2"/>
        <v>100</v>
      </c>
      <c r="O56" s="91">
        <v>51.1</v>
      </c>
      <c r="P56" s="92"/>
      <c r="Q56" s="92"/>
      <c r="R56" s="93">
        <f t="shared" si="3"/>
        <v>51.1</v>
      </c>
      <c r="S56" s="208">
        <v>1</v>
      </c>
      <c r="T56" s="81"/>
      <c r="V56" s="82" t="s">
        <v>465</v>
      </c>
      <c r="W56" s="208" t="s">
        <v>74</v>
      </c>
      <c r="X56" s="208" t="s">
        <v>11</v>
      </c>
      <c r="Y56" s="83">
        <v>51.1</v>
      </c>
      <c r="AD56" s="82"/>
      <c r="AG56" s="83"/>
      <c r="AL56" s="82"/>
      <c r="AO56" s="83"/>
      <c r="AP56" s="82"/>
      <c r="AS56" s="83"/>
      <c r="AW56" s="83"/>
      <c r="BA56" s="84"/>
    </row>
    <row r="57" spans="1:53" s="208" customFormat="1" x14ac:dyDescent="0.15">
      <c r="A57" s="102">
        <v>1984</v>
      </c>
      <c r="B57" s="207"/>
      <c r="C57" s="811" t="s">
        <v>649</v>
      </c>
      <c r="D57" s="811"/>
      <c r="E57" s="208">
        <v>207</v>
      </c>
      <c r="G57" s="123">
        <v>19</v>
      </c>
      <c r="J57" s="134">
        <v>19</v>
      </c>
      <c r="K57" s="92">
        <f t="shared" si="1"/>
        <v>100</v>
      </c>
      <c r="L57" s="92">
        <f>H57/$J57*100</f>
        <v>0</v>
      </c>
      <c r="M57" s="92">
        <f>I57/$J57*100</f>
        <v>0</v>
      </c>
      <c r="N57" s="125">
        <f t="shared" si="2"/>
        <v>100</v>
      </c>
      <c r="O57" s="91">
        <v>51.1</v>
      </c>
      <c r="P57" s="92"/>
      <c r="Q57" s="92"/>
      <c r="R57" s="93">
        <f t="shared" si="3"/>
        <v>51.1</v>
      </c>
      <c r="S57" s="208">
        <v>1</v>
      </c>
      <c r="T57" s="81"/>
      <c r="V57" s="82" t="s">
        <v>465</v>
      </c>
      <c r="W57" s="208" t="s">
        <v>74</v>
      </c>
      <c r="X57" s="208" t="s">
        <v>11</v>
      </c>
      <c r="Y57" s="83">
        <v>51.1</v>
      </c>
      <c r="AD57" s="82"/>
      <c r="AG57" s="83"/>
      <c r="AL57" s="82"/>
      <c r="AO57" s="83"/>
      <c r="AP57" s="82"/>
      <c r="AS57" s="83"/>
      <c r="AW57" s="83"/>
      <c r="BA57" s="84"/>
    </row>
    <row r="58" spans="1:53" s="334" customFormat="1" x14ac:dyDescent="0.15">
      <c r="A58" s="386">
        <v>1984</v>
      </c>
      <c r="B58" s="355">
        <v>30889</v>
      </c>
      <c r="C58" s="812" t="s">
        <v>650</v>
      </c>
      <c r="D58" s="812"/>
      <c r="E58" s="334">
        <f>366-E57</f>
        <v>159</v>
      </c>
      <c r="F58" s="334">
        <v>1</v>
      </c>
      <c r="G58" s="419"/>
      <c r="I58" s="334">
        <v>20</v>
      </c>
      <c r="J58" s="435">
        <v>20</v>
      </c>
      <c r="K58" s="384">
        <f t="shared" ref="K58:M118" si="4">G58/$J58*100</f>
        <v>0</v>
      </c>
      <c r="L58" s="384">
        <f t="shared" si="4"/>
        <v>0</v>
      </c>
      <c r="M58" s="384">
        <f t="shared" si="4"/>
        <v>100</v>
      </c>
      <c r="N58" s="421">
        <f t="shared" si="2"/>
        <v>100</v>
      </c>
      <c r="O58" s="383"/>
      <c r="P58" s="384"/>
      <c r="Q58" s="384">
        <v>60</v>
      </c>
      <c r="R58" s="385">
        <f t="shared" si="3"/>
        <v>60</v>
      </c>
      <c r="S58" s="334">
        <v>1</v>
      </c>
      <c r="T58" s="342">
        <v>30877</v>
      </c>
      <c r="U58" s="355">
        <v>30889</v>
      </c>
      <c r="V58" s="343" t="s">
        <v>464</v>
      </c>
      <c r="W58" s="334" t="s">
        <v>20</v>
      </c>
      <c r="X58" s="334" t="s">
        <v>12</v>
      </c>
      <c r="Y58" s="344">
        <v>60</v>
      </c>
      <c r="AD58" s="343"/>
      <c r="AG58" s="344"/>
      <c r="AL58" s="343"/>
      <c r="AO58" s="344"/>
      <c r="AP58" s="343"/>
      <c r="AS58" s="344"/>
      <c r="AW58" s="344"/>
      <c r="BA58" s="345"/>
    </row>
    <row r="59" spans="1:53" s="334" customFormat="1" x14ac:dyDescent="0.15">
      <c r="A59" s="386">
        <v>1985</v>
      </c>
      <c r="B59" s="355"/>
      <c r="C59" s="812" t="s">
        <v>650</v>
      </c>
      <c r="D59" s="812"/>
      <c r="E59" s="334">
        <v>0</v>
      </c>
      <c r="G59" s="419"/>
      <c r="I59" s="334">
        <v>20</v>
      </c>
      <c r="J59" s="435">
        <v>20</v>
      </c>
      <c r="K59" s="384">
        <f t="shared" si="4"/>
        <v>0</v>
      </c>
      <c r="L59" s="384">
        <f t="shared" si="4"/>
        <v>0</v>
      </c>
      <c r="M59" s="384">
        <f t="shared" si="4"/>
        <v>100</v>
      </c>
      <c r="N59" s="421">
        <f t="shared" si="2"/>
        <v>100</v>
      </c>
      <c r="O59" s="383"/>
      <c r="P59" s="384"/>
      <c r="Q59" s="384">
        <v>60</v>
      </c>
      <c r="R59" s="385">
        <f t="shared" si="3"/>
        <v>60</v>
      </c>
      <c r="S59" s="334">
        <v>1</v>
      </c>
      <c r="T59" s="357"/>
      <c r="V59" s="343" t="s">
        <v>464</v>
      </c>
      <c r="W59" s="334" t="s">
        <v>20</v>
      </c>
      <c r="X59" s="334" t="s">
        <v>12</v>
      </c>
      <c r="Y59" s="344">
        <v>60</v>
      </c>
      <c r="AD59" s="343"/>
      <c r="AG59" s="344"/>
      <c r="AL59" s="343"/>
      <c r="AO59" s="344"/>
      <c r="AP59" s="343"/>
      <c r="AS59" s="344"/>
      <c r="AW59" s="344"/>
      <c r="BA59" s="345"/>
    </row>
    <row r="60" spans="1:53" s="334" customFormat="1" x14ac:dyDescent="0.15">
      <c r="A60" s="386">
        <v>1985</v>
      </c>
      <c r="B60" s="355"/>
      <c r="C60" s="812" t="s">
        <v>650</v>
      </c>
      <c r="D60" s="812"/>
      <c r="E60" s="334">
        <v>365</v>
      </c>
      <c r="G60" s="419"/>
      <c r="I60" s="334">
        <v>20</v>
      </c>
      <c r="J60" s="435">
        <v>20</v>
      </c>
      <c r="K60" s="384">
        <f t="shared" si="4"/>
        <v>0</v>
      </c>
      <c r="L60" s="384">
        <f t="shared" si="4"/>
        <v>0</v>
      </c>
      <c r="M60" s="384">
        <f t="shared" si="4"/>
        <v>100</v>
      </c>
      <c r="N60" s="421">
        <f t="shared" si="2"/>
        <v>100</v>
      </c>
      <c r="O60" s="383"/>
      <c r="P60" s="384"/>
      <c r="Q60" s="384">
        <v>60</v>
      </c>
      <c r="R60" s="385">
        <f t="shared" si="3"/>
        <v>60</v>
      </c>
      <c r="S60" s="334">
        <v>1</v>
      </c>
      <c r="T60" s="357"/>
      <c r="V60" s="343" t="s">
        <v>464</v>
      </c>
      <c r="W60" s="334" t="s">
        <v>20</v>
      </c>
      <c r="X60" s="334" t="s">
        <v>12</v>
      </c>
      <c r="Y60" s="344">
        <v>60</v>
      </c>
      <c r="AD60" s="343"/>
      <c r="AG60" s="344"/>
      <c r="AL60" s="343"/>
      <c r="AO60" s="344"/>
      <c r="AP60" s="343"/>
      <c r="AS60" s="344"/>
      <c r="AW60" s="344"/>
      <c r="BA60" s="345"/>
    </row>
    <row r="61" spans="1:53" s="334" customFormat="1" x14ac:dyDescent="0.15">
      <c r="A61" s="386">
        <v>1986</v>
      </c>
      <c r="B61" s="355"/>
      <c r="C61" s="812" t="s">
        <v>650</v>
      </c>
      <c r="D61" s="812"/>
      <c r="E61" s="334">
        <v>0</v>
      </c>
      <c r="G61" s="419"/>
      <c r="I61" s="334">
        <v>20</v>
      </c>
      <c r="J61" s="435">
        <v>20</v>
      </c>
      <c r="K61" s="384">
        <f t="shared" si="4"/>
        <v>0</v>
      </c>
      <c r="L61" s="384">
        <f t="shared" si="4"/>
        <v>0</v>
      </c>
      <c r="M61" s="384">
        <f t="shared" si="4"/>
        <v>100</v>
      </c>
      <c r="N61" s="421">
        <f t="shared" si="2"/>
        <v>100</v>
      </c>
      <c r="O61" s="383"/>
      <c r="P61" s="384"/>
      <c r="Q61" s="384">
        <v>60</v>
      </c>
      <c r="R61" s="385">
        <f t="shared" si="3"/>
        <v>60</v>
      </c>
      <c r="S61" s="334">
        <v>1</v>
      </c>
      <c r="T61" s="357"/>
      <c r="V61" s="343" t="s">
        <v>464</v>
      </c>
      <c r="W61" s="334" t="s">
        <v>20</v>
      </c>
      <c r="X61" s="334" t="s">
        <v>12</v>
      </c>
      <c r="Y61" s="344">
        <v>60</v>
      </c>
      <c r="AD61" s="343"/>
      <c r="AG61" s="344"/>
      <c r="AL61" s="343"/>
      <c r="AO61" s="344"/>
      <c r="AP61" s="343"/>
      <c r="AS61" s="344"/>
      <c r="AW61" s="344"/>
      <c r="BA61" s="345"/>
    </row>
    <row r="62" spans="1:53" s="334" customFormat="1" x14ac:dyDescent="0.15">
      <c r="A62" s="386">
        <v>1986</v>
      </c>
      <c r="B62" s="355"/>
      <c r="C62" s="812" t="s">
        <v>650</v>
      </c>
      <c r="D62" s="812"/>
      <c r="E62" s="334">
        <v>365</v>
      </c>
      <c r="G62" s="419"/>
      <c r="I62" s="334">
        <v>20</v>
      </c>
      <c r="J62" s="435">
        <v>20</v>
      </c>
      <c r="K62" s="384">
        <f t="shared" si="4"/>
        <v>0</v>
      </c>
      <c r="L62" s="384">
        <f t="shared" si="4"/>
        <v>0</v>
      </c>
      <c r="M62" s="384">
        <f t="shared" si="4"/>
        <v>100</v>
      </c>
      <c r="N62" s="421">
        <f t="shared" si="2"/>
        <v>100</v>
      </c>
      <c r="O62" s="383"/>
      <c r="P62" s="384"/>
      <c r="Q62" s="384">
        <v>60</v>
      </c>
      <c r="R62" s="385">
        <f t="shared" si="3"/>
        <v>60</v>
      </c>
      <c r="S62" s="334">
        <v>1</v>
      </c>
      <c r="T62" s="357"/>
      <c r="V62" s="343" t="s">
        <v>464</v>
      </c>
      <c r="W62" s="334" t="s">
        <v>20</v>
      </c>
      <c r="X62" s="334" t="s">
        <v>12</v>
      </c>
      <c r="Y62" s="344">
        <v>60</v>
      </c>
      <c r="AD62" s="343"/>
      <c r="AG62" s="344"/>
      <c r="AL62" s="343"/>
      <c r="AO62" s="344"/>
      <c r="AP62" s="343"/>
      <c r="AS62" s="344"/>
      <c r="AW62" s="344"/>
      <c r="BA62" s="345"/>
    </row>
    <row r="63" spans="1:53" s="334" customFormat="1" x14ac:dyDescent="0.15">
      <c r="A63" s="386">
        <v>1987</v>
      </c>
      <c r="B63" s="355"/>
      <c r="C63" s="812" t="s">
        <v>650</v>
      </c>
      <c r="D63" s="812"/>
      <c r="E63" s="334">
        <v>230</v>
      </c>
      <c r="G63" s="419"/>
      <c r="I63" s="334">
        <v>20</v>
      </c>
      <c r="J63" s="435">
        <v>20</v>
      </c>
      <c r="K63" s="384">
        <f t="shared" si="4"/>
        <v>0</v>
      </c>
      <c r="L63" s="384">
        <f t="shared" si="4"/>
        <v>0</v>
      </c>
      <c r="M63" s="384">
        <f t="shared" si="4"/>
        <v>100</v>
      </c>
      <c r="N63" s="421">
        <f t="shared" si="2"/>
        <v>100</v>
      </c>
      <c r="O63" s="383"/>
      <c r="P63" s="384"/>
      <c r="Q63" s="384">
        <v>60</v>
      </c>
      <c r="R63" s="385">
        <f t="shared" si="3"/>
        <v>60</v>
      </c>
      <c r="S63" s="334">
        <v>1</v>
      </c>
      <c r="T63" s="357"/>
      <c r="V63" s="343" t="s">
        <v>464</v>
      </c>
      <c r="W63" s="334" t="s">
        <v>20</v>
      </c>
      <c r="X63" s="334" t="s">
        <v>12</v>
      </c>
      <c r="Y63" s="344">
        <v>60</v>
      </c>
      <c r="AD63" s="343"/>
      <c r="AG63" s="344"/>
      <c r="AL63" s="343"/>
      <c r="AO63" s="344"/>
      <c r="AP63" s="343"/>
      <c r="AS63" s="344"/>
      <c r="AW63" s="344"/>
      <c r="BA63" s="345"/>
    </row>
    <row r="64" spans="1:53" s="208" customFormat="1" x14ac:dyDescent="0.15">
      <c r="A64" s="102">
        <v>1987</v>
      </c>
      <c r="B64" s="207">
        <v>32008</v>
      </c>
      <c r="C64" s="811" t="s">
        <v>651</v>
      </c>
      <c r="D64" s="811"/>
      <c r="E64" s="208">
        <f>365-E63</f>
        <v>135</v>
      </c>
      <c r="F64" s="208">
        <v>1</v>
      </c>
      <c r="G64" s="123"/>
      <c r="I64" s="208">
        <v>19</v>
      </c>
      <c r="J64" s="134">
        <v>19</v>
      </c>
      <c r="K64" s="92">
        <f t="shared" si="4"/>
        <v>0</v>
      </c>
      <c r="L64" s="92">
        <f t="shared" si="4"/>
        <v>0</v>
      </c>
      <c r="M64" s="92">
        <f t="shared" si="4"/>
        <v>100</v>
      </c>
      <c r="N64" s="125">
        <f t="shared" si="2"/>
        <v>100</v>
      </c>
      <c r="O64" s="91"/>
      <c r="P64" s="92"/>
      <c r="Q64" s="92">
        <v>58.8</v>
      </c>
      <c r="R64" s="93">
        <f t="shared" si="3"/>
        <v>58.8</v>
      </c>
      <c r="S64" s="208">
        <v>1</v>
      </c>
      <c r="T64" s="95">
        <v>32004</v>
      </c>
      <c r="U64" s="207">
        <v>32008</v>
      </c>
      <c r="V64" s="82" t="s">
        <v>464</v>
      </c>
      <c r="W64" s="208" t="s">
        <v>20</v>
      </c>
      <c r="X64" s="208" t="s">
        <v>12</v>
      </c>
      <c r="Y64" s="83">
        <v>58.8</v>
      </c>
      <c r="AD64" s="82"/>
      <c r="AG64" s="83"/>
      <c r="AL64" s="82"/>
      <c r="AO64" s="83"/>
      <c r="AP64" s="82"/>
      <c r="AS64" s="83"/>
      <c r="AW64" s="83"/>
      <c r="BA64" s="84"/>
    </row>
    <row r="65" spans="1:53" s="208" customFormat="1" x14ac:dyDescent="0.15">
      <c r="A65" s="102">
        <v>1988</v>
      </c>
      <c r="B65" s="207"/>
      <c r="C65" s="811" t="s">
        <v>651</v>
      </c>
      <c r="D65" s="811"/>
      <c r="E65" s="208">
        <v>0</v>
      </c>
      <c r="G65" s="123"/>
      <c r="I65" s="208">
        <v>19</v>
      </c>
      <c r="J65" s="134">
        <v>19</v>
      </c>
      <c r="K65" s="92">
        <f t="shared" si="4"/>
        <v>0</v>
      </c>
      <c r="L65" s="92">
        <f t="shared" si="4"/>
        <v>0</v>
      </c>
      <c r="M65" s="92">
        <f t="shared" si="4"/>
        <v>100</v>
      </c>
      <c r="N65" s="125">
        <f t="shared" si="2"/>
        <v>100</v>
      </c>
      <c r="O65" s="91"/>
      <c r="P65" s="92"/>
      <c r="Q65" s="92">
        <v>58.8</v>
      </c>
      <c r="R65" s="93">
        <f t="shared" si="3"/>
        <v>58.8</v>
      </c>
      <c r="S65" s="208">
        <v>1</v>
      </c>
      <c r="T65" s="81"/>
      <c r="V65" s="82" t="s">
        <v>464</v>
      </c>
      <c r="W65" s="208" t="s">
        <v>20</v>
      </c>
      <c r="X65" s="208" t="s">
        <v>12</v>
      </c>
      <c r="Y65" s="83">
        <v>58.8</v>
      </c>
      <c r="AD65" s="82"/>
      <c r="AG65" s="83"/>
      <c r="AL65" s="82"/>
      <c r="AO65" s="83"/>
      <c r="AP65" s="82"/>
      <c r="AS65" s="83"/>
      <c r="AW65" s="83"/>
      <c r="BA65" s="84"/>
    </row>
    <row r="66" spans="1:53" s="208" customFormat="1" x14ac:dyDescent="0.15">
      <c r="A66" s="102">
        <v>1988</v>
      </c>
      <c r="B66" s="207"/>
      <c r="C66" s="811" t="s">
        <v>651</v>
      </c>
      <c r="D66" s="811"/>
      <c r="E66" s="208">
        <v>366</v>
      </c>
      <c r="G66" s="123"/>
      <c r="I66" s="208">
        <v>19</v>
      </c>
      <c r="J66" s="134">
        <v>19</v>
      </c>
      <c r="K66" s="92">
        <f t="shared" si="4"/>
        <v>0</v>
      </c>
      <c r="L66" s="92">
        <f t="shared" si="4"/>
        <v>0</v>
      </c>
      <c r="M66" s="92">
        <f t="shared" si="4"/>
        <v>100</v>
      </c>
      <c r="N66" s="125">
        <f t="shared" si="2"/>
        <v>100</v>
      </c>
      <c r="O66" s="91"/>
      <c r="P66" s="92"/>
      <c r="Q66" s="92">
        <v>58.8</v>
      </c>
      <c r="R66" s="93">
        <f t="shared" si="3"/>
        <v>58.8</v>
      </c>
      <c r="S66" s="208">
        <v>1</v>
      </c>
      <c r="T66" s="81"/>
      <c r="V66" s="82" t="s">
        <v>464</v>
      </c>
      <c r="W66" s="208" t="s">
        <v>20</v>
      </c>
      <c r="X66" s="208" t="s">
        <v>12</v>
      </c>
      <c r="Y66" s="83">
        <v>58.8</v>
      </c>
      <c r="AD66" s="82"/>
      <c r="AG66" s="83"/>
      <c r="AL66" s="82"/>
      <c r="AO66" s="83"/>
      <c r="AP66" s="82"/>
      <c r="AS66" s="83"/>
      <c r="AW66" s="83"/>
      <c r="BA66" s="84"/>
    </row>
    <row r="67" spans="1:53" s="208" customFormat="1" x14ac:dyDescent="0.15">
      <c r="A67" s="102">
        <v>1989</v>
      </c>
      <c r="B67" s="207"/>
      <c r="C67" s="811" t="s">
        <v>651</v>
      </c>
      <c r="D67" s="811"/>
      <c r="E67" s="208">
        <v>222</v>
      </c>
      <c r="G67" s="123"/>
      <c r="I67" s="208">
        <v>19</v>
      </c>
      <c r="J67" s="134">
        <v>19</v>
      </c>
      <c r="K67" s="92">
        <f t="shared" si="4"/>
        <v>0</v>
      </c>
      <c r="L67" s="92">
        <f t="shared" si="4"/>
        <v>0</v>
      </c>
      <c r="M67" s="92">
        <f t="shared" si="4"/>
        <v>100</v>
      </c>
      <c r="N67" s="125">
        <f t="shared" si="2"/>
        <v>100</v>
      </c>
      <c r="O67" s="91"/>
      <c r="P67" s="92"/>
      <c r="Q67" s="92">
        <v>58.8</v>
      </c>
      <c r="R67" s="93">
        <f t="shared" si="3"/>
        <v>58.8</v>
      </c>
      <c r="S67" s="208">
        <v>1</v>
      </c>
      <c r="T67" s="81"/>
      <c r="V67" s="82" t="s">
        <v>464</v>
      </c>
      <c r="W67" s="208" t="s">
        <v>20</v>
      </c>
      <c r="X67" s="208" t="s">
        <v>12</v>
      </c>
      <c r="Y67" s="83">
        <v>58.8</v>
      </c>
      <c r="AD67" s="82"/>
      <c r="AG67" s="83"/>
      <c r="AL67" s="82"/>
      <c r="AO67" s="83"/>
      <c r="AP67" s="82"/>
      <c r="AS67" s="83"/>
      <c r="AW67" s="83"/>
      <c r="BA67" s="84"/>
    </row>
    <row r="68" spans="1:53" s="104" customFormat="1" x14ac:dyDescent="0.15">
      <c r="A68" s="201">
        <v>1989</v>
      </c>
      <c r="B68" s="407">
        <v>32731</v>
      </c>
      <c r="C68" s="818" t="s">
        <v>652</v>
      </c>
      <c r="D68" s="818"/>
      <c r="E68" s="104">
        <f>365-E67</f>
        <v>143</v>
      </c>
      <c r="F68" s="104">
        <v>2</v>
      </c>
      <c r="G68" s="447"/>
      <c r="I68" s="104">
        <v>19</v>
      </c>
      <c r="J68" s="435">
        <v>19</v>
      </c>
      <c r="K68" s="384">
        <f t="shared" si="4"/>
        <v>0</v>
      </c>
      <c r="L68" s="384">
        <f t="shared" si="4"/>
        <v>0</v>
      </c>
      <c r="M68" s="384">
        <f t="shared" si="4"/>
        <v>100</v>
      </c>
      <c r="N68" s="421">
        <f t="shared" si="2"/>
        <v>100</v>
      </c>
      <c r="O68" s="403"/>
      <c r="P68" s="404"/>
      <c r="Q68" s="384">
        <v>58.8</v>
      </c>
      <c r="R68" s="385">
        <f t="shared" si="3"/>
        <v>58.8</v>
      </c>
      <c r="S68" s="104">
        <v>1</v>
      </c>
      <c r="T68" s="458"/>
      <c r="U68" s="407">
        <v>32731</v>
      </c>
      <c r="V68" s="343" t="s">
        <v>464</v>
      </c>
      <c r="W68" s="334" t="s">
        <v>20</v>
      </c>
      <c r="X68" s="334" t="s">
        <v>12</v>
      </c>
      <c r="Y68" s="344">
        <v>58.8</v>
      </c>
      <c r="AD68" s="105"/>
      <c r="AG68" s="106"/>
      <c r="AL68" s="105"/>
      <c r="AO68" s="106"/>
      <c r="AP68" s="105"/>
      <c r="AS68" s="106"/>
      <c r="AW68" s="106"/>
      <c r="BA68" s="107"/>
    </row>
    <row r="69" spans="1:53" s="334" customFormat="1" x14ac:dyDescent="0.15">
      <c r="A69" s="334">
        <v>1990</v>
      </c>
      <c r="C69" s="853" t="s">
        <v>652</v>
      </c>
      <c r="D69" s="853"/>
      <c r="E69" s="334">
        <v>305</v>
      </c>
      <c r="G69" s="419">
        <v>0</v>
      </c>
      <c r="H69" s="334">
        <v>0</v>
      </c>
      <c r="I69" s="334">
        <v>19</v>
      </c>
      <c r="J69" s="459">
        <v>19</v>
      </c>
      <c r="K69" s="460">
        <f t="shared" si="4"/>
        <v>0</v>
      </c>
      <c r="L69" s="461">
        <f t="shared" si="4"/>
        <v>0</v>
      </c>
      <c r="M69" s="461">
        <f t="shared" si="4"/>
        <v>100</v>
      </c>
      <c r="N69" s="462">
        <f t="shared" si="2"/>
        <v>100</v>
      </c>
      <c r="O69" s="383"/>
      <c r="P69" s="384"/>
      <c r="Q69" s="461">
        <v>58.8</v>
      </c>
      <c r="R69" s="462">
        <f t="shared" si="3"/>
        <v>58.8</v>
      </c>
      <c r="S69" s="334">
        <v>1</v>
      </c>
      <c r="T69" s="357"/>
      <c r="V69" s="463" t="s">
        <v>464</v>
      </c>
      <c r="W69" s="103" t="s">
        <v>20</v>
      </c>
      <c r="X69" s="103" t="s">
        <v>12</v>
      </c>
      <c r="Y69" s="464">
        <v>58.8</v>
      </c>
      <c r="AD69" s="343"/>
      <c r="AG69" s="344"/>
      <c r="AL69" s="343"/>
      <c r="AO69" s="344"/>
      <c r="AP69" s="343"/>
      <c r="AS69" s="344"/>
      <c r="AW69" s="344"/>
      <c r="BA69" s="345"/>
    </row>
    <row r="70" spans="1:53" s="208" customFormat="1" x14ac:dyDescent="0.15">
      <c r="A70" s="208">
        <v>1990</v>
      </c>
      <c r="B70" s="207">
        <v>33179</v>
      </c>
      <c r="C70" s="811" t="s">
        <v>653</v>
      </c>
      <c r="D70" s="811"/>
      <c r="E70" s="208">
        <f>365-E69</f>
        <v>60</v>
      </c>
      <c r="F70" s="208">
        <v>1</v>
      </c>
      <c r="G70" s="123">
        <v>20</v>
      </c>
      <c r="H70" s="208">
        <v>0</v>
      </c>
      <c r="I70" s="208">
        <v>0</v>
      </c>
      <c r="J70" s="134">
        <v>20</v>
      </c>
      <c r="K70" s="92">
        <f t="shared" si="4"/>
        <v>100</v>
      </c>
      <c r="L70" s="92">
        <f t="shared" si="4"/>
        <v>0</v>
      </c>
      <c r="M70" s="92">
        <f t="shared" si="4"/>
        <v>0</v>
      </c>
      <c r="N70" s="125">
        <f t="shared" si="2"/>
        <v>100</v>
      </c>
      <c r="O70" s="91">
        <v>70.099999999999994</v>
      </c>
      <c r="P70" s="92"/>
      <c r="Q70" s="92"/>
      <c r="R70" s="93">
        <f t="shared" si="3"/>
        <v>70.099999999999994</v>
      </c>
      <c r="S70" s="208">
        <v>1</v>
      </c>
      <c r="T70" s="95">
        <v>33173</v>
      </c>
      <c r="U70" s="207">
        <v>33179</v>
      </c>
      <c r="V70" s="82" t="s">
        <v>465</v>
      </c>
      <c r="W70" s="208" t="s">
        <v>74</v>
      </c>
      <c r="X70" s="208" t="s">
        <v>11</v>
      </c>
      <c r="Y70" s="83">
        <v>70.099999999999994</v>
      </c>
      <c r="AD70" s="82"/>
      <c r="AG70" s="83"/>
      <c r="AL70" s="82"/>
      <c r="AO70" s="83"/>
      <c r="AP70" s="82"/>
      <c r="AS70" s="83"/>
      <c r="AW70" s="83"/>
      <c r="BA70" s="84"/>
    </row>
    <row r="71" spans="1:53" s="208" customFormat="1" x14ac:dyDescent="0.15">
      <c r="A71" s="208">
        <v>1991</v>
      </c>
      <c r="C71" s="811" t="s">
        <v>653</v>
      </c>
      <c r="D71" s="811"/>
      <c r="E71" s="208">
        <v>0</v>
      </c>
      <c r="G71" s="123">
        <v>20</v>
      </c>
      <c r="H71" s="208">
        <v>0</v>
      </c>
      <c r="I71" s="208">
        <v>0</v>
      </c>
      <c r="J71" s="134">
        <v>20</v>
      </c>
      <c r="K71" s="92">
        <f t="shared" si="4"/>
        <v>100</v>
      </c>
      <c r="L71" s="92">
        <f t="shared" si="4"/>
        <v>0</v>
      </c>
      <c r="M71" s="92">
        <f t="shared" si="4"/>
        <v>0</v>
      </c>
      <c r="N71" s="125">
        <f t="shared" si="2"/>
        <v>100</v>
      </c>
      <c r="O71" s="91">
        <v>70.099999999999994</v>
      </c>
      <c r="P71" s="92"/>
      <c r="Q71" s="92"/>
      <c r="R71" s="93">
        <f t="shared" si="3"/>
        <v>70.099999999999994</v>
      </c>
      <c r="S71" s="208">
        <v>1</v>
      </c>
      <c r="T71" s="81"/>
      <c r="V71" s="82" t="s">
        <v>465</v>
      </c>
      <c r="W71" s="208" t="s">
        <v>74</v>
      </c>
      <c r="X71" s="208" t="s">
        <v>11</v>
      </c>
      <c r="Y71" s="83">
        <v>70.099999999999994</v>
      </c>
      <c r="AD71" s="82"/>
      <c r="AG71" s="83"/>
      <c r="AL71" s="82"/>
      <c r="AO71" s="83"/>
      <c r="AP71" s="82"/>
      <c r="AS71" s="83"/>
      <c r="AW71" s="83"/>
      <c r="BA71" s="84"/>
    </row>
    <row r="72" spans="1:53" s="208" customFormat="1" x14ac:dyDescent="0.15">
      <c r="A72" s="208">
        <v>1991</v>
      </c>
      <c r="C72" s="811" t="s">
        <v>653</v>
      </c>
      <c r="D72" s="811"/>
      <c r="E72" s="208">
        <f>365-E71</f>
        <v>365</v>
      </c>
      <c r="G72" s="123">
        <v>20</v>
      </c>
      <c r="H72" s="208">
        <v>0</v>
      </c>
      <c r="I72" s="208">
        <v>0</v>
      </c>
      <c r="J72" s="134">
        <v>20</v>
      </c>
      <c r="K72" s="92">
        <f t="shared" si="4"/>
        <v>100</v>
      </c>
      <c r="L72" s="92">
        <f t="shared" si="4"/>
        <v>0</v>
      </c>
      <c r="M72" s="92">
        <f t="shared" si="4"/>
        <v>0</v>
      </c>
      <c r="N72" s="125">
        <f t="shared" si="2"/>
        <v>100</v>
      </c>
      <c r="O72" s="91">
        <v>70.099999999999994</v>
      </c>
      <c r="P72" s="92"/>
      <c r="Q72" s="92"/>
      <c r="R72" s="93">
        <f t="shared" si="3"/>
        <v>70.099999999999994</v>
      </c>
      <c r="S72" s="208">
        <v>1</v>
      </c>
      <c r="T72" s="81"/>
      <c r="V72" s="82" t="s">
        <v>465</v>
      </c>
      <c r="W72" s="208" t="s">
        <v>74</v>
      </c>
      <c r="X72" s="208" t="s">
        <v>11</v>
      </c>
      <c r="Y72" s="83">
        <v>70.099999999999994</v>
      </c>
      <c r="AD72" s="82"/>
      <c r="AG72" s="83"/>
      <c r="AL72" s="82"/>
      <c r="AO72" s="83"/>
      <c r="AP72" s="82"/>
      <c r="AS72" s="83"/>
      <c r="AW72" s="83"/>
      <c r="BA72" s="84"/>
    </row>
    <row r="73" spans="1:53" s="208" customFormat="1" x14ac:dyDescent="0.15">
      <c r="A73" s="208">
        <v>1992</v>
      </c>
      <c r="C73" s="811" t="s">
        <v>653</v>
      </c>
      <c r="D73" s="811"/>
      <c r="E73" s="208">
        <v>0</v>
      </c>
      <c r="G73" s="123">
        <v>20</v>
      </c>
      <c r="H73" s="208">
        <v>0</v>
      </c>
      <c r="I73" s="208">
        <v>0</v>
      </c>
      <c r="J73" s="134">
        <v>20</v>
      </c>
      <c r="K73" s="92">
        <f t="shared" si="4"/>
        <v>100</v>
      </c>
      <c r="L73" s="92">
        <f t="shared" si="4"/>
        <v>0</v>
      </c>
      <c r="M73" s="92">
        <f t="shared" si="4"/>
        <v>0</v>
      </c>
      <c r="N73" s="125">
        <f t="shared" ref="N73:N118" si="5">K73+L73+M73</f>
        <v>100</v>
      </c>
      <c r="O73" s="91">
        <v>70.099999999999994</v>
      </c>
      <c r="P73" s="92"/>
      <c r="Q73" s="92"/>
      <c r="R73" s="93">
        <f t="shared" ref="R73:R116" si="6">O73+P73+Q73</f>
        <v>70.099999999999994</v>
      </c>
      <c r="S73" s="208">
        <v>1</v>
      </c>
      <c r="T73" s="81"/>
      <c r="V73" s="82" t="s">
        <v>465</v>
      </c>
      <c r="W73" s="208" t="s">
        <v>74</v>
      </c>
      <c r="X73" s="208" t="s">
        <v>11</v>
      </c>
      <c r="Y73" s="83">
        <v>70.099999999999994</v>
      </c>
      <c r="AD73" s="82"/>
      <c r="AG73" s="83"/>
      <c r="AL73" s="82"/>
      <c r="AO73" s="83"/>
      <c r="AP73" s="82"/>
      <c r="AS73" s="83"/>
      <c r="AW73" s="83"/>
      <c r="BA73" s="84"/>
    </row>
    <row r="74" spans="1:53" s="208" customFormat="1" x14ac:dyDescent="0.15">
      <c r="A74" s="208">
        <v>1992</v>
      </c>
      <c r="C74" s="811" t="s">
        <v>653</v>
      </c>
      <c r="D74" s="811"/>
      <c r="E74" s="208">
        <v>366</v>
      </c>
      <c r="G74" s="123">
        <v>20</v>
      </c>
      <c r="H74" s="208">
        <v>0</v>
      </c>
      <c r="I74" s="208">
        <v>0</v>
      </c>
      <c r="J74" s="134">
        <v>20</v>
      </c>
      <c r="K74" s="92">
        <f t="shared" si="4"/>
        <v>100</v>
      </c>
      <c r="L74" s="92">
        <f t="shared" si="4"/>
        <v>0</v>
      </c>
      <c r="M74" s="92">
        <f t="shared" si="4"/>
        <v>0</v>
      </c>
      <c r="N74" s="125">
        <f t="shared" si="5"/>
        <v>100</v>
      </c>
      <c r="O74" s="91">
        <v>70.099999999999994</v>
      </c>
      <c r="P74" s="92"/>
      <c r="Q74" s="92"/>
      <c r="R74" s="93">
        <f t="shared" si="6"/>
        <v>70.099999999999994</v>
      </c>
      <c r="S74" s="208">
        <v>1</v>
      </c>
      <c r="T74" s="81"/>
      <c r="V74" s="82" t="s">
        <v>465</v>
      </c>
      <c r="W74" s="208" t="s">
        <v>74</v>
      </c>
      <c r="X74" s="208" t="s">
        <v>11</v>
      </c>
      <c r="Y74" s="83">
        <v>70.099999999999994</v>
      </c>
      <c r="AD74" s="82"/>
      <c r="AG74" s="83"/>
      <c r="AL74" s="82"/>
      <c r="AO74" s="83"/>
      <c r="AP74" s="82"/>
      <c r="AS74" s="83"/>
      <c r="AW74" s="83"/>
      <c r="BA74" s="84"/>
    </row>
    <row r="75" spans="1:53" s="208" customFormat="1" x14ac:dyDescent="0.15">
      <c r="A75" s="208">
        <v>1993</v>
      </c>
      <c r="C75" s="811" t="s">
        <v>653</v>
      </c>
      <c r="D75" s="811"/>
      <c r="E75" s="208">
        <v>331</v>
      </c>
      <c r="G75" s="123">
        <v>20</v>
      </c>
      <c r="H75" s="208">
        <v>0</v>
      </c>
      <c r="I75" s="208">
        <v>0</v>
      </c>
      <c r="J75" s="134">
        <v>20</v>
      </c>
      <c r="K75" s="92">
        <f t="shared" si="4"/>
        <v>100</v>
      </c>
      <c r="L75" s="92">
        <f t="shared" si="4"/>
        <v>0</v>
      </c>
      <c r="M75" s="92">
        <f t="shared" si="4"/>
        <v>0</v>
      </c>
      <c r="N75" s="125">
        <f t="shared" si="5"/>
        <v>100</v>
      </c>
      <c r="O75" s="91">
        <v>70.099999999999994</v>
      </c>
      <c r="P75" s="92"/>
      <c r="Q75" s="92"/>
      <c r="R75" s="93">
        <f t="shared" si="6"/>
        <v>70.099999999999994</v>
      </c>
      <c r="S75" s="208">
        <v>1</v>
      </c>
      <c r="T75" s="81"/>
      <c r="V75" s="82" t="s">
        <v>465</v>
      </c>
      <c r="W75" s="208" t="s">
        <v>74</v>
      </c>
      <c r="X75" s="208" t="s">
        <v>11</v>
      </c>
      <c r="Y75" s="83">
        <v>70.099999999999994</v>
      </c>
      <c r="AD75" s="82"/>
      <c r="AG75" s="83"/>
      <c r="AL75" s="82"/>
      <c r="AO75" s="83"/>
      <c r="AP75" s="82"/>
      <c r="AS75" s="83"/>
      <c r="AW75" s="83"/>
      <c r="BA75" s="84"/>
    </row>
    <row r="76" spans="1:53" s="334" customFormat="1" x14ac:dyDescent="0.15">
      <c r="A76" s="334">
        <v>1993</v>
      </c>
      <c r="B76" s="355">
        <v>34301</v>
      </c>
      <c r="C76" s="812" t="s">
        <v>654</v>
      </c>
      <c r="D76" s="812"/>
      <c r="E76" s="334">
        <f>365-E75</f>
        <v>34</v>
      </c>
      <c r="F76" s="334">
        <v>1</v>
      </c>
      <c r="G76" s="419">
        <v>20</v>
      </c>
      <c r="H76" s="334">
        <v>0</v>
      </c>
      <c r="I76" s="334">
        <v>0</v>
      </c>
      <c r="J76" s="435">
        <v>20</v>
      </c>
      <c r="K76" s="384">
        <f t="shared" si="4"/>
        <v>100</v>
      </c>
      <c r="L76" s="384">
        <f t="shared" si="4"/>
        <v>0</v>
      </c>
      <c r="M76" s="384">
        <f t="shared" si="4"/>
        <v>0</v>
      </c>
      <c r="N76" s="421">
        <f t="shared" si="5"/>
        <v>100</v>
      </c>
      <c r="O76" s="383">
        <v>50.5</v>
      </c>
      <c r="P76" s="384"/>
      <c r="Q76" s="384"/>
      <c r="R76" s="385">
        <f t="shared" si="6"/>
        <v>50.5</v>
      </c>
      <c r="S76" s="334">
        <v>1</v>
      </c>
      <c r="T76" s="342">
        <v>34279</v>
      </c>
      <c r="U76" s="355">
        <v>34301</v>
      </c>
      <c r="V76" s="343" t="s">
        <v>465</v>
      </c>
      <c r="W76" s="334" t="s">
        <v>74</v>
      </c>
      <c r="X76" s="334" t="s">
        <v>11</v>
      </c>
      <c r="Y76" s="344">
        <v>50.5</v>
      </c>
      <c r="AD76" s="343"/>
      <c r="AG76" s="344"/>
      <c r="AL76" s="343"/>
      <c r="AO76" s="344"/>
      <c r="AP76" s="343"/>
      <c r="AS76" s="344"/>
      <c r="AW76" s="344"/>
      <c r="BA76" s="345"/>
    </row>
    <row r="77" spans="1:53" s="334" customFormat="1" x14ac:dyDescent="0.15">
      <c r="A77" s="334">
        <v>1994</v>
      </c>
      <c r="C77" s="812" t="s">
        <v>654</v>
      </c>
      <c r="D77" s="812"/>
      <c r="E77" s="334">
        <v>0</v>
      </c>
      <c r="G77" s="419">
        <v>20</v>
      </c>
      <c r="H77" s="334">
        <v>0</v>
      </c>
      <c r="I77" s="334">
        <v>0</v>
      </c>
      <c r="J77" s="435">
        <v>20</v>
      </c>
      <c r="K77" s="384">
        <f t="shared" si="4"/>
        <v>100</v>
      </c>
      <c r="L77" s="384">
        <f t="shared" si="4"/>
        <v>0</v>
      </c>
      <c r="M77" s="384">
        <f t="shared" si="4"/>
        <v>0</v>
      </c>
      <c r="N77" s="421">
        <f t="shared" si="5"/>
        <v>100</v>
      </c>
      <c r="O77" s="383">
        <v>50.5</v>
      </c>
      <c r="P77" s="384"/>
      <c r="Q77" s="384"/>
      <c r="R77" s="385">
        <f t="shared" si="6"/>
        <v>50.5</v>
      </c>
      <c r="S77" s="334">
        <v>1</v>
      </c>
      <c r="T77" s="357"/>
      <c r="V77" s="343" t="s">
        <v>465</v>
      </c>
      <c r="W77" s="334" t="s">
        <v>74</v>
      </c>
      <c r="X77" s="334" t="s">
        <v>11</v>
      </c>
      <c r="Y77" s="344">
        <v>50.5</v>
      </c>
      <c r="AD77" s="343"/>
      <c r="AG77" s="344"/>
      <c r="AL77" s="343"/>
      <c r="AO77" s="344"/>
      <c r="AP77" s="343"/>
      <c r="AS77" s="344"/>
      <c r="AW77" s="344"/>
      <c r="BA77" s="345"/>
    </row>
    <row r="78" spans="1:53" s="334" customFormat="1" x14ac:dyDescent="0.15">
      <c r="A78" s="334">
        <v>1994</v>
      </c>
      <c r="C78" s="812" t="s">
        <v>654</v>
      </c>
      <c r="D78" s="812"/>
      <c r="E78" s="334">
        <f>365-E77</f>
        <v>365</v>
      </c>
      <c r="G78" s="419">
        <v>20</v>
      </c>
      <c r="H78" s="334">
        <v>0</v>
      </c>
      <c r="I78" s="334">
        <v>0</v>
      </c>
      <c r="J78" s="435">
        <v>20</v>
      </c>
      <c r="K78" s="384">
        <f t="shared" si="4"/>
        <v>100</v>
      </c>
      <c r="L78" s="384">
        <f t="shared" si="4"/>
        <v>0</v>
      </c>
      <c r="M78" s="384">
        <f t="shared" si="4"/>
        <v>0</v>
      </c>
      <c r="N78" s="421">
        <f t="shared" si="5"/>
        <v>100</v>
      </c>
      <c r="O78" s="383">
        <v>50.5</v>
      </c>
      <c r="P78" s="384"/>
      <c r="Q78" s="384"/>
      <c r="R78" s="385">
        <f t="shared" si="6"/>
        <v>50.5</v>
      </c>
      <c r="S78" s="334">
        <v>1</v>
      </c>
      <c r="T78" s="357"/>
      <c r="V78" s="343" t="s">
        <v>465</v>
      </c>
      <c r="W78" s="334" t="s">
        <v>74</v>
      </c>
      <c r="X78" s="334" t="s">
        <v>11</v>
      </c>
      <c r="Y78" s="344">
        <v>50.5</v>
      </c>
      <c r="AD78" s="343"/>
      <c r="AG78" s="344"/>
      <c r="AL78" s="343"/>
      <c r="AO78" s="344"/>
      <c r="AP78" s="343"/>
      <c r="AS78" s="344"/>
      <c r="AW78" s="344"/>
      <c r="BA78" s="345"/>
    </row>
    <row r="79" spans="1:53" s="334" customFormat="1" x14ac:dyDescent="0.15">
      <c r="A79" s="334">
        <v>1995</v>
      </c>
      <c r="C79" s="812" t="s">
        <v>654</v>
      </c>
      <c r="D79" s="812"/>
      <c r="E79" s="334">
        <v>0</v>
      </c>
      <c r="G79" s="419">
        <v>20</v>
      </c>
      <c r="H79" s="334">
        <v>0</v>
      </c>
      <c r="I79" s="334">
        <v>0</v>
      </c>
      <c r="J79" s="435">
        <v>20</v>
      </c>
      <c r="K79" s="384">
        <f t="shared" si="4"/>
        <v>100</v>
      </c>
      <c r="L79" s="384">
        <f t="shared" si="4"/>
        <v>0</v>
      </c>
      <c r="M79" s="384">
        <f t="shared" si="4"/>
        <v>0</v>
      </c>
      <c r="N79" s="421">
        <f t="shared" si="5"/>
        <v>100</v>
      </c>
      <c r="O79" s="383">
        <v>50.5</v>
      </c>
      <c r="P79" s="384"/>
      <c r="Q79" s="384"/>
      <c r="R79" s="385">
        <f t="shared" si="6"/>
        <v>50.5</v>
      </c>
      <c r="S79" s="334">
        <v>1</v>
      </c>
      <c r="T79" s="357"/>
      <c r="V79" s="343" t="s">
        <v>465</v>
      </c>
      <c r="W79" s="334" t="s">
        <v>74</v>
      </c>
      <c r="X79" s="334" t="s">
        <v>11</v>
      </c>
      <c r="Y79" s="344">
        <v>50.5</v>
      </c>
      <c r="AD79" s="343"/>
      <c r="AG79" s="344"/>
      <c r="AL79" s="343"/>
      <c r="AO79" s="344"/>
      <c r="AP79" s="343"/>
      <c r="AS79" s="344"/>
      <c r="AW79" s="344"/>
      <c r="BA79" s="345"/>
    </row>
    <row r="80" spans="1:53" s="334" customFormat="1" x14ac:dyDescent="0.15">
      <c r="A80" s="334">
        <v>1995</v>
      </c>
      <c r="C80" s="812" t="s">
        <v>654</v>
      </c>
      <c r="D80" s="812"/>
      <c r="E80" s="334">
        <f>365-E79</f>
        <v>365</v>
      </c>
      <c r="G80" s="419">
        <v>20</v>
      </c>
      <c r="H80" s="334">
        <v>0</v>
      </c>
      <c r="I80" s="334">
        <v>0</v>
      </c>
      <c r="J80" s="435">
        <v>20</v>
      </c>
      <c r="K80" s="384">
        <f t="shared" si="4"/>
        <v>100</v>
      </c>
      <c r="L80" s="384">
        <f t="shared" si="4"/>
        <v>0</v>
      </c>
      <c r="M80" s="384">
        <f t="shared" si="4"/>
        <v>0</v>
      </c>
      <c r="N80" s="421">
        <f t="shared" si="5"/>
        <v>100</v>
      </c>
      <c r="O80" s="383">
        <v>50.5</v>
      </c>
      <c r="P80" s="384"/>
      <c r="Q80" s="384"/>
      <c r="R80" s="385">
        <f t="shared" si="6"/>
        <v>50.5</v>
      </c>
      <c r="S80" s="334">
        <v>1</v>
      </c>
      <c r="T80" s="357"/>
      <c r="V80" s="343" t="s">
        <v>465</v>
      </c>
      <c r="W80" s="334" t="s">
        <v>74</v>
      </c>
      <c r="X80" s="334" t="s">
        <v>11</v>
      </c>
      <c r="Y80" s="344">
        <v>50.5</v>
      </c>
      <c r="AD80" s="343"/>
      <c r="AG80" s="344"/>
      <c r="AL80" s="343"/>
      <c r="AO80" s="344"/>
      <c r="AP80" s="343"/>
      <c r="AS80" s="344"/>
      <c r="AW80" s="344"/>
      <c r="BA80" s="345"/>
    </row>
    <row r="81" spans="1:53" s="334" customFormat="1" x14ac:dyDescent="0.15">
      <c r="A81" s="334">
        <v>1996</v>
      </c>
      <c r="C81" s="812" t="s">
        <v>654</v>
      </c>
      <c r="D81" s="812"/>
      <c r="E81" s="334">
        <v>60</v>
      </c>
      <c r="G81" s="419">
        <v>20</v>
      </c>
      <c r="H81" s="334">
        <v>0</v>
      </c>
      <c r="I81" s="334">
        <v>0</v>
      </c>
      <c r="J81" s="435">
        <v>20</v>
      </c>
      <c r="K81" s="384">
        <f t="shared" si="4"/>
        <v>100</v>
      </c>
      <c r="L81" s="384">
        <f t="shared" si="4"/>
        <v>0</v>
      </c>
      <c r="M81" s="384">
        <f t="shared" si="4"/>
        <v>0</v>
      </c>
      <c r="N81" s="421">
        <f t="shared" si="5"/>
        <v>100</v>
      </c>
      <c r="O81" s="383">
        <v>50.5</v>
      </c>
      <c r="P81" s="384"/>
      <c r="Q81" s="384"/>
      <c r="R81" s="385">
        <f t="shared" si="6"/>
        <v>50.5</v>
      </c>
      <c r="S81" s="334">
        <v>1</v>
      </c>
      <c r="T81" s="357"/>
      <c r="V81" s="343" t="s">
        <v>465</v>
      </c>
      <c r="W81" s="334" t="s">
        <v>74</v>
      </c>
      <c r="X81" s="334" t="s">
        <v>11</v>
      </c>
      <c r="Y81" s="344">
        <v>50.5</v>
      </c>
      <c r="AD81" s="343"/>
      <c r="AG81" s="344"/>
      <c r="AL81" s="343"/>
      <c r="AO81" s="344"/>
      <c r="AP81" s="343"/>
      <c r="AS81" s="344"/>
      <c r="AW81" s="344"/>
      <c r="BA81" s="345"/>
    </row>
    <row r="82" spans="1:53" s="208" customFormat="1" x14ac:dyDescent="0.15">
      <c r="A82" s="208">
        <v>1996</v>
      </c>
      <c r="B82" s="207">
        <v>35125</v>
      </c>
      <c r="C82" s="811" t="s">
        <v>655</v>
      </c>
      <c r="D82" s="811"/>
      <c r="E82" s="208">
        <v>290</v>
      </c>
      <c r="F82" s="208">
        <v>7</v>
      </c>
      <c r="G82" s="123">
        <v>20</v>
      </c>
      <c r="H82" s="208">
        <v>0</v>
      </c>
      <c r="I82" s="208">
        <v>0</v>
      </c>
      <c r="J82" s="134">
        <v>20</v>
      </c>
      <c r="K82" s="92">
        <f>G82/$J82*100</f>
        <v>100</v>
      </c>
      <c r="L82" s="92">
        <f>H82/$J82*100</f>
        <v>0</v>
      </c>
      <c r="M82" s="92">
        <f>I82/$J82*100</f>
        <v>0</v>
      </c>
      <c r="N82" s="125">
        <f t="shared" si="5"/>
        <v>100</v>
      </c>
      <c r="O82" s="91">
        <v>50.4</v>
      </c>
      <c r="P82" s="92"/>
      <c r="Q82" s="92"/>
      <c r="R82" s="93">
        <f t="shared" si="6"/>
        <v>50.4</v>
      </c>
      <c r="S82" s="208">
        <v>2</v>
      </c>
      <c r="T82" s="81"/>
      <c r="U82" s="207">
        <v>35125</v>
      </c>
      <c r="V82" s="82" t="s">
        <v>465</v>
      </c>
      <c r="W82" s="208" t="s">
        <v>74</v>
      </c>
      <c r="X82" s="208" t="s">
        <v>11</v>
      </c>
      <c r="Y82" s="83">
        <v>43.4</v>
      </c>
      <c r="Z82" s="208" t="s">
        <v>463</v>
      </c>
      <c r="AA82" s="208" t="s">
        <v>340</v>
      </c>
      <c r="AB82" s="208" t="s">
        <v>11</v>
      </c>
      <c r="AC82" s="208">
        <v>7</v>
      </c>
      <c r="AD82" s="82"/>
      <c r="AG82" s="83"/>
      <c r="AL82" s="82"/>
      <c r="AO82" s="83"/>
      <c r="AP82" s="82"/>
      <c r="AS82" s="83"/>
      <c r="AW82" s="83"/>
      <c r="BA82" s="84"/>
    </row>
    <row r="83" spans="1:53" s="334" customFormat="1" x14ac:dyDescent="0.15">
      <c r="A83" s="334">
        <v>1996</v>
      </c>
      <c r="B83" s="355">
        <v>35415</v>
      </c>
      <c r="C83" s="812" t="s">
        <v>656</v>
      </c>
      <c r="D83" s="812"/>
      <c r="E83" s="334">
        <f>366-E82-E81</f>
        <v>16</v>
      </c>
      <c r="F83" s="334">
        <v>1</v>
      </c>
      <c r="G83" s="419">
        <v>20</v>
      </c>
      <c r="H83" s="334">
        <v>0</v>
      </c>
      <c r="I83" s="334">
        <v>0</v>
      </c>
      <c r="J83" s="435">
        <v>20</v>
      </c>
      <c r="K83" s="384">
        <f t="shared" si="4"/>
        <v>100</v>
      </c>
      <c r="L83" s="384">
        <f t="shared" si="4"/>
        <v>0</v>
      </c>
      <c r="M83" s="384">
        <f t="shared" si="4"/>
        <v>0</v>
      </c>
      <c r="N83" s="421">
        <f t="shared" si="5"/>
        <v>100</v>
      </c>
      <c r="O83" s="383">
        <v>50.9</v>
      </c>
      <c r="P83" s="384"/>
      <c r="Q83" s="384"/>
      <c r="R83" s="385">
        <f t="shared" si="6"/>
        <v>50.9</v>
      </c>
      <c r="S83" s="334">
        <v>2</v>
      </c>
      <c r="T83" s="342">
        <v>35350</v>
      </c>
      <c r="U83" s="355">
        <v>35415</v>
      </c>
      <c r="V83" s="343" t="s">
        <v>465</v>
      </c>
      <c r="W83" s="334" t="s">
        <v>74</v>
      </c>
      <c r="X83" s="334" t="s">
        <v>11</v>
      </c>
      <c r="Y83" s="344">
        <v>36.700000000000003</v>
      </c>
      <c r="Z83" s="334" t="s">
        <v>466</v>
      </c>
      <c r="AA83" s="334" t="s">
        <v>77</v>
      </c>
      <c r="AB83" s="334" t="s">
        <v>11</v>
      </c>
      <c r="AC83" s="334">
        <v>14.2</v>
      </c>
      <c r="AD83" s="343"/>
      <c r="AG83" s="344"/>
      <c r="AL83" s="343"/>
      <c r="AO83" s="344"/>
      <c r="AP83" s="343"/>
      <c r="AS83" s="344"/>
      <c r="AW83" s="344"/>
      <c r="BA83" s="345"/>
    </row>
    <row r="84" spans="1:53" s="334" customFormat="1" x14ac:dyDescent="0.15">
      <c r="A84" s="334">
        <v>1997</v>
      </c>
      <c r="C84" s="812" t="s">
        <v>656</v>
      </c>
      <c r="D84" s="812"/>
      <c r="E84" s="334">
        <v>341</v>
      </c>
      <c r="G84" s="419">
        <v>20</v>
      </c>
      <c r="H84" s="334">
        <v>0</v>
      </c>
      <c r="I84" s="334">
        <v>0</v>
      </c>
      <c r="J84" s="435">
        <v>20</v>
      </c>
      <c r="K84" s="384">
        <f t="shared" si="4"/>
        <v>100</v>
      </c>
      <c r="L84" s="384">
        <f t="shared" si="4"/>
        <v>0</v>
      </c>
      <c r="M84" s="384">
        <f t="shared" si="4"/>
        <v>0</v>
      </c>
      <c r="N84" s="421">
        <f t="shared" si="5"/>
        <v>100</v>
      </c>
      <c r="O84" s="383">
        <v>50.9</v>
      </c>
      <c r="P84" s="384"/>
      <c r="Q84" s="384"/>
      <c r="R84" s="385">
        <f t="shared" si="6"/>
        <v>50.9</v>
      </c>
      <c r="S84" s="334">
        <v>2</v>
      </c>
      <c r="T84" s="357"/>
      <c r="V84" s="343" t="s">
        <v>465</v>
      </c>
      <c r="W84" s="334" t="s">
        <v>74</v>
      </c>
      <c r="X84" s="334" t="s">
        <v>11</v>
      </c>
      <c r="Y84" s="344">
        <v>36.700000000000003</v>
      </c>
      <c r="Z84" s="334" t="s">
        <v>466</v>
      </c>
      <c r="AA84" s="334" t="s">
        <v>77</v>
      </c>
      <c r="AB84" s="334" t="s">
        <v>11</v>
      </c>
      <c r="AC84" s="334">
        <v>14.2</v>
      </c>
      <c r="AD84" s="343"/>
      <c r="AG84" s="344"/>
      <c r="AL84" s="343"/>
      <c r="AO84" s="344"/>
      <c r="AP84" s="343"/>
      <c r="AS84" s="344"/>
      <c r="AW84" s="344"/>
      <c r="BA84" s="345"/>
    </row>
    <row r="85" spans="1:53" s="208" customFormat="1" x14ac:dyDescent="0.15">
      <c r="A85" s="208">
        <v>1997</v>
      </c>
      <c r="B85" s="207">
        <v>35772</v>
      </c>
      <c r="C85" s="811" t="s">
        <v>657</v>
      </c>
      <c r="D85" s="811"/>
      <c r="E85" s="208">
        <f>365-E84</f>
        <v>24</v>
      </c>
      <c r="F85" s="208">
        <v>2</v>
      </c>
      <c r="G85" s="123">
        <v>20</v>
      </c>
      <c r="H85" s="208">
        <v>0</v>
      </c>
      <c r="I85" s="208">
        <v>0</v>
      </c>
      <c r="J85" s="134">
        <v>20</v>
      </c>
      <c r="K85" s="92">
        <f t="shared" si="4"/>
        <v>100</v>
      </c>
      <c r="L85" s="92">
        <f t="shared" si="4"/>
        <v>0</v>
      </c>
      <c r="M85" s="92">
        <f t="shared" si="4"/>
        <v>0</v>
      </c>
      <c r="N85" s="125">
        <f t="shared" si="5"/>
        <v>100</v>
      </c>
      <c r="O85" s="91">
        <v>50.9</v>
      </c>
      <c r="P85" s="92"/>
      <c r="Q85" s="92"/>
      <c r="R85" s="93">
        <f t="shared" si="6"/>
        <v>50.9</v>
      </c>
      <c r="S85" s="208">
        <v>2</v>
      </c>
      <c r="T85" s="81"/>
      <c r="U85" s="207">
        <v>35772</v>
      </c>
      <c r="V85" s="82" t="s">
        <v>465</v>
      </c>
      <c r="W85" s="208" t="s">
        <v>74</v>
      </c>
      <c r="X85" s="208" t="s">
        <v>11</v>
      </c>
      <c r="Y85" s="83">
        <v>36.700000000000003</v>
      </c>
      <c r="Z85" s="208" t="s">
        <v>466</v>
      </c>
      <c r="AA85" s="208" t="s">
        <v>77</v>
      </c>
      <c r="AB85" s="208" t="s">
        <v>11</v>
      </c>
      <c r="AC85" s="208">
        <v>14.2</v>
      </c>
      <c r="AD85" s="82"/>
      <c r="AG85" s="83"/>
      <c r="AL85" s="82"/>
      <c r="AO85" s="83"/>
      <c r="AP85" s="82"/>
      <c r="AS85" s="83"/>
      <c r="AW85" s="83"/>
      <c r="BA85" s="84"/>
    </row>
    <row r="86" spans="1:53" s="208" customFormat="1" x14ac:dyDescent="0.15">
      <c r="A86" s="208">
        <v>1998</v>
      </c>
      <c r="C86" s="811" t="s">
        <v>657</v>
      </c>
      <c r="D86" s="811"/>
      <c r="E86" s="208">
        <v>242</v>
      </c>
      <c r="G86" s="123">
        <v>20</v>
      </c>
      <c r="H86" s="208">
        <v>0</v>
      </c>
      <c r="I86" s="208">
        <v>0</v>
      </c>
      <c r="J86" s="134">
        <v>20</v>
      </c>
      <c r="K86" s="92">
        <f t="shared" si="4"/>
        <v>100</v>
      </c>
      <c r="L86" s="92">
        <f t="shared" si="4"/>
        <v>0</v>
      </c>
      <c r="M86" s="92">
        <f t="shared" si="4"/>
        <v>0</v>
      </c>
      <c r="N86" s="125">
        <f t="shared" si="5"/>
        <v>100</v>
      </c>
      <c r="O86" s="91">
        <v>50.9</v>
      </c>
      <c r="P86" s="92"/>
      <c r="Q86" s="92"/>
      <c r="R86" s="93">
        <f t="shared" si="6"/>
        <v>50.9</v>
      </c>
      <c r="S86" s="208">
        <v>2</v>
      </c>
      <c r="T86" s="81"/>
      <c r="V86" s="82" t="s">
        <v>465</v>
      </c>
      <c r="W86" s="208" t="s">
        <v>74</v>
      </c>
      <c r="X86" s="208" t="s">
        <v>11</v>
      </c>
      <c r="Y86" s="83">
        <v>36.700000000000003</v>
      </c>
      <c r="Z86" s="208" t="s">
        <v>466</v>
      </c>
      <c r="AA86" s="208" t="s">
        <v>77</v>
      </c>
      <c r="AB86" s="208" t="s">
        <v>11</v>
      </c>
      <c r="AC86" s="208">
        <v>14.2</v>
      </c>
      <c r="AD86" s="82"/>
      <c r="AG86" s="83"/>
      <c r="AL86" s="82"/>
      <c r="AO86" s="83"/>
      <c r="AP86" s="82"/>
      <c r="AS86" s="83"/>
      <c r="AW86" s="83"/>
      <c r="BA86" s="84"/>
    </row>
    <row r="87" spans="1:53" s="334" customFormat="1" x14ac:dyDescent="0.15">
      <c r="A87" s="334">
        <v>1998</v>
      </c>
      <c r="B87" s="355">
        <v>36038</v>
      </c>
      <c r="C87" s="812" t="s">
        <v>658</v>
      </c>
      <c r="D87" s="812"/>
      <c r="E87" s="334">
        <f>365-E86</f>
        <v>123</v>
      </c>
      <c r="F87" s="334">
        <v>4</v>
      </c>
      <c r="G87" s="419">
        <v>17</v>
      </c>
      <c r="H87" s="334">
        <v>0</v>
      </c>
      <c r="I87" s="334">
        <v>0</v>
      </c>
      <c r="J87" s="435">
        <v>18</v>
      </c>
      <c r="K87" s="384">
        <f t="shared" si="4"/>
        <v>94.444444444444443</v>
      </c>
      <c r="L87" s="384">
        <f t="shared" si="4"/>
        <v>0</v>
      </c>
      <c r="M87" s="384">
        <f t="shared" si="4"/>
        <v>0</v>
      </c>
      <c r="N87" s="421">
        <f t="shared" si="5"/>
        <v>94.444444444444443</v>
      </c>
      <c r="O87" s="383">
        <v>36.700000000000003</v>
      </c>
      <c r="P87" s="384"/>
      <c r="Q87" s="384"/>
      <c r="R87" s="385">
        <f t="shared" si="6"/>
        <v>36.700000000000003</v>
      </c>
      <c r="S87" s="334">
        <v>4</v>
      </c>
      <c r="T87" s="357"/>
      <c r="U87" s="355">
        <v>36038</v>
      </c>
      <c r="V87" s="343" t="s">
        <v>465</v>
      </c>
      <c r="W87" s="334" t="s">
        <v>74</v>
      </c>
      <c r="X87" s="334" t="s">
        <v>11</v>
      </c>
      <c r="Y87" s="344">
        <v>36.700000000000003</v>
      </c>
      <c r="AD87" s="343"/>
      <c r="AG87" s="344"/>
      <c r="AL87" s="343"/>
      <c r="AO87" s="344"/>
      <c r="AP87" s="343"/>
      <c r="AS87" s="344"/>
      <c r="AW87" s="344"/>
      <c r="BA87" s="345"/>
    </row>
    <row r="88" spans="1:53" s="334" customFormat="1" x14ac:dyDescent="0.15">
      <c r="A88" s="334">
        <v>1999</v>
      </c>
      <c r="C88" s="812" t="s">
        <v>658</v>
      </c>
      <c r="D88" s="812"/>
      <c r="E88" s="334">
        <v>342</v>
      </c>
      <c r="G88" s="419">
        <v>17</v>
      </c>
      <c r="H88" s="334">
        <v>0</v>
      </c>
      <c r="I88" s="334">
        <v>0</v>
      </c>
      <c r="J88" s="435">
        <v>18</v>
      </c>
      <c r="K88" s="384">
        <f t="shared" si="4"/>
        <v>94.444444444444443</v>
      </c>
      <c r="L88" s="384">
        <f t="shared" si="4"/>
        <v>0</v>
      </c>
      <c r="M88" s="384">
        <f t="shared" si="4"/>
        <v>0</v>
      </c>
      <c r="N88" s="421">
        <f t="shared" si="5"/>
        <v>94.444444444444443</v>
      </c>
      <c r="O88" s="383">
        <v>36.700000000000003</v>
      </c>
      <c r="P88" s="384"/>
      <c r="Q88" s="384"/>
      <c r="R88" s="385">
        <f t="shared" si="6"/>
        <v>36.700000000000003</v>
      </c>
      <c r="S88" s="334">
        <v>4</v>
      </c>
      <c r="T88" s="357"/>
      <c r="V88" s="343" t="s">
        <v>465</v>
      </c>
      <c r="W88" s="334" t="s">
        <v>74</v>
      </c>
      <c r="X88" s="334" t="s">
        <v>11</v>
      </c>
      <c r="Y88" s="344">
        <v>36.700000000000003</v>
      </c>
      <c r="AD88" s="343"/>
      <c r="AG88" s="344"/>
      <c r="AL88" s="343"/>
      <c r="AO88" s="344"/>
      <c r="AP88" s="343"/>
      <c r="AS88" s="344"/>
      <c r="AW88" s="344"/>
      <c r="BA88" s="345"/>
    </row>
    <row r="89" spans="1:53" s="208" customFormat="1" x14ac:dyDescent="0.15">
      <c r="A89" s="208">
        <v>1999</v>
      </c>
      <c r="B89" s="207">
        <v>36503</v>
      </c>
      <c r="C89" s="811" t="s">
        <v>659</v>
      </c>
      <c r="D89" s="811"/>
      <c r="E89" s="208">
        <f>365-E88</f>
        <v>23</v>
      </c>
      <c r="F89" s="208">
        <v>1</v>
      </c>
      <c r="G89" s="123">
        <v>0</v>
      </c>
      <c r="H89" s="208">
        <v>0</v>
      </c>
      <c r="I89" s="208">
        <v>20</v>
      </c>
      <c r="J89" s="134">
        <v>20</v>
      </c>
      <c r="K89" s="92">
        <f t="shared" si="4"/>
        <v>0</v>
      </c>
      <c r="L89" s="92">
        <f t="shared" si="4"/>
        <v>0</v>
      </c>
      <c r="M89" s="92">
        <f t="shared" si="4"/>
        <v>100</v>
      </c>
      <c r="N89" s="125">
        <f t="shared" si="5"/>
        <v>100</v>
      </c>
      <c r="O89" s="91"/>
      <c r="P89" s="92"/>
      <c r="Q89" s="92">
        <v>49.1</v>
      </c>
      <c r="R89" s="93">
        <f t="shared" si="6"/>
        <v>49.1</v>
      </c>
      <c r="S89" s="208">
        <v>5</v>
      </c>
      <c r="T89" s="95">
        <v>36491</v>
      </c>
      <c r="U89" s="207">
        <v>36503</v>
      </c>
      <c r="V89" s="82" t="s">
        <v>464</v>
      </c>
      <c r="W89" s="208" t="s">
        <v>20</v>
      </c>
      <c r="X89" s="208" t="s">
        <v>12</v>
      </c>
      <c r="Y89" s="83">
        <v>40.799999999999997</v>
      </c>
      <c r="Z89" s="208" t="s">
        <v>576</v>
      </c>
      <c r="AA89" s="208" t="s">
        <v>97</v>
      </c>
      <c r="AB89" s="208" t="s">
        <v>12</v>
      </c>
      <c r="AC89" s="208">
        <v>8.3000000000000007</v>
      </c>
      <c r="AD89" s="82"/>
      <c r="AG89" s="83"/>
      <c r="AL89" s="82"/>
      <c r="AO89" s="83"/>
      <c r="AP89" s="82"/>
      <c r="AS89" s="83"/>
      <c r="AW89" s="83"/>
      <c r="BA89" s="84"/>
    </row>
    <row r="90" spans="1:53" s="208" customFormat="1" x14ac:dyDescent="0.15">
      <c r="A90" s="208">
        <v>2000</v>
      </c>
      <c r="C90" s="811" t="s">
        <v>659</v>
      </c>
      <c r="D90" s="811"/>
      <c r="E90" s="208">
        <v>0</v>
      </c>
      <c r="G90" s="123">
        <v>0</v>
      </c>
      <c r="H90" s="208">
        <v>0</v>
      </c>
      <c r="I90" s="208">
        <v>20</v>
      </c>
      <c r="J90" s="134">
        <v>20</v>
      </c>
      <c r="K90" s="92">
        <f t="shared" si="4"/>
        <v>0</v>
      </c>
      <c r="L90" s="92">
        <f t="shared" si="4"/>
        <v>0</v>
      </c>
      <c r="M90" s="92">
        <f t="shared" si="4"/>
        <v>100</v>
      </c>
      <c r="N90" s="125">
        <f t="shared" si="5"/>
        <v>100</v>
      </c>
      <c r="O90" s="91"/>
      <c r="P90" s="92"/>
      <c r="Q90" s="92">
        <v>49.1</v>
      </c>
      <c r="R90" s="93">
        <f t="shared" si="6"/>
        <v>49.1</v>
      </c>
      <c r="S90" s="208">
        <v>5</v>
      </c>
      <c r="T90" s="81"/>
      <c r="V90" s="82" t="s">
        <v>464</v>
      </c>
      <c r="W90" s="208" t="s">
        <v>20</v>
      </c>
      <c r="X90" s="208" t="s">
        <v>12</v>
      </c>
      <c r="Y90" s="83">
        <v>40.799999999999997</v>
      </c>
      <c r="Z90" s="208" t="s">
        <v>576</v>
      </c>
      <c r="AA90" s="208" t="s">
        <v>97</v>
      </c>
      <c r="AB90" s="208" t="s">
        <v>12</v>
      </c>
      <c r="AC90" s="208">
        <v>8.3000000000000007</v>
      </c>
      <c r="AD90" s="82"/>
      <c r="AG90" s="83"/>
      <c r="AL90" s="82"/>
      <c r="AO90" s="83"/>
      <c r="AP90" s="82"/>
      <c r="AS90" s="83"/>
      <c r="AW90" s="83"/>
      <c r="BA90" s="84"/>
    </row>
    <row r="91" spans="1:53" s="208" customFormat="1" x14ac:dyDescent="0.15">
      <c r="A91" s="208">
        <v>2000</v>
      </c>
      <c r="C91" s="811" t="s">
        <v>659</v>
      </c>
      <c r="D91" s="811"/>
      <c r="E91" s="208">
        <v>366</v>
      </c>
      <c r="G91" s="123">
        <v>0</v>
      </c>
      <c r="H91" s="208">
        <v>0</v>
      </c>
      <c r="I91" s="208">
        <v>20</v>
      </c>
      <c r="J91" s="134">
        <v>20</v>
      </c>
      <c r="K91" s="92">
        <f t="shared" si="4"/>
        <v>0</v>
      </c>
      <c r="L91" s="92">
        <f t="shared" si="4"/>
        <v>0</v>
      </c>
      <c r="M91" s="92">
        <f t="shared" si="4"/>
        <v>100</v>
      </c>
      <c r="N91" s="125">
        <f t="shared" si="5"/>
        <v>100</v>
      </c>
      <c r="O91" s="91"/>
      <c r="P91" s="92"/>
      <c r="Q91" s="92">
        <v>49.1</v>
      </c>
      <c r="R91" s="93">
        <f t="shared" si="6"/>
        <v>49.1</v>
      </c>
      <c r="S91" s="208">
        <v>5</v>
      </c>
      <c r="T91" s="81"/>
      <c r="V91" s="82" t="s">
        <v>464</v>
      </c>
      <c r="W91" s="208" t="s">
        <v>20</v>
      </c>
      <c r="X91" s="208" t="s">
        <v>12</v>
      </c>
      <c r="Y91" s="83">
        <v>40.799999999999997</v>
      </c>
      <c r="Z91" s="208" t="s">
        <v>576</v>
      </c>
      <c r="AA91" s="208" t="s">
        <v>97</v>
      </c>
      <c r="AB91" s="208" t="s">
        <v>12</v>
      </c>
      <c r="AC91" s="208">
        <v>8.3000000000000007</v>
      </c>
      <c r="AD91" s="82"/>
      <c r="AG91" s="83"/>
      <c r="AL91" s="82"/>
      <c r="AO91" s="83"/>
      <c r="AP91" s="82"/>
      <c r="AS91" s="83"/>
      <c r="AW91" s="83"/>
      <c r="BA91" s="84"/>
    </row>
    <row r="92" spans="1:53" s="208" customFormat="1" x14ac:dyDescent="0.15">
      <c r="A92" s="208">
        <v>2001</v>
      </c>
      <c r="C92" s="811" t="s">
        <v>659</v>
      </c>
      <c r="D92" s="811"/>
      <c r="E92" s="208">
        <v>0</v>
      </c>
      <c r="G92" s="123">
        <v>0</v>
      </c>
      <c r="H92" s="208">
        <v>0</v>
      </c>
      <c r="I92" s="208">
        <v>20</v>
      </c>
      <c r="J92" s="134">
        <v>20</v>
      </c>
      <c r="K92" s="92">
        <f t="shared" si="4"/>
        <v>0</v>
      </c>
      <c r="L92" s="92">
        <f t="shared" si="4"/>
        <v>0</v>
      </c>
      <c r="M92" s="92">
        <f t="shared" si="4"/>
        <v>100</v>
      </c>
      <c r="N92" s="125">
        <f t="shared" si="5"/>
        <v>100</v>
      </c>
      <c r="O92" s="91"/>
      <c r="P92" s="92"/>
      <c r="Q92" s="92">
        <v>49.1</v>
      </c>
      <c r="R92" s="93">
        <f t="shared" si="6"/>
        <v>49.1</v>
      </c>
      <c r="S92" s="208">
        <v>5</v>
      </c>
      <c r="T92" s="81"/>
      <c r="V92" s="82" t="s">
        <v>464</v>
      </c>
      <c r="W92" s="208" t="s">
        <v>20</v>
      </c>
      <c r="X92" s="208" t="s">
        <v>12</v>
      </c>
      <c r="Y92" s="83">
        <v>40.799999999999997</v>
      </c>
      <c r="Z92" s="208" t="s">
        <v>576</v>
      </c>
      <c r="AA92" s="208" t="s">
        <v>97</v>
      </c>
      <c r="AB92" s="208" t="s">
        <v>12</v>
      </c>
      <c r="AC92" s="208">
        <v>8.3000000000000007</v>
      </c>
      <c r="AD92" s="82"/>
      <c r="AG92" s="83"/>
      <c r="AL92" s="82"/>
      <c r="AO92" s="83"/>
      <c r="AP92" s="82"/>
      <c r="AS92" s="83"/>
      <c r="AW92" s="83"/>
      <c r="BA92" s="84"/>
    </row>
    <row r="93" spans="1:53" s="208" customFormat="1" x14ac:dyDescent="0.15">
      <c r="A93" s="208">
        <v>2001</v>
      </c>
      <c r="C93" s="811" t="s">
        <v>659</v>
      </c>
      <c r="D93" s="811"/>
      <c r="E93" s="208">
        <f>365-E92</f>
        <v>365</v>
      </c>
      <c r="G93" s="123">
        <v>0</v>
      </c>
      <c r="H93" s="208">
        <v>0</v>
      </c>
      <c r="I93" s="208">
        <v>20</v>
      </c>
      <c r="J93" s="134">
        <v>20</v>
      </c>
      <c r="K93" s="92">
        <f t="shared" si="4"/>
        <v>0</v>
      </c>
      <c r="L93" s="92">
        <f t="shared" si="4"/>
        <v>0</v>
      </c>
      <c r="M93" s="92">
        <f t="shared" si="4"/>
        <v>100</v>
      </c>
      <c r="N93" s="125">
        <f t="shared" si="5"/>
        <v>100</v>
      </c>
      <c r="O93" s="91"/>
      <c r="P93" s="92"/>
      <c r="Q93" s="92">
        <v>49.1</v>
      </c>
      <c r="R93" s="93">
        <f t="shared" si="6"/>
        <v>49.1</v>
      </c>
      <c r="S93" s="208">
        <v>5</v>
      </c>
      <c r="T93" s="81"/>
      <c r="V93" s="82" t="s">
        <v>464</v>
      </c>
      <c r="W93" s="208" t="s">
        <v>20</v>
      </c>
      <c r="X93" s="208" t="s">
        <v>12</v>
      </c>
      <c r="Y93" s="83">
        <v>40.799999999999997</v>
      </c>
      <c r="Z93" s="208" t="s">
        <v>576</v>
      </c>
      <c r="AA93" s="208" t="s">
        <v>97</v>
      </c>
      <c r="AB93" s="208" t="s">
        <v>12</v>
      </c>
      <c r="AC93" s="208">
        <v>8.3000000000000007</v>
      </c>
      <c r="AD93" s="82"/>
      <c r="AG93" s="83"/>
      <c r="AL93" s="82"/>
      <c r="AO93" s="83"/>
      <c r="AP93" s="82"/>
      <c r="AS93" s="83"/>
      <c r="AW93" s="83"/>
      <c r="BA93" s="84"/>
    </row>
    <row r="94" spans="1:53" s="208" customFormat="1" x14ac:dyDescent="0.15">
      <c r="A94" s="208">
        <v>2002</v>
      </c>
      <c r="C94" s="811" t="s">
        <v>659</v>
      </c>
      <c r="D94" s="811"/>
      <c r="E94" s="208">
        <v>226</v>
      </c>
      <c r="G94" s="123">
        <v>0</v>
      </c>
      <c r="H94" s="208">
        <v>0</v>
      </c>
      <c r="I94" s="208">
        <v>20</v>
      </c>
      <c r="J94" s="134">
        <v>20</v>
      </c>
      <c r="K94" s="92">
        <f t="shared" si="4"/>
        <v>0</v>
      </c>
      <c r="L94" s="92">
        <f t="shared" si="4"/>
        <v>0</v>
      </c>
      <c r="M94" s="92">
        <f t="shared" si="4"/>
        <v>100</v>
      </c>
      <c r="N94" s="125">
        <f t="shared" si="5"/>
        <v>100</v>
      </c>
      <c r="O94" s="91"/>
      <c r="P94" s="92"/>
      <c r="Q94" s="92">
        <v>49.1</v>
      </c>
      <c r="R94" s="93">
        <f t="shared" si="6"/>
        <v>49.1</v>
      </c>
      <c r="S94" s="208">
        <v>5</v>
      </c>
      <c r="T94" s="81"/>
      <c r="V94" s="82" t="s">
        <v>464</v>
      </c>
      <c r="W94" s="208" t="s">
        <v>20</v>
      </c>
      <c r="X94" s="208" t="s">
        <v>12</v>
      </c>
      <c r="Y94" s="83">
        <v>40.799999999999997</v>
      </c>
      <c r="Z94" s="208" t="s">
        <v>576</v>
      </c>
      <c r="AA94" s="208" t="s">
        <v>97</v>
      </c>
      <c r="AB94" s="208" t="s">
        <v>12</v>
      </c>
      <c r="AC94" s="208">
        <v>8.3000000000000007</v>
      </c>
      <c r="AD94" s="82"/>
      <c r="AG94" s="83"/>
      <c r="AL94" s="82"/>
      <c r="AO94" s="83"/>
      <c r="AP94" s="82"/>
      <c r="AS94" s="83"/>
      <c r="AW94" s="83"/>
      <c r="BA94" s="84"/>
    </row>
    <row r="95" spans="1:53" s="334" customFormat="1" x14ac:dyDescent="0.15">
      <c r="A95" s="334">
        <v>2002</v>
      </c>
      <c r="B95" s="355">
        <v>37483</v>
      </c>
      <c r="C95" s="812" t="s">
        <v>660</v>
      </c>
      <c r="D95" s="812"/>
      <c r="E95" s="334">
        <f>365-E94</f>
        <v>139</v>
      </c>
      <c r="F95" s="334">
        <v>1</v>
      </c>
      <c r="G95" s="419">
        <v>0</v>
      </c>
      <c r="H95" s="334">
        <v>0</v>
      </c>
      <c r="I95" s="334">
        <v>20</v>
      </c>
      <c r="J95" s="435">
        <v>20</v>
      </c>
      <c r="K95" s="384">
        <f t="shared" si="4"/>
        <v>0</v>
      </c>
      <c r="L95" s="384">
        <f t="shared" si="4"/>
        <v>0</v>
      </c>
      <c r="M95" s="384">
        <f t="shared" si="4"/>
        <v>100</v>
      </c>
      <c r="N95" s="421">
        <f t="shared" si="5"/>
        <v>100</v>
      </c>
      <c r="O95" s="383"/>
      <c r="P95" s="384"/>
      <c r="Q95" s="384">
        <v>45</v>
      </c>
      <c r="R95" s="385">
        <f t="shared" si="6"/>
        <v>45</v>
      </c>
      <c r="S95" s="334">
        <v>5</v>
      </c>
      <c r="T95" s="342">
        <v>37464</v>
      </c>
      <c r="U95" s="355">
        <v>37483</v>
      </c>
      <c r="V95" s="343" t="s">
        <v>464</v>
      </c>
      <c r="W95" s="334" t="s">
        <v>20</v>
      </c>
      <c r="X95" s="334" t="s">
        <v>12</v>
      </c>
      <c r="Y95" s="344">
        <v>43.3</v>
      </c>
      <c r="Z95" s="334" t="s">
        <v>101</v>
      </c>
      <c r="AA95" s="334" t="s">
        <v>340</v>
      </c>
      <c r="AB95" s="334" t="s">
        <v>12</v>
      </c>
      <c r="AC95" s="334">
        <v>1.7</v>
      </c>
      <c r="AD95" s="343"/>
      <c r="AG95" s="344"/>
      <c r="AL95" s="343"/>
      <c r="AO95" s="344"/>
      <c r="AP95" s="343"/>
      <c r="AS95" s="344"/>
      <c r="AW95" s="344"/>
      <c r="BA95" s="345"/>
    </row>
    <row r="96" spans="1:53" s="334" customFormat="1" x14ac:dyDescent="0.15">
      <c r="A96" s="334">
        <v>2003</v>
      </c>
      <c r="C96" s="812" t="s">
        <v>660</v>
      </c>
      <c r="D96" s="812"/>
      <c r="E96" s="334">
        <v>0</v>
      </c>
      <c r="G96" s="419">
        <v>0</v>
      </c>
      <c r="H96" s="334">
        <v>0</v>
      </c>
      <c r="I96" s="334">
        <v>20</v>
      </c>
      <c r="J96" s="435">
        <v>20</v>
      </c>
      <c r="K96" s="384">
        <f t="shared" si="4"/>
        <v>0</v>
      </c>
      <c r="L96" s="384">
        <f t="shared" si="4"/>
        <v>0</v>
      </c>
      <c r="M96" s="384">
        <f t="shared" si="4"/>
        <v>100</v>
      </c>
      <c r="N96" s="421">
        <f t="shared" si="5"/>
        <v>100</v>
      </c>
      <c r="O96" s="383"/>
      <c r="P96" s="384"/>
      <c r="Q96" s="384">
        <v>45</v>
      </c>
      <c r="R96" s="385">
        <f t="shared" si="6"/>
        <v>45</v>
      </c>
      <c r="S96" s="334">
        <v>5</v>
      </c>
      <c r="T96" s="357"/>
      <c r="V96" s="343" t="s">
        <v>464</v>
      </c>
      <c r="W96" s="334" t="s">
        <v>20</v>
      </c>
      <c r="X96" s="334" t="s">
        <v>12</v>
      </c>
      <c r="Y96" s="344">
        <v>43.3</v>
      </c>
      <c r="Z96" s="334" t="s">
        <v>101</v>
      </c>
      <c r="AA96" s="334" t="s">
        <v>340</v>
      </c>
      <c r="AB96" s="334" t="s">
        <v>12</v>
      </c>
      <c r="AC96" s="334">
        <v>1.7</v>
      </c>
      <c r="AD96" s="343"/>
      <c r="AG96" s="344"/>
      <c r="AL96" s="343"/>
      <c r="AO96" s="344"/>
      <c r="AP96" s="343"/>
      <c r="AS96" s="344"/>
      <c r="AW96" s="344"/>
      <c r="BA96" s="345"/>
    </row>
    <row r="97" spans="1:53" s="334" customFormat="1" x14ac:dyDescent="0.15">
      <c r="A97" s="334">
        <v>2003</v>
      </c>
      <c r="C97" s="812" t="s">
        <v>660</v>
      </c>
      <c r="D97" s="812"/>
      <c r="E97" s="334">
        <f>365-E96</f>
        <v>365</v>
      </c>
      <c r="G97" s="419">
        <v>0</v>
      </c>
      <c r="H97" s="334">
        <v>0</v>
      </c>
      <c r="I97" s="334">
        <v>20</v>
      </c>
      <c r="J97" s="435">
        <v>20</v>
      </c>
      <c r="K97" s="384">
        <f t="shared" si="4"/>
        <v>0</v>
      </c>
      <c r="L97" s="384">
        <f t="shared" si="4"/>
        <v>0</v>
      </c>
      <c r="M97" s="384">
        <f t="shared" si="4"/>
        <v>100</v>
      </c>
      <c r="N97" s="421">
        <f t="shared" si="5"/>
        <v>100</v>
      </c>
      <c r="O97" s="383"/>
      <c r="P97" s="384"/>
      <c r="Q97" s="384">
        <v>45</v>
      </c>
      <c r="R97" s="385">
        <f t="shared" si="6"/>
        <v>45</v>
      </c>
      <c r="S97" s="334">
        <v>5</v>
      </c>
      <c r="T97" s="357"/>
      <c r="V97" s="343" t="s">
        <v>464</v>
      </c>
      <c r="W97" s="334" t="s">
        <v>20</v>
      </c>
      <c r="X97" s="334" t="s">
        <v>12</v>
      </c>
      <c r="Y97" s="344">
        <v>43.3</v>
      </c>
      <c r="Z97" s="334" t="s">
        <v>101</v>
      </c>
      <c r="AA97" s="334" t="s">
        <v>340</v>
      </c>
      <c r="AB97" s="334" t="s">
        <v>12</v>
      </c>
      <c r="AC97" s="334">
        <v>1.7</v>
      </c>
      <c r="AD97" s="343"/>
      <c r="AG97" s="344"/>
      <c r="AL97" s="343"/>
      <c r="AO97" s="344"/>
      <c r="AP97" s="343"/>
      <c r="AS97" s="344"/>
      <c r="AW97" s="344"/>
      <c r="BA97" s="345"/>
    </row>
    <row r="98" spans="1:53" s="334" customFormat="1" x14ac:dyDescent="0.15">
      <c r="A98" s="334">
        <v>2004</v>
      </c>
      <c r="C98" s="812" t="s">
        <v>660</v>
      </c>
      <c r="D98" s="812"/>
      <c r="E98" s="334">
        <v>355</v>
      </c>
      <c r="G98" s="419">
        <v>0</v>
      </c>
      <c r="H98" s="334">
        <v>0</v>
      </c>
      <c r="I98" s="334">
        <v>20</v>
      </c>
      <c r="J98" s="435">
        <v>20</v>
      </c>
      <c r="K98" s="384">
        <f t="shared" si="4"/>
        <v>0</v>
      </c>
      <c r="L98" s="384">
        <f t="shared" si="4"/>
        <v>0</v>
      </c>
      <c r="M98" s="384">
        <f t="shared" si="4"/>
        <v>100</v>
      </c>
      <c r="N98" s="421">
        <f t="shared" si="5"/>
        <v>100</v>
      </c>
      <c r="O98" s="383"/>
      <c r="P98" s="384"/>
      <c r="Q98" s="384">
        <v>45</v>
      </c>
      <c r="R98" s="385">
        <f t="shared" si="6"/>
        <v>45</v>
      </c>
      <c r="S98" s="334">
        <v>5</v>
      </c>
      <c r="T98" s="357"/>
      <c r="V98" s="343" t="s">
        <v>464</v>
      </c>
      <c r="W98" s="334" t="s">
        <v>20</v>
      </c>
      <c r="X98" s="334" t="s">
        <v>12</v>
      </c>
      <c r="Y98" s="344">
        <v>43.3</v>
      </c>
      <c r="Z98" s="334" t="s">
        <v>101</v>
      </c>
      <c r="AA98" s="334" t="s">
        <v>340</v>
      </c>
      <c r="AB98" s="334" t="s">
        <v>12</v>
      </c>
      <c r="AC98" s="334">
        <v>1.7</v>
      </c>
      <c r="AD98" s="343"/>
      <c r="AG98" s="344"/>
      <c r="AL98" s="343"/>
      <c r="AO98" s="344"/>
      <c r="AP98" s="343"/>
      <c r="AS98" s="344"/>
      <c r="AW98" s="344"/>
      <c r="BA98" s="345"/>
    </row>
    <row r="99" spans="1:53" s="334" customFormat="1" x14ac:dyDescent="0.15">
      <c r="A99" s="334">
        <v>2004</v>
      </c>
      <c r="B99" s="445">
        <v>38342</v>
      </c>
      <c r="C99" s="812" t="s">
        <v>660</v>
      </c>
      <c r="D99" s="812"/>
      <c r="E99" s="334">
        <f>366-E98</f>
        <v>11</v>
      </c>
      <c r="F99" s="441">
        <v>0</v>
      </c>
      <c r="G99" s="419">
        <v>0</v>
      </c>
      <c r="H99" s="334">
        <v>0</v>
      </c>
      <c r="I99" s="334">
        <v>19</v>
      </c>
      <c r="J99" s="435">
        <v>19</v>
      </c>
      <c r="K99" s="384">
        <f t="shared" si="4"/>
        <v>0</v>
      </c>
      <c r="L99" s="384">
        <f t="shared" si="4"/>
        <v>0</v>
      </c>
      <c r="M99" s="384">
        <f t="shared" si="4"/>
        <v>100</v>
      </c>
      <c r="N99" s="421">
        <f t="shared" si="5"/>
        <v>100</v>
      </c>
      <c r="O99" s="383"/>
      <c r="P99" s="384"/>
      <c r="Q99" s="384">
        <v>45</v>
      </c>
      <c r="R99" s="385">
        <f t="shared" si="6"/>
        <v>45</v>
      </c>
      <c r="S99" s="334">
        <v>5</v>
      </c>
      <c r="T99" s="357"/>
      <c r="V99" s="343" t="s">
        <v>464</v>
      </c>
      <c r="W99" s="334" t="s">
        <v>20</v>
      </c>
      <c r="X99" s="334" t="s">
        <v>12</v>
      </c>
      <c r="Y99" s="344">
        <v>43.3</v>
      </c>
      <c r="Z99" s="334" t="s">
        <v>101</v>
      </c>
      <c r="AA99" s="334" t="s">
        <v>340</v>
      </c>
      <c r="AB99" s="334" t="s">
        <v>12</v>
      </c>
      <c r="AC99" s="334">
        <v>1.7</v>
      </c>
      <c r="AD99" s="343"/>
      <c r="AG99" s="344"/>
      <c r="AL99" s="343"/>
      <c r="AO99" s="344"/>
      <c r="AP99" s="343"/>
      <c r="AS99" s="344"/>
      <c r="AW99" s="344"/>
      <c r="BA99" s="345"/>
    </row>
    <row r="100" spans="1:53" s="334" customFormat="1" x14ac:dyDescent="0.15">
      <c r="A100" s="334">
        <v>2005</v>
      </c>
      <c r="C100" s="812" t="s">
        <v>660</v>
      </c>
      <c r="D100" s="812"/>
      <c r="E100" s="334">
        <v>58</v>
      </c>
      <c r="G100" s="419">
        <v>0</v>
      </c>
      <c r="H100" s="334">
        <v>0</v>
      </c>
      <c r="I100" s="334">
        <v>19</v>
      </c>
      <c r="J100" s="435">
        <v>19</v>
      </c>
      <c r="K100" s="384">
        <f t="shared" si="4"/>
        <v>0</v>
      </c>
      <c r="L100" s="384">
        <f t="shared" si="4"/>
        <v>0</v>
      </c>
      <c r="M100" s="384">
        <f t="shared" si="4"/>
        <v>100</v>
      </c>
      <c r="N100" s="421">
        <f t="shared" si="5"/>
        <v>100</v>
      </c>
      <c r="O100" s="383"/>
      <c r="P100" s="384"/>
      <c r="Q100" s="384">
        <v>45</v>
      </c>
      <c r="R100" s="385">
        <f t="shared" si="6"/>
        <v>45</v>
      </c>
      <c r="S100" s="334">
        <v>5</v>
      </c>
      <c r="T100" s="357"/>
      <c r="V100" s="343" t="s">
        <v>464</v>
      </c>
      <c r="W100" s="334" t="s">
        <v>20</v>
      </c>
      <c r="X100" s="334" t="s">
        <v>12</v>
      </c>
      <c r="Y100" s="344">
        <v>43.3</v>
      </c>
      <c r="Z100" s="334" t="s">
        <v>101</v>
      </c>
      <c r="AA100" s="334" t="s">
        <v>340</v>
      </c>
      <c r="AB100" s="334" t="s">
        <v>12</v>
      </c>
      <c r="AC100" s="334">
        <v>1.7</v>
      </c>
      <c r="AD100" s="343"/>
      <c r="AG100" s="344"/>
      <c r="AL100" s="343"/>
      <c r="AO100" s="344"/>
      <c r="AP100" s="343"/>
      <c r="AS100" s="344"/>
      <c r="AW100" s="344"/>
      <c r="BA100" s="345"/>
    </row>
    <row r="101" spans="1:53" s="334" customFormat="1" x14ac:dyDescent="0.15">
      <c r="A101" s="334">
        <v>2005</v>
      </c>
      <c r="B101" s="445">
        <v>38411</v>
      </c>
      <c r="C101" s="812" t="s">
        <v>660</v>
      </c>
      <c r="D101" s="812"/>
      <c r="E101" s="334">
        <v>233</v>
      </c>
      <c r="F101" s="441">
        <v>0</v>
      </c>
      <c r="G101" s="419">
        <v>0</v>
      </c>
      <c r="H101" s="334">
        <v>0</v>
      </c>
      <c r="I101" s="334">
        <v>18</v>
      </c>
      <c r="J101" s="435">
        <v>18</v>
      </c>
      <c r="K101" s="384">
        <f t="shared" si="4"/>
        <v>0</v>
      </c>
      <c r="L101" s="384">
        <f t="shared" si="4"/>
        <v>0</v>
      </c>
      <c r="M101" s="384">
        <f t="shared" si="4"/>
        <v>100</v>
      </c>
      <c r="N101" s="421">
        <f t="shared" si="5"/>
        <v>100</v>
      </c>
      <c r="O101" s="383"/>
      <c r="P101" s="384"/>
      <c r="Q101" s="384">
        <v>42.1</v>
      </c>
      <c r="R101" s="385">
        <f t="shared" si="6"/>
        <v>42.1</v>
      </c>
      <c r="S101" s="334">
        <v>5</v>
      </c>
      <c r="T101" s="357"/>
      <c r="V101" s="343" t="s">
        <v>464</v>
      </c>
      <c r="W101" s="334" t="s">
        <v>20</v>
      </c>
      <c r="X101" s="334" t="s">
        <v>12</v>
      </c>
      <c r="Y101" s="344">
        <v>43.3</v>
      </c>
      <c r="Z101" s="334" t="s">
        <v>101</v>
      </c>
      <c r="AA101" s="334" t="s">
        <v>340</v>
      </c>
      <c r="AB101" s="334" t="s">
        <v>12</v>
      </c>
      <c r="AC101" s="334">
        <v>1.7</v>
      </c>
      <c r="AD101" s="343"/>
      <c r="AG101" s="344"/>
      <c r="AL101" s="343"/>
      <c r="AO101" s="344"/>
      <c r="AP101" s="343"/>
      <c r="AS101" s="344"/>
      <c r="AW101" s="344"/>
      <c r="BA101" s="345"/>
    </row>
    <row r="102" spans="1:53" s="208" customFormat="1" x14ac:dyDescent="0.15">
      <c r="A102" s="208">
        <v>2005</v>
      </c>
      <c r="B102" s="207">
        <v>38644</v>
      </c>
      <c r="C102" s="811" t="s">
        <v>661</v>
      </c>
      <c r="D102" s="811"/>
      <c r="E102" s="208">
        <f>365-E101-E100</f>
        <v>74</v>
      </c>
      <c r="F102" s="208">
        <v>1</v>
      </c>
      <c r="G102" s="123">
        <v>0</v>
      </c>
      <c r="H102" s="208">
        <v>0</v>
      </c>
      <c r="I102" s="208">
        <v>21</v>
      </c>
      <c r="J102" s="134">
        <v>21</v>
      </c>
      <c r="K102" s="92">
        <f t="shared" si="4"/>
        <v>0</v>
      </c>
      <c r="L102" s="92">
        <f t="shared" si="4"/>
        <v>0</v>
      </c>
      <c r="M102" s="92">
        <f t="shared" si="4"/>
        <v>100</v>
      </c>
      <c r="N102" s="125">
        <f t="shared" si="5"/>
        <v>100</v>
      </c>
      <c r="O102" s="91"/>
      <c r="P102" s="92"/>
      <c r="Q102" s="92">
        <v>42.1</v>
      </c>
      <c r="R102" s="93">
        <f t="shared" si="6"/>
        <v>42.1</v>
      </c>
      <c r="S102" s="208">
        <v>5</v>
      </c>
      <c r="T102" s="95">
        <v>38612</v>
      </c>
      <c r="U102" s="207">
        <v>38644</v>
      </c>
      <c r="V102" s="82" t="s">
        <v>464</v>
      </c>
      <c r="W102" s="208" t="s">
        <v>20</v>
      </c>
      <c r="X102" s="208" t="s">
        <v>12</v>
      </c>
      <c r="Y102" s="83">
        <v>41.3</v>
      </c>
      <c r="Z102" s="208" t="s">
        <v>101</v>
      </c>
      <c r="AA102" s="208" t="s">
        <v>340</v>
      </c>
      <c r="AB102" s="208" t="s">
        <v>12</v>
      </c>
      <c r="AC102" s="208">
        <v>0.8</v>
      </c>
      <c r="AD102" s="82"/>
      <c r="AG102" s="83"/>
      <c r="AL102" s="82"/>
      <c r="AO102" s="83"/>
      <c r="AP102" s="82"/>
      <c r="AS102" s="83"/>
      <c r="AW102" s="83"/>
      <c r="BA102" s="84"/>
    </row>
    <row r="103" spans="1:53" s="208" customFormat="1" x14ac:dyDescent="0.15">
      <c r="A103" s="208">
        <v>2006</v>
      </c>
      <c r="C103" s="811" t="s">
        <v>661</v>
      </c>
      <c r="D103" s="811"/>
      <c r="E103" s="208">
        <v>0</v>
      </c>
      <c r="G103" s="123">
        <v>0</v>
      </c>
      <c r="H103" s="208">
        <v>0</v>
      </c>
      <c r="I103" s="208">
        <v>21</v>
      </c>
      <c r="J103" s="134">
        <v>21</v>
      </c>
      <c r="K103" s="92">
        <f t="shared" si="4"/>
        <v>0</v>
      </c>
      <c r="L103" s="92">
        <f t="shared" si="4"/>
        <v>0</v>
      </c>
      <c r="M103" s="92">
        <f t="shared" si="4"/>
        <v>100</v>
      </c>
      <c r="N103" s="125">
        <f t="shared" si="5"/>
        <v>100</v>
      </c>
      <c r="O103" s="91"/>
      <c r="P103" s="92"/>
      <c r="Q103" s="92">
        <v>42.1</v>
      </c>
      <c r="R103" s="93">
        <f t="shared" si="6"/>
        <v>42.1</v>
      </c>
      <c r="S103" s="208">
        <v>5</v>
      </c>
      <c r="T103" s="81"/>
      <c r="V103" s="82" t="s">
        <v>464</v>
      </c>
      <c r="W103" s="208" t="s">
        <v>20</v>
      </c>
      <c r="X103" s="208" t="s">
        <v>12</v>
      </c>
      <c r="Y103" s="83">
        <v>41.3</v>
      </c>
      <c r="Z103" s="208" t="s">
        <v>101</v>
      </c>
      <c r="AA103" s="208" t="s">
        <v>340</v>
      </c>
      <c r="AB103" s="208" t="s">
        <v>12</v>
      </c>
      <c r="AC103" s="208">
        <v>0.8</v>
      </c>
      <c r="AD103" s="82"/>
      <c r="AG103" s="83"/>
      <c r="AL103" s="82"/>
      <c r="AO103" s="83"/>
      <c r="AP103" s="82"/>
      <c r="AS103" s="83"/>
      <c r="AW103" s="83"/>
      <c r="BA103" s="84"/>
    </row>
    <row r="104" spans="1:53" s="208" customFormat="1" x14ac:dyDescent="0.15">
      <c r="A104" s="208">
        <v>2006</v>
      </c>
      <c r="C104" s="811" t="s">
        <v>661</v>
      </c>
      <c r="D104" s="811"/>
      <c r="E104" s="208">
        <v>365</v>
      </c>
      <c r="G104" s="123">
        <v>0</v>
      </c>
      <c r="H104" s="208">
        <v>0</v>
      </c>
      <c r="I104" s="208">
        <v>21</v>
      </c>
      <c r="J104" s="134">
        <v>21</v>
      </c>
      <c r="K104" s="92">
        <f t="shared" si="4"/>
        <v>0</v>
      </c>
      <c r="L104" s="92">
        <f t="shared" si="4"/>
        <v>0</v>
      </c>
      <c r="M104" s="92">
        <f t="shared" si="4"/>
        <v>100</v>
      </c>
      <c r="N104" s="125">
        <f t="shared" si="5"/>
        <v>100</v>
      </c>
      <c r="O104" s="91"/>
      <c r="P104" s="92"/>
      <c r="Q104" s="92">
        <v>42.1</v>
      </c>
      <c r="R104" s="93">
        <f t="shared" si="6"/>
        <v>42.1</v>
      </c>
      <c r="S104" s="208">
        <v>5</v>
      </c>
      <c r="T104" s="81"/>
      <c r="V104" s="82" t="s">
        <v>464</v>
      </c>
      <c r="W104" s="208" t="s">
        <v>20</v>
      </c>
      <c r="X104" s="208" t="s">
        <v>12</v>
      </c>
      <c r="Y104" s="83">
        <v>41.3</v>
      </c>
      <c r="Z104" s="208" t="s">
        <v>101</v>
      </c>
      <c r="AA104" s="208" t="s">
        <v>340</v>
      </c>
      <c r="AB104" s="208" t="s">
        <v>12</v>
      </c>
      <c r="AC104" s="208">
        <v>0.8</v>
      </c>
      <c r="AD104" s="82"/>
      <c r="AG104" s="83"/>
      <c r="AL104" s="82"/>
      <c r="AO104" s="83"/>
      <c r="AP104" s="82"/>
      <c r="AS104" s="83"/>
      <c r="AW104" s="83"/>
      <c r="BA104" s="84"/>
    </row>
    <row r="105" spans="1:53" s="208" customFormat="1" x14ac:dyDescent="0.15">
      <c r="A105" s="208">
        <v>2007</v>
      </c>
      <c r="C105" s="811" t="s">
        <v>661</v>
      </c>
      <c r="D105" s="811"/>
      <c r="E105" s="208">
        <v>0</v>
      </c>
      <c r="G105" s="123">
        <v>0</v>
      </c>
      <c r="H105" s="208">
        <v>0</v>
      </c>
      <c r="I105" s="208">
        <v>21</v>
      </c>
      <c r="J105" s="134">
        <v>21</v>
      </c>
      <c r="K105" s="92">
        <f t="shared" si="4"/>
        <v>0</v>
      </c>
      <c r="L105" s="92">
        <f t="shared" si="4"/>
        <v>0</v>
      </c>
      <c r="M105" s="92">
        <f t="shared" si="4"/>
        <v>100</v>
      </c>
      <c r="N105" s="125">
        <f t="shared" si="5"/>
        <v>100</v>
      </c>
      <c r="O105" s="91"/>
      <c r="P105" s="92"/>
      <c r="Q105" s="92">
        <v>42.1</v>
      </c>
      <c r="R105" s="93">
        <f t="shared" si="6"/>
        <v>42.1</v>
      </c>
      <c r="S105" s="208">
        <v>5</v>
      </c>
      <c r="T105" s="81"/>
      <c r="V105" s="82" t="s">
        <v>464</v>
      </c>
      <c r="W105" s="208" t="s">
        <v>20</v>
      </c>
      <c r="X105" s="208" t="s">
        <v>12</v>
      </c>
      <c r="Y105" s="83">
        <v>41.3</v>
      </c>
      <c r="Z105" s="208" t="s">
        <v>101</v>
      </c>
      <c r="AA105" s="208" t="s">
        <v>340</v>
      </c>
      <c r="AB105" s="208" t="s">
        <v>12</v>
      </c>
      <c r="AC105" s="208">
        <v>0.8</v>
      </c>
      <c r="AD105" s="82"/>
      <c r="AG105" s="83"/>
      <c r="AL105" s="82"/>
      <c r="AO105" s="83"/>
      <c r="AP105" s="82"/>
      <c r="AS105" s="83"/>
      <c r="AW105" s="83"/>
      <c r="BA105" s="84"/>
    </row>
    <row r="106" spans="1:53" s="208" customFormat="1" x14ac:dyDescent="0.15">
      <c r="A106" s="208">
        <v>2007</v>
      </c>
      <c r="C106" s="811" t="s">
        <v>661</v>
      </c>
      <c r="D106" s="811"/>
      <c r="E106" s="208">
        <v>365</v>
      </c>
      <c r="G106" s="123">
        <v>0</v>
      </c>
      <c r="H106" s="208">
        <v>0</v>
      </c>
      <c r="I106" s="208">
        <v>21</v>
      </c>
      <c r="J106" s="134">
        <v>21</v>
      </c>
      <c r="K106" s="92">
        <f t="shared" si="4"/>
        <v>0</v>
      </c>
      <c r="L106" s="92">
        <f t="shared" si="4"/>
        <v>0</v>
      </c>
      <c r="M106" s="92">
        <f t="shared" si="4"/>
        <v>100</v>
      </c>
      <c r="N106" s="125">
        <f t="shared" si="5"/>
        <v>100</v>
      </c>
      <c r="O106" s="91"/>
      <c r="P106" s="92"/>
      <c r="Q106" s="92">
        <v>42.1</v>
      </c>
      <c r="R106" s="93">
        <f t="shared" si="6"/>
        <v>42.1</v>
      </c>
      <c r="S106" s="208">
        <v>5</v>
      </c>
      <c r="T106" s="81"/>
      <c r="V106" s="82" t="s">
        <v>464</v>
      </c>
      <c r="W106" s="208" t="s">
        <v>20</v>
      </c>
      <c r="X106" s="208" t="s">
        <v>12</v>
      </c>
      <c r="Y106" s="83">
        <v>41.3</v>
      </c>
      <c r="Z106" s="208" t="s">
        <v>101</v>
      </c>
      <c r="AA106" s="208" t="s">
        <v>340</v>
      </c>
      <c r="AB106" s="208" t="s">
        <v>12</v>
      </c>
      <c r="AC106" s="208">
        <v>0.8</v>
      </c>
      <c r="AD106" s="82"/>
      <c r="AG106" s="83"/>
      <c r="AL106" s="82"/>
      <c r="AO106" s="83"/>
      <c r="AP106" s="82"/>
      <c r="AS106" s="83"/>
      <c r="AW106" s="83"/>
      <c r="BA106" s="84"/>
    </row>
    <row r="107" spans="1:53" s="208" customFormat="1" x14ac:dyDescent="0.15">
      <c r="A107" s="208">
        <v>2008</v>
      </c>
      <c r="C107" s="811" t="s">
        <v>661</v>
      </c>
      <c r="D107" s="811"/>
      <c r="E107" s="208">
        <v>323</v>
      </c>
      <c r="G107" s="123">
        <v>0</v>
      </c>
      <c r="H107" s="208">
        <v>0</v>
      </c>
      <c r="I107" s="208">
        <v>21</v>
      </c>
      <c r="J107" s="134">
        <v>21</v>
      </c>
      <c r="K107" s="92">
        <f t="shared" si="4"/>
        <v>0</v>
      </c>
      <c r="L107" s="92">
        <f t="shared" si="4"/>
        <v>0</v>
      </c>
      <c r="M107" s="92">
        <f t="shared" si="4"/>
        <v>100</v>
      </c>
      <c r="N107" s="125">
        <f t="shared" si="5"/>
        <v>100</v>
      </c>
      <c r="O107" s="91"/>
      <c r="P107" s="92"/>
      <c r="Q107" s="92">
        <v>42.1</v>
      </c>
      <c r="R107" s="93">
        <f t="shared" si="6"/>
        <v>42.1</v>
      </c>
      <c r="S107" s="208">
        <v>5</v>
      </c>
      <c r="T107" s="81"/>
      <c r="V107" s="82" t="s">
        <v>464</v>
      </c>
      <c r="W107" s="208" t="s">
        <v>20</v>
      </c>
      <c r="X107" s="208" t="s">
        <v>12</v>
      </c>
      <c r="Y107" s="83">
        <v>41.3</v>
      </c>
      <c r="Z107" s="208" t="s">
        <v>101</v>
      </c>
      <c r="AA107" s="208" t="s">
        <v>340</v>
      </c>
      <c r="AB107" s="208" t="s">
        <v>12</v>
      </c>
      <c r="AC107" s="208">
        <v>0.8</v>
      </c>
      <c r="AD107" s="82"/>
      <c r="AG107" s="83"/>
      <c r="AL107" s="82"/>
      <c r="AO107" s="83"/>
      <c r="AP107" s="82"/>
      <c r="AS107" s="83"/>
      <c r="AW107" s="83"/>
      <c r="BA107" s="84"/>
    </row>
    <row r="108" spans="1:53" s="334" customFormat="1" x14ac:dyDescent="0.15">
      <c r="A108" s="334">
        <v>2008</v>
      </c>
      <c r="B108" s="355">
        <v>39771</v>
      </c>
      <c r="C108" s="812" t="s">
        <v>662</v>
      </c>
      <c r="D108" s="812"/>
      <c r="E108" s="334">
        <f>366-E107</f>
        <v>43</v>
      </c>
      <c r="F108" s="334">
        <v>1</v>
      </c>
      <c r="G108" s="419">
        <v>20</v>
      </c>
      <c r="H108" s="334">
        <v>0</v>
      </c>
      <c r="I108" s="334">
        <v>0</v>
      </c>
      <c r="J108" s="435">
        <v>20</v>
      </c>
      <c r="K108" s="384">
        <f t="shared" si="4"/>
        <v>100</v>
      </c>
      <c r="L108" s="384">
        <f t="shared" si="4"/>
        <v>0</v>
      </c>
      <c r="M108" s="384">
        <f t="shared" si="4"/>
        <v>0</v>
      </c>
      <c r="N108" s="421">
        <f t="shared" si="5"/>
        <v>100</v>
      </c>
      <c r="O108" s="383">
        <v>47.5</v>
      </c>
      <c r="P108" s="384"/>
      <c r="Q108" s="384"/>
      <c r="R108" s="385">
        <f t="shared" si="6"/>
        <v>47.5</v>
      </c>
      <c r="S108" s="334">
        <v>4</v>
      </c>
      <c r="T108" s="342">
        <v>39760</v>
      </c>
      <c r="U108" s="355">
        <v>39771</v>
      </c>
      <c r="V108" s="343" t="s">
        <v>465</v>
      </c>
      <c r="W108" s="334" t="s">
        <v>74</v>
      </c>
      <c r="X108" s="334" t="s">
        <v>11</v>
      </c>
      <c r="Y108" s="344">
        <v>47.5</v>
      </c>
      <c r="AD108" s="343"/>
      <c r="AG108" s="344"/>
      <c r="AL108" s="343"/>
      <c r="AO108" s="344"/>
      <c r="AP108" s="343"/>
      <c r="AS108" s="344"/>
      <c r="AW108" s="344"/>
      <c r="BA108" s="345"/>
    </row>
    <row r="109" spans="1:53" s="334" customFormat="1" x14ac:dyDescent="0.15">
      <c r="A109" s="334">
        <v>2009</v>
      </c>
      <c r="C109" s="812" t="s">
        <v>662</v>
      </c>
      <c r="D109" s="812"/>
      <c r="E109" s="334">
        <v>0</v>
      </c>
      <c r="G109" s="419">
        <v>20</v>
      </c>
      <c r="H109" s="334">
        <v>0</v>
      </c>
      <c r="I109" s="334">
        <v>0</v>
      </c>
      <c r="J109" s="435">
        <v>20</v>
      </c>
      <c r="K109" s="384">
        <f t="shared" si="4"/>
        <v>100</v>
      </c>
      <c r="L109" s="384">
        <f t="shared" si="4"/>
        <v>0</v>
      </c>
      <c r="M109" s="384">
        <f t="shared" si="4"/>
        <v>0</v>
      </c>
      <c r="N109" s="421">
        <f t="shared" si="5"/>
        <v>100</v>
      </c>
      <c r="O109" s="383">
        <v>47.5</v>
      </c>
      <c r="P109" s="384"/>
      <c r="Q109" s="384"/>
      <c r="R109" s="385">
        <f t="shared" si="6"/>
        <v>47.5</v>
      </c>
      <c r="S109" s="334">
        <v>4</v>
      </c>
      <c r="T109" s="357"/>
      <c r="V109" s="343" t="s">
        <v>465</v>
      </c>
      <c r="W109" s="334" t="s">
        <v>74</v>
      </c>
      <c r="X109" s="334" t="s">
        <v>11</v>
      </c>
      <c r="Y109" s="344">
        <v>47.5</v>
      </c>
      <c r="AD109" s="343"/>
      <c r="AG109" s="344"/>
      <c r="AL109" s="343"/>
      <c r="AO109" s="344"/>
      <c r="AP109" s="343"/>
      <c r="AS109" s="344"/>
      <c r="AW109" s="344"/>
      <c r="BA109" s="345"/>
    </row>
    <row r="110" spans="1:53" s="334" customFormat="1" x14ac:dyDescent="0.15">
      <c r="A110" s="334">
        <v>2009</v>
      </c>
      <c r="C110" s="812" t="s">
        <v>662</v>
      </c>
      <c r="D110" s="812"/>
      <c r="E110" s="334">
        <v>365</v>
      </c>
      <c r="G110" s="419">
        <v>20</v>
      </c>
      <c r="H110" s="334">
        <v>0</v>
      </c>
      <c r="I110" s="334">
        <v>0</v>
      </c>
      <c r="J110" s="435">
        <v>20</v>
      </c>
      <c r="K110" s="384">
        <f t="shared" si="4"/>
        <v>100</v>
      </c>
      <c r="L110" s="384">
        <f t="shared" si="4"/>
        <v>0</v>
      </c>
      <c r="M110" s="384">
        <f t="shared" si="4"/>
        <v>0</v>
      </c>
      <c r="N110" s="421">
        <f t="shared" si="5"/>
        <v>100</v>
      </c>
      <c r="O110" s="383">
        <v>47.5</v>
      </c>
      <c r="P110" s="384"/>
      <c r="Q110" s="384"/>
      <c r="R110" s="385">
        <f t="shared" si="6"/>
        <v>47.5</v>
      </c>
      <c r="S110" s="334">
        <v>4</v>
      </c>
      <c r="T110" s="357"/>
      <c r="V110" s="343" t="s">
        <v>465</v>
      </c>
      <c r="W110" s="334" t="s">
        <v>74</v>
      </c>
      <c r="X110" s="334" t="s">
        <v>11</v>
      </c>
      <c r="Y110" s="344">
        <v>47.5</v>
      </c>
      <c r="AD110" s="343"/>
      <c r="AG110" s="344"/>
      <c r="AL110" s="343"/>
      <c r="AO110" s="344"/>
      <c r="AP110" s="343"/>
      <c r="AS110" s="344"/>
      <c r="AW110" s="344"/>
      <c r="BA110" s="345"/>
    </row>
    <row r="111" spans="1:53" s="334" customFormat="1" x14ac:dyDescent="0.15">
      <c r="A111" s="334">
        <v>2010</v>
      </c>
      <c r="C111" s="812" t="s">
        <v>662</v>
      </c>
      <c r="D111" s="812"/>
      <c r="E111" s="334">
        <v>0</v>
      </c>
      <c r="G111" s="419">
        <v>20</v>
      </c>
      <c r="H111" s="334">
        <v>0</v>
      </c>
      <c r="I111" s="334">
        <v>0</v>
      </c>
      <c r="J111" s="435">
        <v>20</v>
      </c>
      <c r="K111" s="384">
        <f t="shared" si="4"/>
        <v>100</v>
      </c>
      <c r="L111" s="384">
        <f t="shared" si="4"/>
        <v>0</v>
      </c>
      <c r="M111" s="384">
        <f t="shared" si="4"/>
        <v>0</v>
      </c>
      <c r="N111" s="421">
        <f t="shared" si="5"/>
        <v>100</v>
      </c>
      <c r="O111" s="383">
        <v>47.5</v>
      </c>
      <c r="P111" s="384"/>
      <c r="Q111" s="384"/>
      <c r="R111" s="385">
        <f t="shared" si="6"/>
        <v>47.5</v>
      </c>
      <c r="S111" s="334">
        <v>4</v>
      </c>
      <c r="T111" s="357"/>
      <c r="V111" s="343" t="s">
        <v>465</v>
      </c>
      <c r="W111" s="334" t="s">
        <v>74</v>
      </c>
      <c r="X111" s="334" t="s">
        <v>11</v>
      </c>
      <c r="Y111" s="344">
        <v>47.5</v>
      </c>
      <c r="AD111" s="343"/>
      <c r="AG111" s="344"/>
      <c r="AL111" s="343"/>
      <c r="AO111" s="344"/>
      <c r="AP111" s="343"/>
      <c r="AS111" s="344"/>
      <c r="AW111" s="344"/>
      <c r="BA111" s="345"/>
    </row>
    <row r="112" spans="1:53" s="334" customFormat="1" x14ac:dyDescent="0.15">
      <c r="A112" s="334">
        <v>2010</v>
      </c>
      <c r="C112" s="812" t="s">
        <v>662</v>
      </c>
      <c r="D112" s="812"/>
      <c r="E112" s="334">
        <v>365</v>
      </c>
      <c r="G112" s="419">
        <v>20</v>
      </c>
      <c r="H112" s="334">
        <v>0</v>
      </c>
      <c r="I112" s="334">
        <v>0</v>
      </c>
      <c r="J112" s="435">
        <v>20</v>
      </c>
      <c r="K112" s="384">
        <f t="shared" si="4"/>
        <v>100</v>
      </c>
      <c r="L112" s="384">
        <f t="shared" si="4"/>
        <v>0</v>
      </c>
      <c r="M112" s="384">
        <f t="shared" si="4"/>
        <v>0</v>
      </c>
      <c r="N112" s="421">
        <f t="shared" si="5"/>
        <v>100</v>
      </c>
      <c r="O112" s="383">
        <v>47.5</v>
      </c>
      <c r="P112" s="384"/>
      <c r="Q112" s="384"/>
      <c r="R112" s="385">
        <f t="shared" si="6"/>
        <v>47.5</v>
      </c>
      <c r="S112" s="334">
        <v>4</v>
      </c>
      <c r="T112" s="357"/>
      <c r="V112" s="343" t="s">
        <v>465</v>
      </c>
      <c r="W112" s="334" t="s">
        <v>74</v>
      </c>
      <c r="X112" s="334" t="s">
        <v>11</v>
      </c>
      <c r="Y112" s="344">
        <v>47.5</v>
      </c>
      <c r="AD112" s="343"/>
      <c r="AG112" s="344"/>
      <c r="AL112" s="343"/>
      <c r="AO112" s="344"/>
      <c r="AP112" s="343"/>
      <c r="AS112" s="344"/>
      <c r="AW112" s="344"/>
      <c r="BA112" s="345"/>
    </row>
    <row r="113" spans="1:53" s="334" customFormat="1" x14ac:dyDescent="0.15">
      <c r="A113" s="334">
        <v>2011</v>
      </c>
      <c r="C113" s="812" t="s">
        <v>662</v>
      </c>
      <c r="D113" s="812"/>
      <c r="E113" s="334">
        <v>347</v>
      </c>
      <c r="G113" s="419">
        <v>20</v>
      </c>
      <c r="H113" s="334">
        <v>0</v>
      </c>
      <c r="I113" s="334">
        <v>0</v>
      </c>
      <c r="J113" s="435">
        <v>20</v>
      </c>
      <c r="K113" s="384">
        <f t="shared" si="4"/>
        <v>100</v>
      </c>
      <c r="L113" s="384">
        <f t="shared" si="4"/>
        <v>0</v>
      </c>
      <c r="M113" s="384">
        <f t="shared" si="4"/>
        <v>0</v>
      </c>
      <c r="N113" s="421">
        <f t="shared" si="5"/>
        <v>100</v>
      </c>
      <c r="O113" s="383">
        <v>47.5</v>
      </c>
      <c r="P113" s="384"/>
      <c r="Q113" s="384"/>
      <c r="R113" s="385">
        <f t="shared" si="6"/>
        <v>47.5</v>
      </c>
      <c r="S113" s="334">
        <v>4</v>
      </c>
      <c r="T113" s="357"/>
      <c r="V113" s="343" t="s">
        <v>465</v>
      </c>
      <c r="W113" s="334" t="s">
        <v>74</v>
      </c>
      <c r="X113" s="334" t="s">
        <v>11</v>
      </c>
      <c r="Y113" s="344">
        <v>47.5</v>
      </c>
      <c r="AD113" s="343"/>
      <c r="AG113" s="344"/>
      <c r="AL113" s="343"/>
      <c r="AO113" s="344"/>
      <c r="AP113" s="343"/>
      <c r="AS113" s="344"/>
      <c r="AW113" s="344"/>
      <c r="BA113" s="345"/>
    </row>
    <row r="114" spans="1:53" s="208" customFormat="1" x14ac:dyDescent="0.15">
      <c r="A114" s="208">
        <v>2011</v>
      </c>
      <c r="B114" s="207">
        <v>40891</v>
      </c>
      <c r="C114" s="811" t="s">
        <v>663</v>
      </c>
      <c r="D114" s="811"/>
      <c r="E114" s="208">
        <v>18</v>
      </c>
      <c r="F114" s="208">
        <v>1</v>
      </c>
      <c r="G114" s="123">
        <v>20</v>
      </c>
      <c r="H114" s="208">
        <v>0</v>
      </c>
      <c r="I114" s="208">
        <v>0</v>
      </c>
      <c r="J114" s="134">
        <v>20</v>
      </c>
      <c r="K114" s="92">
        <f t="shared" si="4"/>
        <v>100</v>
      </c>
      <c r="L114" s="92">
        <f t="shared" si="4"/>
        <v>0</v>
      </c>
      <c r="M114" s="92">
        <f t="shared" si="4"/>
        <v>0</v>
      </c>
      <c r="N114" s="125">
        <f t="shared" si="5"/>
        <v>100</v>
      </c>
      <c r="O114" s="91">
        <v>48.76</v>
      </c>
      <c r="P114" s="92"/>
      <c r="Q114" s="92"/>
      <c r="R114" s="93">
        <f t="shared" si="6"/>
        <v>48.76</v>
      </c>
      <c r="S114" s="208">
        <v>4</v>
      </c>
      <c r="T114" s="95">
        <v>40873</v>
      </c>
      <c r="U114" s="207">
        <v>40891</v>
      </c>
      <c r="V114" s="82" t="s">
        <v>465</v>
      </c>
      <c r="W114" s="208" t="s">
        <v>74</v>
      </c>
      <c r="X114" s="208" t="s">
        <v>11</v>
      </c>
      <c r="Y114" s="83">
        <v>48.8</v>
      </c>
      <c r="AD114" s="82"/>
      <c r="AG114" s="83"/>
      <c r="AL114" s="82"/>
      <c r="AO114" s="83"/>
      <c r="AP114" s="82"/>
      <c r="AS114" s="83"/>
      <c r="AW114" s="83"/>
      <c r="BA114" s="84"/>
    </row>
    <row r="115" spans="1:53" s="208" customFormat="1" x14ac:dyDescent="0.15">
      <c r="A115" s="208">
        <v>2012</v>
      </c>
      <c r="B115" s="213"/>
      <c r="C115" s="811" t="s">
        <v>663</v>
      </c>
      <c r="D115" s="811"/>
      <c r="E115" s="208">
        <v>0</v>
      </c>
      <c r="G115" s="123">
        <v>20</v>
      </c>
      <c r="H115" s="208">
        <v>0</v>
      </c>
      <c r="I115" s="208">
        <v>0</v>
      </c>
      <c r="J115" s="134">
        <v>20</v>
      </c>
      <c r="K115" s="92">
        <f t="shared" si="4"/>
        <v>100</v>
      </c>
      <c r="L115" s="92">
        <f t="shared" si="4"/>
        <v>0</v>
      </c>
      <c r="M115" s="92">
        <f t="shared" si="4"/>
        <v>0</v>
      </c>
      <c r="N115" s="125">
        <f t="shared" si="5"/>
        <v>100</v>
      </c>
      <c r="O115" s="91">
        <v>48.76</v>
      </c>
      <c r="P115" s="92"/>
      <c r="Q115" s="92"/>
      <c r="R115" s="93">
        <f t="shared" si="6"/>
        <v>48.76</v>
      </c>
      <c r="S115" s="208">
        <v>4</v>
      </c>
      <c r="T115" s="81"/>
      <c r="V115" s="82" t="s">
        <v>465</v>
      </c>
      <c r="W115" s="208" t="s">
        <v>74</v>
      </c>
      <c r="X115" s="208" t="s">
        <v>11</v>
      </c>
      <c r="Y115" s="83">
        <v>48.8</v>
      </c>
      <c r="AD115" s="82"/>
      <c r="AG115" s="83"/>
      <c r="AL115" s="82"/>
      <c r="AO115" s="83"/>
      <c r="AP115" s="82"/>
      <c r="AS115" s="83"/>
      <c r="AW115" s="83"/>
      <c r="BA115" s="84"/>
    </row>
    <row r="116" spans="1:53" s="208" customFormat="1" x14ac:dyDescent="0.15">
      <c r="A116" s="208">
        <v>2012</v>
      </c>
      <c r="B116" s="213"/>
      <c r="C116" s="811" t="s">
        <v>663</v>
      </c>
      <c r="D116" s="811"/>
      <c r="E116" s="208">
        <v>366</v>
      </c>
      <c r="G116" s="123">
        <v>20</v>
      </c>
      <c r="H116" s="208">
        <v>0</v>
      </c>
      <c r="I116" s="208">
        <v>0</v>
      </c>
      <c r="J116" s="134">
        <v>20</v>
      </c>
      <c r="K116" s="92">
        <f t="shared" si="4"/>
        <v>100</v>
      </c>
      <c r="L116" s="92">
        <f t="shared" si="4"/>
        <v>0</v>
      </c>
      <c r="M116" s="92">
        <f t="shared" si="4"/>
        <v>0</v>
      </c>
      <c r="N116" s="125">
        <f t="shared" si="5"/>
        <v>100</v>
      </c>
      <c r="O116" s="91">
        <v>48.76</v>
      </c>
      <c r="P116" s="92"/>
      <c r="Q116" s="92"/>
      <c r="R116" s="93">
        <f t="shared" si="6"/>
        <v>48.76</v>
      </c>
      <c r="S116" s="208">
        <v>4</v>
      </c>
      <c r="T116" s="81"/>
      <c r="V116" s="82" t="s">
        <v>465</v>
      </c>
      <c r="W116" s="208" t="s">
        <v>74</v>
      </c>
      <c r="X116" s="208" t="s">
        <v>11</v>
      </c>
      <c r="Y116" s="83">
        <v>48.8</v>
      </c>
      <c r="AD116" s="82"/>
      <c r="AG116" s="83"/>
      <c r="AL116" s="82"/>
      <c r="AO116" s="83"/>
      <c r="AP116" s="82"/>
      <c r="AS116" s="83"/>
      <c r="AW116" s="83"/>
      <c r="BA116" s="84"/>
    </row>
    <row r="117" spans="1:53" s="305" customFormat="1" x14ac:dyDescent="0.15">
      <c r="A117" s="305">
        <v>2013</v>
      </c>
      <c r="B117" s="306"/>
      <c r="C117" s="811" t="s">
        <v>663</v>
      </c>
      <c r="D117" s="811"/>
      <c r="E117" s="305">
        <v>0</v>
      </c>
      <c r="G117" s="123">
        <v>20</v>
      </c>
      <c r="H117" s="305">
        <v>0</v>
      </c>
      <c r="I117" s="305">
        <v>0</v>
      </c>
      <c r="J117" s="134">
        <v>20</v>
      </c>
      <c r="K117" s="92">
        <f t="shared" si="4"/>
        <v>100</v>
      </c>
      <c r="L117" s="92">
        <f t="shared" si="4"/>
        <v>0</v>
      </c>
      <c r="M117" s="92">
        <f t="shared" si="4"/>
        <v>0</v>
      </c>
      <c r="N117" s="125">
        <f t="shared" si="5"/>
        <v>100</v>
      </c>
      <c r="O117" s="91">
        <v>48.76</v>
      </c>
      <c r="P117" s="92"/>
      <c r="Q117" s="92"/>
      <c r="R117" s="93">
        <f>O117+P117+Q117</f>
        <v>48.76</v>
      </c>
      <c r="S117" s="305">
        <v>4</v>
      </c>
      <c r="T117" s="81"/>
      <c r="V117" s="82" t="s">
        <v>465</v>
      </c>
      <c r="W117" s="305" t="s">
        <v>74</v>
      </c>
      <c r="X117" s="305" t="s">
        <v>11</v>
      </c>
      <c r="Y117" s="83">
        <v>48.8</v>
      </c>
      <c r="AD117" s="82"/>
      <c r="AG117" s="83"/>
      <c r="AL117" s="82"/>
      <c r="AO117" s="83"/>
      <c r="AP117" s="82"/>
      <c r="AS117" s="83"/>
      <c r="AW117" s="83"/>
      <c r="BA117" s="84"/>
    </row>
    <row r="118" spans="1:53" s="305" customFormat="1" x14ac:dyDescent="0.15">
      <c r="A118" s="305">
        <v>2013</v>
      </c>
      <c r="B118" s="306"/>
      <c r="C118" s="811" t="s">
        <v>663</v>
      </c>
      <c r="D118" s="811"/>
      <c r="E118" s="305">
        <v>365</v>
      </c>
      <c r="G118" s="123">
        <v>20</v>
      </c>
      <c r="H118" s="305">
        <v>0</v>
      </c>
      <c r="I118" s="305">
        <v>0</v>
      </c>
      <c r="J118" s="134">
        <v>20</v>
      </c>
      <c r="K118" s="92">
        <f t="shared" si="4"/>
        <v>100</v>
      </c>
      <c r="L118" s="92">
        <f t="shared" si="4"/>
        <v>0</v>
      </c>
      <c r="M118" s="92">
        <f t="shared" si="4"/>
        <v>0</v>
      </c>
      <c r="N118" s="125">
        <f t="shared" si="5"/>
        <v>100</v>
      </c>
      <c r="O118" s="91">
        <v>48.76</v>
      </c>
      <c r="P118" s="92"/>
      <c r="Q118" s="92"/>
      <c r="R118" s="93">
        <f>O118+P118+Q118</f>
        <v>48.76</v>
      </c>
      <c r="S118" s="305">
        <v>4</v>
      </c>
      <c r="T118" s="81"/>
      <c r="V118" s="82" t="s">
        <v>465</v>
      </c>
      <c r="W118" s="305" t="s">
        <v>74</v>
      </c>
      <c r="X118" s="305" t="s">
        <v>11</v>
      </c>
      <c r="Y118" s="83">
        <v>48.8</v>
      </c>
      <c r="AD118" s="82"/>
      <c r="AG118" s="83"/>
      <c r="AL118" s="82"/>
      <c r="AO118" s="83"/>
      <c r="AP118" s="82"/>
      <c r="AS118" s="83"/>
      <c r="AW118" s="83"/>
      <c r="BA118" s="84"/>
    </row>
    <row r="119" spans="1:53" s="657" customFormat="1" x14ac:dyDescent="0.15">
      <c r="A119" s="657">
        <v>2014</v>
      </c>
      <c r="B119" s="659"/>
      <c r="C119" s="811" t="s">
        <v>663</v>
      </c>
      <c r="D119" s="811"/>
      <c r="E119" s="657">
        <v>241</v>
      </c>
      <c r="G119" s="600">
        <v>20</v>
      </c>
      <c r="H119" s="657">
        <v>0</v>
      </c>
      <c r="I119" s="657">
        <v>0</v>
      </c>
      <c r="J119" s="602">
        <v>20</v>
      </c>
      <c r="K119" s="597">
        <f t="shared" ref="K119:M121" si="7">G119/$J119*100</f>
        <v>100</v>
      </c>
      <c r="L119" s="597">
        <f t="shared" si="7"/>
        <v>0</v>
      </c>
      <c r="M119" s="597">
        <f t="shared" si="7"/>
        <v>0</v>
      </c>
      <c r="N119" s="601">
        <f>K119+L119+M119</f>
        <v>100</v>
      </c>
      <c r="O119" s="596">
        <v>48.76</v>
      </c>
      <c r="P119" s="597"/>
      <c r="Q119" s="597"/>
      <c r="R119" s="598">
        <f>O119+P119+Q119</f>
        <v>48.76</v>
      </c>
      <c r="S119" s="657">
        <v>4</v>
      </c>
      <c r="T119" s="577"/>
      <c r="V119" s="592" t="s">
        <v>465</v>
      </c>
      <c r="W119" s="657" t="s">
        <v>74</v>
      </c>
      <c r="X119" s="657" t="s">
        <v>11</v>
      </c>
      <c r="Y119" s="593">
        <v>48.8</v>
      </c>
      <c r="AD119" s="592"/>
      <c r="AG119" s="593"/>
      <c r="AL119" s="592"/>
      <c r="AO119" s="593"/>
      <c r="AP119" s="592"/>
      <c r="AS119" s="593"/>
      <c r="AW119" s="593"/>
      <c r="BA119" s="594"/>
    </row>
    <row r="120" spans="1:53" s="657" customFormat="1" x14ac:dyDescent="0.15">
      <c r="A120" s="657">
        <v>2014</v>
      </c>
      <c r="B120" s="603">
        <v>41881</v>
      </c>
      <c r="C120" s="811" t="s">
        <v>663</v>
      </c>
      <c r="D120" s="811"/>
      <c r="E120" s="657">
        <v>39</v>
      </c>
      <c r="F120" s="604">
        <v>0</v>
      </c>
      <c r="G120" s="600">
        <v>19</v>
      </c>
      <c r="H120" s="657">
        <v>0</v>
      </c>
      <c r="I120" s="657">
        <v>0</v>
      </c>
      <c r="J120" s="602">
        <v>19</v>
      </c>
      <c r="K120" s="597">
        <f t="shared" si="7"/>
        <v>100</v>
      </c>
      <c r="L120" s="597">
        <f t="shared" si="7"/>
        <v>0</v>
      </c>
      <c r="M120" s="597">
        <f t="shared" si="7"/>
        <v>0</v>
      </c>
      <c r="N120" s="601">
        <f>K120+L120+M120</f>
        <v>100</v>
      </c>
      <c r="O120" s="596">
        <v>48.76</v>
      </c>
      <c r="P120" s="597"/>
      <c r="Q120" s="597"/>
      <c r="R120" s="598">
        <f>O120+P120+Q120</f>
        <v>48.76</v>
      </c>
      <c r="S120" s="657">
        <v>4</v>
      </c>
      <c r="T120" s="577"/>
      <c r="V120" s="592" t="s">
        <v>465</v>
      </c>
      <c r="W120" s="657" t="s">
        <v>74</v>
      </c>
      <c r="X120" s="657" t="s">
        <v>11</v>
      </c>
      <c r="Y120" s="593">
        <v>48.8</v>
      </c>
      <c r="AD120" s="592"/>
      <c r="AG120" s="593"/>
      <c r="AL120" s="592"/>
      <c r="AO120" s="593"/>
      <c r="AP120" s="592"/>
      <c r="AS120" s="593"/>
      <c r="AW120" s="593"/>
      <c r="BA120" s="594"/>
    </row>
    <row r="121" spans="1:53" s="658" customFormat="1" x14ac:dyDescent="0.15">
      <c r="A121" s="658">
        <v>2014</v>
      </c>
      <c r="B121" s="655">
        <v>41920</v>
      </c>
      <c r="C121" s="812" t="s">
        <v>1319</v>
      </c>
      <c r="D121" s="812"/>
      <c r="E121" s="658">
        <v>85</v>
      </c>
      <c r="F121" s="658">
        <v>1</v>
      </c>
      <c r="G121" s="649">
        <v>20</v>
      </c>
      <c r="H121" s="658">
        <v>0</v>
      </c>
      <c r="I121" s="658">
        <v>0</v>
      </c>
      <c r="J121" s="651">
        <v>20</v>
      </c>
      <c r="K121" s="647">
        <f t="shared" si="7"/>
        <v>100</v>
      </c>
      <c r="L121" s="647">
        <f t="shared" si="7"/>
        <v>0</v>
      </c>
      <c r="M121" s="647">
        <f t="shared" si="7"/>
        <v>0</v>
      </c>
      <c r="N121" s="650">
        <f>K121+L121+M121</f>
        <v>100</v>
      </c>
      <c r="O121" s="646">
        <v>49.6</v>
      </c>
      <c r="P121" s="647"/>
      <c r="Q121" s="647"/>
      <c r="R121" s="648">
        <f>O121+P121+Q121</f>
        <v>49.6</v>
      </c>
      <c r="S121" s="658">
        <v>4</v>
      </c>
      <c r="T121" s="487">
        <v>41902</v>
      </c>
      <c r="U121" s="655">
        <v>41920</v>
      </c>
      <c r="V121" s="641" t="s">
        <v>465</v>
      </c>
      <c r="W121" s="658" t="s">
        <v>74</v>
      </c>
      <c r="X121" s="658" t="s">
        <v>11</v>
      </c>
      <c r="Y121" s="642">
        <v>49.6</v>
      </c>
      <c r="AD121" s="641"/>
      <c r="AG121" s="642"/>
      <c r="AL121" s="641"/>
      <c r="AO121" s="642"/>
      <c r="AP121" s="641"/>
      <c r="AS121" s="642"/>
      <c r="AW121" s="642"/>
      <c r="BA121" s="643"/>
    </row>
    <row r="122" spans="1:53" s="752" customFormat="1" x14ac:dyDescent="0.15">
      <c r="A122" s="752">
        <v>2015</v>
      </c>
      <c r="B122" s="748"/>
      <c r="C122" s="812" t="s">
        <v>1319</v>
      </c>
      <c r="D122" s="812"/>
      <c r="E122" s="752">
        <v>0</v>
      </c>
      <c r="G122" s="649">
        <v>20</v>
      </c>
      <c r="H122" s="752">
        <v>0</v>
      </c>
      <c r="I122" s="752">
        <v>0</v>
      </c>
      <c r="J122" s="651">
        <v>20</v>
      </c>
      <c r="K122" s="647">
        <f t="shared" ref="K122:K123" si="8">G122/$J122*100</f>
        <v>100</v>
      </c>
      <c r="L122" s="647">
        <f t="shared" ref="L122:L123" si="9">H122/$J122*100</f>
        <v>0</v>
      </c>
      <c r="M122" s="647">
        <f t="shared" ref="M122:M123" si="10">I122/$J122*100</f>
        <v>0</v>
      </c>
      <c r="N122" s="650">
        <f t="shared" ref="N122:N123" si="11">K122+L122+M122</f>
        <v>100</v>
      </c>
      <c r="O122" s="646">
        <v>49.6</v>
      </c>
      <c r="P122" s="647"/>
      <c r="Q122" s="647"/>
      <c r="R122" s="648">
        <f t="shared" ref="R122:R123" si="12">O122+P122+Q122</f>
        <v>49.6</v>
      </c>
      <c r="S122" s="752">
        <v>4</v>
      </c>
      <c r="T122" s="487"/>
      <c r="U122" s="748"/>
      <c r="V122" s="641" t="s">
        <v>465</v>
      </c>
      <c r="W122" s="752" t="s">
        <v>74</v>
      </c>
      <c r="X122" s="752" t="s">
        <v>11</v>
      </c>
      <c r="Y122" s="642">
        <v>49.6</v>
      </c>
      <c r="AD122" s="641"/>
      <c r="AG122" s="642"/>
      <c r="AL122" s="641"/>
      <c r="AO122" s="642"/>
      <c r="AP122" s="641"/>
      <c r="AS122" s="642"/>
      <c r="AW122" s="642"/>
      <c r="BA122" s="643"/>
    </row>
    <row r="123" spans="1:53" s="752" customFormat="1" x14ac:dyDescent="0.15">
      <c r="A123" s="752">
        <v>2015</v>
      </c>
      <c r="B123" s="748"/>
      <c r="C123" s="812" t="s">
        <v>1319</v>
      </c>
      <c r="D123" s="812"/>
      <c r="E123" s="752">
        <v>365</v>
      </c>
      <c r="G123" s="649">
        <v>20</v>
      </c>
      <c r="H123" s="752">
        <v>0</v>
      </c>
      <c r="I123" s="752">
        <v>0</v>
      </c>
      <c r="J123" s="651">
        <v>20</v>
      </c>
      <c r="K123" s="647">
        <f t="shared" si="8"/>
        <v>100</v>
      </c>
      <c r="L123" s="647">
        <f t="shared" si="9"/>
        <v>0</v>
      </c>
      <c r="M123" s="647">
        <f t="shared" si="10"/>
        <v>0</v>
      </c>
      <c r="N123" s="650">
        <f t="shared" si="11"/>
        <v>100</v>
      </c>
      <c r="O123" s="646">
        <v>49.6</v>
      </c>
      <c r="P123" s="647"/>
      <c r="Q123" s="647"/>
      <c r="R123" s="648">
        <f t="shared" si="12"/>
        <v>49.6</v>
      </c>
      <c r="S123" s="752">
        <v>4</v>
      </c>
      <c r="T123" s="487"/>
      <c r="U123" s="748"/>
      <c r="V123" s="641" t="s">
        <v>465</v>
      </c>
      <c r="W123" s="752" t="s">
        <v>74</v>
      </c>
      <c r="X123" s="752" t="s">
        <v>11</v>
      </c>
      <c r="Y123" s="642">
        <v>49.6</v>
      </c>
      <c r="AD123" s="641"/>
      <c r="AG123" s="642"/>
      <c r="AL123" s="641"/>
      <c r="AO123" s="642"/>
      <c r="AP123" s="641"/>
      <c r="AS123" s="642"/>
      <c r="AW123" s="642"/>
      <c r="BA123" s="643"/>
    </row>
    <row r="124" spans="1:53" x14ac:dyDescent="0.15">
      <c r="M124" s="2"/>
      <c r="N124" s="2"/>
    </row>
    <row r="126" spans="1:53" s="2" customFormat="1" ht="18" customHeight="1" x14ac:dyDescent="0.2">
      <c r="B126" s="22" t="s">
        <v>1284</v>
      </c>
      <c r="H126" s="6"/>
    </row>
    <row r="127" spans="1:53" s="2" customFormat="1" ht="9" customHeight="1" x14ac:dyDescent="0.15">
      <c r="H127" s="6"/>
    </row>
    <row r="128" spans="1:53" s="364" customFormat="1" ht="9" customHeight="1" x14ac:dyDescent="0.15">
      <c r="A128" s="362"/>
      <c r="B128" s="363" t="s">
        <v>1235</v>
      </c>
      <c r="C128" s="363"/>
      <c r="D128" s="363"/>
      <c r="E128" s="363"/>
      <c r="F128" s="363"/>
      <c r="G128" s="363" t="s">
        <v>1236</v>
      </c>
      <c r="H128" s="363"/>
      <c r="I128" s="363"/>
      <c r="J128" s="363"/>
      <c r="K128" s="363"/>
      <c r="L128" s="363"/>
      <c r="M128" s="363"/>
      <c r="N128" s="363"/>
      <c r="R128" s="802" t="s">
        <v>1237</v>
      </c>
      <c r="S128" s="802"/>
      <c r="T128" s="802"/>
      <c r="U128" s="802"/>
      <c r="V128" s="802"/>
      <c r="W128" s="802"/>
      <c r="X128" s="365"/>
      <c r="Y128" s="365"/>
      <c r="AA128" s="365"/>
      <c r="AB128" s="365"/>
      <c r="AC128" s="365"/>
      <c r="AD128" s="365"/>
    </row>
    <row r="129" spans="1:30" s="369" customFormat="1" ht="9" customHeight="1" x14ac:dyDescent="0.15">
      <c r="A129" s="366"/>
      <c r="B129" s="367" t="s">
        <v>1239</v>
      </c>
      <c r="C129" s="368"/>
      <c r="D129" s="368"/>
      <c r="E129" s="368"/>
      <c r="F129" s="368"/>
      <c r="G129" s="367" t="s">
        <v>1238</v>
      </c>
      <c r="H129" s="368"/>
      <c r="I129" s="368"/>
      <c r="J129" s="368"/>
      <c r="K129" s="368"/>
      <c r="L129" s="368"/>
      <c r="M129" s="368"/>
      <c r="N129" s="368"/>
      <c r="R129" s="370" t="s">
        <v>1240</v>
      </c>
      <c r="S129" s="371"/>
      <c r="T129" s="372"/>
      <c r="U129" s="372"/>
      <c r="V129" s="372"/>
      <c r="W129" s="370" t="s">
        <v>1241</v>
      </c>
      <c r="X129" s="372"/>
      <c r="Y129" s="372"/>
      <c r="AA129" s="372"/>
      <c r="AB129" s="372"/>
      <c r="AC129" s="372"/>
      <c r="AD129" s="372"/>
    </row>
    <row r="130" spans="1:30" s="351" customFormat="1" ht="12" customHeight="1" x14ac:dyDescent="0.15">
      <c r="A130" s="373" t="s">
        <v>3</v>
      </c>
      <c r="B130" s="374" t="s">
        <v>8</v>
      </c>
      <c r="C130" s="374" t="s">
        <v>9</v>
      </c>
      <c r="D130" s="374" t="s">
        <v>10</v>
      </c>
      <c r="E130" s="375" t="s">
        <v>1215</v>
      </c>
      <c r="F130" s="374"/>
      <c r="G130" s="351" t="s">
        <v>3</v>
      </c>
      <c r="H130" s="803" t="s">
        <v>0</v>
      </c>
      <c r="I130" s="803"/>
      <c r="J130" s="803" t="s">
        <v>1</v>
      </c>
      <c r="K130" s="803"/>
      <c r="L130" s="803" t="s">
        <v>2</v>
      </c>
      <c r="M130" s="803"/>
      <c r="N130" s="804" t="s">
        <v>1215</v>
      </c>
      <c r="O130" s="804"/>
      <c r="P130" s="376"/>
      <c r="Q130" s="376"/>
      <c r="R130" s="377" t="s">
        <v>3</v>
      </c>
      <c r="S130" s="378" t="s">
        <v>136</v>
      </c>
      <c r="T130" s="376" t="s">
        <v>134</v>
      </c>
      <c r="U130" s="374" t="s">
        <v>135</v>
      </c>
      <c r="V130" s="376"/>
      <c r="W130" s="379" t="s">
        <v>26</v>
      </c>
    </row>
    <row r="131" spans="1:30" s="273" customFormat="1" x14ac:dyDescent="0.15">
      <c r="A131" s="273">
        <v>1959</v>
      </c>
      <c r="B131" s="260">
        <f>(K6*($E6/365)) + (K7*($E7/365))</f>
        <v>0</v>
      </c>
      <c r="C131" s="260">
        <f>(L6*($E6/365)) + (L7*($E7/365))</f>
        <v>0</v>
      </c>
      <c r="D131" s="260">
        <f>(M6*($E6/365)) + (M7*($E7/365))</f>
        <v>100</v>
      </c>
      <c r="E131" s="261">
        <f>B131+C131+D131</f>
        <v>100</v>
      </c>
      <c r="G131" s="273">
        <v>1959</v>
      </c>
      <c r="H131" s="819">
        <f>(O6/$R6*100*($E6/365))+(O7/$R7*100*($E7/365))</f>
        <v>0</v>
      </c>
      <c r="I131" s="819"/>
      <c r="J131" s="819">
        <f>(P6/$R6*100*($E6/365))+(P7/$R7*100*($E7/365))</f>
        <v>0</v>
      </c>
      <c r="K131" s="819"/>
      <c r="L131" s="819">
        <f>(Q6/$R6*100*($E6/365))+(Q7/$R7*100*($E7/365))</f>
        <v>100</v>
      </c>
      <c r="M131" s="819"/>
      <c r="N131" s="813">
        <f>H131+J131+L131</f>
        <v>100</v>
      </c>
      <c r="O131" s="813"/>
      <c r="R131" s="273">
        <v>1959</v>
      </c>
      <c r="S131" s="260">
        <f>(O6*($E6/365)) + (O7*($E7/365))</f>
        <v>0</v>
      </c>
      <c r="T131" s="260">
        <f>(P6*($E6/365)) + (P7*($E7/365))</f>
        <v>0</v>
      </c>
      <c r="U131" s="260">
        <f>(Q6*($E6/365)) + (Q7*($E7/365))</f>
        <v>51.3</v>
      </c>
      <c r="V131" s="274"/>
      <c r="W131" s="274">
        <f>S131+T131+U131</f>
        <v>51.3</v>
      </c>
    </row>
    <row r="132" spans="1:30" x14ac:dyDescent="0.15">
      <c r="A132" s="1">
        <v>1960</v>
      </c>
      <c r="B132" s="8">
        <f>(K8*($E8/366))+(K9*($E9/366))</f>
        <v>5.4644808743169397</v>
      </c>
      <c r="C132" s="8">
        <f>(L8*($E8/366))+(L9*($E9/366))</f>
        <v>0</v>
      </c>
      <c r="D132" s="8">
        <f>(M8*($E8/366))+(M9*($E9/366))</f>
        <v>94.535519125683066</v>
      </c>
      <c r="E132" s="48">
        <f>B132+C132+D132</f>
        <v>100</v>
      </c>
      <c r="G132" s="1">
        <v>1960</v>
      </c>
      <c r="H132" s="809">
        <f>(O8/$R8*100*($E8/366))+(O9/$R9*100*($E9/366))</f>
        <v>5.4644808743169397</v>
      </c>
      <c r="I132" s="809"/>
      <c r="J132" s="809">
        <f>(P8/$R8*100*($E8/366))+(P9/$R9*100*($E9/366))</f>
        <v>0</v>
      </c>
      <c r="K132" s="809"/>
      <c r="L132" s="809">
        <f>(Q8/$R8*100*($E8/366))+(Q9/$R9*100*($E9/366))</f>
        <v>94.535519125683066</v>
      </c>
      <c r="M132" s="809"/>
      <c r="N132" s="810">
        <f>H132+J132+L132</f>
        <v>100</v>
      </c>
      <c r="O132" s="810"/>
      <c r="R132" s="1">
        <v>1960</v>
      </c>
      <c r="S132" s="8">
        <f>(O8*($E8/366))+(O9*($E9/366))</f>
        <v>3.1420765027322402</v>
      </c>
      <c r="T132" s="8">
        <f>(P8*($E8/366))+(P9*($E9/366))</f>
        <v>0</v>
      </c>
      <c r="U132" s="8">
        <f>(Q8*($E8/366))+(Q9*($E9/366))</f>
        <v>48.496721311475412</v>
      </c>
      <c r="V132" s="7"/>
      <c r="W132" s="7">
        <f>S132+T132+U132</f>
        <v>51.638797814207649</v>
      </c>
    </row>
    <row r="133" spans="1:30" x14ac:dyDescent="0.15">
      <c r="A133" s="1">
        <v>1961</v>
      </c>
      <c r="B133" s="8">
        <f>(K10*($E10/365))+(K11*($E11/365))</f>
        <v>100</v>
      </c>
      <c r="C133" s="8">
        <f>(L10*($E10/365))+(L11*($E11/365))</f>
        <v>0</v>
      </c>
      <c r="D133" s="8">
        <f>(M10*($E10/365))+(M11*($E11/365))</f>
        <v>0</v>
      </c>
      <c r="E133" s="48">
        <f t="shared" ref="E133:E185" si="13">B133+C133+D133</f>
        <v>100</v>
      </c>
      <c r="G133" s="1">
        <v>1961</v>
      </c>
      <c r="H133" s="809">
        <f>(O10/$R10*100*($E10/365))+(O11/$R11*100*($E11/365))</f>
        <v>100</v>
      </c>
      <c r="I133" s="809"/>
      <c r="J133" s="809">
        <f>(P10/$R10*100*($E10/365))+(P11/$R11*100*($E11/365))</f>
        <v>0</v>
      </c>
      <c r="K133" s="809"/>
      <c r="L133" s="809">
        <f>(Q10/$R10*100*($E10/365))+(Q11/$R11*100*($E11/365))</f>
        <v>0</v>
      </c>
      <c r="M133" s="809"/>
      <c r="N133" s="781">
        <f t="shared" ref="N133:N183" si="14">H133+J133+L133</f>
        <v>100</v>
      </c>
      <c r="O133" s="781"/>
      <c r="R133" s="1">
        <v>1961</v>
      </c>
      <c r="S133" s="8">
        <f>(O10*($E10/365))+(O11*($E11/365))</f>
        <v>57.5</v>
      </c>
      <c r="T133" s="8">
        <f>(P10*($E10/365))+(P11*($E11/365))</f>
        <v>0</v>
      </c>
      <c r="U133" s="8">
        <f>(Q10*($E10/365))+(Q11*($E11/365))</f>
        <v>0</v>
      </c>
      <c r="V133" s="7"/>
      <c r="W133" s="7">
        <f t="shared" ref="W133:W185" si="15">S133+T133+U133</f>
        <v>57.5</v>
      </c>
    </row>
    <row r="134" spans="1:30" x14ac:dyDescent="0.15">
      <c r="A134" s="1">
        <v>1962</v>
      </c>
      <c r="B134" s="8">
        <f>(K12*($E12/365))+(K13*($E13/365))</f>
        <v>100</v>
      </c>
      <c r="C134" s="8">
        <f>(L12*($E12/365))+(L13*($E13/365))</f>
        <v>0</v>
      </c>
      <c r="D134" s="8">
        <f>(M12*($E12/365))+(M13*($E13/365))</f>
        <v>0</v>
      </c>
      <c r="E134" s="48">
        <f t="shared" si="13"/>
        <v>100</v>
      </c>
      <c r="G134" s="1">
        <v>1962</v>
      </c>
      <c r="H134" s="809">
        <f>(O12/$R12*100*($E12/365))+(O13/$R13*100*($E13/365))</f>
        <v>100</v>
      </c>
      <c r="I134" s="809"/>
      <c r="J134" s="809">
        <f>(P12/$R12*100*($E12/365))+(P13/$R13*100*($E13/365))</f>
        <v>0</v>
      </c>
      <c r="K134" s="809"/>
      <c r="L134" s="809">
        <f>(Q12/$R12*100*($E12/365))+(Q13/$R13*100*($E13/365))</f>
        <v>0</v>
      </c>
      <c r="M134" s="809"/>
      <c r="N134" s="781">
        <f t="shared" si="14"/>
        <v>100</v>
      </c>
      <c r="O134" s="781"/>
      <c r="R134" s="1">
        <v>1962</v>
      </c>
      <c r="S134" s="8">
        <f>(O12*($E12/365))+(O13*($E13/365))</f>
        <v>57.5</v>
      </c>
      <c r="T134" s="8">
        <f>(P12*($E12/365))+(P13*($E13/365))</f>
        <v>0</v>
      </c>
      <c r="U134" s="8">
        <f>(Q12*($E12/365))+(Q13*($E13/365))</f>
        <v>0</v>
      </c>
      <c r="V134" s="7"/>
      <c r="W134" s="7">
        <f t="shared" si="15"/>
        <v>57.5</v>
      </c>
    </row>
    <row r="135" spans="1:30" x14ac:dyDescent="0.15">
      <c r="A135" s="1">
        <v>1963</v>
      </c>
      <c r="B135" s="8">
        <f>(K14*($E14/365))+(K15*($E15/365))</f>
        <v>100.00000000000001</v>
      </c>
      <c r="C135" s="8">
        <f>(L14*($E14/365))+(L15*($E15/365))</f>
        <v>0</v>
      </c>
      <c r="D135" s="8">
        <f>(M14*($E14/365))+(M15*($E15/365))</f>
        <v>0</v>
      </c>
      <c r="E135" s="48">
        <f t="shared" si="13"/>
        <v>100.00000000000001</v>
      </c>
      <c r="G135" s="1">
        <v>1963</v>
      </c>
      <c r="H135" s="809">
        <f>(O14/$R14*100*($E14/365))+(O15/$R15*100*($E15/365))</f>
        <v>100.00000000000001</v>
      </c>
      <c r="I135" s="809"/>
      <c r="J135" s="809">
        <f>(P14/$R14*100*($E14/365))+(P15/$R15*100*($E15/365))</f>
        <v>0</v>
      </c>
      <c r="K135" s="809"/>
      <c r="L135" s="809">
        <f>(Q14/$R14*100*($E14/365))+(Q15/$R15*100*($E15/365))</f>
        <v>0</v>
      </c>
      <c r="M135" s="809"/>
      <c r="N135" s="781">
        <f t="shared" si="14"/>
        <v>100.00000000000001</v>
      </c>
      <c r="O135" s="781"/>
      <c r="R135" s="1">
        <v>1963</v>
      </c>
      <c r="S135" s="8">
        <f>(O14*($E14/365))+(O15*($E15/365))</f>
        <v>57.460547945205484</v>
      </c>
      <c r="T135" s="8">
        <f>(P14*($E14/365))+(P15*($E15/365))</f>
        <v>0</v>
      </c>
      <c r="U135" s="8">
        <f>(Q14*($E14/365))+(Q15*($E15/365))</f>
        <v>0</v>
      </c>
      <c r="V135" s="7"/>
      <c r="W135" s="7">
        <f t="shared" si="15"/>
        <v>57.460547945205484</v>
      </c>
    </row>
    <row r="136" spans="1:30" x14ac:dyDescent="0.15">
      <c r="A136" s="1">
        <v>1964</v>
      </c>
      <c r="B136" s="8">
        <f>(K16*($E16/366))+(K17*($E17/366))</f>
        <v>100</v>
      </c>
      <c r="C136" s="8">
        <f>(L16*($E16/366))+(L17*($E17/366))</f>
        <v>0</v>
      </c>
      <c r="D136" s="8">
        <f>(M16*($E16/366))+(M17*($E17/366))</f>
        <v>0</v>
      </c>
      <c r="E136" s="48">
        <f t="shared" si="13"/>
        <v>100</v>
      </c>
      <c r="G136" s="1">
        <v>1964</v>
      </c>
      <c r="H136" s="809">
        <f>(O16/$R16*100*($E16/366))+(O17/$R17*100*($E17/366))</f>
        <v>100</v>
      </c>
      <c r="I136" s="809"/>
      <c r="J136" s="809">
        <f>(P16/$R16*100*($E16/366))+(P17/$R17*100*($E17/366))</f>
        <v>0</v>
      </c>
      <c r="K136" s="809"/>
      <c r="L136" s="809">
        <f>(Q16/$R16*100*($E16/366))+(Q17/$R17*100*($E17/366))</f>
        <v>0</v>
      </c>
      <c r="M136" s="809"/>
      <c r="N136" s="781">
        <f t="shared" si="14"/>
        <v>100</v>
      </c>
      <c r="O136" s="781"/>
      <c r="R136" s="1">
        <v>1964</v>
      </c>
      <c r="S136" s="8">
        <f>(O16*($E16/366))+(O17*($E17/366))</f>
        <v>56.3</v>
      </c>
      <c r="T136" s="8">
        <f>(P16*($E16/366))+(P17*($E17/366))</f>
        <v>0</v>
      </c>
      <c r="U136" s="8">
        <f>(Q16*($E16/366))+(Q17*($E17/366))</f>
        <v>0</v>
      </c>
      <c r="V136" s="7"/>
      <c r="W136" s="7">
        <f t="shared" si="15"/>
        <v>56.3</v>
      </c>
    </row>
    <row r="137" spans="1:30" x14ac:dyDescent="0.15">
      <c r="A137" s="1">
        <v>1965</v>
      </c>
      <c r="B137" s="8">
        <f>(K18*($E18/365))+(K19*($E19/365))</f>
        <v>100</v>
      </c>
      <c r="C137" s="8">
        <f>(L18*($E18/365))+(L19*($E19/365))</f>
        <v>0</v>
      </c>
      <c r="D137" s="8">
        <f>(M18*($E18/365))+(M19*($E19/365))</f>
        <v>0</v>
      </c>
      <c r="E137" s="48">
        <f t="shared" si="13"/>
        <v>100</v>
      </c>
      <c r="G137" s="1">
        <v>1965</v>
      </c>
      <c r="H137" s="809">
        <f>(O18/$R18*100*($E18/365))+(O19/$R19*100*($E19/365))</f>
        <v>100</v>
      </c>
      <c r="I137" s="809"/>
      <c r="J137" s="809">
        <f>(P18/$R18*100*($E18/365))+(P19/$R19*100*($E19/365))</f>
        <v>0</v>
      </c>
      <c r="K137" s="809"/>
      <c r="L137" s="809">
        <f>(Q18/$R18*100*($E18/365))+(Q19/$R19*100*($E19/365))</f>
        <v>0</v>
      </c>
      <c r="M137" s="809"/>
      <c r="N137" s="781">
        <f t="shared" si="14"/>
        <v>100</v>
      </c>
      <c r="O137" s="781"/>
      <c r="R137" s="1">
        <v>1965</v>
      </c>
      <c r="S137" s="8">
        <f>(O18*($E18/365))+(O19*($E19/365))</f>
        <v>56.3</v>
      </c>
      <c r="T137" s="8">
        <f>(P18*($E18/365))+(P19*($E19/365))</f>
        <v>0</v>
      </c>
      <c r="U137" s="8">
        <f>(Q18*($E18/365))+(Q19*($E19/365))</f>
        <v>0</v>
      </c>
      <c r="V137" s="7"/>
      <c r="W137" s="7">
        <f t="shared" si="15"/>
        <v>56.3</v>
      </c>
    </row>
    <row r="138" spans="1:30" x14ac:dyDescent="0.15">
      <c r="A138" s="1">
        <v>1966</v>
      </c>
      <c r="B138" s="8">
        <f>(K20*($E20/365))+(K21*($E21/365))</f>
        <v>100</v>
      </c>
      <c r="C138" s="8">
        <f>(L20*($E20/365))+(L21*($E21/365))</f>
        <v>0</v>
      </c>
      <c r="D138" s="8">
        <f>(M20*($E20/365))+(M21*($E21/365))</f>
        <v>0</v>
      </c>
      <c r="E138" s="48">
        <f t="shared" si="13"/>
        <v>100</v>
      </c>
      <c r="G138" s="1">
        <v>1966</v>
      </c>
      <c r="H138" s="809">
        <f>(O20/$R20*100*($E20/365))+(O21/$R21*100*($E21/365))</f>
        <v>100</v>
      </c>
      <c r="I138" s="809"/>
      <c r="J138" s="809">
        <f>(P20/$R20*100*($E20/365))+(P21/$R21*100*($E21/365))</f>
        <v>0</v>
      </c>
      <c r="K138" s="809"/>
      <c r="L138" s="809">
        <f>(Q20/$R20*100*($E20/365))+(Q21/$R21*100*($E21/365))</f>
        <v>0</v>
      </c>
      <c r="M138" s="809"/>
      <c r="N138" s="781">
        <f t="shared" si="14"/>
        <v>100</v>
      </c>
      <c r="O138" s="781"/>
      <c r="R138" s="1">
        <v>1966</v>
      </c>
      <c r="S138" s="8">
        <f>(O20*($E20/365))+(O21*($E21/365))</f>
        <v>56.228767123287668</v>
      </c>
      <c r="T138" s="8">
        <f>(P20*($E20/365))+(P21*($E21/365))</f>
        <v>0</v>
      </c>
      <c r="U138" s="8">
        <f>(Q20*($E20/365))+(Q21*($E21/365))</f>
        <v>0</v>
      </c>
      <c r="V138" s="7"/>
      <c r="W138" s="7">
        <f t="shared" si="15"/>
        <v>56.228767123287668</v>
      </c>
    </row>
    <row r="139" spans="1:30" x14ac:dyDescent="0.15">
      <c r="A139" s="1">
        <v>1967</v>
      </c>
      <c r="B139" s="8">
        <f>(K22*($E22/365))+(K23*($E23/365))</f>
        <v>100</v>
      </c>
      <c r="C139" s="8">
        <f>(L22*($E22/365))+(L23*($E23/365))</f>
        <v>0</v>
      </c>
      <c r="D139" s="8">
        <f>(M22*($E22/365))+(M23*($E23/365))</f>
        <v>0</v>
      </c>
      <c r="E139" s="48">
        <f t="shared" si="13"/>
        <v>100</v>
      </c>
      <c r="G139" s="1">
        <v>1967</v>
      </c>
      <c r="H139" s="809">
        <f>(O22/$R22*100*($E22/365))+(O23/$R23*100*($E23/365))</f>
        <v>100</v>
      </c>
      <c r="I139" s="809"/>
      <c r="J139" s="809">
        <f>(P22/$R22*100*($E22/365))+(P23/$R23*100*($E23/365))</f>
        <v>0</v>
      </c>
      <c r="K139" s="809"/>
      <c r="L139" s="809">
        <f>(Q22/$R22*100*($E22/365))+(Q23/$R23*100*($E23/365))</f>
        <v>0</v>
      </c>
      <c r="M139" s="809"/>
      <c r="N139" s="781">
        <f t="shared" si="14"/>
        <v>100</v>
      </c>
      <c r="O139" s="781"/>
      <c r="R139" s="1">
        <v>1967</v>
      </c>
      <c r="S139" s="8">
        <f>(O22*($E22/365))+(O23*($E23/365))</f>
        <v>55</v>
      </c>
      <c r="T139" s="8">
        <f>(P22*($E22/365))+(P23*($E23/365))</f>
        <v>0</v>
      </c>
      <c r="U139" s="8">
        <f>(Q22*($E22/365))+(Q23*($E23/365))</f>
        <v>0</v>
      </c>
      <c r="V139" s="7"/>
      <c r="W139" s="7">
        <f t="shared" si="15"/>
        <v>55</v>
      </c>
    </row>
    <row r="140" spans="1:30" x14ac:dyDescent="0.15">
      <c r="A140" s="1">
        <v>1968</v>
      </c>
      <c r="B140" s="8">
        <f>(K24*($E24/366))+(K25*($E25/366))</f>
        <v>100</v>
      </c>
      <c r="C140" s="8">
        <f>(L24*($E24/366))+(L25*($E25/366))</f>
        <v>0</v>
      </c>
      <c r="D140" s="8">
        <f>(M24*($E24/366))+(M25*($E25/366))</f>
        <v>0</v>
      </c>
      <c r="E140" s="48">
        <f t="shared" si="13"/>
        <v>100</v>
      </c>
      <c r="G140" s="1">
        <v>1968</v>
      </c>
      <c r="H140" s="809">
        <f>(O24/$R24*100*($E24/366))+(O25/$R25*100*($E25/366))</f>
        <v>100</v>
      </c>
      <c r="I140" s="809"/>
      <c r="J140" s="809">
        <f>(P24/$R24*100*($E24/366))+(P25/$R25*100*($E25/366))</f>
        <v>0</v>
      </c>
      <c r="K140" s="809"/>
      <c r="L140" s="809">
        <f>(Q24/$R24*100*($E24/366))+(Q25/$R25*100*($E25/366))</f>
        <v>0</v>
      </c>
      <c r="M140" s="809"/>
      <c r="N140" s="781">
        <f t="shared" si="14"/>
        <v>100</v>
      </c>
      <c r="O140" s="781"/>
      <c r="R140" s="1">
        <v>1968</v>
      </c>
      <c r="S140" s="8">
        <f>(O24*($E24/366))+(O25*($E25/366))</f>
        <v>55</v>
      </c>
      <c r="T140" s="8">
        <f>(P24*($E24/366))+(P25*($E25/366))</f>
        <v>0</v>
      </c>
      <c r="U140" s="8">
        <f>(Q24*($E24/366))+(Q25*($E25/366))</f>
        <v>0</v>
      </c>
      <c r="V140" s="7"/>
      <c r="W140" s="7">
        <f t="shared" si="15"/>
        <v>55</v>
      </c>
    </row>
    <row r="141" spans="1:30" x14ac:dyDescent="0.15">
      <c r="A141" s="1">
        <v>1969</v>
      </c>
      <c r="B141" s="8">
        <f>(K26*($E26/365))+(K27*($E27/365))</f>
        <v>100</v>
      </c>
      <c r="C141" s="8">
        <f>(L26*($E26/365))+(L27*($E27/365))</f>
        <v>0</v>
      </c>
      <c r="D141" s="8">
        <f>(M26*($E26/365))+(M27*($E27/365))</f>
        <v>0</v>
      </c>
      <c r="E141" s="48">
        <f t="shared" si="13"/>
        <v>100</v>
      </c>
      <c r="G141" s="1">
        <v>1969</v>
      </c>
      <c r="H141" s="809">
        <f>(O26/$R26*100*($E26/365))+(O27/$R27*100*($E27/365))</f>
        <v>100</v>
      </c>
      <c r="I141" s="809"/>
      <c r="J141" s="809">
        <f>(P26/$R26*100*($E26/365))+(P27/$R27*100*($E27/365))</f>
        <v>0</v>
      </c>
      <c r="K141" s="809"/>
      <c r="L141" s="809">
        <f>(Q26/$R26*100*($E26/365))+(Q27/$R27*100*($E27/365))</f>
        <v>0</v>
      </c>
      <c r="M141" s="809"/>
      <c r="N141" s="781">
        <f t="shared" si="14"/>
        <v>100</v>
      </c>
      <c r="O141" s="781"/>
      <c r="R141" s="1">
        <v>1969</v>
      </c>
      <c r="S141" s="8">
        <f>(O26*($E26/365))+(O27*($E27/365))</f>
        <v>54.961643835616435</v>
      </c>
      <c r="T141" s="8">
        <f>(P26*($E26/365))+(P27*($E27/365))</f>
        <v>0</v>
      </c>
      <c r="U141" s="8">
        <f>(Q26*($E26/365))+(Q27*($E27/365))</f>
        <v>0</v>
      </c>
      <c r="V141" s="7"/>
      <c r="W141" s="7">
        <f t="shared" si="15"/>
        <v>54.961643835616435</v>
      </c>
    </row>
    <row r="142" spans="1:30" x14ac:dyDescent="0.15">
      <c r="A142" s="1">
        <v>1970</v>
      </c>
      <c r="B142" s="8">
        <f>(K28*($E28/365))+(K29*($E29/365))</f>
        <v>100</v>
      </c>
      <c r="C142" s="8">
        <f>(L28*($E28/365))+(L29*($E29/365))</f>
        <v>0</v>
      </c>
      <c r="D142" s="8">
        <f>(M28*($E28/365))+(M29*($E29/365))</f>
        <v>0</v>
      </c>
      <c r="E142" s="48">
        <f t="shared" si="13"/>
        <v>100</v>
      </c>
      <c r="G142" s="1">
        <v>1970</v>
      </c>
      <c r="H142" s="809">
        <f>(O28/$R28*100*($E28/365))+(O29/$R29*100*($E29/365))</f>
        <v>100</v>
      </c>
      <c r="I142" s="809"/>
      <c r="J142" s="809">
        <f>(P28/$R28*100*($E28/365))+(P29/$R29*100*($E29/365))</f>
        <v>0</v>
      </c>
      <c r="K142" s="809"/>
      <c r="L142" s="809">
        <f>(Q28/$R28*100*($E28/365))+(Q29/$R29*100*($E29/365))</f>
        <v>0</v>
      </c>
      <c r="M142" s="809"/>
      <c r="N142" s="781">
        <f t="shared" si="14"/>
        <v>100</v>
      </c>
      <c r="O142" s="781"/>
      <c r="R142" s="1">
        <v>1970</v>
      </c>
      <c r="S142" s="8">
        <f>(O28*($E28/365))+(O29*($E29/365))</f>
        <v>53.6</v>
      </c>
      <c r="T142" s="8">
        <f>(P28*($E28/365))+(P29*($E29/365))</f>
        <v>0</v>
      </c>
      <c r="U142" s="8">
        <f>(Q28*($E28/365))+(Q29*($E29/365))</f>
        <v>0</v>
      </c>
      <c r="V142" s="7"/>
      <c r="W142" s="7">
        <f t="shared" si="15"/>
        <v>53.6</v>
      </c>
    </row>
    <row r="143" spans="1:30" x14ac:dyDescent="0.15">
      <c r="A143" s="1">
        <v>1971</v>
      </c>
      <c r="B143" s="8">
        <f>(K30*($E30/365))+(K31*($E31/365))</f>
        <v>100</v>
      </c>
      <c r="C143" s="8">
        <f>(L30*($E30/365))+(L31*($E31/365))</f>
        <v>0</v>
      </c>
      <c r="D143" s="8">
        <f>(M30*($E30/365))+(M31*($E31/365))</f>
        <v>0</v>
      </c>
      <c r="E143" s="48">
        <f t="shared" si="13"/>
        <v>100</v>
      </c>
      <c r="G143" s="1">
        <v>1971</v>
      </c>
      <c r="H143" s="809">
        <f>(O30/$R30*100*($E30/365))+(O31/$R31*100*($E31/365))</f>
        <v>100</v>
      </c>
      <c r="I143" s="809"/>
      <c r="J143" s="809">
        <f>(P30/$R30*100*($E30/365))+(P31/$R31*100*($E31/365))</f>
        <v>0</v>
      </c>
      <c r="K143" s="809"/>
      <c r="L143" s="809">
        <f>(Q30/$R30*100*($E30/365))+(Q31/$R31*100*($E31/365))</f>
        <v>0</v>
      </c>
      <c r="M143" s="809"/>
      <c r="N143" s="781">
        <f t="shared" si="14"/>
        <v>100</v>
      </c>
      <c r="O143" s="781"/>
      <c r="R143" s="1">
        <v>1971</v>
      </c>
      <c r="S143" s="8">
        <f>(O30*($E30/365))+(O31*($E31/365))</f>
        <v>53.6</v>
      </c>
      <c r="T143" s="8">
        <f>(P30*($E30/365))+(P31*($E31/365))</f>
        <v>0</v>
      </c>
      <c r="U143" s="8">
        <f>(Q30*($E30/365))+(Q31*($E31/365))</f>
        <v>0</v>
      </c>
      <c r="V143" s="7"/>
      <c r="W143" s="7">
        <f t="shared" si="15"/>
        <v>53.6</v>
      </c>
    </row>
    <row r="144" spans="1:30" x14ac:dyDescent="0.15">
      <c r="A144" s="1">
        <v>1972</v>
      </c>
      <c r="B144" s="8">
        <f>(K32*($E32/366))+(K33*($E33/366))+(K34*($E34/366))</f>
        <v>93.442622950819668</v>
      </c>
      <c r="C144" s="8">
        <f>(L32*($E32/366))+(L33*($E33/366))+(L34*($E34/366))</f>
        <v>0</v>
      </c>
      <c r="D144" s="8">
        <f>(M32*($E32/366))+(M33*($E33/366))+(M34*($E34/366))</f>
        <v>6.557377049180328</v>
      </c>
      <c r="E144" s="48">
        <f t="shared" si="13"/>
        <v>100</v>
      </c>
      <c r="G144" s="1">
        <v>1972</v>
      </c>
      <c r="H144" s="809">
        <f>(O32/$R32*100*($E32/366))+(O33/$R33*100*($E33/366))+(O34/$R34*100*($E34/366))</f>
        <v>93.442622950819668</v>
      </c>
      <c r="I144" s="809"/>
      <c r="J144" s="809">
        <f>(P32/$R32*100*($E32/366))+(P33/$R33*100*($E33/366))+(P34/$R34*100*($E34/366))</f>
        <v>0</v>
      </c>
      <c r="K144" s="809"/>
      <c r="L144" s="809">
        <f>(Q32/$R32*100*($E32/366))+(Q33/$R33*100*($E33/366))+(Q34/$R34*100*($E34/366))</f>
        <v>6.557377049180328</v>
      </c>
      <c r="M144" s="809"/>
      <c r="N144" s="781">
        <f t="shared" si="14"/>
        <v>100</v>
      </c>
      <c r="O144" s="781"/>
      <c r="R144" s="1">
        <v>1972</v>
      </c>
      <c r="S144" s="8">
        <f>(O32*($E32/366))+(O33*($E33/366))+(O34*($E34/366))</f>
        <v>50.085245901639354</v>
      </c>
      <c r="T144" s="8">
        <f>(P32*($E32/366))+(P33*($E33/366))+(P34*($E34/366))</f>
        <v>0</v>
      </c>
      <c r="U144" s="8">
        <f>(Q32*($E32/366))+(Q33*($E33/366))+(Q34*($E34/366))</f>
        <v>4.1442622950819672</v>
      </c>
      <c r="V144" s="7"/>
      <c r="W144" s="7">
        <f t="shared" si="15"/>
        <v>54.229508196721319</v>
      </c>
    </row>
    <row r="145" spans="1:23" x14ac:dyDescent="0.15">
      <c r="A145" s="1">
        <v>1973</v>
      </c>
      <c r="B145" s="8">
        <f>(K35*($E35/365))+(K36*($E36/365))</f>
        <v>0</v>
      </c>
      <c r="C145" s="8">
        <f>(L35*($E35/365))+(L36*($E36/365))</f>
        <v>0</v>
      </c>
      <c r="D145" s="8">
        <f>(M35*($E35/365))+(M36*($E36/365))</f>
        <v>100</v>
      </c>
      <c r="E145" s="48">
        <f t="shared" si="13"/>
        <v>100</v>
      </c>
      <c r="G145" s="1">
        <v>1973</v>
      </c>
      <c r="H145" s="809">
        <f>(O35/$R35*100*($E35/365))+(O36/$R36*100*($E36/365))</f>
        <v>0</v>
      </c>
      <c r="I145" s="809"/>
      <c r="J145" s="809">
        <f>(P35/$R35*100*($E35/365))+(P36/$R36*100*($E36/365))</f>
        <v>0</v>
      </c>
      <c r="K145" s="809"/>
      <c r="L145" s="809">
        <f>(Q35/$R35*100*($E35/365))+(Q36/$R36*100*($E36/365))</f>
        <v>100</v>
      </c>
      <c r="M145" s="809"/>
      <c r="N145" s="781">
        <f t="shared" si="14"/>
        <v>100</v>
      </c>
      <c r="O145" s="781"/>
      <c r="R145" s="1">
        <v>1973</v>
      </c>
      <c r="S145" s="8">
        <f>(O35*($E35/365))+(O36*($E36/365))</f>
        <v>0</v>
      </c>
      <c r="T145" s="8">
        <f>(P35*($E35/365))+(P36*($E36/365))</f>
        <v>0</v>
      </c>
      <c r="U145" s="8">
        <f>(Q35*($E35/365))+(Q36*($E36/365))</f>
        <v>63.2</v>
      </c>
      <c r="V145" s="7"/>
      <c r="W145" s="7">
        <f t="shared" si="15"/>
        <v>63.2</v>
      </c>
    </row>
    <row r="146" spans="1:23" x14ac:dyDescent="0.15">
      <c r="A146" s="1">
        <v>1974</v>
      </c>
      <c r="B146" s="8">
        <f>(K37*($E37/365))+(K38*($E38/365))</f>
        <v>0</v>
      </c>
      <c r="C146" s="8">
        <f>(L37*($E37/365))+(L38*($E38/365))</f>
        <v>0</v>
      </c>
      <c r="D146" s="8">
        <f>(M37*($E37/365))+(M38*($E38/365))</f>
        <v>100</v>
      </c>
      <c r="E146" s="48">
        <f t="shared" si="13"/>
        <v>100</v>
      </c>
      <c r="G146" s="1">
        <v>1974</v>
      </c>
      <c r="H146" s="809">
        <f>(O37/$R37*100*($E37/365))+(O38/$R38*100*($E38/365))</f>
        <v>0</v>
      </c>
      <c r="I146" s="809"/>
      <c r="J146" s="809">
        <f>(P37/$R37*100*($E37/365))+(P38/$R38*100*($E38/365))</f>
        <v>0</v>
      </c>
      <c r="K146" s="809"/>
      <c r="L146" s="809">
        <f>(Q37/$R37*100*($E37/365))+(Q38/$R38*100*($E38/365))</f>
        <v>100</v>
      </c>
      <c r="M146" s="809"/>
      <c r="N146" s="781">
        <f t="shared" si="14"/>
        <v>100</v>
      </c>
      <c r="O146" s="781"/>
      <c r="R146" s="1">
        <v>1974</v>
      </c>
      <c r="S146" s="8">
        <f>(O37*($E37/365))+(O38*($E38/365))</f>
        <v>0</v>
      </c>
      <c r="T146" s="8">
        <f>(P37*($E37/365))+(P38*($E38/365))</f>
        <v>0</v>
      </c>
      <c r="U146" s="8">
        <f>(Q37*($E37/365))+(Q38*($E38/365))</f>
        <v>63.2</v>
      </c>
      <c r="V146" s="7"/>
      <c r="W146" s="7">
        <f t="shared" si="15"/>
        <v>63.2</v>
      </c>
    </row>
    <row r="147" spans="1:23" x14ac:dyDescent="0.15">
      <c r="A147" s="1">
        <v>1975</v>
      </c>
      <c r="B147" s="8">
        <f>(K39*($E39/365))+(K40*($E40/365))</f>
        <v>5.4794520547945202</v>
      </c>
      <c r="C147" s="8">
        <f>(L39*($E39/365))+(L40*($E40/365))</f>
        <v>0</v>
      </c>
      <c r="D147" s="8">
        <f>(M39*($E39/365))+(M40*($E40/365))</f>
        <v>94.520547945205479</v>
      </c>
      <c r="E147" s="48">
        <f t="shared" si="13"/>
        <v>100</v>
      </c>
      <c r="G147" s="1">
        <v>1975</v>
      </c>
      <c r="H147" s="809">
        <f>(O39/$R39*100*($E39/365))+(O40/$R40*100*($E40/365))</f>
        <v>5.4794520547945202</v>
      </c>
      <c r="I147" s="809"/>
      <c r="J147" s="809">
        <f>(P39/$R39*100*($E39/365))+(P40/$R40*100*($E40/365))</f>
        <v>0</v>
      </c>
      <c r="K147" s="809"/>
      <c r="L147" s="809">
        <f>(Q39/$R39*100*($E39/365))+(Q40/$R40*100*($E40/365))</f>
        <v>94.520547945205479</v>
      </c>
      <c r="M147" s="809"/>
      <c r="N147" s="781">
        <f t="shared" si="14"/>
        <v>100</v>
      </c>
      <c r="O147" s="781"/>
      <c r="R147" s="1">
        <v>1975</v>
      </c>
      <c r="S147" s="8">
        <f>(O39*($E39/365))+(O40*($E40/365))</f>
        <v>3.463013698630137</v>
      </c>
      <c r="T147" s="8">
        <f>(P39*($E39/365))+(P40*($E40/365))</f>
        <v>0</v>
      </c>
      <c r="U147" s="8">
        <f>(Q39*($E39/365))+(Q40*($E40/365))</f>
        <v>59.736986301369868</v>
      </c>
      <c r="V147" s="7"/>
      <c r="W147" s="7">
        <f t="shared" si="15"/>
        <v>63.2</v>
      </c>
    </row>
    <row r="148" spans="1:23" x14ac:dyDescent="0.15">
      <c r="A148" s="1">
        <v>1976</v>
      </c>
      <c r="B148" s="8">
        <f>(K41*($E41/366))+(K42*($E42/366))</f>
        <v>100</v>
      </c>
      <c r="C148" s="8">
        <f>(L41*($E41/366))+(L42*($E42/366))</f>
        <v>0</v>
      </c>
      <c r="D148" s="8">
        <f>(M41*($E41/366))+(M42*($E42/366))</f>
        <v>0</v>
      </c>
      <c r="E148" s="48">
        <f t="shared" si="13"/>
        <v>100</v>
      </c>
      <c r="G148" s="1">
        <v>1976</v>
      </c>
      <c r="H148" s="809">
        <f>(O41/$R41*100*($E41/366))+(O42/$R42*100*($E42/366))</f>
        <v>100</v>
      </c>
      <c r="I148" s="809"/>
      <c r="J148" s="809">
        <f>(P41/$R41*100*($E41/366))+(P42/$R42*100*($E42/366))</f>
        <v>0</v>
      </c>
      <c r="K148" s="809"/>
      <c r="L148" s="809">
        <f>(Q41/$R41*100*($E41/366))+(Q42/$R42*100*($E42/366))</f>
        <v>0</v>
      </c>
      <c r="M148" s="809"/>
      <c r="N148" s="781">
        <f t="shared" si="14"/>
        <v>100</v>
      </c>
      <c r="O148" s="781"/>
      <c r="R148" s="1">
        <v>1976</v>
      </c>
      <c r="S148" s="8">
        <f>(O41*($E41/366))+(O42*($E42/366))</f>
        <v>63.2</v>
      </c>
      <c r="T148" s="8">
        <f>(P41*($E41/366))+(P42*($E42/366))</f>
        <v>0</v>
      </c>
      <c r="U148" s="8">
        <f>(Q41*($E41/366))+(Q42*($E42/366))</f>
        <v>0</v>
      </c>
      <c r="V148" s="7"/>
      <c r="W148" s="7">
        <f t="shared" si="15"/>
        <v>63.2</v>
      </c>
    </row>
    <row r="149" spans="1:23" x14ac:dyDescent="0.15">
      <c r="A149" s="1">
        <v>1977</v>
      </c>
      <c r="B149" s="8">
        <f>(K43*($E43/365))+(K44*($E44/365))</f>
        <v>100</v>
      </c>
      <c r="C149" s="8">
        <f>(L43*($E43/365))+(L44*($E44/365))</f>
        <v>0</v>
      </c>
      <c r="D149" s="8">
        <f>(M43*($E43/365))+(M44*($E44/365))</f>
        <v>0</v>
      </c>
      <c r="E149" s="48">
        <f t="shared" si="13"/>
        <v>100</v>
      </c>
      <c r="G149" s="1">
        <v>1977</v>
      </c>
      <c r="H149" s="809">
        <f>(O43/$R43*100*($E43/365))+(O44/$R44*100*($E44/365))</f>
        <v>100</v>
      </c>
      <c r="I149" s="809"/>
      <c r="J149" s="809">
        <f>(P43/$R43*100*($E43/365))+(P44/$R44*100*($E44/365))</f>
        <v>0</v>
      </c>
      <c r="K149" s="809"/>
      <c r="L149" s="809">
        <f>(Q43/$R43*100*($E43/365))+(Q44/$R44*100*($E44/365))</f>
        <v>0</v>
      </c>
      <c r="M149" s="809"/>
      <c r="N149" s="781">
        <f t="shared" si="14"/>
        <v>100</v>
      </c>
      <c r="O149" s="781"/>
      <c r="R149" s="1">
        <v>1977</v>
      </c>
      <c r="S149" s="8">
        <f>(O43*($E43/365))+(O44*($E44/365))</f>
        <v>63.2</v>
      </c>
      <c r="T149" s="8">
        <f>(P43*($E43/365))+(P44*($E44/365))</f>
        <v>0</v>
      </c>
      <c r="U149" s="8">
        <f>(Q43*($E43/365))+(Q44*($E44/365))</f>
        <v>0</v>
      </c>
      <c r="V149" s="7"/>
      <c r="W149" s="7">
        <f t="shared" si="15"/>
        <v>63.2</v>
      </c>
    </row>
    <row r="150" spans="1:23" x14ac:dyDescent="0.15">
      <c r="A150" s="1">
        <v>1978</v>
      </c>
      <c r="B150" s="8">
        <f>(K45*($E45/365))+(K46*($E46/365))</f>
        <v>100</v>
      </c>
      <c r="C150" s="8">
        <f>(L45*($E45/365))+(L46*($E46/365))</f>
        <v>0</v>
      </c>
      <c r="D150" s="8">
        <f>(M45*($E45/365))+(M46*($E46/365))</f>
        <v>0</v>
      </c>
      <c r="E150" s="48">
        <f t="shared" si="13"/>
        <v>100</v>
      </c>
      <c r="G150" s="1">
        <v>1978</v>
      </c>
      <c r="H150" s="809">
        <f>(O45/$R45*100*($E45/365))+(O46/$R46*100*($E46/365))</f>
        <v>100</v>
      </c>
      <c r="I150" s="809"/>
      <c r="J150" s="809">
        <f>(P45/$R45*100*($E45/365))+(P46/$R46*100*($E46/365))</f>
        <v>0</v>
      </c>
      <c r="K150" s="809"/>
      <c r="L150" s="809">
        <f>(Q45/$R45*100*($E45/365))+(Q46/$R46*100*($E46/365))</f>
        <v>0</v>
      </c>
      <c r="M150" s="809"/>
      <c r="N150" s="781">
        <f t="shared" si="14"/>
        <v>100</v>
      </c>
      <c r="O150" s="781"/>
      <c r="R150" s="1">
        <v>1978</v>
      </c>
      <c r="S150" s="8">
        <f>(O45*($E45/365))+(O46*($E46/365))</f>
        <v>62.793972602739728</v>
      </c>
      <c r="T150" s="8">
        <f>(P45*($E45/365))+(P46*($E46/365))</f>
        <v>0</v>
      </c>
      <c r="U150" s="8">
        <f>(Q45*($E45/365))+(Q46*($E46/365))</f>
        <v>0</v>
      </c>
      <c r="V150" s="7"/>
      <c r="W150" s="7">
        <f t="shared" si="15"/>
        <v>62.793972602739728</v>
      </c>
    </row>
    <row r="151" spans="1:23" x14ac:dyDescent="0.15">
      <c r="A151" s="1">
        <v>1979</v>
      </c>
      <c r="B151" s="8">
        <f>(K47*($E47/365))+(K48*($E48/365))</f>
        <v>100</v>
      </c>
      <c r="C151" s="8">
        <f>(L47*($E47/365))+(L48*($E48/365))</f>
        <v>0</v>
      </c>
      <c r="D151" s="8">
        <f>(M47*($E47/365))+(M48*($E48/365))</f>
        <v>0</v>
      </c>
      <c r="E151" s="48">
        <f t="shared" si="13"/>
        <v>100</v>
      </c>
      <c r="G151" s="1">
        <v>1979</v>
      </c>
      <c r="H151" s="809">
        <f>(O47/$R47*100*($E47/365))+(O48/$R48*100*($E48/365))</f>
        <v>100</v>
      </c>
      <c r="I151" s="809"/>
      <c r="J151" s="809">
        <f>(P47/$R47*100*($E47/365))+(P48/$R48*100*($E48/365))</f>
        <v>0</v>
      </c>
      <c r="K151" s="809"/>
      <c r="L151" s="809">
        <f>(Q47/$R47*100*($E47/365))+(Q48/$R48*100*($E48/365))</f>
        <v>0</v>
      </c>
      <c r="M151" s="809"/>
      <c r="N151" s="781">
        <f t="shared" si="14"/>
        <v>100</v>
      </c>
      <c r="O151" s="781"/>
      <c r="R151" s="1">
        <v>1979</v>
      </c>
      <c r="S151" s="8">
        <f>(O47*($E47/365))+(O48*($E48/365))</f>
        <v>55.4</v>
      </c>
      <c r="T151" s="8">
        <f>(P47*($E47/365))+(P48*($E48/365))</f>
        <v>0</v>
      </c>
      <c r="U151" s="8">
        <f>(Q47*($E47/365))+(Q48*($E48/365))</f>
        <v>0</v>
      </c>
      <c r="V151" s="7"/>
      <c r="W151" s="7">
        <f t="shared" si="15"/>
        <v>55.4</v>
      </c>
    </row>
    <row r="152" spans="1:23" x14ac:dyDescent="0.15">
      <c r="A152" s="1">
        <v>1980</v>
      </c>
      <c r="B152" s="8">
        <f>(K49*($E49/366))+(K50*($E50/366))</f>
        <v>100</v>
      </c>
      <c r="C152" s="8">
        <f>(L49*($E49/366))+(L50*($E50/366))</f>
        <v>0</v>
      </c>
      <c r="D152" s="8">
        <f>(M49*($E49/366))+(M50*($E50/366))</f>
        <v>0</v>
      </c>
      <c r="E152" s="48">
        <f t="shared" si="13"/>
        <v>100</v>
      </c>
      <c r="G152" s="1">
        <v>1980</v>
      </c>
      <c r="H152" s="809">
        <f>(O49/$R49*100*($E49/366))+(O50/$R50*100*($E50/366))</f>
        <v>100</v>
      </c>
      <c r="I152" s="809"/>
      <c r="J152" s="809">
        <f>(P49/$R49*100*($E49/366))+(P50/$R50*100*($E50/366))</f>
        <v>0</v>
      </c>
      <c r="K152" s="809"/>
      <c r="L152" s="809">
        <f>(Q49/$R49*100*($E49/366))+(Q50/$R50*100*($E50/366))</f>
        <v>0</v>
      </c>
      <c r="M152" s="809"/>
      <c r="N152" s="781">
        <f t="shared" si="14"/>
        <v>100</v>
      </c>
      <c r="O152" s="781"/>
      <c r="R152" s="1">
        <v>1980</v>
      </c>
      <c r="S152" s="8">
        <f>(O49*($E49/366))+(O50*($E50/366))</f>
        <v>55.4</v>
      </c>
      <c r="T152" s="8">
        <f>(P49*($E49/366))+(P50*($E50/366))</f>
        <v>0</v>
      </c>
      <c r="U152" s="8">
        <f>(Q49*($E49/366))+(Q50*($E50/366))</f>
        <v>0</v>
      </c>
      <c r="V152" s="7"/>
      <c r="W152" s="7">
        <f t="shared" si="15"/>
        <v>55.4</v>
      </c>
    </row>
    <row r="153" spans="1:23" x14ac:dyDescent="0.15">
      <c r="A153" s="1">
        <v>1981</v>
      </c>
      <c r="B153" s="8">
        <f>(K51*($E51/365))+(K52*($E52/365))</f>
        <v>100</v>
      </c>
      <c r="C153" s="8">
        <f>(L51*($E51/365))+(L52*($E52/365))</f>
        <v>0</v>
      </c>
      <c r="D153" s="8">
        <f>(M51*($E51/365))+(M52*($E52/365))</f>
        <v>0</v>
      </c>
      <c r="E153" s="48">
        <f t="shared" si="13"/>
        <v>100</v>
      </c>
      <c r="G153" s="1">
        <v>1981</v>
      </c>
      <c r="H153" s="809">
        <f>(O51/$R51*100*($E51/365))+(O52/$R52*100*($E52/365))</f>
        <v>100</v>
      </c>
      <c r="I153" s="809"/>
      <c r="J153" s="809">
        <f>(P51/$R51*100*($E51/365))+(P52/$R52*100*($E52/365))</f>
        <v>0</v>
      </c>
      <c r="K153" s="809"/>
      <c r="L153" s="809">
        <f>(Q51/$R51*100*($E51/365))+(Q52/$R52*100*($E52/365))</f>
        <v>0</v>
      </c>
      <c r="M153" s="809"/>
      <c r="N153" s="781">
        <f t="shared" si="14"/>
        <v>100</v>
      </c>
      <c r="O153" s="781"/>
      <c r="R153" s="1">
        <v>1981</v>
      </c>
      <c r="S153" s="8">
        <f>(O51*($E51/365))+(O52*($E52/365))</f>
        <v>55.152602739726028</v>
      </c>
      <c r="T153" s="8">
        <f>(P51*($E51/365))+(P52*($E52/365))</f>
        <v>0</v>
      </c>
      <c r="U153" s="8">
        <f>(Q51*($E51/365))+(Q52*($E52/365))</f>
        <v>0</v>
      </c>
      <c r="V153" s="7"/>
      <c r="W153" s="7">
        <f t="shared" si="15"/>
        <v>55.152602739726028</v>
      </c>
    </row>
    <row r="154" spans="1:23" x14ac:dyDescent="0.15">
      <c r="A154" s="1">
        <v>1982</v>
      </c>
      <c r="B154" s="8">
        <f>(K53*($E53/365))+(K54*($E54/365))</f>
        <v>100</v>
      </c>
      <c r="C154" s="8">
        <f>(L53*($E53/365))+(L54*($E54/365))</f>
        <v>0</v>
      </c>
      <c r="D154" s="8">
        <f>(M53*($E53/365))+(M54*($E54/365))</f>
        <v>0</v>
      </c>
      <c r="E154" s="48">
        <f t="shared" si="13"/>
        <v>100</v>
      </c>
      <c r="G154" s="1">
        <v>1982</v>
      </c>
      <c r="H154" s="809">
        <f>(O53/$R53*100*($E53/365))+(O54/$R54*100*($E54/365))</f>
        <v>100</v>
      </c>
      <c r="I154" s="809"/>
      <c r="J154" s="809">
        <f>(P53/$R53*100*($E53/365))+(P54/$R54*100*($E54/365))</f>
        <v>0</v>
      </c>
      <c r="K154" s="809"/>
      <c r="L154" s="809">
        <f>(Q53/$R53*100*($E53/365))+(Q54/$R54*100*($E54/365))</f>
        <v>0</v>
      </c>
      <c r="M154" s="809"/>
      <c r="N154" s="781">
        <f t="shared" si="14"/>
        <v>100</v>
      </c>
      <c r="O154" s="781"/>
      <c r="R154" s="1">
        <v>1982</v>
      </c>
      <c r="S154" s="8">
        <f>(O53*($E53/365))+(O54*($E54/365))</f>
        <v>51.1</v>
      </c>
      <c r="T154" s="8">
        <f>(P53*($E53/365))+(P54*($E54/365))</f>
        <v>0</v>
      </c>
      <c r="U154" s="8">
        <f>(Q53*($E53/365))+(Q54*($E54/365))</f>
        <v>0</v>
      </c>
      <c r="V154" s="7"/>
      <c r="W154" s="7">
        <f t="shared" si="15"/>
        <v>51.1</v>
      </c>
    </row>
    <row r="155" spans="1:23" x14ac:dyDescent="0.15">
      <c r="A155" s="1">
        <v>1983</v>
      </c>
      <c r="B155" s="8">
        <f>(K55*($E55/365))+(K56*($E56/365))</f>
        <v>100</v>
      </c>
      <c r="C155" s="8">
        <f>(L55*($E55/365))+(L56*($E56/365))</f>
        <v>0</v>
      </c>
      <c r="D155" s="8">
        <f>(M55*($E55/365))+(M56*($E56/365))</f>
        <v>0</v>
      </c>
      <c r="E155" s="48">
        <f t="shared" si="13"/>
        <v>100</v>
      </c>
      <c r="G155" s="1">
        <v>1983</v>
      </c>
      <c r="H155" s="809">
        <f>(O55/$R55*100*($E55/365))+(O56/$R56*100*($E56/365))</f>
        <v>100</v>
      </c>
      <c r="I155" s="809"/>
      <c r="J155" s="809">
        <f>(P55/$R55*100*($E55/365))+(P56/$R56*100*($E56/365))</f>
        <v>0</v>
      </c>
      <c r="K155" s="809"/>
      <c r="L155" s="809">
        <f>(Q55/$R55*100*($E55/365))+(Q56/$R56*100*($E56/365))</f>
        <v>0</v>
      </c>
      <c r="M155" s="809"/>
      <c r="N155" s="781">
        <f t="shared" si="14"/>
        <v>100</v>
      </c>
      <c r="O155" s="781"/>
      <c r="R155" s="1">
        <v>1983</v>
      </c>
      <c r="S155" s="8">
        <f>(O55*($E55/365))+(O56*($E56/365))</f>
        <v>51.1</v>
      </c>
      <c r="T155" s="8">
        <f>(P55*($E55/365))+(P56*($E56/365))</f>
        <v>0</v>
      </c>
      <c r="U155" s="8">
        <f>(Q55*($E55/365))+(Q56*($E56/365))</f>
        <v>0</v>
      </c>
      <c r="V155" s="7"/>
      <c r="W155" s="7">
        <f t="shared" si="15"/>
        <v>51.1</v>
      </c>
    </row>
    <row r="156" spans="1:23" x14ac:dyDescent="0.15">
      <c r="A156" s="1">
        <v>1984</v>
      </c>
      <c r="B156" s="8">
        <f>(K57*($E57/366))+(K58*($E58/366))</f>
        <v>56.557377049180324</v>
      </c>
      <c r="C156" s="8">
        <f>(L57*($E57/366))+(L58*($E58/366))</f>
        <v>0</v>
      </c>
      <c r="D156" s="8">
        <f>(M57*($E57/366))+(M58*($E58/366))</f>
        <v>43.442622950819668</v>
      </c>
      <c r="E156" s="48">
        <f t="shared" si="13"/>
        <v>100</v>
      </c>
      <c r="G156" s="1">
        <v>1984</v>
      </c>
      <c r="H156" s="809">
        <f>(O57/$R57*100*($E57/366))+(O58/$R58*100*($E58/366))</f>
        <v>56.557377049180324</v>
      </c>
      <c r="I156" s="809"/>
      <c r="J156" s="809">
        <f>(P57/$R57*100*($E57/366))+(P58/$R58*100*($E58/366))</f>
        <v>0</v>
      </c>
      <c r="K156" s="809"/>
      <c r="L156" s="809">
        <f>(Q57/$R57*100*($E57/366))+(Q58/$R58*100*($E58/366))</f>
        <v>43.442622950819668</v>
      </c>
      <c r="M156" s="809"/>
      <c r="N156" s="781">
        <f t="shared" si="14"/>
        <v>100</v>
      </c>
      <c r="O156" s="781"/>
      <c r="R156" s="1">
        <v>1984</v>
      </c>
      <c r="S156" s="8">
        <f>(O57*($E57/366))+(O58*($E58/366))</f>
        <v>28.900819672131146</v>
      </c>
      <c r="T156" s="8">
        <f>(P57*($E57/366))+(P58*($E58/366))</f>
        <v>0</v>
      </c>
      <c r="U156" s="8">
        <f>(Q57*($E57/366))+(Q58*($E58/366))</f>
        <v>26.065573770491802</v>
      </c>
      <c r="V156" s="7"/>
      <c r="W156" s="7">
        <f t="shared" si="15"/>
        <v>54.966393442622945</v>
      </c>
    </row>
    <row r="157" spans="1:23" x14ac:dyDescent="0.15">
      <c r="A157" s="1">
        <v>1985</v>
      </c>
      <c r="B157" s="8">
        <f>(K59*($E59/365))+(K60*($E60/365))</f>
        <v>0</v>
      </c>
      <c r="C157" s="8">
        <f>(L59*($E59/365))+(L60*($E60/365))</f>
        <v>0</v>
      </c>
      <c r="D157" s="8">
        <f>(M59*($E59/365))+(M60*($E60/365))</f>
        <v>100</v>
      </c>
      <c r="E157" s="48">
        <f t="shared" si="13"/>
        <v>100</v>
      </c>
      <c r="G157" s="1">
        <v>1985</v>
      </c>
      <c r="H157" s="809">
        <f>(O59/$R59*100*($E59/365))+(O60/$R60*100*($E60/365))</f>
        <v>0</v>
      </c>
      <c r="I157" s="809"/>
      <c r="J157" s="809">
        <f>(P59/$R59*100*($E59/365))+(P60/$R60*100*($E60/365))</f>
        <v>0</v>
      </c>
      <c r="K157" s="809"/>
      <c r="L157" s="809">
        <f>(Q59/$R59*100*($E59/365))+(Q60/$R60*100*($E60/365))</f>
        <v>100</v>
      </c>
      <c r="M157" s="809"/>
      <c r="N157" s="781">
        <f t="shared" si="14"/>
        <v>100</v>
      </c>
      <c r="O157" s="781"/>
      <c r="R157" s="1">
        <v>1985</v>
      </c>
      <c r="S157" s="8">
        <f>(O59*($E59/365))+(O60*($E60/365))</f>
        <v>0</v>
      </c>
      <c r="T157" s="8">
        <f>(P59*($E59/365))+(P60*($E60/365))</f>
        <v>0</v>
      </c>
      <c r="U157" s="8">
        <f>(Q59*($E59/365))+(Q60*($E60/365))</f>
        <v>60</v>
      </c>
      <c r="V157" s="7"/>
      <c r="W157" s="7">
        <f t="shared" si="15"/>
        <v>60</v>
      </c>
    </row>
    <row r="158" spans="1:23" x14ac:dyDescent="0.15">
      <c r="A158" s="1">
        <v>1986</v>
      </c>
      <c r="B158" s="8">
        <f>(K61*($E61/365))+(K62*($E62/365))</f>
        <v>0</v>
      </c>
      <c r="C158" s="8">
        <f>(L61*($E61/365))+(L62*($E62/365))</f>
        <v>0</v>
      </c>
      <c r="D158" s="8">
        <f>(M61*($E61/365))+(M62*($E62/365))</f>
        <v>100</v>
      </c>
      <c r="E158" s="48">
        <f t="shared" si="13"/>
        <v>100</v>
      </c>
      <c r="G158" s="1">
        <v>1986</v>
      </c>
      <c r="H158" s="809">
        <f>(O61/$R61*100*($E61/365))+(O62/$R62*100*($E62/365))</f>
        <v>0</v>
      </c>
      <c r="I158" s="809"/>
      <c r="J158" s="809">
        <f>(P61/$R61*100*($E61/365))+(P62/$R62*100*($E62/365))</f>
        <v>0</v>
      </c>
      <c r="K158" s="809"/>
      <c r="L158" s="809">
        <f>(Q61/$R61*100*($E61/365))+(Q62/$R62*100*($E62/365))</f>
        <v>100</v>
      </c>
      <c r="M158" s="809"/>
      <c r="N158" s="781">
        <f t="shared" si="14"/>
        <v>100</v>
      </c>
      <c r="O158" s="781"/>
      <c r="R158" s="1">
        <v>1986</v>
      </c>
      <c r="S158" s="8">
        <f>(O61*($E61/365))+(O62*($E62/365))</f>
        <v>0</v>
      </c>
      <c r="T158" s="8">
        <f>(P61*($E61/365))+(P62*($E62/365))</f>
        <v>0</v>
      </c>
      <c r="U158" s="8">
        <f>(Q61*($E61/365))+(Q62*($E62/365))</f>
        <v>60</v>
      </c>
      <c r="V158" s="7"/>
      <c r="W158" s="7">
        <f t="shared" si="15"/>
        <v>60</v>
      </c>
    </row>
    <row r="159" spans="1:23" x14ac:dyDescent="0.15">
      <c r="A159" s="1">
        <v>1987</v>
      </c>
      <c r="B159" s="8">
        <f>(K63*($E63/365))+(K64*($E64/365))</f>
        <v>0</v>
      </c>
      <c r="C159" s="8">
        <f>(L63*($E63/365))+(L64*($E64/365))</f>
        <v>0</v>
      </c>
      <c r="D159" s="8">
        <f>(M63*($E63/365))+(M64*($E64/365))</f>
        <v>100</v>
      </c>
      <c r="E159" s="48">
        <f t="shared" si="13"/>
        <v>100</v>
      </c>
      <c r="G159" s="1">
        <v>1987</v>
      </c>
      <c r="H159" s="809">
        <f>(O63/$R63*100*($E63/365))+(O64/$R64*100*($E64/365))</f>
        <v>0</v>
      </c>
      <c r="I159" s="809"/>
      <c r="J159" s="809">
        <f>(P63/$R63*100*($E63/365))+(P64/$R64*100*($E64/365))</f>
        <v>0</v>
      </c>
      <c r="K159" s="809"/>
      <c r="L159" s="809">
        <f>(Q63/$R63*100*($E63/365))+(Q64/$R64*100*($E64/365))</f>
        <v>100</v>
      </c>
      <c r="M159" s="809"/>
      <c r="N159" s="781">
        <f t="shared" si="14"/>
        <v>100</v>
      </c>
      <c r="O159" s="781"/>
      <c r="R159" s="1">
        <v>1987</v>
      </c>
      <c r="S159" s="8">
        <f>(O63*($E63/365))+(O64*($E64/365))</f>
        <v>0</v>
      </c>
      <c r="T159" s="8">
        <f>(P63*($E63/365))+(P64*($E64/365))</f>
        <v>0</v>
      </c>
      <c r="U159" s="8">
        <f>(Q63*($E63/365))+(Q64*($E64/365))</f>
        <v>59.556164383561637</v>
      </c>
      <c r="V159" s="7"/>
      <c r="W159" s="7">
        <f t="shared" si="15"/>
        <v>59.556164383561637</v>
      </c>
    </row>
    <row r="160" spans="1:23" x14ac:dyDescent="0.15">
      <c r="A160" s="1">
        <v>1988</v>
      </c>
      <c r="B160" s="8">
        <f>(K65*($E65/366))+(K66*($E66/366))</f>
        <v>0</v>
      </c>
      <c r="C160" s="8">
        <f>(L65*($E65/366))+(L66*($E66/366))</f>
        <v>0</v>
      </c>
      <c r="D160" s="8">
        <f>(M65*($E65/366))+(M66*($E66/366))</f>
        <v>100</v>
      </c>
      <c r="E160" s="48">
        <f t="shared" si="13"/>
        <v>100</v>
      </c>
      <c r="G160" s="1">
        <v>1988</v>
      </c>
      <c r="H160" s="809">
        <f>(O65/$R65*100*($E65/366))+(O66/$R66*100*($E66/366))</f>
        <v>0</v>
      </c>
      <c r="I160" s="809"/>
      <c r="J160" s="809">
        <f>(P65/$R65*100*($E65/366))+(P66/$R66*100*($E66/366))</f>
        <v>0</v>
      </c>
      <c r="K160" s="809"/>
      <c r="L160" s="809">
        <f>(Q65/$R65*100*($E65/366))+(Q66/$R66*100*($E66/366))</f>
        <v>100</v>
      </c>
      <c r="M160" s="809"/>
      <c r="N160" s="781">
        <f t="shared" si="14"/>
        <v>100</v>
      </c>
      <c r="O160" s="781"/>
      <c r="R160" s="1">
        <v>1988</v>
      </c>
      <c r="S160" s="8">
        <f>(O65*($E65/366))+(O66*($E66/366))</f>
        <v>0</v>
      </c>
      <c r="T160" s="8">
        <f>(P65*($E65/366))+(P66*($E66/366))</f>
        <v>0</v>
      </c>
      <c r="U160" s="8">
        <f>(Q65*($E65/366))+(Q66*($E66/366))</f>
        <v>58.8</v>
      </c>
      <c r="V160" s="7"/>
      <c r="W160" s="7">
        <f t="shared" si="15"/>
        <v>58.8</v>
      </c>
    </row>
    <row r="161" spans="1:23" x14ac:dyDescent="0.15">
      <c r="A161" s="1">
        <v>1989</v>
      </c>
      <c r="B161" s="8">
        <f>(K67*($E67/365))+(K68*($E68/365))</f>
        <v>0</v>
      </c>
      <c r="C161" s="8">
        <f>(L67*($E67/365))+(L68*($E68/365))</f>
        <v>0</v>
      </c>
      <c r="D161" s="8">
        <f>(M67*($E67/365))+(M68*($E68/365))</f>
        <v>100</v>
      </c>
      <c r="E161" s="48">
        <f t="shared" si="13"/>
        <v>100</v>
      </c>
      <c r="G161" s="1">
        <v>1989</v>
      </c>
      <c r="H161" s="809">
        <f>(O67/$R67*100*($E67/365))+(O68/$R68*100*($E68/365))</f>
        <v>0</v>
      </c>
      <c r="I161" s="809"/>
      <c r="J161" s="809">
        <f>(P67/$R67*100*($E67/365))+(P68/$R68*100*($E68/365))</f>
        <v>0</v>
      </c>
      <c r="K161" s="809"/>
      <c r="L161" s="809">
        <f>(Q67/$R67*100*($E67/365))+(Q68/$R68*100*($E68/365))</f>
        <v>100</v>
      </c>
      <c r="M161" s="809"/>
      <c r="N161" s="781">
        <f t="shared" si="14"/>
        <v>100</v>
      </c>
      <c r="O161" s="781"/>
      <c r="R161" s="1">
        <v>1989</v>
      </c>
      <c r="S161" s="8">
        <f>(O67*($E67/365))+(O68*($E68/365))</f>
        <v>0</v>
      </c>
      <c r="T161" s="8">
        <f>(P67*($E67/365))+(P68*($E68/365))</f>
        <v>0</v>
      </c>
      <c r="U161" s="8">
        <f>(Q67*($E67/365))+(Q68*($E68/365))</f>
        <v>58.800000000000004</v>
      </c>
      <c r="V161" s="7"/>
      <c r="W161" s="7">
        <f t="shared" si="15"/>
        <v>58.800000000000004</v>
      </c>
    </row>
    <row r="162" spans="1:23" x14ac:dyDescent="0.15">
      <c r="A162" s="1">
        <v>1990</v>
      </c>
      <c r="B162" s="8">
        <f>(K69*($E69/365))+(K70*($E70/365))</f>
        <v>16.43835616438356</v>
      </c>
      <c r="C162" s="8">
        <f>(L69*($E69/365))+(L70*($E70/365))</f>
        <v>0</v>
      </c>
      <c r="D162" s="8">
        <f>(M69*($E69/365))+(M70*($E70/365))</f>
        <v>83.561643835616437</v>
      </c>
      <c r="E162" s="48">
        <f t="shared" si="13"/>
        <v>100</v>
      </c>
      <c r="G162" s="1">
        <v>1990</v>
      </c>
      <c r="H162" s="809">
        <f>(O69/$R69*100*($E69/365))+(O70/$R70*100*($E70/365))</f>
        <v>16.43835616438356</v>
      </c>
      <c r="I162" s="809"/>
      <c r="J162" s="809">
        <f>(P69/$R69*100*($E69/365))+(P70/$R70*100*($E70/365))</f>
        <v>0</v>
      </c>
      <c r="K162" s="809"/>
      <c r="L162" s="809">
        <f>(Q69/$R69*100*($E69/365))+(Q70/$R70*100*($E70/365))</f>
        <v>83.561643835616437</v>
      </c>
      <c r="M162" s="809"/>
      <c r="N162" s="781">
        <f t="shared" si="14"/>
        <v>100</v>
      </c>
      <c r="O162" s="781"/>
      <c r="R162" s="1">
        <v>1990</v>
      </c>
      <c r="S162" s="8">
        <f>(O69*($E69/365))+(O70*($E70/365))</f>
        <v>11.523287671232875</v>
      </c>
      <c r="T162" s="8">
        <f>(P69*($E69/365))+(P70*($E70/365))</f>
        <v>0</v>
      </c>
      <c r="U162" s="8">
        <f>(Q69*($E69/365))+(Q70*($E70/365))</f>
        <v>49.134246575342466</v>
      </c>
      <c r="V162" s="7"/>
      <c r="W162" s="7">
        <f t="shared" si="15"/>
        <v>60.657534246575338</v>
      </c>
    </row>
    <row r="163" spans="1:23" x14ac:dyDescent="0.15">
      <c r="A163" s="1">
        <v>1991</v>
      </c>
      <c r="B163" s="8">
        <f>(K71*($E71/365))+(K72*($E72/365))</f>
        <v>100</v>
      </c>
      <c r="C163" s="8">
        <f>(L71*($E71/365))+(L72*($E72/365))</f>
        <v>0</v>
      </c>
      <c r="D163" s="8">
        <f>(M71*($E71/365))+(M72*($E72/365))</f>
        <v>0</v>
      </c>
      <c r="E163" s="48">
        <f t="shared" si="13"/>
        <v>100</v>
      </c>
      <c r="G163" s="1">
        <v>1991</v>
      </c>
      <c r="H163" s="809">
        <f>(O71/$R71*100*($E71/365))+(O72/$R72*100*($E72/365))</f>
        <v>100</v>
      </c>
      <c r="I163" s="809"/>
      <c r="J163" s="809">
        <f>(P71/$R71*100*($E71/365))+(P72/$R72*100*($E72/365))</f>
        <v>0</v>
      </c>
      <c r="K163" s="809"/>
      <c r="L163" s="809">
        <f>(Q71/$R71*100*($E71/365))+(Q72/$R72*100*($E72/365))</f>
        <v>0</v>
      </c>
      <c r="M163" s="809"/>
      <c r="N163" s="781">
        <f t="shared" si="14"/>
        <v>100</v>
      </c>
      <c r="O163" s="781"/>
      <c r="R163" s="1">
        <v>1991</v>
      </c>
      <c r="S163" s="8">
        <f>(O71*($E71/365))+(O72*($E72/365))</f>
        <v>70.099999999999994</v>
      </c>
      <c r="T163" s="8">
        <f>(P71*($E71/365))+(P72*($E72/365))</f>
        <v>0</v>
      </c>
      <c r="U163" s="8">
        <f>(Q71*($E71/365))+(Q72*($E72/365))</f>
        <v>0</v>
      </c>
      <c r="V163" s="7"/>
      <c r="W163" s="7">
        <f t="shared" si="15"/>
        <v>70.099999999999994</v>
      </c>
    </row>
    <row r="164" spans="1:23" x14ac:dyDescent="0.15">
      <c r="A164" s="1">
        <v>1992</v>
      </c>
      <c r="B164" s="8">
        <f>(K73*($E73/366))+(K74*($E74/366))</f>
        <v>100</v>
      </c>
      <c r="C164" s="8">
        <f>(L73*($E73/366))+(L74*($E74/366))</f>
        <v>0</v>
      </c>
      <c r="D164" s="8">
        <f>(M73*($E73/366))+(M74*($E74/366))</f>
        <v>0</v>
      </c>
      <c r="E164" s="48">
        <f t="shared" si="13"/>
        <v>100</v>
      </c>
      <c r="G164" s="1">
        <v>1992</v>
      </c>
      <c r="H164" s="809">
        <f>(O73/$R73*100*($E73/366))+(O74/$R74*100*($E74/366))</f>
        <v>100</v>
      </c>
      <c r="I164" s="809"/>
      <c r="J164" s="809">
        <f>(P73/$R73*100*($E73/366))+(P74/$R74*100*($E74/366))</f>
        <v>0</v>
      </c>
      <c r="K164" s="809"/>
      <c r="L164" s="809">
        <f>(Q73/$R73*100*($E73/366))+(Q74/$R74*100*($E74/366))</f>
        <v>0</v>
      </c>
      <c r="M164" s="809"/>
      <c r="N164" s="781">
        <f t="shared" si="14"/>
        <v>100</v>
      </c>
      <c r="O164" s="781"/>
      <c r="R164" s="1">
        <v>1992</v>
      </c>
      <c r="S164" s="8">
        <f>(O73*($E73/366))+(O74*($E74/366))</f>
        <v>70.099999999999994</v>
      </c>
      <c r="T164" s="8">
        <f>(P73*($E73/366))+(P74*($E74/366))</f>
        <v>0</v>
      </c>
      <c r="U164" s="8">
        <f>(Q73*($E73/366))+(Q74*($E74/366))</f>
        <v>0</v>
      </c>
      <c r="V164" s="7"/>
      <c r="W164" s="7">
        <f t="shared" si="15"/>
        <v>70.099999999999994</v>
      </c>
    </row>
    <row r="165" spans="1:23" x14ac:dyDescent="0.15">
      <c r="A165" s="1">
        <v>1993</v>
      </c>
      <c r="B165" s="8">
        <f>(K75*($E75/365))+(K76*($E76/365))</f>
        <v>100.00000000000001</v>
      </c>
      <c r="C165" s="8">
        <f>(L75*($E75/365))+(L76*($E76/365))</f>
        <v>0</v>
      </c>
      <c r="D165" s="8">
        <f>(M75*($E75/365))+(M76*($E76/365))</f>
        <v>0</v>
      </c>
      <c r="E165" s="48">
        <f t="shared" si="13"/>
        <v>100.00000000000001</v>
      </c>
      <c r="G165" s="1">
        <v>1993</v>
      </c>
      <c r="H165" s="809">
        <f>(O75/$R75*100*($E75/365))+(O76/$R76*100*($E76/365))</f>
        <v>100.00000000000001</v>
      </c>
      <c r="I165" s="809"/>
      <c r="J165" s="809">
        <f>(P75/$R75*100*($E75/365))+(P76/$R76*100*($E76/365))</f>
        <v>0</v>
      </c>
      <c r="K165" s="809"/>
      <c r="L165" s="809">
        <f>(Q75/$R75*100*($E75/365))+(Q76/$R76*100*($E76/365))</f>
        <v>0</v>
      </c>
      <c r="M165" s="809"/>
      <c r="N165" s="781">
        <f t="shared" si="14"/>
        <v>100.00000000000001</v>
      </c>
      <c r="O165" s="781"/>
      <c r="R165" s="1">
        <v>1993</v>
      </c>
      <c r="S165" s="8">
        <f>(O75*($E75/365))+(O76*($E76/365))</f>
        <v>68.27424657534246</v>
      </c>
      <c r="T165" s="8">
        <f>(P75*($E75/365))+(P76*($E76/365))</f>
        <v>0</v>
      </c>
      <c r="U165" s="8">
        <f>(Q75*($E75/365))+(Q76*($E76/365))</f>
        <v>0</v>
      </c>
      <c r="V165" s="7"/>
      <c r="W165" s="7">
        <f t="shared" si="15"/>
        <v>68.27424657534246</v>
      </c>
    </row>
    <row r="166" spans="1:23" x14ac:dyDescent="0.15">
      <c r="A166" s="1">
        <v>1994</v>
      </c>
      <c r="B166" s="8">
        <f>(K77*($E77/365))+(K78*($E78/365))</f>
        <v>100</v>
      </c>
      <c r="C166" s="8">
        <f>(L77*($E77/365))+(L78*($E78/365))</f>
        <v>0</v>
      </c>
      <c r="D166" s="8">
        <f>(M77*($E77/365))+(M78*($E78/365))</f>
        <v>0</v>
      </c>
      <c r="E166" s="48">
        <f t="shared" si="13"/>
        <v>100</v>
      </c>
      <c r="G166" s="1">
        <v>1994</v>
      </c>
      <c r="H166" s="809">
        <f>(O77/$R77*100*($E77/365))+(O78/$R78*100*($E78/365))</f>
        <v>100</v>
      </c>
      <c r="I166" s="809"/>
      <c r="J166" s="809">
        <f>(P77/$R77*100*($E77/365))+(P78/$R78*100*($E78/365))</f>
        <v>0</v>
      </c>
      <c r="K166" s="809"/>
      <c r="L166" s="809">
        <f>(Q77/$R77*100*($E77/365))+(Q78/$R78*100*($E78/365))</f>
        <v>0</v>
      </c>
      <c r="M166" s="809"/>
      <c r="N166" s="781">
        <f t="shared" si="14"/>
        <v>100</v>
      </c>
      <c r="O166" s="781"/>
      <c r="R166" s="1">
        <v>1994</v>
      </c>
      <c r="S166" s="8">
        <f>(O77*($E77/365))+(O78*($E78/365))</f>
        <v>50.5</v>
      </c>
      <c r="T166" s="8">
        <f>(P77*($E77/365))+(P78*($E78/365))</f>
        <v>0</v>
      </c>
      <c r="U166" s="8">
        <f>(Q77*($E77/365))+(Q78*($E78/365))</f>
        <v>0</v>
      </c>
      <c r="V166" s="7"/>
      <c r="W166" s="7">
        <f t="shared" si="15"/>
        <v>50.5</v>
      </c>
    </row>
    <row r="167" spans="1:23" x14ac:dyDescent="0.15">
      <c r="A167" s="1">
        <v>1995</v>
      </c>
      <c r="B167" s="8">
        <f>(K79*($E79/365))+(K80*($E80/365))</f>
        <v>100</v>
      </c>
      <c r="C167" s="8">
        <f>(L79*($E79/365))+(L80*($E80/365))</f>
        <v>0</v>
      </c>
      <c r="D167" s="8">
        <f>(M79*($E79/365))+(M80*($E80/365))</f>
        <v>0</v>
      </c>
      <c r="E167" s="48">
        <f t="shared" si="13"/>
        <v>100</v>
      </c>
      <c r="G167" s="1">
        <v>1995</v>
      </c>
      <c r="H167" s="809">
        <f>(O79/$R79*100*($E79/365))+(O80/$R80*100*($E80/365))</f>
        <v>100</v>
      </c>
      <c r="I167" s="809"/>
      <c r="J167" s="809">
        <f>(P79/$R79*100*($E79/365))+(P80/$R80*100*($E80/365))</f>
        <v>0</v>
      </c>
      <c r="K167" s="809"/>
      <c r="L167" s="809">
        <f>(Q79/$R79*100*($E79/365))+(Q80/$R80*100*($E80/365))</f>
        <v>0</v>
      </c>
      <c r="M167" s="809"/>
      <c r="N167" s="781">
        <f t="shared" si="14"/>
        <v>100</v>
      </c>
      <c r="O167" s="781"/>
      <c r="R167" s="1">
        <v>1995</v>
      </c>
      <c r="S167" s="8">
        <f>(O79*($E79/365))+(O80*($E80/365))</f>
        <v>50.5</v>
      </c>
      <c r="T167" s="8">
        <f>(P79*($E79/365))+(P80*($E80/365))</f>
        <v>0</v>
      </c>
      <c r="U167" s="8">
        <f>(Q79*($E79/365))+(Q80*($E80/365))</f>
        <v>0</v>
      </c>
      <c r="V167" s="7"/>
      <c r="W167" s="7">
        <f t="shared" si="15"/>
        <v>50.5</v>
      </c>
    </row>
    <row r="168" spans="1:23" x14ac:dyDescent="0.15">
      <c r="A168" s="1">
        <v>1996</v>
      </c>
      <c r="B168" s="8">
        <f>(K81*($E81/366))+(K83*($E83/366))+(K82*(E82/366))</f>
        <v>100</v>
      </c>
      <c r="C168" s="8">
        <f>(L81*($E81/366))+(L83*($E83/366))+(L82*(F82/366))</f>
        <v>0</v>
      </c>
      <c r="D168" s="8">
        <f>(M81*($E81/366))+(M83*($E83/366))+(M82*(G82/366))</f>
        <v>0</v>
      </c>
      <c r="E168" s="48">
        <f t="shared" si="13"/>
        <v>100</v>
      </c>
      <c r="G168" s="1">
        <v>1996</v>
      </c>
      <c r="H168" s="809">
        <f>(O81/$R81*100*($E81/366))+(O83/$R83*100*($E83/366))+(O82/$R82*100*(E82/366))</f>
        <v>100</v>
      </c>
      <c r="I168" s="809"/>
      <c r="J168" s="809">
        <f>(P81/$R81*100*($E81/366))+(P83/$R83*100*($E83/366))</f>
        <v>0</v>
      </c>
      <c r="K168" s="809"/>
      <c r="L168" s="809">
        <f>(Q81/$R81*100*($E81/366))+(Q83/$R83*100*($E83/366))</f>
        <v>0</v>
      </c>
      <c r="M168" s="809"/>
      <c r="N168" s="781">
        <f t="shared" si="14"/>
        <v>100</v>
      </c>
      <c r="O168" s="781"/>
      <c r="R168" s="1">
        <v>1996</v>
      </c>
      <c r="S168" s="8">
        <f>(O81*($E81/366))+(O83*($E83/366))+(O82*(E82/366))</f>
        <v>50.43825136612022</v>
      </c>
      <c r="T168" s="8">
        <f>(P81*($E81/366))+(P83*($E83/366))</f>
        <v>0</v>
      </c>
      <c r="U168" s="8">
        <f>(Q81*($E81/366))+(Q83*($E83/366))</f>
        <v>0</v>
      </c>
      <c r="V168" s="7"/>
      <c r="W168" s="7">
        <f t="shared" si="15"/>
        <v>50.43825136612022</v>
      </c>
    </row>
    <row r="169" spans="1:23" x14ac:dyDescent="0.15">
      <c r="A169" s="1">
        <v>1997</v>
      </c>
      <c r="B169" s="8">
        <f>(K84*($E84/365))+(K85*($E85/365))</f>
        <v>100</v>
      </c>
      <c r="C169" s="8">
        <f>(L84*($E84/365))+(L85*($E85/365))</f>
        <v>0</v>
      </c>
      <c r="D169" s="8">
        <f>(M84*($E84/365))+(M85*($E85/365))</f>
        <v>0</v>
      </c>
      <c r="E169" s="48">
        <f t="shared" si="13"/>
        <v>100</v>
      </c>
      <c r="G169" s="1">
        <v>1997</v>
      </c>
      <c r="H169" s="809">
        <f>(O84/$R84*100*($E84/365))+(O85/$R85*100*($E85/365))</f>
        <v>100</v>
      </c>
      <c r="I169" s="809"/>
      <c r="J169" s="809">
        <f>(P84/$R84*100*($E84/365))+(P85/$R85*100*($E85/365))</f>
        <v>0</v>
      </c>
      <c r="K169" s="809"/>
      <c r="L169" s="809">
        <f>(Q84/$R84*100*($E84/365))+(Q85/$R85*100*($E85/365))</f>
        <v>0</v>
      </c>
      <c r="M169" s="809"/>
      <c r="N169" s="781">
        <f t="shared" si="14"/>
        <v>100</v>
      </c>
      <c r="O169" s="781"/>
      <c r="R169" s="1">
        <v>1997</v>
      </c>
      <c r="S169" s="8">
        <f>(O84*($E84/365))+(O85*($E85/365))</f>
        <v>50.900000000000006</v>
      </c>
      <c r="T169" s="8">
        <f>(P84*($E84/365))+(P85*($E85/365))</f>
        <v>0</v>
      </c>
      <c r="U169" s="8">
        <f>(Q84*($E84/365))+(Q85*($E85/365))</f>
        <v>0</v>
      </c>
      <c r="V169" s="7"/>
      <c r="W169" s="7">
        <f t="shared" si="15"/>
        <v>50.900000000000006</v>
      </c>
    </row>
    <row r="170" spans="1:23" x14ac:dyDescent="0.15">
      <c r="A170" s="1">
        <v>1998</v>
      </c>
      <c r="B170" s="8">
        <f>(K86*($E86/365))+(K87*($E87/365))</f>
        <v>98.12785388127854</v>
      </c>
      <c r="C170" s="8">
        <f>(L86*($E86/365))+(L87*($E87/365))</f>
        <v>0</v>
      </c>
      <c r="D170" s="8">
        <f>(M86*($E86/365))+(M87*($E87/365))</f>
        <v>0</v>
      </c>
      <c r="E170" s="48">
        <f t="shared" si="13"/>
        <v>98.12785388127854</v>
      </c>
      <c r="G170" s="1">
        <v>1998</v>
      </c>
      <c r="H170" s="809">
        <f>(O86/$R86*100*($E86/365))+(O87/$R87*100*($E87/365))</f>
        <v>100</v>
      </c>
      <c r="I170" s="809"/>
      <c r="J170" s="809">
        <f>(P86/$R86*100*($E86/365))+(P87/$R87*100*($E87/365))</f>
        <v>0</v>
      </c>
      <c r="K170" s="809"/>
      <c r="L170" s="809">
        <f>(Q86/$R86*100*($E86/365))+(Q87/$R87*100*($E87/365))</f>
        <v>0</v>
      </c>
      <c r="M170" s="809"/>
      <c r="N170" s="781">
        <f t="shared" si="14"/>
        <v>100</v>
      </c>
      <c r="O170" s="781"/>
      <c r="R170" s="1">
        <v>1998</v>
      </c>
      <c r="S170" s="8">
        <f>(O86*($E86/365))+(O87*($E87/365))</f>
        <v>46.114794520547953</v>
      </c>
      <c r="T170" s="8">
        <f>(P86*($E86/365))+(P87*($E87/365))</f>
        <v>0</v>
      </c>
      <c r="U170" s="8">
        <f>(Q86*($E86/365))+(Q87*($E87/365))</f>
        <v>0</v>
      </c>
      <c r="V170" s="7"/>
      <c r="W170" s="7">
        <f t="shared" si="15"/>
        <v>46.114794520547953</v>
      </c>
    </row>
    <row r="171" spans="1:23" x14ac:dyDescent="0.15">
      <c r="A171" s="1">
        <v>1999</v>
      </c>
      <c r="B171" s="8">
        <f>(K88*($E88/365))+(K89*($E89/365))</f>
        <v>88.493150684931507</v>
      </c>
      <c r="C171" s="8">
        <f>(L88*($E88/365))+(L89*($E89/365))</f>
        <v>0</v>
      </c>
      <c r="D171" s="8">
        <f>(M88*($E88/365))+(M89*($E89/365))</f>
        <v>6.3013698630136989</v>
      </c>
      <c r="E171" s="48">
        <f t="shared" si="13"/>
        <v>94.794520547945211</v>
      </c>
      <c r="G171" s="1">
        <v>1999</v>
      </c>
      <c r="H171" s="809">
        <f>(O88/$R88*100*($E88/365))+(O89/$R89*100*($E89/365))</f>
        <v>93.69863013698631</v>
      </c>
      <c r="I171" s="809"/>
      <c r="J171" s="809">
        <f>(P88/$R88*100*($E88/365))+(P89/$R89*100*($E89/365))</f>
        <v>0</v>
      </c>
      <c r="K171" s="809"/>
      <c r="L171" s="809">
        <f>(Q88/$R88*100*($E88/365))+(Q89/$R89*100*($E89/365))</f>
        <v>6.3013698630136989</v>
      </c>
      <c r="M171" s="809"/>
      <c r="N171" s="781">
        <f t="shared" si="14"/>
        <v>100.00000000000001</v>
      </c>
      <c r="O171" s="781"/>
      <c r="R171" s="1">
        <v>1999</v>
      </c>
      <c r="S171" s="8">
        <f>(O88*($E88/365))+(O89*($E89/365))</f>
        <v>34.387397260273978</v>
      </c>
      <c r="T171" s="8">
        <f>(P88*($E88/365))+(P89*($E89/365))</f>
        <v>0</v>
      </c>
      <c r="U171" s="8">
        <f>(Q88*($E88/365))+(Q89*($E89/365))</f>
        <v>3.0939726027397265</v>
      </c>
      <c r="V171" s="7"/>
      <c r="W171" s="7">
        <f t="shared" si="15"/>
        <v>37.481369863013704</v>
      </c>
    </row>
    <row r="172" spans="1:23" x14ac:dyDescent="0.15">
      <c r="A172" s="1">
        <v>2000</v>
      </c>
      <c r="B172" s="8">
        <f>(K90*($E90/366))+(K91*($E91/366))</f>
        <v>0</v>
      </c>
      <c r="C172" s="8">
        <f>(L90*($E90/366))+(L91*($E91/366))</f>
        <v>0</v>
      </c>
      <c r="D172" s="8">
        <f>(M90*($E90/366))+(M91*($E91/366))</f>
        <v>100</v>
      </c>
      <c r="E172" s="48">
        <f t="shared" si="13"/>
        <v>100</v>
      </c>
      <c r="G172" s="1">
        <v>2000</v>
      </c>
      <c r="H172" s="809">
        <f>(O90/$R90*100*($E90/366))+(O91/$R91*100*($E91/366))</f>
        <v>0</v>
      </c>
      <c r="I172" s="809"/>
      <c r="J172" s="809">
        <f>(P90/$R90*100*($E90/366))+(P91/$R91*100*($E91/366))</f>
        <v>0</v>
      </c>
      <c r="K172" s="809"/>
      <c r="L172" s="809">
        <f>(Q90/$R90*100*($E90/366))+(Q91/$R91*100*($E91/366))</f>
        <v>100</v>
      </c>
      <c r="M172" s="809"/>
      <c r="N172" s="781">
        <f t="shared" si="14"/>
        <v>100</v>
      </c>
      <c r="O172" s="781"/>
      <c r="R172" s="1">
        <v>2000</v>
      </c>
      <c r="S172" s="8">
        <f>(O90*($E90/366))+(O91*($E91/366))</f>
        <v>0</v>
      </c>
      <c r="T172" s="8">
        <f>(P90*($E90/366))+(P91*($E91/366))</f>
        <v>0</v>
      </c>
      <c r="U172" s="8">
        <f>(Q90*($E90/366))+(Q91*($E91/366))</f>
        <v>49.1</v>
      </c>
      <c r="V172" s="7"/>
      <c r="W172" s="7">
        <f t="shared" si="15"/>
        <v>49.1</v>
      </c>
    </row>
    <row r="173" spans="1:23" x14ac:dyDescent="0.15">
      <c r="A173" s="1">
        <v>2001</v>
      </c>
      <c r="B173" s="8">
        <f>(K92*($E92/365))+(K93*($E93/365))</f>
        <v>0</v>
      </c>
      <c r="C173" s="8">
        <f>(L92*($E92/365))+(L93*($E93/365))</f>
        <v>0</v>
      </c>
      <c r="D173" s="8">
        <f>(M92*($E92/365))+(M93*($E93/365))</f>
        <v>100</v>
      </c>
      <c r="E173" s="48">
        <f t="shared" si="13"/>
        <v>100</v>
      </c>
      <c r="G173" s="1">
        <v>2001</v>
      </c>
      <c r="H173" s="809">
        <f>(O92/$R92*100*($E92/365))+(O93/$R93*100*($E93/365))</f>
        <v>0</v>
      </c>
      <c r="I173" s="809"/>
      <c r="J173" s="809">
        <f>(P92/$R92*100*($E92/365))+(P93/$R93*100*($E93/365))</f>
        <v>0</v>
      </c>
      <c r="K173" s="809"/>
      <c r="L173" s="809">
        <f>(Q92/$R92*100*($E92/365))+(Q93/$R93*100*($E93/365))</f>
        <v>100</v>
      </c>
      <c r="M173" s="809"/>
      <c r="N173" s="781">
        <f t="shared" si="14"/>
        <v>100</v>
      </c>
      <c r="O173" s="781"/>
      <c r="R173" s="1">
        <v>2001</v>
      </c>
      <c r="S173" s="8">
        <f>(O92*($E92/365))+(O93*($E93/365))</f>
        <v>0</v>
      </c>
      <c r="T173" s="8">
        <f>(P92*($E92/365))+(P93*($E93/365))</f>
        <v>0</v>
      </c>
      <c r="U173" s="8">
        <f>(Q92*($E92/365))+(Q93*($E93/365))</f>
        <v>49.1</v>
      </c>
      <c r="V173" s="7"/>
      <c r="W173" s="7">
        <f t="shared" si="15"/>
        <v>49.1</v>
      </c>
    </row>
    <row r="174" spans="1:23" x14ac:dyDescent="0.15">
      <c r="A174" s="1">
        <v>2002</v>
      </c>
      <c r="B174" s="8">
        <f>(K94*($E94/365))+(K95*($E95/365))</f>
        <v>0</v>
      </c>
      <c r="C174" s="8">
        <f>(L94*($E94/365))+(L95*($E95/365))</f>
        <v>0</v>
      </c>
      <c r="D174" s="8">
        <f>(M94*($E94/365))+(M95*($E95/365))</f>
        <v>100</v>
      </c>
      <c r="E174" s="48">
        <f t="shared" si="13"/>
        <v>100</v>
      </c>
      <c r="G174" s="1">
        <v>2002</v>
      </c>
      <c r="H174" s="809">
        <f>(O94/$R94*100*($E94/365))+(O95/$R95*100*($E95/365))</f>
        <v>0</v>
      </c>
      <c r="I174" s="809"/>
      <c r="J174" s="809">
        <f>(P94/$R94*100*($E94/365))+(P95/$R95*100*($E95/365))</f>
        <v>0</v>
      </c>
      <c r="K174" s="809"/>
      <c r="L174" s="809">
        <f>(Q94/$R94*100*($E94/365))+(Q95/$R95*100*($E95/365))</f>
        <v>100</v>
      </c>
      <c r="M174" s="809"/>
      <c r="N174" s="781">
        <f t="shared" si="14"/>
        <v>100</v>
      </c>
      <c r="O174" s="781"/>
      <c r="R174" s="1">
        <v>2002</v>
      </c>
      <c r="S174" s="8">
        <f>(O94*($E94/365))+(O95*($E95/365))</f>
        <v>0</v>
      </c>
      <c r="T174" s="8">
        <f>(P94*($E94/365))+(P95*($E95/365))</f>
        <v>0</v>
      </c>
      <c r="U174" s="8">
        <f>(Q94*($E94/365))+(Q95*($E95/365))</f>
        <v>47.538630136986299</v>
      </c>
      <c r="V174" s="7"/>
      <c r="W174" s="7">
        <f t="shared" si="15"/>
        <v>47.538630136986299</v>
      </c>
    </row>
    <row r="175" spans="1:23" x14ac:dyDescent="0.15">
      <c r="A175" s="1">
        <v>2003</v>
      </c>
      <c r="B175" s="8">
        <f>(K96*($E96/365))+(K97*($E97/365))</f>
        <v>0</v>
      </c>
      <c r="C175" s="8">
        <f>(L96*($E96/365))+(L97*($E97/365))</f>
        <v>0</v>
      </c>
      <c r="D175" s="8">
        <f>(M96*($E96/365))+(M97*($E97/365))</f>
        <v>100</v>
      </c>
      <c r="E175" s="48">
        <f t="shared" si="13"/>
        <v>100</v>
      </c>
      <c r="G175" s="1">
        <v>2003</v>
      </c>
      <c r="H175" s="809">
        <f>(O96/$R96*100*($E96/365))+(O97/$R97*100*($E97/365))</f>
        <v>0</v>
      </c>
      <c r="I175" s="809"/>
      <c r="J175" s="809">
        <f>(P96/$R96*100*($E96/365))+(P97/$R97*100*($E97/365))</f>
        <v>0</v>
      </c>
      <c r="K175" s="809"/>
      <c r="L175" s="809">
        <f>(Q96/$R96*100*($E96/365))+(Q97/$R97*100*($E97/365))</f>
        <v>100</v>
      </c>
      <c r="M175" s="809"/>
      <c r="N175" s="781">
        <f t="shared" si="14"/>
        <v>100</v>
      </c>
      <c r="O175" s="781"/>
      <c r="R175" s="1">
        <v>2003</v>
      </c>
      <c r="S175" s="8">
        <f>(O96*($E96/365))+(O97*($E97/365))</f>
        <v>0</v>
      </c>
      <c r="T175" s="8">
        <f>(P96*($E96/365))+(P97*($E97/365))</f>
        <v>0</v>
      </c>
      <c r="U175" s="8">
        <f>(Q96*($E96/365))+(Q97*($E97/365))</f>
        <v>45</v>
      </c>
      <c r="V175" s="7"/>
      <c r="W175" s="7">
        <f t="shared" si="15"/>
        <v>45</v>
      </c>
    </row>
    <row r="176" spans="1:23" x14ac:dyDescent="0.15">
      <c r="A176" s="1">
        <v>2004</v>
      </c>
      <c r="B176" s="8">
        <f>(K98*($E98/366))+(K99*($E99/366))</f>
        <v>0</v>
      </c>
      <c r="C176" s="8">
        <f>(L98*($E98/366))+(L99*($E99/366))</f>
        <v>0</v>
      </c>
      <c r="D176" s="8">
        <f>(M98*($E98/366))+(M99*($E99/366))</f>
        <v>100</v>
      </c>
      <c r="E176" s="48">
        <f t="shared" si="13"/>
        <v>100</v>
      </c>
      <c r="G176" s="1">
        <v>2004</v>
      </c>
      <c r="H176" s="809">
        <f>(O98/$R98*100*($E98/366))+(O99/$R99*100*($E99/366))</f>
        <v>0</v>
      </c>
      <c r="I176" s="809"/>
      <c r="J176" s="809">
        <f>(P98/$R98*100*($E98/366))+(P99/$R99*100*($E99/366))</f>
        <v>0</v>
      </c>
      <c r="K176" s="809"/>
      <c r="L176" s="809">
        <f>(Q98/$R98*100*($E98/366))+(Q99/$R99*100*($E99/366))</f>
        <v>100</v>
      </c>
      <c r="M176" s="809"/>
      <c r="N176" s="781">
        <f t="shared" si="14"/>
        <v>100</v>
      </c>
      <c r="O176" s="781"/>
      <c r="R176" s="1">
        <v>2004</v>
      </c>
      <c r="S176" s="8">
        <f>(O98*($E98/366))+(O99*($E99/366))</f>
        <v>0</v>
      </c>
      <c r="T176" s="8">
        <f>(P98*($E98/366))+(P99*($E99/366))</f>
        <v>0</v>
      </c>
      <c r="U176" s="8">
        <f>(Q98*($E98/366))+(Q99*($E99/366))</f>
        <v>44.999999999999993</v>
      </c>
      <c r="V176" s="7"/>
      <c r="W176" s="7">
        <f t="shared" si="15"/>
        <v>44.999999999999993</v>
      </c>
    </row>
    <row r="177" spans="1:23" x14ac:dyDescent="0.15">
      <c r="A177" s="1">
        <v>2005</v>
      </c>
      <c r="B177" s="8">
        <f>(K100*($E100/365))+(K101*($E101/365))+(K102*($E102/365))</f>
        <v>0</v>
      </c>
      <c r="C177" s="8">
        <f>(L100*($E100/365))+(L101*($E101/365))+(L102*($E102/365))</f>
        <v>0</v>
      </c>
      <c r="D177" s="8">
        <f>(M100*($E100/365))+(M101*($E101/365))+(M102*($E102/365))</f>
        <v>100</v>
      </c>
      <c r="E177" s="48">
        <f t="shared" si="13"/>
        <v>100</v>
      </c>
      <c r="G177" s="1">
        <v>2005</v>
      </c>
      <c r="H177" s="809">
        <f>(O100/$R100*100*($E100/365))+(O101/$R101*100*($E101/365))+(O102/$R102*100*($E102/365))</f>
        <v>0</v>
      </c>
      <c r="I177" s="809"/>
      <c r="J177" s="809">
        <f>(P100/$R100*100*($E100/365))+(P101/$R101*100*($E101/365))+(P102/$R102*100*($E102/365))</f>
        <v>0</v>
      </c>
      <c r="K177" s="809"/>
      <c r="L177" s="809">
        <f>(Q100/$R100*100*($E100/365))+(Q101/$R101*100*($E101/365))+(Q102/$R102*100*($E102/365))</f>
        <v>100</v>
      </c>
      <c r="M177" s="809"/>
      <c r="N177" s="781">
        <f t="shared" si="14"/>
        <v>100</v>
      </c>
      <c r="O177" s="781"/>
      <c r="R177" s="1">
        <v>2005</v>
      </c>
      <c r="S177" s="8">
        <f>(O100*($E100/365))+(O101*($E101/365))+(O102*($E102/365))</f>
        <v>0</v>
      </c>
      <c r="T177" s="8">
        <f>(P100*($E100/365))+(P101*($E101/365))+(P102*($E102/365))</f>
        <v>0</v>
      </c>
      <c r="U177" s="8">
        <f>(Q100*($E100/365))+(Q101*($E101/365))+(Q102*($E102/365))</f>
        <v>42.560821917808219</v>
      </c>
      <c r="V177" s="7"/>
      <c r="W177" s="7">
        <f t="shared" si="15"/>
        <v>42.560821917808219</v>
      </c>
    </row>
    <row r="178" spans="1:23" x14ac:dyDescent="0.15">
      <c r="A178" s="1">
        <v>2006</v>
      </c>
      <c r="B178" s="8">
        <f>(K103*($E103/365))+(K104*($E104/365))</f>
        <v>0</v>
      </c>
      <c r="C178" s="8">
        <f>(L103*($E103/365))+(L104*($E104/365))</f>
        <v>0</v>
      </c>
      <c r="D178" s="8">
        <f>(M103*($E103/365))+(M104*($E104/365))</f>
        <v>100</v>
      </c>
      <c r="E178" s="48">
        <f t="shared" si="13"/>
        <v>100</v>
      </c>
      <c r="G178" s="1">
        <v>2006</v>
      </c>
      <c r="H178" s="809">
        <f>(O103/$R103*100*($E103/365))+(O104/$R104*100*($E104/365))</f>
        <v>0</v>
      </c>
      <c r="I178" s="809"/>
      <c r="J178" s="809">
        <f>(P103/$R103*100*($E103/365))+(P104/$R104*100*($E104/365))</f>
        <v>0</v>
      </c>
      <c r="K178" s="809"/>
      <c r="L178" s="809">
        <f>(Q103/$R103*100*($E103/365))+(Q104/$R104*100*($E104/365))</f>
        <v>100</v>
      </c>
      <c r="M178" s="809"/>
      <c r="N178" s="781">
        <f t="shared" si="14"/>
        <v>100</v>
      </c>
      <c r="O178" s="781"/>
      <c r="R178" s="1">
        <v>2006</v>
      </c>
      <c r="S178" s="8">
        <f>(O103*($E103/365))+(O104*($E104/365))</f>
        <v>0</v>
      </c>
      <c r="T178" s="8">
        <f>(P103*($E103/365))+(P104*($E104/365))</f>
        <v>0</v>
      </c>
      <c r="U178" s="8">
        <f>(Q103*($E103/365))+(Q104*($E104/365))</f>
        <v>42.1</v>
      </c>
      <c r="V178" s="7"/>
      <c r="W178" s="7">
        <f t="shared" si="15"/>
        <v>42.1</v>
      </c>
    </row>
    <row r="179" spans="1:23" x14ac:dyDescent="0.15">
      <c r="A179" s="1">
        <v>2007</v>
      </c>
      <c r="B179" s="8">
        <f>(K105*($E105/365))+(K106*($E106/365))</f>
        <v>0</v>
      </c>
      <c r="C179" s="8">
        <f>(L105*($E105/365))+(L106*($E106/365))</f>
        <v>0</v>
      </c>
      <c r="D179" s="8">
        <f>(M105*($E105/365))+(M106*($E106/365))</f>
        <v>100</v>
      </c>
      <c r="E179" s="48">
        <f t="shared" si="13"/>
        <v>100</v>
      </c>
      <c r="G179" s="1">
        <v>2007</v>
      </c>
      <c r="H179" s="809">
        <f>(O105/$R105*100*($E105/365))+(O106/$R106*100*($E106/365))</f>
        <v>0</v>
      </c>
      <c r="I179" s="809"/>
      <c r="J179" s="809">
        <f>(P105/$R105*100*($E105/365))+(P106/$R106*100*($E106/365))</f>
        <v>0</v>
      </c>
      <c r="K179" s="809"/>
      <c r="L179" s="809">
        <f>(Q105/$R105*100*($E105/365))+(Q106/$R106*100*($E106/365))</f>
        <v>100</v>
      </c>
      <c r="M179" s="809"/>
      <c r="N179" s="781">
        <f t="shared" si="14"/>
        <v>100</v>
      </c>
      <c r="O179" s="781"/>
      <c r="R179" s="1">
        <v>2007</v>
      </c>
      <c r="S179" s="8">
        <f>(O105*($E105/365))+(O106*($E106/365))</f>
        <v>0</v>
      </c>
      <c r="T179" s="8">
        <f>(P105*($E105/365))+(P106*($E106/365))</f>
        <v>0</v>
      </c>
      <c r="U179" s="8">
        <f>(Q105*($E105/365))+(Q106*($E106/365))</f>
        <v>42.1</v>
      </c>
      <c r="V179" s="7"/>
      <c r="W179" s="7">
        <f t="shared" si="15"/>
        <v>42.1</v>
      </c>
    </row>
    <row r="180" spans="1:23" x14ac:dyDescent="0.15">
      <c r="A180" s="1">
        <v>2008</v>
      </c>
      <c r="B180" s="8">
        <f>(K107*($E107/366))+(K108*($E108/366))</f>
        <v>11.748633879781421</v>
      </c>
      <c r="C180" s="8">
        <f>(L107*($E107/366))+(L108*($E108/366))</f>
        <v>0</v>
      </c>
      <c r="D180" s="8">
        <f>(M107*($E107/366))+(M108*($E108/366))</f>
        <v>88.251366120218577</v>
      </c>
      <c r="E180" s="48">
        <f t="shared" si="13"/>
        <v>100</v>
      </c>
      <c r="G180" s="1">
        <v>2008</v>
      </c>
      <c r="H180" s="809">
        <f>(O107/$R107*100*($E107/366))+(O108/$R108*100*($E108/366))</f>
        <v>11.748633879781421</v>
      </c>
      <c r="I180" s="809"/>
      <c r="J180" s="809">
        <f>(P107/$R107*100*($E107/366))+(P108/$R108*100*($E108/366))</f>
        <v>0</v>
      </c>
      <c r="K180" s="809"/>
      <c r="L180" s="809">
        <f>(Q107/$R107*100*($E107/366))+(Q108/$R108*100*($E108/366))</f>
        <v>88.251366120218577</v>
      </c>
      <c r="M180" s="809"/>
      <c r="N180" s="781">
        <f t="shared" si="14"/>
        <v>100</v>
      </c>
      <c r="O180" s="781"/>
      <c r="R180" s="1">
        <v>2008</v>
      </c>
      <c r="S180" s="8">
        <f>(O107*($E107/366))+(O108*($E108/366))</f>
        <v>5.5806010928961749</v>
      </c>
      <c r="T180" s="8">
        <f>(P107*($E107/366))+(P108*($E108/366))</f>
        <v>0</v>
      </c>
      <c r="U180" s="8">
        <f>(Q107*($E107/366))+(Q108*($E108/366))</f>
        <v>37.153825136612021</v>
      </c>
      <c r="V180" s="7"/>
      <c r="W180" s="7">
        <f t="shared" si="15"/>
        <v>42.734426229508195</v>
      </c>
    </row>
    <row r="181" spans="1:23" x14ac:dyDescent="0.15">
      <c r="A181" s="1">
        <v>2009</v>
      </c>
      <c r="B181" s="8">
        <f>(K109*($E109/365))+(K110*($E110/365))</f>
        <v>100</v>
      </c>
      <c r="C181" s="8">
        <f>(L109*($E109/365))+(L110*($E110/365))</f>
        <v>0</v>
      </c>
      <c r="D181" s="8">
        <f>(M109*($E109/365))+(M110*($E110/365))</f>
        <v>0</v>
      </c>
      <c r="E181" s="48">
        <f t="shared" si="13"/>
        <v>100</v>
      </c>
      <c r="G181" s="1">
        <v>2009</v>
      </c>
      <c r="H181" s="809">
        <f>(O109/$R109*100*($E109/365))+(O110/$R110*100*($E110/365))</f>
        <v>100</v>
      </c>
      <c r="I181" s="809"/>
      <c r="J181" s="809">
        <f>(P109/$R109*100*($E109/365))+(P110/$R110*100*($E110/365))</f>
        <v>0</v>
      </c>
      <c r="K181" s="809"/>
      <c r="L181" s="809">
        <f>(Q109/$R109*100*($E109/365))+(Q110/$R110*100*($E110/365))</f>
        <v>0</v>
      </c>
      <c r="M181" s="809"/>
      <c r="N181" s="781">
        <f t="shared" si="14"/>
        <v>100</v>
      </c>
      <c r="O181" s="781"/>
      <c r="R181" s="1">
        <v>2009</v>
      </c>
      <c r="S181" s="8">
        <f>(O109*($E109/365))+(O110*($E110/365))</f>
        <v>47.5</v>
      </c>
      <c r="T181" s="8">
        <f>(P109*($E109/365))+(P110*($E110/365))</f>
        <v>0</v>
      </c>
      <c r="U181" s="8">
        <f>(Q109*($E109/365))+(Q110*($E110/365))</f>
        <v>0</v>
      </c>
      <c r="V181" s="7"/>
      <c r="W181" s="7">
        <f t="shared" si="15"/>
        <v>47.5</v>
      </c>
    </row>
    <row r="182" spans="1:23" x14ac:dyDescent="0.15">
      <c r="A182" s="1">
        <v>2010</v>
      </c>
      <c r="B182" s="8">
        <f>(K111*($E111/365))+(K112*($E112/365))</f>
        <v>100</v>
      </c>
      <c r="C182" s="8">
        <f>(L111*($E111/365))+(L112*($E112/365))</f>
        <v>0</v>
      </c>
      <c r="D182" s="8">
        <f>(M111*($E111/365))+(M112*($E112/365))</f>
        <v>0</v>
      </c>
      <c r="E182" s="48">
        <f t="shared" si="13"/>
        <v>100</v>
      </c>
      <c r="G182" s="1">
        <v>2010</v>
      </c>
      <c r="H182" s="809">
        <f>(O111/$R111*100*($E111/365))+(O112/$R112*100*($E112/365))</f>
        <v>100</v>
      </c>
      <c r="I182" s="809"/>
      <c r="J182" s="809">
        <f>(P111/$R111*100*($E111/365))+(P112/$R112*100*($E112/365))</f>
        <v>0</v>
      </c>
      <c r="K182" s="809"/>
      <c r="L182" s="809">
        <f>(Q111/$R111*100*($E111/365))+(Q112/$R112*100*($E112/365))</f>
        <v>0</v>
      </c>
      <c r="M182" s="809"/>
      <c r="N182" s="781">
        <f t="shared" si="14"/>
        <v>100</v>
      </c>
      <c r="O182" s="781"/>
      <c r="R182" s="1">
        <v>2010</v>
      </c>
      <c r="S182" s="8">
        <f>(O111*($E111/365))+(O112*($E112/365))</f>
        <v>47.5</v>
      </c>
      <c r="T182" s="8">
        <f>(P111*($E111/365))+(P112*($E112/365))</f>
        <v>0</v>
      </c>
      <c r="U182" s="8">
        <f>(Q111*($E111/365))+(Q112*($E112/365))</f>
        <v>0</v>
      </c>
      <c r="V182" s="7"/>
      <c r="W182" s="7">
        <f t="shared" si="15"/>
        <v>47.5</v>
      </c>
    </row>
    <row r="183" spans="1:23" x14ac:dyDescent="0.15">
      <c r="A183" s="1">
        <v>2011</v>
      </c>
      <c r="B183" s="8">
        <f>(K113*($E113/365))+(K114*($E114/365))</f>
        <v>100</v>
      </c>
      <c r="C183" s="8">
        <f>(L113*($E113/365))+(L114*($E114/365))</f>
        <v>0</v>
      </c>
      <c r="D183" s="8">
        <f>(M113*($E113/365))+(M114*($E114/365))</f>
        <v>0</v>
      </c>
      <c r="E183" s="48">
        <f t="shared" si="13"/>
        <v>100</v>
      </c>
      <c r="G183" s="1">
        <v>2011</v>
      </c>
      <c r="H183" s="809">
        <f>(O113/$R113*100*($E113/365))+(O114/$R114*100*($E114/365))</f>
        <v>100</v>
      </c>
      <c r="I183" s="809"/>
      <c r="J183" s="809">
        <f>(P113/$R113*100*($E113/365))+(P114/$R114*100*($E114/365))</f>
        <v>0</v>
      </c>
      <c r="K183" s="809"/>
      <c r="L183" s="809">
        <f>(Q113/$R113*100*($E113/365))+(Q114/$R114*100*($E114/365))</f>
        <v>0</v>
      </c>
      <c r="M183" s="809"/>
      <c r="N183" s="781">
        <f t="shared" si="14"/>
        <v>100</v>
      </c>
      <c r="O183" s="781"/>
      <c r="R183" s="1">
        <v>2011</v>
      </c>
      <c r="S183" s="8">
        <f>(O113*($E113/365))+(O114*($E114/365))</f>
        <v>47.562136986301368</v>
      </c>
      <c r="T183" s="8">
        <f>(P113*($E113/365))+(P114*($E114/365))</f>
        <v>0</v>
      </c>
      <c r="U183" s="8">
        <f>(Q113*($E113/365))+(Q114*($E114/365))</f>
        <v>0</v>
      </c>
      <c r="V183" s="7"/>
      <c r="W183" s="7">
        <f t="shared" si="15"/>
        <v>47.562136986301368</v>
      </c>
    </row>
    <row r="184" spans="1:23" x14ac:dyDescent="0.15">
      <c r="A184" s="1">
        <v>2012</v>
      </c>
      <c r="B184" s="8">
        <f>(K115*($E115/366))+(K116*($E116/366))</f>
        <v>100</v>
      </c>
      <c r="C184" s="8">
        <f>(L115*($E115/366))+(L116*($E116/366))</f>
        <v>0</v>
      </c>
      <c r="D184" s="8">
        <f>(M115*($E115/366))+(M116*($E116/366))</f>
        <v>0</v>
      </c>
      <c r="E184" s="48">
        <f t="shared" si="13"/>
        <v>100</v>
      </c>
      <c r="G184" s="1">
        <v>2012</v>
      </c>
      <c r="H184" s="809">
        <f>(O115/$R115*100*($E115/366))+(O116/$R116*100*($E116/366))</f>
        <v>100</v>
      </c>
      <c r="I184" s="809"/>
      <c r="J184" s="809">
        <f>(P115/$R115*100*($E115/366))+(P116/$R116*100*($E116/366))</f>
        <v>0</v>
      </c>
      <c r="K184" s="809"/>
      <c r="L184" s="809">
        <f>(Q115/$R115*100*($E115/366))+(Q116/$R116*100*($E116/366))</f>
        <v>0</v>
      </c>
      <c r="M184" s="809"/>
      <c r="N184" s="781">
        <f>H184+J184+L184</f>
        <v>100</v>
      </c>
      <c r="O184" s="781"/>
      <c r="R184" s="1">
        <v>2012</v>
      </c>
      <c r="S184" s="8">
        <f>(O115*($E115/366))+(O116*($E116/366))</f>
        <v>48.76</v>
      </c>
      <c r="T184" s="8">
        <f>(P115*($E115/366))+(P116*($E116/366))</f>
        <v>0</v>
      </c>
      <c r="U184" s="8">
        <f>(Q115*($E115/366))+(Q116*($E116/366))</f>
        <v>0</v>
      </c>
      <c r="V184" s="7"/>
      <c r="W184" s="7">
        <f t="shared" si="15"/>
        <v>48.76</v>
      </c>
    </row>
    <row r="185" spans="1:23" x14ac:dyDescent="0.15">
      <c r="A185" s="1">
        <v>2013</v>
      </c>
      <c r="B185" s="8">
        <f>(K117*($E117/365))+(K118*($E118/365))</f>
        <v>100</v>
      </c>
      <c r="C185" s="8">
        <f>(L117*($E117/365))+(L118*($E118/365))</f>
        <v>0</v>
      </c>
      <c r="D185" s="8">
        <f>(M117*($E117/365))+(M118*($E118/365))</f>
        <v>0</v>
      </c>
      <c r="E185" s="304">
        <f t="shared" si="13"/>
        <v>100</v>
      </c>
      <c r="G185" s="1">
        <v>2013</v>
      </c>
      <c r="H185" s="809">
        <f>(O117/$R117*100*($E117/365))+(O118/$R118*100*($E118/365))</f>
        <v>100</v>
      </c>
      <c r="I185" s="809"/>
      <c r="J185" s="809">
        <f>(P117/$R117*100*($E117/365))+(P118/$R118*100*($E118/365))</f>
        <v>0</v>
      </c>
      <c r="K185" s="809"/>
      <c r="L185" s="809">
        <f>(Q117/$R117*100*($E117/365))+(Q118/$R118*100*($E118/365))</f>
        <v>0</v>
      </c>
      <c r="M185" s="809"/>
      <c r="N185" s="781">
        <f>H185+J185+L185</f>
        <v>100</v>
      </c>
      <c r="O185" s="781"/>
      <c r="R185" s="1">
        <v>2013</v>
      </c>
      <c r="S185" s="8">
        <f>(O117*($E117/365))+(O118*($E118/365))</f>
        <v>48.76</v>
      </c>
      <c r="T185" s="8">
        <f>(P117*($E117/365))+(P118*($E118/365))</f>
        <v>0</v>
      </c>
      <c r="U185" s="8">
        <f>(Q117*($E117/365))+(Q118*($E118/365))</f>
        <v>0</v>
      </c>
      <c r="W185" s="7">
        <f t="shared" si="15"/>
        <v>48.76</v>
      </c>
    </row>
    <row r="186" spans="1:23" x14ac:dyDescent="0.15">
      <c r="A186" s="1">
        <v>2014</v>
      </c>
      <c r="B186" s="8">
        <f>(K119*($E119/365))+(K120*($E120/365))+(K121*($E121/365))</f>
        <v>100</v>
      </c>
      <c r="C186" s="8">
        <f>(L119*($E119/365))+(L120*($E120/365))+(L121*($E121/365))</f>
        <v>0</v>
      </c>
      <c r="D186" s="8">
        <f>(M119*($E119/365))+(M120*($E120/365))+(M121*($E121/365))</f>
        <v>0</v>
      </c>
      <c r="E186" s="656">
        <f>B186+C186+D186</f>
        <v>100</v>
      </c>
      <c r="G186" s="1">
        <v>2014</v>
      </c>
      <c r="H186" s="809">
        <f>(O119/$R119*100*($E119/365))+(O120/$R120*100*($E120/365))+(O121/$R121*100*($E121/365))</f>
        <v>100</v>
      </c>
      <c r="I186" s="809"/>
      <c r="J186" s="809">
        <f>(P119/$R119*100*($E119/365))+(P120/$R120*100*($E120/365))+(P121/$R121*100*($E121/365))</f>
        <v>0</v>
      </c>
      <c r="K186" s="809"/>
      <c r="L186" s="809">
        <f>(Q119/$R119*100*($E119/365))+(Q120/$R120*100*($E120/365))+(Q121/$R121*100*($E121/365))</f>
        <v>0</v>
      </c>
      <c r="M186" s="809"/>
      <c r="N186" s="781">
        <f>H186+J186+L186</f>
        <v>100</v>
      </c>
      <c r="O186" s="781"/>
      <c r="R186" s="1">
        <v>2014</v>
      </c>
      <c r="S186" s="8">
        <f>(O119*($E119/365))+(O120*($E120/365))+(O121*($E121/365))</f>
        <v>48.955616438356159</v>
      </c>
      <c r="T186" s="8">
        <f>(P119*($E119/365))+(P120*($E120/365))+(P121*($E121/365))</f>
        <v>0</v>
      </c>
      <c r="U186" s="8">
        <f>(Q119*($E119/365))+(Q120*($E120/365))+(Q121*($E121/365))</f>
        <v>0</v>
      </c>
      <c r="W186" s="7">
        <f>S186+T186+U186</f>
        <v>48.955616438356159</v>
      </c>
    </row>
    <row r="187" spans="1:23" s="754" customFormat="1" x14ac:dyDescent="0.15">
      <c r="A187" s="754">
        <v>2015</v>
      </c>
      <c r="B187" s="749">
        <f>(K122*($E122/365))+(K123*($E123/365))</f>
        <v>100</v>
      </c>
      <c r="C187" s="749">
        <f>(L122*($E122/365))+(L123*($E123/365))</f>
        <v>0</v>
      </c>
      <c r="D187" s="749">
        <f>(M122*($E122/365))+(M123*($E123/365))</f>
        <v>0</v>
      </c>
      <c r="E187" s="750">
        <f>B187+C187+D187</f>
        <v>100</v>
      </c>
      <c r="G187" s="754">
        <v>2015</v>
      </c>
      <c r="H187" s="809">
        <f>(O122/$R122*100*($E122/365))+(O123/$R123*100*($E123/365))</f>
        <v>100</v>
      </c>
      <c r="I187" s="809"/>
      <c r="J187" s="809">
        <f>(P122/$R122*100*($E122/365))+(P123/$R123*100*($E123/365))</f>
        <v>0</v>
      </c>
      <c r="K187" s="809"/>
      <c r="L187" s="809">
        <f>(Q122/$R122*100*($E122/365))+(Q123/$R123*100*($E123/365))</f>
        <v>0</v>
      </c>
      <c r="M187" s="809"/>
      <c r="N187" s="781">
        <f>H187+J187+L187</f>
        <v>100</v>
      </c>
      <c r="O187" s="781"/>
      <c r="R187" s="754">
        <v>2015</v>
      </c>
      <c r="S187" s="749">
        <f>(O122*($E122/365))+(O123*($E123/365))</f>
        <v>49.6</v>
      </c>
      <c r="T187" s="749">
        <f>(P122*($E122/365))+(P123*($E123/365))</f>
        <v>0</v>
      </c>
      <c r="U187" s="749">
        <f>(Q122*($E122/365))+(Q123*($E123/365))</f>
        <v>0</v>
      </c>
      <c r="W187" s="753">
        <f>S187+T187+U187</f>
        <v>49.6</v>
      </c>
    </row>
    <row r="188" spans="1:23" s="754" customFormat="1" x14ac:dyDescent="0.15"/>
  </sheetData>
  <mergeCells count="372">
    <mergeCell ref="C122:D122"/>
    <mergeCell ref="C123:D123"/>
    <mergeCell ref="H187:I187"/>
    <mergeCell ref="J187:K187"/>
    <mergeCell ref="L187:M187"/>
    <mergeCell ref="N187:O187"/>
    <mergeCell ref="C120:D120"/>
    <mergeCell ref="C121:D121"/>
    <mergeCell ref="C119:D119"/>
    <mergeCell ref="H186:I186"/>
    <mergeCell ref="J186:K186"/>
    <mergeCell ref="L186:M186"/>
    <mergeCell ref="L182:M182"/>
    <mergeCell ref="L183:M183"/>
    <mergeCell ref="L173:M173"/>
    <mergeCell ref="L178:M178"/>
    <mergeCell ref="L162:M162"/>
    <mergeCell ref="L163:M163"/>
    <mergeCell ref="L164:M164"/>
    <mergeCell ref="L165:M165"/>
    <mergeCell ref="L174:M174"/>
    <mergeCell ref="L166:M166"/>
    <mergeCell ref="J180:K180"/>
    <mergeCell ref="L172:M172"/>
    <mergeCell ref="L175:M175"/>
    <mergeCell ref="L176:M176"/>
    <mergeCell ref="L177:M177"/>
    <mergeCell ref="J181:K181"/>
    <mergeCell ref="J170:K170"/>
    <mergeCell ref="J171:K171"/>
    <mergeCell ref="N186:O186"/>
    <mergeCell ref="AT4:AW4"/>
    <mergeCell ref="AX4:BA4"/>
    <mergeCell ref="R128:W128"/>
    <mergeCell ref="L159:M159"/>
    <mergeCell ref="L160:M160"/>
    <mergeCell ref="L161:M161"/>
    <mergeCell ref="J164:K164"/>
    <mergeCell ref="J165:K165"/>
    <mergeCell ref="J166:K166"/>
    <mergeCell ref="L130:M130"/>
    <mergeCell ref="N130:O130"/>
    <mergeCell ref="N133:O133"/>
    <mergeCell ref="N134:O134"/>
    <mergeCell ref="N135:O135"/>
    <mergeCell ref="N136:O136"/>
    <mergeCell ref="N137:O137"/>
    <mergeCell ref="N138:O138"/>
    <mergeCell ref="H184:I184"/>
    <mergeCell ref="J184:K184"/>
    <mergeCell ref="L184:M184"/>
    <mergeCell ref="L179:M179"/>
    <mergeCell ref="L180:M180"/>
    <mergeCell ref="L181:M181"/>
    <mergeCell ref="L167:M167"/>
    <mergeCell ref="L168:M168"/>
    <mergeCell ref="L169:M169"/>
    <mergeCell ref="L170:M170"/>
    <mergeCell ref="L171:M171"/>
    <mergeCell ref="J182:K182"/>
    <mergeCell ref="J176:K176"/>
    <mergeCell ref="J177:K177"/>
    <mergeCell ref="J178:K178"/>
    <mergeCell ref="J179:K179"/>
    <mergeCell ref="J183:K183"/>
    <mergeCell ref="J172:K172"/>
    <mergeCell ref="J173:K173"/>
    <mergeCell ref="J174:K174"/>
    <mergeCell ref="J175:K175"/>
    <mergeCell ref="J167:K167"/>
    <mergeCell ref="J168:K168"/>
    <mergeCell ref="J169:K169"/>
    <mergeCell ref="H179:I179"/>
    <mergeCell ref="H180:I180"/>
    <mergeCell ref="H181:I181"/>
    <mergeCell ref="H182:I182"/>
    <mergeCell ref="H183:I183"/>
    <mergeCell ref="J159:K159"/>
    <mergeCell ref="J160:K160"/>
    <mergeCell ref="J161:K161"/>
    <mergeCell ref="J162:K162"/>
    <mergeCell ref="J163:K163"/>
    <mergeCell ref="H173:I173"/>
    <mergeCell ref="H174:I174"/>
    <mergeCell ref="H175:I175"/>
    <mergeCell ref="H176:I176"/>
    <mergeCell ref="H177:I177"/>
    <mergeCell ref="H178:I178"/>
    <mergeCell ref="H167:I167"/>
    <mergeCell ref="H168:I168"/>
    <mergeCell ref="H169:I169"/>
    <mergeCell ref="H170:I170"/>
    <mergeCell ref="H171:I171"/>
    <mergeCell ref="H172:I172"/>
    <mergeCell ref="H161:I161"/>
    <mergeCell ref="H162:I162"/>
    <mergeCell ref="H163:I163"/>
    <mergeCell ref="H164:I164"/>
    <mergeCell ref="H165:I165"/>
    <mergeCell ref="H166:I166"/>
    <mergeCell ref="H158:I158"/>
    <mergeCell ref="J158:K158"/>
    <mergeCell ref="L158:M158"/>
    <mergeCell ref="H159:I159"/>
    <mergeCell ref="H160:I160"/>
    <mergeCell ref="H156:I156"/>
    <mergeCell ref="J156:K156"/>
    <mergeCell ref="L156:M156"/>
    <mergeCell ref="H157:I157"/>
    <mergeCell ref="J157:K157"/>
    <mergeCell ref="H153:I153"/>
    <mergeCell ref="J153:K153"/>
    <mergeCell ref="L153:M153"/>
    <mergeCell ref="L157:M157"/>
    <mergeCell ref="H154:I154"/>
    <mergeCell ref="J154:K154"/>
    <mergeCell ref="L154:M154"/>
    <mergeCell ref="H155:I155"/>
    <mergeCell ref="J155:K155"/>
    <mergeCell ref="L155:M155"/>
    <mergeCell ref="H151:I151"/>
    <mergeCell ref="J151:K151"/>
    <mergeCell ref="L151:M151"/>
    <mergeCell ref="H152:I152"/>
    <mergeCell ref="J152:K152"/>
    <mergeCell ref="L152:M152"/>
    <mergeCell ref="H149:I149"/>
    <mergeCell ref="J149:K149"/>
    <mergeCell ref="L149:M149"/>
    <mergeCell ref="H150:I150"/>
    <mergeCell ref="J150:K150"/>
    <mergeCell ref="L150:M150"/>
    <mergeCell ref="H147:I147"/>
    <mergeCell ref="J147:K147"/>
    <mergeCell ref="L147:M147"/>
    <mergeCell ref="H148:I148"/>
    <mergeCell ref="J148:K148"/>
    <mergeCell ref="L148:M148"/>
    <mergeCell ref="H145:I145"/>
    <mergeCell ref="J145:K145"/>
    <mergeCell ref="L145:M145"/>
    <mergeCell ref="H146:I146"/>
    <mergeCell ref="J146:K146"/>
    <mergeCell ref="L146:M146"/>
    <mergeCell ref="H143:I143"/>
    <mergeCell ref="J143:K143"/>
    <mergeCell ref="L143:M143"/>
    <mergeCell ref="H144:I144"/>
    <mergeCell ref="J144:K144"/>
    <mergeCell ref="L144:M144"/>
    <mergeCell ref="H141:I141"/>
    <mergeCell ref="J141:K141"/>
    <mergeCell ref="L141:M141"/>
    <mergeCell ref="H142:I142"/>
    <mergeCell ref="J142:K142"/>
    <mergeCell ref="L142:M142"/>
    <mergeCell ref="H139:I139"/>
    <mergeCell ref="J139:K139"/>
    <mergeCell ref="L139:M139"/>
    <mergeCell ref="H140:I140"/>
    <mergeCell ref="J140:K140"/>
    <mergeCell ref="L140:M140"/>
    <mergeCell ref="H137:I137"/>
    <mergeCell ref="J137:K137"/>
    <mergeCell ref="L137:M137"/>
    <mergeCell ref="H138:I138"/>
    <mergeCell ref="J138:K138"/>
    <mergeCell ref="L138:M138"/>
    <mergeCell ref="H135:I135"/>
    <mergeCell ref="J135:K135"/>
    <mergeCell ref="L135:M135"/>
    <mergeCell ref="H136:I136"/>
    <mergeCell ref="J136:K136"/>
    <mergeCell ref="L136:M136"/>
    <mergeCell ref="H133:I133"/>
    <mergeCell ref="J133:K133"/>
    <mergeCell ref="L133:M133"/>
    <mergeCell ref="H134:I134"/>
    <mergeCell ref="J134:K134"/>
    <mergeCell ref="L134:M134"/>
    <mergeCell ref="G3:M3"/>
    <mergeCell ref="O3:Q3"/>
    <mergeCell ref="H132:I132"/>
    <mergeCell ref="J132:K132"/>
    <mergeCell ref="L132:M132"/>
    <mergeCell ref="N132:O132"/>
    <mergeCell ref="H131:I131"/>
    <mergeCell ref="J131:K131"/>
    <mergeCell ref="A4:A5"/>
    <mergeCell ref="B4:B5"/>
    <mergeCell ref="C4:D5"/>
    <mergeCell ref="E4:E5"/>
    <mergeCell ref="H130:I130"/>
    <mergeCell ref="J130:K130"/>
    <mergeCell ref="C116:D116"/>
    <mergeCell ref="C82:D82"/>
    <mergeCell ref="F4:F5"/>
    <mergeCell ref="G4:J4"/>
    <mergeCell ref="C19:D19"/>
    <mergeCell ref="C20:D20"/>
    <mergeCell ref="C11:D11"/>
    <mergeCell ref="C12:D12"/>
    <mergeCell ref="C9:D9"/>
    <mergeCell ref="C10:D10"/>
    <mergeCell ref="C13:D13"/>
    <mergeCell ref="C14:D14"/>
    <mergeCell ref="C15:D15"/>
    <mergeCell ref="C16:D16"/>
    <mergeCell ref="C17:D17"/>
    <mergeCell ref="C18:D18"/>
    <mergeCell ref="C21:D21"/>
    <mergeCell ref="C22:D22"/>
    <mergeCell ref="AP4:AS4"/>
    <mergeCell ref="C8:D8"/>
    <mergeCell ref="K4:N4"/>
    <mergeCell ref="O4:R4"/>
    <mergeCell ref="S4:S5"/>
    <mergeCell ref="T4:T5"/>
    <mergeCell ref="Z4:AC4"/>
    <mergeCell ref="AD4:AG4"/>
    <mergeCell ref="C7:D7"/>
    <mergeCell ref="C6:D6"/>
    <mergeCell ref="AH4:AK4"/>
    <mergeCell ref="AL4:AO4"/>
    <mergeCell ref="U4:U5"/>
    <mergeCell ref="V4:Y4"/>
    <mergeCell ref="C23:D23"/>
    <mergeCell ref="C24:D24"/>
    <mergeCell ref="C27:D27"/>
    <mergeCell ref="C28:D28"/>
    <mergeCell ref="C25:D25"/>
    <mergeCell ref="C26:D26"/>
    <mergeCell ref="C29:D29"/>
    <mergeCell ref="C30:D30"/>
    <mergeCell ref="C33:D33"/>
    <mergeCell ref="C34:D34"/>
    <mergeCell ref="C31:D31"/>
    <mergeCell ref="C32:D32"/>
    <mergeCell ref="C35:D35"/>
    <mergeCell ref="C36:D36"/>
    <mergeCell ref="C39:D39"/>
    <mergeCell ref="C40:D40"/>
    <mergeCell ref="C37:D37"/>
    <mergeCell ref="C38:D38"/>
    <mergeCell ref="C41:D41"/>
    <mergeCell ref="C42:D42"/>
    <mergeCell ref="C45:D45"/>
    <mergeCell ref="C46:D46"/>
    <mergeCell ref="C43:D43"/>
    <mergeCell ref="C44:D44"/>
    <mergeCell ref="C47:D47"/>
    <mergeCell ref="C48:D48"/>
    <mergeCell ref="C51:D51"/>
    <mergeCell ref="C52:D52"/>
    <mergeCell ref="C49:D49"/>
    <mergeCell ref="C50:D50"/>
    <mergeCell ref="C53:D53"/>
    <mergeCell ref="C54:D54"/>
    <mergeCell ref="C57:D57"/>
    <mergeCell ref="C58:D58"/>
    <mergeCell ref="C55:D55"/>
    <mergeCell ref="C56:D56"/>
    <mergeCell ref="C59:D59"/>
    <mergeCell ref="C60:D60"/>
    <mergeCell ref="C63:D63"/>
    <mergeCell ref="C64:D64"/>
    <mergeCell ref="C61:D61"/>
    <mergeCell ref="C62:D62"/>
    <mergeCell ref="C65:D65"/>
    <mergeCell ref="C66:D66"/>
    <mergeCell ref="C69:D69"/>
    <mergeCell ref="C70:D70"/>
    <mergeCell ref="C67:D67"/>
    <mergeCell ref="C68:D68"/>
    <mergeCell ref="C71:D71"/>
    <mergeCell ref="C72:D72"/>
    <mergeCell ref="C75:D75"/>
    <mergeCell ref="C76:D76"/>
    <mergeCell ref="C73:D73"/>
    <mergeCell ref="C74:D74"/>
    <mergeCell ref="C77:D77"/>
    <mergeCell ref="C78:D78"/>
    <mergeCell ref="C81:D81"/>
    <mergeCell ref="C83:D83"/>
    <mergeCell ref="C79:D79"/>
    <mergeCell ref="C80:D80"/>
    <mergeCell ref="C84:D84"/>
    <mergeCell ref="C85:D85"/>
    <mergeCell ref="C88:D88"/>
    <mergeCell ref="C89:D89"/>
    <mergeCell ref="C86:D86"/>
    <mergeCell ref="C87:D87"/>
    <mergeCell ref="C90:D90"/>
    <mergeCell ref="C91:D91"/>
    <mergeCell ref="C94:D94"/>
    <mergeCell ref="C95:D95"/>
    <mergeCell ref="C92:D92"/>
    <mergeCell ref="C93:D93"/>
    <mergeCell ref="C96:D96"/>
    <mergeCell ref="C97:D97"/>
    <mergeCell ref="C100:D100"/>
    <mergeCell ref="C101:D101"/>
    <mergeCell ref="C98:D98"/>
    <mergeCell ref="C99:D99"/>
    <mergeCell ref="C102:D102"/>
    <mergeCell ref="C103:D103"/>
    <mergeCell ref="C112:D112"/>
    <mergeCell ref="C113:D113"/>
    <mergeCell ref="C104:D104"/>
    <mergeCell ref="C105:D105"/>
    <mergeCell ref="C114:D114"/>
    <mergeCell ref="C115:D115"/>
    <mergeCell ref="C106:D106"/>
    <mergeCell ref="C107:D107"/>
    <mergeCell ref="C108:D108"/>
    <mergeCell ref="C109:D109"/>
    <mergeCell ref="C110:D110"/>
    <mergeCell ref="C111:D111"/>
    <mergeCell ref="N139:O139"/>
    <mergeCell ref="N140:O140"/>
    <mergeCell ref="N141:O141"/>
    <mergeCell ref="N142:O142"/>
    <mergeCell ref="N143:O143"/>
    <mergeCell ref="N144:O144"/>
    <mergeCell ref="N145:O145"/>
    <mergeCell ref="N146:O146"/>
    <mergeCell ref="N147:O147"/>
    <mergeCell ref="N148:O148"/>
    <mergeCell ref="N149:O149"/>
    <mergeCell ref="N150:O150"/>
    <mergeCell ref="N151:O151"/>
    <mergeCell ref="N152:O152"/>
    <mergeCell ref="N153:O153"/>
    <mergeCell ref="N154:O154"/>
    <mergeCell ref="N155:O155"/>
    <mergeCell ref="N156:O156"/>
    <mergeCell ref="N175:O175"/>
    <mergeCell ref="N176:O176"/>
    <mergeCell ref="N177:O177"/>
    <mergeCell ref="N157:O157"/>
    <mergeCell ref="N158:O158"/>
    <mergeCell ref="N159:O159"/>
    <mergeCell ref="N160:O160"/>
    <mergeCell ref="N161:O161"/>
    <mergeCell ref="N162:O162"/>
    <mergeCell ref="N163:O163"/>
    <mergeCell ref="N164:O164"/>
    <mergeCell ref="N165:O165"/>
    <mergeCell ref="N178:O178"/>
    <mergeCell ref="N179:O179"/>
    <mergeCell ref="N180:O180"/>
    <mergeCell ref="N166:O166"/>
    <mergeCell ref="N167:O167"/>
    <mergeCell ref="N168:O168"/>
    <mergeCell ref="N185:O185"/>
    <mergeCell ref="C117:D117"/>
    <mergeCell ref="C118:D118"/>
    <mergeCell ref="H185:I185"/>
    <mergeCell ref="J185:K185"/>
    <mergeCell ref="L185:M185"/>
    <mergeCell ref="L131:M131"/>
    <mergeCell ref="N131:O131"/>
    <mergeCell ref="N181:O181"/>
    <mergeCell ref="N182:O182"/>
    <mergeCell ref="N169:O169"/>
    <mergeCell ref="N170:O170"/>
    <mergeCell ref="N171:O171"/>
    <mergeCell ref="N172:O172"/>
    <mergeCell ref="N173:O173"/>
    <mergeCell ref="N174:O174"/>
    <mergeCell ref="N183:O183"/>
    <mergeCell ref="N184:O184"/>
  </mergeCells>
  <phoneticPr fontId="0" type="noConversion"/>
  <pageMargins left="0.78740157499999996" right="0.78740157499999996" top="0.984251969" bottom="0.984251969" header="0.4921259845" footer="0.4921259845"/>
  <pageSetup paperSize="9" orientation="portrait" r:id="rId1"/>
  <headerFooter alignWithMargins="0"/>
  <drawing r:id="rId2"/>
  <legacyDrawing r:id="rId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86"/>
  <sheetViews>
    <sheetView zoomScale="120" zoomScaleNormal="120" workbookViewId="0">
      <pane xSplit="1" ySplit="5" topLeftCell="I84" activePane="bottomRight" state="frozen"/>
      <selection pane="topRight" activeCell="B1" sqref="B1"/>
      <selection pane="bottomLeft" activeCell="A6" sqref="A6"/>
      <selection pane="bottomRight" activeCell="K120" sqref="K120"/>
    </sheetView>
  </sheetViews>
  <sheetFormatPr baseColWidth="10" defaultColWidth="10.7109375" defaultRowHeight="9" x14ac:dyDescent="0.15"/>
  <cols>
    <col min="1" max="1" width="5.85546875" style="1" customWidth="1"/>
    <col min="2" max="6" width="7.85546875" style="1" customWidth="1"/>
    <col min="7" max="18" width="4.42578125" style="1" customWidth="1"/>
    <col min="19" max="21" width="7.85546875" style="1" customWidth="1"/>
    <col min="22" max="33" width="5.7109375" style="1" customWidth="1"/>
    <col min="34" max="34" width="5.7109375" style="37" customWidth="1"/>
    <col min="35" max="45" width="5.7109375" style="1" customWidth="1"/>
    <col min="46" max="53" width="5.5703125" style="1" customWidth="1"/>
    <col min="54" max="16384" width="10.7109375" style="1"/>
  </cols>
  <sheetData>
    <row r="1" spans="1:53" s="2" customFormat="1" ht="15" customHeight="1" x14ac:dyDescent="0.2">
      <c r="B1" s="22" t="s">
        <v>14</v>
      </c>
      <c r="AH1" s="36"/>
    </row>
    <row r="2" spans="1:53" s="2" customFormat="1" ht="15" customHeight="1" x14ac:dyDescent="0.2">
      <c r="B2" s="22" t="s">
        <v>65</v>
      </c>
      <c r="AH2" s="36"/>
    </row>
    <row r="3" spans="1:53" s="2" customFormat="1" x14ac:dyDescent="0.15">
      <c r="G3" s="814"/>
      <c r="H3" s="814"/>
      <c r="I3" s="814"/>
      <c r="J3" s="814"/>
      <c r="K3" s="814"/>
      <c r="L3" s="814"/>
      <c r="M3" s="814"/>
      <c r="O3" s="814"/>
      <c r="P3" s="814"/>
      <c r="Q3" s="814"/>
      <c r="AH3" s="36"/>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1" t="s">
        <v>23</v>
      </c>
      <c r="AU5" s="351" t="s">
        <v>24</v>
      </c>
      <c r="AV5" s="351" t="s">
        <v>25</v>
      </c>
      <c r="AW5" s="353" t="s">
        <v>1217</v>
      </c>
      <c r="AX5" s="351" t="s">
        <v>23</v>
      </c>
      <c r="AY5" s="351" t="s">
        <v>24</v>
      </c>
      <c r="AZ5" s="351" t="s">
        <v>25</v>
      </c>
      <c r="BA5" s="354" t="s">
        <v>1217</v>
      </c>
    </row>
    <row r="6" spans="1:53" s="257" customFormat="1" x14ac:dyDescent="0.15">
      <c r="A6" s="263">
        <v>1959</v>
      </c>
      <c r="B6" s="252"/>
      <c r="C6" s="815" t="s">
        <v>623</v>
      </c>
      <c r="D6" s="815"/>
      <c r="E6" s="257">
        <v>0</v>
      </c>
      <c r="G6" s="265"/>
      <c r="I6" s="257">
        <v>15</v>
      </c>
      <c r="J6" s="272">
        <v>15</v>
      </c>
      <c r="K6" s="248">
        <f t="shared" ref="K6:M8" si="0">G6/$J6*100</f>
        <v>0</v>
      </c>
      <c r="L6" s="248">
        <f t="shared" si="0"/>
        <v>0</v>
      </c>
      <c r="M6" s="248">
        <f t="shared" si="0"/>
        <v>100</v>
      </c>
      <c r="N6" s="267">
        <f>K6+L6+M6</f>
        <v>100</v>
      </c>
      <c r="O6" s="247"/>
      <c r="P6" s="248"/>
      <c r="Q6" s="248">
        <v>52</v>
      </c>
      <c r="R6" s="249">
        <f>O6+P6+Q6</f>
        <v>52</v>
      </c>
      <c r="S6" s="257">
        <v>1</v>
      </c>
      <c r="T6" s="278"/>
      <c r="V6" s="256" t="s">
        <v>493</v>
      </c>
      <c r="W6" s="257" t="s">
        <v>20</v>
      </c>
      <c r="X6" s="257" t="s">
        <v>12</v>
      </c>
      <c r="Y6" s="258">
        <v>52</v>
      </c>
      <c r="AD6" s="256"/>
      <c r="AG6" s="258"/>
      <c r="AH6" s="282"/>
      <c r="AL6" s="256"/>
      <c r="AO6" s="258"/>
      <c r="AP6" s="256"/>
      <c r="AS6" s="258"/>
      <c r="AW6" s="258"/>
      <c r="BA6" s="259"/>
    </row>
    <row r="7" spans="1:53" s="257" customFormat="1" x14ac:dyDescent="0.15">
      <c r="A7" s="263">
        <v>1959</v>
      </c>
      <c r="B7" s="252"/>
      <c r="C7" s="815" t="s">
        <v>623</v>
      </c>
      <c r="D7" s="815"/>
      <c r="E7" s="257">
        <v>365</v>
      </c>
      <c r="G7" s="265"/>
      <c r="I7" s="257">
        <v>15</v>
      </c>
      <c r="J7" s="272">
        <v>15</v>
      </c>
      <c r="K7" s="248">
        <f t="shared" si="0"/>
        <v>0</v>
      </c>
      <c r="L7" s="248">
        <f t="shared" si="0"/>
        <v>0</v>
      </c>
      <c r="M7" s="248">
        <f t="shared" si="0"/>
        <v>100</v>
      </c>
      <c r="N7" s="267">
        <f>K7+L7+M7</f>
        <v>100</v>
      </c>
      <c r="O7" s="247"/>
      <c r="P7" s="248"/>
      <c r="Q7" s="248">
        <v>52</v>
      </c>
      <c r="R7" s="249">
        <f>O7+P7+Q7</f>
        <v>52</v>
      </c>
      <c r="S7" s="257">
        <v>1</v>
      </c>
      <c r="T7" s="278"/>
      <c r="V7" s="256" t="s">
        <v>493</v>
      </c>
      <c r="W7" s="257" t="s">
        <v>20</v>
      </c>
      <c r="X7" s="257" t="s">
        <v>12</v>
      </c>
      <c r="Y7" s="258">
        <v>52</v>
      </c>
      <c r="AD7" s="256"/>
      <c r="AG7" s="258"/>
      <c r="AH7" s="282"/>
      <c r="AL7" s="256"/>
      <c r="AO7" s="258"/>
      <c r="AP7" s="256"/>
      <c r="AS7" s="258"/>
      <c r="AW7" s="258"/>
      <c r="BA7" s="259"/>
    </row>
    <row r="8" spans="1:53" s="208" customFormat="1" x14ac:dyDescent="0.15">
      <c r="A8" s="102">
        <v>1960</v>
      </c>
      <c r="B8" s="207"/>
      <c r="C8" s="811" t="s">
        <v>623</v>
      </c>
      <c r="D8" s="811"/>
      <c r="E8" s="208">
        <v>0</v>
      </c>
      <c r="G8" s="123"/>
      <c r="I8" s="208">
        <v>15</v>
      </c>
      <c r="J8" s="134">
        <v>15</v>
      </c>
      <c r="K8" s="92">
        <f t="shared" si="0"/>
        <v>0</v>
      </c>
      <c r="L8" s="92">
        <f t="shared" si="0"/>
        <v>0</v>
      </c>
      <c r="M8" s="92">
        <f t="shared" si="0"/>
        <v>100</v>
      </c>
      <c r="N8" s="125">
        <f>K8+L8+M8</f>
        <v>100</v>
      </c>
      <c r="O8" s="91"/>
      <c r="P8" s="92"/>
      <c r="Q8" s="92">
        <v>52</v>
      </c>
      <c r="R8" s="93">
        <f>O8+P8+Q8</f>
        <v>52</v>
      </c>
      <c r="S8" s="208">
        <v>1</v>
      </c>
      <c r="T8" s="81"/>
      <c r="V8" s="82" t="s">
        <v>493</v>
      </c>
      <c r="W8" s="208" t="s">
        <v>20</v>
      </c>
      <c r="X8" s="208" t="s">
        <v>12</v>
      </c>
      <c r="Y8" s="83">
        <v>52</v>
      </c>
      <c r="AD8" s="82"/>
      <c r="AG8" s="83"/>
      <c r="AH8" s="164"/>
      <c r="AL8" s="82"/>
      <c r="AO8" s="83"/>
      <c r="AP8" s="82"/>
      <c r="AS8" s="83"/>
      <c r="AW8" s="83"/>
      <c r="BA8" s="84"/>
    </row>
    <row r="9" spans="1:53" s="208" customFormat="1" x14ac:dyDescent="0.15">
      <c r="A9" s="102">
        <v>1960</v>
      </c>
      <c r="B9" s="207"/>
      <c r="C9" s="811" t="s">
        <v>623</v>
      </c>
      <c r="D9" s="811"/>
      <c r="E9" s="208">
        <v>366</v>
      </c>
      <c r="G9" s="123"/>
      <c r="I9" s="208">
        <v>15</v>
      </c>
      <c r="J9" s="134">
        <v>15</v>
      </c>
      <c r="K9" s="92">
        <f t="shared" ref="K9:M24" si="1">G9/$J9*100</f>
        <v>0</v>
      </c>
      <c r="L9" s="92">
        <f t="shared" si="1"/>
        <v>0</v>
      </c>
      <c r="M9" s="92">
        <f t="shared" si="1"/>
        <v>100</v>
      </c>
      <c r="N9" s="125">
        <f t="shared" ref="N9:N62" si="2">K9+L9+M9</f>
        <v>100</v>
      </c>
      <c r="O9" s="91"/>
      <c r="P9" s="92"/>
      <c r="Q9" s="92">
        <v>52</v>
      </c>
      <c r="R9" s="93">
        <f t="shared" ref="R9:R72" si="3">O9+P9+Q9</f>
        <v>52</v>
      </c>
      <c r="S9" s="208">
        <v>1</v>
      </c>
      <c r="T9" s="81"/>
      <c r="V9" s="82" t="s">
        <v>493</v>
      </c>
      <c r="W9" s="208" t="s">
        <v>20</v>
      </c>
      <c r="X9" s="208" t="s">
        <v>12</v>
      </c>
      <c r="Y9" s="83">
        <v>52</v>
      </c>
      <c r="AD9" s="82"/>
      <c r="AG9" s="83"/>
      <c r="AH9" s="164"/>
      <c r="AL9" s="82"/>
      <c r="AO9" s="83"/>
      <c r="AP9" s="82"/>
      <c r="AS9" s="83"/>
      <c r="AW9" s="83"/>
      <c r="BA9" s="84"/>
    </row>
    <row r="10" spans="1:53" s="208" customFormat="1" x14ac:dyDescent="0.15">
      <c r="A10" s="102">
        <v>1961</v>
      </c>
      <c r="B10" s="207"/>
      <c r="C10" s="811" t="s">
        <v>623</v>
      </c>
      <c r="D10" s="811"/>
      <c r="E10" s="208">
        <v>253</v>
      </c>
      <c r="G10" s="123"/>
      <c r="I10" s="208">
        <v>15</v>
      </c>
      <c r="J10" s="134">
        <v>15</v>
      </c>
      <c r="K10" s="92">
        <f t="shared" si="1"/>
        <v>0</v>
      </c>
      <c r="L10" s="92">
        <f t="shared" si="1"/>
        <v>0</v>
      </c>
      <c r="M10" s="92">
        <f t="shared" si="1"/>
        <v>100</v>
      </c>
      <c r="N10" s="125">
        <f t="shared" si="2"/>
        <v>100</v>
      </c>
      <c r="O10" s="91"/>
      <c r="P10" s="92"/>
      <c r="Q10" s="92">
        <v>52</v>
      </c>
      <c r="R10" s="93">
        <f t="shared" si="3"/>
        <v>52</v>
      </c>
      <c r="S10" s="208">
        <v>1</v>
      </c>
      <c r="T10" s="81"/>
      <c r="V10" s="82" t="s">
        <v>493</v>
      </c>
      <c r="W10" s="208" t="s">
        <v>20</v>
      </c>
      <c r="X10" s="208" t="s">
        <v>12</v>
      </c>
      <c r="Y10" s="83">
        <v>52</v>
      </c>
      <c r="AD10" s="82"/>
      <c r="AG10" s="83"/>
      <c r="AH10" s="164"/>
      <c r="AL10" s="82"/>
      <c r="AO10" s="83"/>
      <c r="AP10" s="82"/>
      <c r="AS10" s="83"/>
      <c r="AW10" s="83"/>
      <c r="BA10" s="84"/>
    </row>
    <row r="11" spans="1:53" s="334" customFormat="1" x14ac:dyDescent="0.15">
      <c r="A11" s="386">
        <v>1961</v>
      </c>
      <c r="B11" s="355">
        <v>22535</v>
      </c>
      <c r="C11" s="812" t="s">
        <v>624</v>
      </c>
      <c r="D11" s="812"/>
      <c r="E11" s="334">
        <f>365-E10</f>
        <v>112</v>
      </c>
      <c r="F11" s="334">
        <v>1</v>
      </c>
      <c r="G11" s="419"/>
      <c r="I11" s="334">
        <v>15</v>
      </c>
      <c r="J11" s="435">
        <v>15</v>
      </c>
      <c r="K11" s="384">
        <f t="shared" si="1"/>
        <v>0</v>
      </c>
      <c r="L11" s="384">
        <f t="shared" si="1"/>
        <v>0</v>
      </c>
      <c r="M11" s="384">
        <f t="shared" si="1"/>
        <v>100</v>
      </c>
      <c r="N11" s="421">
        <f t="shared" si="2"/>
        <v>100</v>
      </c>
      <c r="O11" s="383"/>
      <c r="P11" s="384"/>
      <c r="Q11" s="384">
        <v>49.3</v>
      </c>
      <c r="R11" s="385">
        <f t="shared" si="3"/>
        <v>49.3</v>
      </c>
      <c r="S11" s="334">
        <v>4</v>
      </c>
      <c r="T11" s="342">
        <v>22535</v>
      </c>
      <c r="U11" s="355">
        <v>22535</v>
      </c>
      <c r="V11" s="343" t="s">
        <v>493</v>
      </c>
      <c r="W11" s="334" t="s">
        <v>20</v>
      </c>
      <c r="X11" s="334" t="s">
        <v>12</v>
      </c>
      <c r="Y11" s="344">
        <v>49.3</v>
      </c>
      <c r="AD11" s="343"/>
      <c r="AG11" s="344"/>
      <c r="AH11" s="452"/>
      <c r="AL11" s="343"/>
      <c r="AO11" s="344"/>
      <c r="AP11" s="343"/>
      <c r="AS11" s="344"/>
      <c r="AW11" s="344"/>
      <c r="BA11" s="345"/>
    </row>
    <row r="12" spans="1:53" s="334" customFormat="1" x14ac:dyDescent="0.15">
      <c r="A12" s="386">
        <v>1962</v>
      </c>
      <c r="B12" s="355"/>
      <c r="C12" s="812" t="s">
        <v>624</v>
      </c>
      <c r="D12" s="812"/>
      <c r="E12" s="334">
        <v>0</v>
      </c>
      <c r="G12" s="419"/>
      <c r="I12" s="334">
        <v>15</v>
      </c>
      <c r="J12" s="435">
        <v>15</v>
      </c>
      <c r="K12" s="384">
        <f t="shared" si="1"/>
        <v>0</v>
      </c>
      <c r="L12" s="384">
        <f t="shared" si="1"/>
        <v>0</v>
      </c>
      <c r="M12" s="384">
        <f t="shared" si="1"/>
        <v>100</v>
      </c>
      <c r="N12" s="421">
        <f t="shared" si="2"/>
        <v>100</v>
      </c>
      <c r="O12" s="383"/>
      <c r="P12" s="384"/>
      <c r="Q12" s="384">
        <v>49.3</v>
      </c>
      <c r="R12" s="385">
        <f t="shared" si="3"/>
        <v>49.3</v>
      </c>
      <c r="S12" s="334">
        <v>4</v>
      </c>
      <c r="T12" s="357"/>
      <c r="V12" s="343" t="s">
        <v>493</v>
      </c>
      <c r="W12" s="334" t="s">
        <v>20</v>
      </c>
      <c r="X12" s="334" t="s">
        <v>12</v>
      </c>
      <c r="Y12" s="344">
        <v>49.3</v>
      </c>
      <c r="AD12" s="343"/>
      <c r="AG12" s="344"/>
      <c r="AH12" s="452"/>
      <c r="AL12" s="343"/>
      <c r="AO12" s="344"/>
      <c r="AP12" s="343"/>
      <c r="AS12" s="344"/>
      <c r="AW12" s="344"/>
      <c r="BA12" s="345"/>
    </row>
    <row r="13" spans="1:53" s="334" customFormat="1" x14ac:dyDescent="0.15">
      <c r="A13" s="386">
        <v>1962</v>
      </c>
      <c r="B13" s="355"/>
      <c r="C13" s="812" t="s">
        <v>624</v>
      </c>
      <c r="D13" s="812"/>
      <c r="E13" s="334">
        <v>365</v>
      </c>
      <c r="G13" s="419"/>
      <c r="I13" s="334">
        <v>15</v>
      </c>
      <c r="J13" s="435">
        <v>15</v>
      </c>
      <c r="K13" s="384">
        <f t="shared" si="1"/>
        <v>0</v>
      </c>
      <c r="L13" s="384">
        <f t="shared" si="1"/>
        <v>0</v>
      </c>
      <c r="M13" s="384">
        <f t="shared" si="1"/>
        <v>100</v>
      </c>
      <c r="N13" s="421">
        <f t="shared" si="2"/>
        <v>100</v>
      </c>
      <c r="O13" s="383"/>
      <c r="P13" s="384"/>
      <c r="Q13" s="384">
        <v>49.3</v>
      </c>
      <c r="R13" s="385">
        <f t="shared" si="3"/>
        <v>49.3</v>
      </c>
      <c r="S13" s="334">
        <v>4</v>
      </c>
      <c r="T13" s="357"/>
      <c r="V13" s="343" t="s">
        <v>493</v>
      </c>
      <c r="W13" s="334" t="s">
        <v>20</v>
      </c>
      <c r="X13" s="334" t="s">
        <v>12</v>
      </c>
      <c r="Y13" s="344">
        <v>49.3</v>
      </c>
      <c r="AD13" s="343"/>
      <c r="AG13" s="344"/>
      <c r="AH13" s="452"/>
      <c r="AL13" s="343"/>
      <c r="AO13" s="344"/>
      <c r="AP13" s="343"/>
      <c r="AS13" s="344"/>
      <c r="AW13" s="344"/>
      <c r="BA13" s="345"/>
    </row>
    <row r="14" spans="1:53" s="334" customFormat="1" x14ac:dyDescent="0.15">
      <c r="A14" s="386">
        <v>1962.6</v>
      </c>
      <c r="B14" s="355"/>
      <c r="C14" s="812" t="s">
        <v>624</v>
      </c>
      <c r="D14" s="812"/>
      <c r="E14" s="334">
        <v>238</v>
      </c>
      <c r="G14" s="419"/>
      <c r="I14" s="334">
        <v>15</v>
      </c>
      <c r="J14" s="435">
        <v>15</v>
      </c>
      <c r="K14" s="384">
        <f t="shared" si="1"/>
        <v>0</v>
      </c>
      <c r="L14" s="384">
        <f t="shared" si="1"/>
        <v>0</v>
      </c>
      <c r="M14" s="384">
        <f t="shared" si="1"/>
        <v>100</v>
      </c>
      <c r="N14" s="421">
        <f t="shared" si="2"/>
        <v>100</v>
      </c>
      <c r="O14" s="383"/>
      <c r="P14" s="384"/>
      <c r="Q14" s="384">
        <v>49.3</v>
      </c>
      <c r="R14" s="385">
        <f t="shared" si="3"/>
        <v>49.3</v>
      </c>
      <c r="S14" s="334">
        <v>4</v>
      </c>
      <c r="T14" s="357"/>
      <c r="V14" s="343" t="s">
        <v>493</v>
      </c>
      <c r="W14" s="334" t="s">
        <v>20</v>
      </c>
      <c r="X14" s="334" t="s">
        <v>12</v>
      </c>
      <c r="Y14" s="344">
        <v>49.3</v>
      </c>
      <c r="AD14" s="343"/>
      <c r="AG14" s="344"/>
      <c r="AH14" s="452"/>
      <c r="AL14" s="343"/>
      <c r="AO14" s="344"/>
      <c r="AP14" s="343"/>
      <c r="AS14" s="344"/>
      <c r="AW14" s="344"/>
      <c r="BA14" s="345"/>
    </row>
    <row r="15" spans="1:53" s="208" customFormat="1" x14ac:dyDescent="0.15">
      <c r="A15" s="102">
        <v>1963.05714285714</v>
      </c>
      <c r="B15" s="207">
        <v>23250</v>
      </c>
      <c r="C15" s="811" t="s">
        <v>625</v>
      </c>
      <c r="D15" s="811"/>
      <c r="E15" s="208">
        <v>28</v>
      </c>
      <c r="F15" s="208">
        <v>5</v>
      </c>
      <c r="G15" s="123">
        <v>8</v>
      </c>
      <c r="H15" s="208">
        <v>7</v>
      </c>
      <c r="J15" s="134">
        <v>15</v>
      </c>
      <c r="K15" s="92">
        <f t="shared" si="1"/>
        <v>53.333333333333336</v>
      </c>
      <c r="L15" s="92">
        <f t="shared" si="1"/>
        <v>46.666666666666664</v>
      </c>
      <c r="M15" s="92">
        <f t="shared" si="1"/>
        <v>0</v>
      </c>
      <c r="N15" s="125">
        <f t="shared" si="2"/>
        <v>100</v>
      </c>
      <c r="O15" s="91">
        <v>28.6</v>
      </c>
      <c r="P15" s="92">
        <v>20.7</v>
      </c>
      <c r="Q15" s="92"/>
      <c r="R15" s="93">
        <f t="shared" si="3"/>
        <v>49.3</v>
      </c>
      <c r="S15" s="208">
        <v>5</v>
      </c>
      <c r="T15" s="81"/>
      <c r="U15" s="207">
        <v>23250</v>
      </c>
      <c r="V15" s="82" t="s">
        <v>494</v>
      </c>
      <c r="W15" s="208" t="s">
        <v>74</v>
      </c>
      <c r="X15" s="208" t="s">
        <v>11</v>
      </c>
      <c r="Y15" s="83">
        <v>19.3</v>
      </c>
      <c r="Z15" s="82" t="s">
        <v>84</v>
      </c>
      <c r="AA15" s="208" t="s">
        <v>75</v>
      </c>
      <c r="AB15" s="208" t="s">
        <v>18</v>
      </c>
      <c r="AC15" s="208">
        <v>10.7</v>
      </c>
      <c r="AD15" s="82" t="s">
        <v>274</v>
      </c>
      <c r="AE15" s="208" t="s">
        <v>17</v>
      </c>
      <c r="AF15" s="208" t="s">
        <v>18</v>
      </c>
      <c r="AG15" s="83">
        <v>10</v>
      </c>
      <c r="AH15" s="208" t="s">
        <v>417</v>
      </c>
      <c r="AI15" s="208" t="s">
        <v>22</v>
      </c>
      <c r="AJ15" s="208" t="s">
        <v>11</v>
      </c>
      <c r="AK15" s="208">
        <v>9.3000000000000007</v>
      </c>
      <c r="AL15" s="82"/>
      <c r="AO15" s="83"/>
      <c r="AP15" s="82"/>
      <c r="AS15" s="83"/>
      <c r="AW15" s="83"/>
      <c r="BA15" s="84"/>
    </row>
    <row r="16" spans="1:53" s="334" customFormat="1" x14ac:dyDescent="0.15">
      <c r="A16" s="386">
        <v>1963</v>
      </c>
      <c r="B16" s="355">
        <v>23278</v>
      </c>
      <c r="C16" s="812" t="s">
        <v>626</v>
      </c>
      <c r="D16" s="812"/>
      <c r="E16" s="334">
        <f>365-E15-E14</f>
        <v>99</v>
      </c>
      <c r="F16" s="334">
        <v>5</v>
      </c>
      <c r="G16" s="419"/>
      <c r="I16" s="334">
        <v>15</v>
      </c>
      <c r="J16" s="435">
        <v>15</v>
      </c>
      <c r="K16" s="384">
        <f t="shared" si="1"/>
        <v>0</v>
      </c>
      <c r="L16" s="384">
        <f t="shared" si="1"/>
        <v>0</v>
      </c>
      <c r="M16" s="384">
        <f t="shared" si="1"/>
        <v>100</v>
      </c>
      <c r="N16" s="421">
        <f t="shared" si="2"/>
        <v>100</v>
      </c>
      <c r="O16" s="383"/>
      <c r="P16" s="384"/>
      <c r="Q16" s="384">
        <v>49.3</v>
      </c>
      <c r="R16" s="385">
        <f t="shared" si="3"/>
        <v>49.3</v>
      </c>
      <c r="S16" s="334">
        <v>4</v>
      </c>
      <c r="T16" s="357"/>
      <c r="U16" s="355">
        <v>23278</v>
      </c>
      <c r="V16" s="343" t="s">
        <v>493</v>
      </c>
      <c r="W16" s="334" t="s">
        <v>20</v>
      </c>
      <c r="X16" s="334" t="s">
        <v>12</v>
      </c>
      <c r="Y16" s="344">
        <v>49.3</v>
      </c>
      <c r="AD16" s="343"/>
      <c r="AG16" s="344"/>
      <c r="AL16" s="343"/>
      <c r="AO16" s="344"/>
      <c r="AP16" s="343"/>
      <c r="AS16" s="344"/>
      <c r="AW16" s="344"/>
      <c r="BA16" s="345"/>
    </row>
    <row r="17" spans="1:53" s="334" customFormat="1" x14ac:dyDescent="0.15">
      <c r="A17" s="386">
        <v>1963.5142857142901</v>
      </c>
      <c r="B17" s="355"/>
      <c r="C17" s="812" t="s">
        <v>626</v>
      </c>
      <c r="D17" s="812"/>
      <c r="E17" s="334">
        <v>0</v>
      </c>
      <c r="G17" s="419"/>
      <c r="I17" s="334">
        <v>15</v>
      </c>
      <c r="J17" s="435">
        <v>15</v>
      </c>
      <c r="K17" s="384">
        <f t="shared" si="1"/>
        <v>0</v>
      </c>
      <c r="L17" s="384">
        <f t="shared" si="1"/>
        <v>0</v>
      </c>
      <c r="M17" s="384">
        <f t="shared" si="1"/>
        <v>100</v>
      </c>
      <c r="N17" s="421">
        <f t="shared" si="2"/>
        <v>100</v>
      </c>
      <c r="O17" s="383"/>
      <c r="P17" s="384"/>
      <c r="Q17" s="384">
        <v>49.3</v>
      </c>
      <c r="R17" s="385">
        <f t="shared" si="3"/>
        <v>49.3</v>
      </c>
      <c r="S17" s="334">
        <v>4</v>
      </c>
      <c r="T17" s="357"/>
      <c r="V17" s="343" t="s">
        <v>493</v>
      </c>
      <c r="W17" s="334" t="s">
        <v>20</v>
      </c>
      <c r="X17" s="334" t="s">
        <v>12</v>
      </c>
      <c r="Y17" s="344">
        <v>49.3</v>
      </c>
      <c r="AD17" s="343"/>
      <c r="AG17" s="344"/>
      <c r="AL17" s="343"/>
      <c r="AO17" s="344"/>
      <c r="AP17" s="343"/>
      <c r="AS17" s="344"/>
      <c r="AW17" s="344"/>
      <c r="BA17" s="345"/>
    </row>
    <row r="18" spans="1:53" s="334" customFormat="1" x14ac:dyDescent="0.15">
      <c r="A18" s="386">
        <v>1963.9714285714299</v>
      </c>
      <c r="B18" s="355"/>
      <c r="C18" s="812" t="s">
        <v>626</v>
      </c>
      <c r="D18" s="812"/>
      <c r="E18" s="334">
        <v>366</v>
      </c>
      <c r="G18" s="419"/>
      <c r="I18" s="334">
        <v>15</v>
      </c>
      <c r="J18" s="435">
        <v>15</v>
      </c>
      <c r="K18" s="384">
        <f t="shared" si="1"/>
        <v>0</v>
      </c>
      <c r="L18" s="384">
        <f t="shared" si="1"/>
        <v>0</v>
      </c>
      <c r="M18" s="384">
        <f t="shared" si="1"/>
        <v>100</v>
      </c>
      <c r="N18" s="421">
        <f t="shared" si="2"/>
        <v>100</v>
      </c>
      <c r="O18" s="383"/>
      <c r="P18" s="384"/>
      <c r="Q18" s="384">
        <v>49.3</v>
      </c>
      <c r="R18" s="385">
        <f t="shared" si="3"/>
        <v>49.3</v>
      </c>
      <c r="S18" s="334">
        <v>4</v>
      </c>
      <c r="T18" s="357"/>
      <c r="V18" s="343" t="s">
        <v>493</v>
      </c>
      <c r="W18" s="334" t="s">
        <v>20</v>
      </c>
      <c r="X18" s="334" t="s">
        <v>12</v>
      </c>
      <c r="Y18" s="344">
        <v>49.3</v>
      </c>
      <c r="AD18" s="343"/>
      <c r="AG18" s="344"/>
      <c r="AL18" s="343"/>
      <c r="AO18" s="344"/>
      <c r="AP18" s="343"/>
      <c r="AS18" s="344"/>
      <c r="AW18" s="344"/>
      <c r="BA18" s="345"/>
    </row>
    <row r="19" spans="1:53" s="334" customFormat="1" x14ac:dyDescent="0.15">
      <c r="A19" s="386">
        <v>1965</v>
      </c>
      <c r="B19" s="355"/>
      <c r="C19" s="812" t="s">
        <v>626</v>
      </c>
      <c r="D19" s="812"/>
      <c r="E19" s="334">
        <v>283</v>
      </c>
      <c r="G19" s="419"/>
      <c r="I19" s="334">
        <v>15</v>
      </c>
      <c r="J19" s="435">
        <v>15</v>
      </c>
      <c r="K19" s="384">
        <f t="shared" si="1"/>
        <v>0</v>
      </c>
      <c r="L19" s="384">
        <f t="shared" si="1"/>
        <v>0</v>
      </c>
      <c r="M19" s="384">
        <f t="shared" si="1"/>
        <v>100</v>
      </c>
      <c r="N19" s="421">
        <f t="shared" si="2"/>
        <v>100</v>
      </c>
      <c r="O19" s="383"/>
      <c r="P19" s="384"/>
      <c r="Q19" s="384">
        <v>49.3</v>
      </c>
      <c r="R19" s="385">
        <f t="shared" si="3"/>
        <v>49.3</v>
      </c>
      <c r="S19" s="334">
        <v>4</v>
      </c>
      <c r="T19" s="357"/>
      <c r="V19" s="343" t="s">
        <v>493</v>
      </c>
      <c r="W19" s="334" t="s">
        <v>20</v>
      </c>
      <c r="X19" s="334" t="s">
        <v>12</v>
      </c>
      <c r="Y19" s="344">
        <v>49.3</v>
      </c>
      <c r="AD19" s="343"/>
      <c r="AG19" s="344"/>
      <c r="AL19" s="343"/>
      <c r="AO19" s="344"/>
      <c r="AP19" s="343"/>
      <c r="AS19" s="344"/>
      <c r="AW19" s="344"/>
      <c r="BA19" s="345"/>
    </row>
    <row r="20" spans="1:53" s="208" customFormat="1" x14ac:dyDescent="0.15">
      <c r="A20" s="102">
        <v>1964.88571428572</v>
      </c>
      <c r="B20" s="207">
        <v>24026</v>
      </c>
      <c r="C20" s="811" t="s">
        <v>627</v>
      </c>
      <c r="D20" s="811"/>
      <c r="E20" s="208">
        <f>365-E19</f>
        <v>82</v>
      </c>
      <c r="F20" s="208">
        <v>1</v>
      </c>
      <c r="G20" s="123">
        <v>9</v>
      </c>
      <c r="H20" s="208">
        <v>6</v>
      </c>
      <c r="J20" s="134">
        <v>15</v>
      </c>
      <c r="K20" s="92">
        <f t="shared" si="1"/>
        <v>60</v>
      </c>
      <c r="L20" s="92">
        <f t="shared" si="1"/>
        <v>40</v>
      </c>
      <c r="M20" s="92">
        <f t="shared" si="1"/>
        <v>0</v>
      </c>
      <c r="N20" s="125">
        <f t="shared" si="2"/>
        <v>100</v>
      </c>
      <c r="O20" s="91">
        <v>32.700000000000003</v>
      </c>
      <c r="P20" s="92">
        <v>20.7</v>
      </c>
      <c r="Q20" s="92"/>
      <c r="R20" s="93">
        <f t="shared" si="3"/>
        <v>53.400000000000006</v>
      </c>
      <c r="S20" s="208">
        <v>2</v>
      </c>
      <c r="T20" s="95">
        <v>23997</v>
      </c>
      <c r="U20" s="207">
        <v>24026</v>
      </c>
      <c r="V20" s="208" t="s">
        <v>494</v>
      </c>
      <c r="W20" s="208" t="s">
        <v>74</v>
      </c>
      <c r="X20" s="208" t="s">
        <v>11</v>
      </c>
      <c r="Y20" s="208">
        <v>20.7</v>
      </c>
      <c r="Z20" s="82" t="s">
        <v>84</v>
      </c>
      <c r="AA20" s="208" t="s">
        <v>75</v>
      </c>
      <c r="AB20" s="208" t="s">
        <v>18</v>
      </c>
      <c r="AC20" s="208">
        <v>12</v>
      </c>
      <c r="AD20" s="82" t="s">
        <v>274</v>
      </c>
      <c r="AE20" s="208" t="s">
        <v>17</v>
      </c>
      <c r="AF20" s="208" t="s">
        <v>18</v>
      </c>
      <c r="AG20" s="83">
        <v>8.6999999999999993</v>
      </c>
      <c r="AH20" s="208" t="s">
        <v>417</v>
      </c>
      <c r="AI20" s="208" t="s">
        <v>22</v>
      </c>
      <c r="AJ20" s="208" t="s">
        <v>11</v>
      </c>
      <c r="AK20" s="208">
        <v>12</v>
      </c>
      <c r="AL20" s="82"/>
      <c r="AO20" s="83"/>
      <c r="AP20" s="82"/>
      <c r="AS20" s="83"/>
      <c r="AW20" s="83"/>
      <c r="BA20" s="84"/>
    </row>
    <row r="21" spans="1:53" s="208" customFormat="1" x14ac:dyDescent="0.15">
      <c r="A21" s="102">
        <v>1966</v>
      </c>
      <c r="B21" s="207"/>
      <c r="C21" s="811" t="s">
        <v>627</v>
      </c>
      <c r="D21" s="811"/>
      <c r="E21" s="208">
        <v>0</v>
      </c>
      <c r="G21" s="123">
        <v>9</v>
      </c>
      <c r="H21" s="208">
        <v>6</v>
      </c>
      <c r="J21" s="134">
        <v>15</v>
      </c>
      <c r="K21" s="92">
        <f t="shared" si="1"/>
        <v>60</v>
      </c>
      <c r="L21" s="92">
        <f t="shared" si="1"/>
        <v>40</v>
      </c>
      <c r="M21" s="92">
        <f t="shared" si="1"/>
        <v>0</v>
      </c>
      <c r="N21" s="125">
        <f t="shared" si="2"/>
        <v>100</v>
      </c>
      <c r="O21" s="91">
        <v>32.700000000000003</v>
      </c>
      <c r="P21" s="92">
        <v>20.7</v>
      </c>
      <c r="Q21" s="92"/>
      <c r="R21" s="93">
        <f t="shared" si="3"/>
        <v>53.400000000000006</v>
      </c>
      <c r="S21" s="208">
        <v>2</v>
      </c>
      <c r="T21" s="81"/>
      <c r="V21" s="208" t="s">
        <v>494</v>
      </c>
      <c r="W21" s="208" t="s">
        <v>74</v>
      </c>
      <c r="X21" s="208" t="s">
        <v>11</v>
      </c>
      <c r="Y21" s="208">
        <v>20.7</v>
      </c>
      <c r="Z21" s="82" t="s">
        <v>84</v>
      </c>
      <c r="AA21" s="208" t="s">
        <v>75</v>
      </c>
      <c r="AB21" s="208" t="s">
        <v>18</v>
      </c>
      <c r="AC21" s="208">
        <v>12</v>
      </c>
      <c r="AD21" s="82" t="s">
        <v>274</v>
      </c>
      <c r="AE21" s="208" t="s">
        <v>17</v>
      </c>
      <c r="AF21" s="208" t="s">
        <v>18</v>
      </c>
      <c r="AG21" s="83">
        <v>8.6999999999999993</v>
      </c>
      <c r="AH21" s="208" t="s">
        <v>417</v>
      </c>
      <c r="AI21" s="208" t="s">
        <v>22</v>
      </c>
      <c r="AJ21" s="208" t="s">
        <v>11</v>
      </c>
      <c r="AK21" s="208">
        <v>12</v>
      </c>
      <c r="AL21" s="82"/>
      <c r="AO21" s="83"/>
      <c r="AP21" s="82"/>
      <c r="AS21" s="83"/>
      <c r="AW21" s="83"/>
      <c r="BA21" s="84"/>
    </row>
    <row r="22" spans="1:53" s="208" customFormat="1" x14ac:dyDescent="0.15">
      <c r="A22" s="102">
        <v>1965.8</v>
      </c>
      <c r="B22" s="207"/>
      <c r="C22" s="811" t="s">
        <v>627</v>
      </c>
      <c r="D22" s="811"/>
      <c r="E22" s="208">
        <v>365</v>
      </c>
      <c r="G22" s="123">
        <v>9</v>
      </c>
      <c r="H22" s="208">
        <v>6</v>
      </c>
      <c r="J22" s="134">
        <v>15</v>
      </c>
      <c r="K22" s="92">
        <f t="shared" si="1"/>
        <v>60</v>
      </c>
      <c r="L22" s="92">
        <f t="shared" si="1"/>
        <v>40</v>
      </c>
      <c r="M22" s="92">
        <f t="shared" si="1"/>
        <v>0</v>
      </c>
      <c r="N22" s="125">
        <f t="shared" si="2"/>
        <v>100</v>
      </c>
      <c r="O22" s="91">
        <v>32.700000000000003</v>
      </c>
      <c r="P22" s="92">
        <v>20.7</v>
      </c>
      <c r="Q22" s="92"/>
      <c r="R22" s="93">
        <f t="shared" si="3"/>
        <v>53.400000000000006</v>
      </c>
      <c r="S22" s="208">
        <v>2</v>
      </c>
      <c r="T22" s="81"/>
      <c r="V22" s="208" t="s">
        <v>494</v>
      </c>
      <c r="W22" s="208" t="s">
        <v>74</v>
      </c>
      <c r="X22" s="208" t="s">
        <v>11</v>
      </c>
      <c r="Y22" s="208">
        <v>20.7</v>
      </c>
      <c r="Z22" s="82" t="s">
        <v>84</v>
      </c>
      <c r="AA22" s="208" t="s">
        <v>75</v>
      </c>
      <c r="AB22" s="208" t="s">
        <v>18</v>
      </c>
      <c r="AC22" s="208">
        <v>12</v>
      </c>
      <c r="AD22" s="82" t="s">
        <v>274</v>
      </c>
      <c r="AE22" s="208" t="s">
        <v>17</v>
      </c>
      <c r="AF22" s="208" t="s">
        <v>18</v>
      </c>
      <c r="AG22" s="83">
        <v>8.6999999999999993</v>
      </c>
      <c r="AH22" s="208" t="s">
        <v>417</v>
      </c>
      <c r="AI22" s="208" t="s">
        <v>22</v>
      </c>
      <c r="AJ22" s="208" t="s">
        <v>11</v>
      </c>
      <c r="AK22" s="208">
        <v>12</v>
      </c>
      <c r="AL22" s="82"/>
      <c r="AO22" s="83"/>
      <c r="AP22" s="82"/>
      <c r="AS22" s="83"/>
      <c r="AW22" s="83"/>
      <c r="BA22" s="84"/>
    </row>
    <row r="23" spans="1:53" s="208" customFormat="1" x14ac:dyDescent="0.15">
      <c r="A23" s="102">
        <v>1967</v>
      </c>
      <c r="B23" s="207"/>
      <c r="C23" s="811" t="s">
        <v>627</v>
      </c>
      <c r="D23" s="811"/>
      <c r="E23" s="208">
        <v>0</v>
      </c>
      <c r="G23" s="123">
        <v>9</v>
      </c>
      <c r="H23" s="208">
        <v>6</v>
      </c>
      <c r="J23" s="134">
        <v>15</v>
      </c>
      <c r="K23" s="92">
        <f t="shared" si="1"/>
        <v>60</v>
      </c>
      <c r="L23" s="92">
        <f t="shared" si="1"/>
        <v>40</v>
      </c>
      <c r="M23" s="92">
        <f t="shared" si="1"/>
        <v>0</v>
      </c>
      <c r="N23" s="125">
        <f t="shared" si="2"/>
        <v>100</v>
      </c>
      <c r="O23" s="91">
        <v>32.700000000000003</v>
      </c>
      <c r="P23" s="92">
        <v>20.7</v>
      </c>
      <c r="Q23" s="92"/>
      <c r="R23" s="93">
        <f t="shared" si="3"/>
        <v>53.400000000000006</v>
      </c>
      <c r="S23" s="208">
        <v>2</v>
      </c>
      <c r="T23" s="81"/>
      <c r="V23" s="208" t="s">
        <v>494</v>
      </c>
      <c r="W23" s="208" t="s">
        <v>74</v>
      </c>
      <c r="X23" s="208" t="s">
        <v>11</v>
      </c>
      <c r="Y23" s="208">
        <v>20.7</v>
      </c>
      <c r="Z23" s="82" t="s">
        <v>84</v>
      </c>
      <c r="AA23" s="208" t="s">
        <v>75</v>
      </c>
      <c r="AB23" s="208" t="s">
        <v>18</v>
      </c>
      <c r="AC23" s="208">
        <v>12</v>
      </c>
      <c r="AD23" s="82" t="s">
        <v>274</v>
      </c>
      <c r="AE23" s="208" t="s">
        <v>17</v>
      </c>
      <c r="AF23" s="208" t="s">
        <v>18</v>
      </c>
      <c r="AG23" s="83">
        <v>8.6999999999999993</v>
      </c>
      <c r="AH23" s="208" t="s">
        <v>417</v>
      </c>
      <c r="AI23" s="208" t="s">
        <v>22</v>
      </c>
      <c r="AJ23" s="208" t="s">
        <v>11</v>
      </c>
      <c r="AK23" s="208">
        <v>12</v>
      </c>
      <c r="AL23" s="82"/>
      <c r="AO23" s="83"/>
      <c r="AP23" s="82"/>
      <c r="AS23" s="83"/>
      <c r="AW23" s="83"/>
      <c r="BA23" s="84"/>
    </row>
    <row r="24" spans="1:53" s="208" customFormat="1" x14ac:dyDescent="0.15">
      <c r="A24" s="102">
        <v>1966.7142857142901</v>
      </c>
      <c r="B24" s="207"/>
      <c r="C24" s="811" t="s">
        <v>627</v>
      </c>
      <c r="D24" s="811"/>
      <c r="E24" s="208">
        <v>365</v>
      </c>
      <c r="G24" s="123">
        <v>9</v>
      </c>
      <c r="H24" s="208">
        <v>6</v>
      </c>
      <c r="J24" s="134">
        <v>15</v>
      </c>
      <c r="K24" s="92">
        <f t="shared" si="1"/>
        <v>60</v>
      </c>
      <c r="L24" s="92">
        <f t="shared" si="1"/>
        <v>40</v>
      </c>
      <c r="M24" s="92">
        <f t="shared" si="1"/>
        <v>0</v>
      </c>
      <c r="N24" s="125">
        <f t="shared" si="2"/>
        <v>100</v>
      </c>
      <c r="O24" s="91">
        <v>32.700000000000003</v>
      </c>
      <c r="P24" s="92">
        <v>20.7</v>
      </c>
      <c r="Q24" s="92"/>
      <c r="R24" s="93">
        <f t="shared" si="3"/>
        <v>53.400000000000006</v>
      </c>
      <c r="S24" s="208">
        <v>2</v>
      </c>
      <c r="T24" s="81"/>
      <c r="V24" s="208" t="s">
        <v>494</v>
      </c>
      <c r="W24" s="208" t="s">
        <v>74</v>
      </c>
      <c r="X24" s="208" t="s">
        <v>11</v>
      </c>
      <c r="Y24" s="208">
        <v>20.7</v>
      </c>
      <c r="Z24" s="82" t="s">
        <v>84</v>
      </c>
      <c r="AA24" s="208" t="s">
        <v>75</v>
      </c>
      <c r="AB24" s="208" t="s">
        <v>18</v>
      </c>
      <c r="AC24" s="208">
        <v>12</v>
      </c>
      <c r="AD24" s="82" t="s">
        <v>274</v>
      </c>
      <c r="AE24" s="208" t="s">
        <v>17</v>
      </c>
      <c r="AF24" s="208" t="s">
        <v>18</v>
      </c>
      <c r="AG24" s="83">
        <v>8.6999999999999993</v>
      </c>
      <c r="AH24" s="208" t="s">
        <v>417</v>
      </c>
      <c r="AI24" s="208" t="s">
        <v>22</v>
      </c>
      <c r="AJ24" s="208" t="s">
        <v>11</v>
      </c>
      <c r="AK24" s="208">
        <v>12</v>
      </c>
      <c r="AL24" s="82"/>
      <c r="AO24" s="83"/>
      <c r="AP24" s="82"/>
      <c r="AS24" s="83"/>
      <c r="AW24" s="83"/>
      <c r="BA24" s="84"/>
    </row>
    <row r="25" spans="1:53" s="208" customFormat="1" x14ac:dyDescent="0.15">
      <c r="A25" s="102">
        <v>1968</v>
      </c>
      <c r="B25" s="207"/>
      <c r="C25" s="811" t="s">
        <v>627</v>
      </c>
      <c r="D25" s="811"/>
      <c r="E25" s="208">
        <v>0</v>
      </c>
      <c r="G25" s="123">
        <v>9</v>
      </c>
      <c r="H25" s="208">
        <v>6</v>
      </c>
      <c r="J25" s="134">
        <v>15</v>
      </c>
      <c r="K25" s="92">
        <f t="shared" ref="K25:M89" si="4">G25/$J25*100</f>
        <v>60</v>
      </c>
      <c r="L25" s="92">
        <f t="shared" si="4"/>
        <v>40</v>
      </c>
      <c r="M25" s="92">
        <f t="shared" si="4"/>
        <v>0</v>
      </c>
      <c r="N25" s="125">
        <f t="shared" si="2"/>
        <v>100</v>
      </c>
      <c r="O25" s="91">
        <v>32.700000000000003</v>
      </c>
      <c r="P25" s="92">
        <v>20.7</v>
      </c>
      <c r="Q25" s="92"/>
      <c r="R25" s="93">
        <f t="shared" si="3"/>
        <v>53.400000000000006</v>
      </c>
      <c r="S25" s="208">
        <v>2</v>
      </c>
      <c r="T25" s="81"/>
      <c r="V25" s="208" t="s">
        <v>494</v>
      </c>
      <c r="W25" s="208" t="s">
        <v>74</v>
      </c>
      <c r="X25" s="208" t="s">
        <v>11</v>
      </c>
      <c r="Y25" s="208">
        <v>20.7</v>
      </c>
      <c r="Z25" s="82" t="s">
        <v>84</v>
      </c>
      <c r="AA25" s="208" t="s">
        <v>75</v>
      </c>
      <c r="AB25" s="208" t="s">
        <v>18</v>
      </c>
      <c r="AC25" s="208">
        <v>12</v>
      </c>
      <c r="AD25" s="82" t="s">
        <v>274</v>
      </c>
      <c r="AE25" s="208" t="s">
        <v>17</v>
      </c>
      <c r="AF25" s="208" t="s">
        <v>18</v>
      </c>
      <c r="AG25" s="83">
        <v>8.6999999999999993</v>
      </c>
      <c r="AH25" s="208" t="s">
        <v>417</v>
      </c>
      <c r="AI25" s="208" t="s">
        <v>22</v>
      </c>
      <c r="AJ25" s="208" t="s">
        <v>11</v>
      </c>
      <c r="AK25" s="208">
        <v>12</v>
      </c>
      <c r="AL25" s="82"/>
      <c r="AO25" s="83"/>
      <c r="AP25" s="82"/>
      <c r="AS25" s="83"/>
      <c r="AW25" s="83"/>
      <c r="BA25" s="84"/>
    </row>
    <row r="26" spans="1:53" s="208" customFormat="1" x14ac:dyDescent="0.15">
      <c r="A26" s="102">
        <v>1967.62857142857</v>
      </c>
      <c r="B26" s="207"/>
      <c r="C26" s="811" t="s">
        <v>627</v>
      </c>
      <c r="D26" s="811"/>
      <c r="E26" s="208">
        <v>366</v>
      </c>
      <c r="G26" s="123">
        <v>9</v>
      </c>
      <c r="H26" s="208">
        <v>6</v>
      </c>
      <c r="J26" s="134">
        <v>15</v>
      </c>
      <c r="K26" s="92">
        <f t="shared" si="4"/>
        <v>60</v>
      </c>
      <c r="L26" s="92">
        <f t="shared" si="4"/>
        <v>40</v>
      </c>
      <c r="M26" s="92">
        <f t="shared" si="4"/>
        <v>0</v>
      </c>
      <c r="N26" s="125">
        <f t="shared" si="2"/>
        <v>100</v>
      </c>
      <c r="O26" s="91">
        <v>32.700000000000003</v>
      </c>
      <c r="P26" s="92">
        <v>20.7</v>
      </c>
      <c r="Q26" s="92"/>
      <c r="R26" s="93">
        <f t="shared" si="3"/>
        <v>53.400000000000006</v>
      </c>
      <c r="S26" s="208">
        <v>2</v>
      </c>
      <c r="T26" s="81"/>
      <c r="V26" s="208" t="s">
        <v>494</v>
      </c>
      <c r="W26" s="208" t="s">
        <v>74</v>
      </c>
      <c r="X26" s="208" t="s">
        <v>11</v>
      </c>
      <c r="Y26" s="208">
        <v>20.7</v>
      </c>
      <c r="Z26" s="82" t="s">
        <v>84</v>
      </c>
      <c r="AA26" s="208" t="s">
        <v>75</v>
      </c>
      <c r="AB26" s="208" t="s">
        <v>18</v>
      </c>
      <c r="AC26" s="208">
        <v>12</v>
      </c>
      <c r="AD26" s="82" t="s">
        <v>274</v>
      </c>
      <c r="AE26" s="208" t="s">
        <v>17</v>
      </c>
      <c r="AF26" s="208" t="s">
        <v>18</v>
      </c>
      <c r="AG26" s="83">
        <v>8.6999999999999993</v>
      </c>
      <c r="AH26" s="208" t="s">
        <v>417</v>
      </c>
      <c r="AI26" s="208" t="s">
        <v>22</v>
      </c>
      <c r="AJ26" s="208" t="s">
        <v>11</v>
      </c>
      <c r="AK26" s="208">
        <v>12</v>
      </c>
      <c r="AL26" s="82"/>
      <c r="AO26" s="83"/>
      <c r="AP26" s="82"/>
      <c r="AS26" s="83"/>
      <c r="AW26" s="83"/>
      <c r="BA26" s="84"/>
    </row>
    <row r="27" spans="1:53" s="208" customFormat="1" x14ac:dyDescent="0.15">
      <c r="A27" s="102">
        <v>1969</v>
      </c>
      <c r="B27" s="207"/>
      <c r="C27" s="811" t="s">
        <v>627</v>
      </c>
      <c r="D27" s="811"/>
      <c r="E27" s="208">
        <v>249</v>
      </c>
      <c r="G27" s="123">
        <v>9</v>
      </c>
      <c r="H27" s="208">
        <v>6</v>
      </c>
      <c r="J27" s="134">
        <v>15</v>
      </c>
      <c r="K27" s="92">
        <f t="shared" si="4"/>
        <v>60</v>
      </c>
      <c r="L27" s="92">
        <f t="shared" si="4"/>
        <v>40</v>
      </c>
      <c r="M27" s="92">
        <f t="shared" si="4"/>
        <v>0</v>
      </c>
      <c r="N27" s="125">
        <f t="shared" si="2"/>
        <v>100</v>
      </c>
      <c r="O27" s="91">
        <v>32.700000000000003</v>
      </c>
      <c r="P27" s="92">
        <v>20.7</v>
      </c>
      <c r="Q27" s="92"/>
      <c r="R27" s="93">
        <f t="shared" si="3"/>
        <v>53.400000000000006</v>
      </c>
      <c r="S27" s="208">
        <v>2</v>
      </c>
      <c r="T27" s="81"/>
      <c r="V27" s="208" t="s">
        <v>494</v>
      </c>
      <c r="W27" s="208" t="s">
        <v>74</v>
      </c>
      <c r="X27" s="208" t="s">
        <v>11</v>
      </c>
      <c r="Y27" s="208">
        <v>20.7</v>
      </c>
      <c r="Z27" s="82" t="s">
        <v>84</v>
      </c>
      <c r="AA27" s="208" t="s">
        <v>75</v>
      </c>
      <c r="AB27" s="208" t="s">
        <v>18</v>
      </c>
      <c r="AC27" s="208">
        <v>12</v>
      </c>
      <c r="AD27" s="82" t="s">
        <v>274</v>
      </c>
      <c r="AE27" s="208" t="s">
        <v>17</v>
      </c>
      <c r="AF27" s="208" t="s">
        <v>18</v>
      </c>
      <c r="AG27" s="83">
        <v>8.6999999999999993</v>
      </c>
      <c r="AH27" s="208" t="s">
        <v>417</v>
      </c>
      <c r="AI27" s="208" t="s">
        <v>22</v>
      </c>
      <c r="AJ27" s="208" t="s">
        <v>11</v>
      </c>
      <c r="AK27" s="208">
        <v>12</v>
      </c>
      <c r="AL27" s="82"/>
      <c r="AO27" s="83"/>
      <c r="AP27" s="82"/>
      <c r="AS27" s="83"/>
      <c r="AW27" s="83"/>
      <c r="BA27" s="84"/>
    </row>
    <row r="28" spans="1:53" s="334" customFormat="1" x14ac:dyDescent="0.15">
      <c r="A28" s="386">
        <v>1968.5428571428599</v>
      </c>
      <c r="B28" s="355">
        <v>25453</v>
      </c>
      <c r="C28" s="812" t="s">
        <v>628</v>
      </c>
      <c r="D28" s="812"/>
      <c r="E28" s="334">
        <f>365-E27</f>
        <v>116</v>
      </c>
      <c r="F28" s="334">
        <v>1</v>
      </c>
      <c r="G28" s="419">
        <v>9</v>
      </c>
      <c r="H28" s="334">
        <v>6</v>
      </c>
      <c r="J28" s="435">
        <v>15</v>
      </c>
      <c r="K28" s="384">
        <f t="shared" si="4"/>
        <v>60</v>
      </c>
      <c r="L28" s="384">
        <f t="shared" si="4"/>
        <v>40</v>
      </c>
      <c r="M28" s="384">
        <f t="shared" si="4"/>
        <v>0</v>
      </c>
      <c r="N28" s="421">
        <f t="shared" si="2"/>
        <v>100</v>
      </c>
      <c r="O28" s="383">
        <v>28</v>
      </c>
      <c r="P28" s="384">
        <v>22.6</v>
      </c>
      <c r="Q28" s="384"/>
      <c r="R28" s="385">
        <f t="shared" si="3"/>
        <v>50.6</v>
      </c>
      <c r="S28" s="334">
        <v>2</v>
      </c>
      <c r="T28" s="342">
        <v>25453</v>
      </c>
      <c r="U28" s="355">
        <v>25453</v>
      </c>
      <c r="V28" s="334" t="s">
        <v>494</v>
      </c>
      <c r="W28" s="334" t="s">
        <v>74</v>
      </c>
      <c r="X28" s="334" t="s">
        <v>11</v>
      </c>
      <c r="Y28" s="334">
        <v>19.3</v>
      </c>
      <c r="Z28" s="343" t="s">
        <v>84</v>
      </c>
      <c r="AA28" s="334" t="s">
        <v>75</v>
      </c>
      <c r="AB28" s="334" t="s">
        <v>18</v>
      </c>
      <c r="AC28" s="334">
        <v>13.3</v>
      </c>
      <c r="AD28" s="343" t="s">
        <v>274</v>
      </c>
      <c r="AE28" s="334" t="s">
        <v>17</v>
      </c>
      <c r="AF28" s="334" t="s">
        <v>18</v>
      </c>
      <c r="AG28" s="344">
        <v>9.3000000000000007</v>
      </c>
      <c r="AH28" s="334" t="s">
        <v>417</v>
      </c>
      <c r="AI28" s="334" t="s">
        <v>22</v>
      </c>
      <c r="AJ28" s="334" t="s">
        <v>11</v>
      </c>
      <c r="AK28" s="334">
        <v>8.6999999999999993</v>
      </c>
      <c r="AL28" s="343"/>
      <c r="AO28" s="344"/>
      <c r="AP28" s="343"/>
      <c r="AS28" s="344"/>
      <c r="AW28" s="344"/>
      <c r="BA28" s="345"/>
    </row>
    <row r="29" spans="1:53" s="334" customFormat="1" x14ac:dyDescent="0.15">
      <c r="A29" s="386">
        <v>1970</v>
      </c>
      <c r="B29" s="355"/>
      <c r="C29" s="812" t="s">
        <v>628</v>
      </c>
      <c r="D29" s="812"/>
      <c r="E29" s="334">
        <v>0</v>
      </c>
      <c r="G29" s="419">
        <v>9</v>
      </c>
      <c r="H29" s="334">
        <v>6</v>
      </c>
      <c r="J29" s="435">
        <v>15</v>
      </c>
      <c r="K29" s="384">
        <f t="shared" si="4"/>
        <v>60</v>
      </c>
      <c r="L29" s="384">
        <f t="shared" si="4"/>
        <v>40</v>
      </c>
      <c r="M29" s="384">
        <f t="shared" si="4"/>
        <v>0</v>
      </c>
      <c r="N29" s="421">
        <f t="shared" si="2"/>
        <v>100</v>
      </c>
      <c r="O29" s="383">
        <v>28</v>
      </c>
      <c r="P29" s="384">
        <v>22.6</v>
      </c>
      <c r="Q29" s="384"/>
      <c r="R29" s="385">
        <f t="shared" si="3"/>
        <v>50.6</v>
      </c>
      <c r="S29" s="334">
        <v>2</v>
      </c>
      <c r="T29" s="357"/>
      <c r="V29" s="334" t="s">
        <v>494</v>
      </c>
      <c r="W29" s="334" t="s">
        <v>74</v>
      </c>
      <c r="X29" s="334" t="s">
        <v>11</v>
      </c>
      <c r="Y29" s="334">
        <v>19.3</v>
      </c>
      <c r="Z29" s="343" t="s">
        <v>84</v>
      </c>
      <c r="AA29" s="334" t="s">
        <v>75</v>
      </c>
      <c r="AB29" s="334" t="s">
        <v>18</v>
      </c>
      <c r="AC29" s="334">
        <v>13.3</v>
      </c>
      <c r="AD29" s="343" t="s">
        <v>274</v>
      </c>
      <c r="AE29" s="334" t="s">
        <v>17</v>
      </c>
      <c r="AF29" s="334" t="s">
        <v>18</v>
      </c>
      <c r="AG29" s="344">
        <v>9.3000000000000007</v>
      </c>
      <c r="AH29" s="334" t="s">
        <v>417</v>
      </c>
      <c r="AI29" s="334" t="s">
        <v>22</v>
      </c>
      <c r="AJ29" s="334" t="s">
        <v>11</v>
      </c>
      <c r="AK29" s="334">
        <v>8.6999999999999993</v>
      </c>
      <c r="AL29" s="343"/>
      <c r="AO29" s="344"/>
      <c r="AP29" s="343"/>
      <c r="AS29" s="344"/>
      <c r="AW29" s="344"/>
      <c r="BA29" s="345"/>
    </row>
    <row r="30" spans="1:53" s="334" customFormat="1" x14ac:dyDescent="0.15">
      <c r="A30" s="386">
        <v>1970</v>
      </c>
      <c r="B30" s="355"/>
      <c r="C30" s="812" t="s">
        <v>628</v>
      </c>
      <c r="D30" s="812"/>
      <c r="E30" s="334">
        <v>365</v>
      </c>
      <c r="G30" s="419">
        <v>9</v>
      </c>
      <c r="H30" s="334">
        <v>6</v>
      </c>
      <c r="J30" s="435">
        <v>15</v>
      </c>
      <c r="K30" s="384">
        <f t="shared" si="4"/>
        <v>60</v>
      </c>
      <c r="L30" s="384">
        <f t="shared" si="4"/>
        <v>40</v>
      </c>
      <c r="M30" s="384">
        <f t="shared" si="4"/>
        <v>0</v>
      </c>
      <c r="N30" s="421">
        <f t="shared" si="2"/>
        <v>100</v>
      </c>
      <c r="O30" s="383">
        <v>28</v>
      </c>
      <c r="P30" s="384">
        <v>22.6</v>
      </c>
      <c r="Q30" s="384"/>
      <c r="R30" s="385">
        <f t="shared" si="3"/>
        <v>50.6</v>
      </c>
      <c r="S30" s="334">
        <v>2</v>
      </c>
      <c r="T30" s="357"/>
      <c r="V30" s="334" t="s">
        <v>494</v>
      </c>
      <c r="W30" s="334" t="s">
        <v>74</v>
      </c>
      <c r="X30" s="334" t="s">
        <v>11</v>
      </c>
      <c r="Y30" s="334">
        <v>19.3</v>
      </c>
      <c r="Z30" s="343" t="s">
        <v>84</v>
      </c>
      <c r="AA30" s="334" t="s">
        <v>75</v>
      </c>
      <c r="AB30" s="334" t="s">
        <v>18</v>
      </c>
      <c r="AC30" s="334">
        <v>13.3</v>
      </c>
      <c r="AD30" s="343" t="s">
        <v>274</v>
      </c>
      <c r="AE30" s="334" t="s">
        <v>17</v>
      </c>
      <c r="AF30" s="334" t="s">
        <v>18</v>
      </c>
      <c r="AG30" s="344">
        <v>9.3000000000000007</v>
      </c>
      <c r="AH30" s="334" t="s">
        <v>417</v>
      </c>
      <c r="AI30" s="334" t="s">
        <v>22</v>
      </c>
      <c r="AJ30" s="334" t="s">
        <v>11</v>
      </c>
      <c r="AK30" s="334">
        <v>8.6999999999999993</v>
      </c>
      <c r="AL30" s="343"/>
      <c r="AO30" s="344"/>
      <c r="AP30" s="343"/>
      <c r="AS30" s="344"/>
      <c r="AW30" s="344"/>
      <c r="BA30" s="345"/>
    </row>
    <row r="31" spans="1:53" s="334" customFormat="1" x14ac:dyDescent="0.15">
      <c r="A31" s="386">
        <v>1971</v>
      </c>
      <c r="B31" s="355"/>
      <c r="C31" s="812" t="s">
        <v>628</v>
      </c>
      <c r="D31" s="812"/>
      <c r="E31" s="334">
        <v>71</v>
      </c>
      <c r="G31" s="419">
        <v>9</v>
      </c>
      <c r="H31" s="334">
        <v>6</v>
      </c>
      <c r="J31" s="435">
        <v>15</v>
      </c>
      <c r="K31" s="384">
        <f t="shared" si="4"/>
        <v>60</v>
      </c>
      <c r="L31" s="384">
        <f t="shared" si="4"/>
        <v>40</v>
      </c>
      <c r="M31" s="384">
        <f t="shared" si="4"/>
        <v>0</v>
      </c>
      <c r="N31" s="421">
        <f t="shared" si="2"/>
        <v>100</v>
      </c>
      <c r="O31" s="383">
        <v>28</v>
      </c>
      <c r="P31" s="384">
        <v>22.6</v>
      </c>
      <c r="Q31" s="384"/>
      <c r="R31" s="385">
        <f t="shared" si="3"/>
        <v>50.6</v>
      </c>
      <c r="S31" s="334">
        <v>2</v>
      </c>
      <c r="T31" s="357"/>
      <c r="V31" s="334" t="s">
        <v>494</v>
      </c>
      <c r="W31" s="334" t="s">
        <v>74</v>
      </c>
      <c r="X31" s="334" t="s">
        <v>11</v>
      </c>
      <c r="Y31" s="334">
        <v>19.3</v>
      </c>
      <c r="Z31" s="343" t="s">
        <v>84</v>
      </c>
      <c r="AA31" s="334" t="s">
        <v>75</v>
      </c>
      <c r="AB31" s="334" t="s">
        <v>18</v>
      </c>
      <c r="AC31" s="334">
        <v>13.3</v>
      </c>
      <c r="AD31" s="343" t="s">
        <v>274</v>
      </c>
      <c r="AE31" s="334" t="s">
        <v>17</v>
      </c>
      <c r="AF31" s="334" t="s">
        <v>18</v>
      </c>
      <c r="AG31" s="344">
        <v>9.3000000000000007</v>
      </c>
      <c r="AH31" s="334" t="s">
        <v>417</v>
      </c>
      <c r="AI31" s="334" t="s">
        <v>22</v>
      </c>
      <c r="AJ31" s="334" t="s">
        <v>11</v>
      </c>
      <c r="AK31" s="334">
        <v>8.6999999999999993</v>
      </c>
      <c r="AL31" s="343"/>
      <c r="AO31" s="344"/>
      <c r="AP31" s="343"/>
      <c r="AS31" s="344"/>
      <c r="AW31" s="344"/>
      <c r="BA31" s="345"/>
    </row>
    <row r="32" spans="1:53" s="208" customFormat="1" x14ac:dyDescent="0.15">
      <c r="A32" s="102">
        <v>1971</v>
      </c>
      <c r="B32" s="207">
        <v>26005</v>
      </c>
      <c r="C32" s="811" t="s">
        <v>629</v>
      </c>
      <c r="D32" s="811"/>
      <c r="E32" s="208">
        <f>365-E31</f>
        <v>294</v>
      </c>
      <c r="F32" s="208">
        <v>4</v>
      </c>
      <c r="G32" s="123"/>
      <c r="I32" s="208">
        <v>15</v>
      </c>
      <c r="J32" s="134">
        <v>15</v>
      </c>
      <c r="K32" s="92">
        <f t="shared" si="4"/>
        <v>0</v>
      </c>
      <c r="L32" s="92">
        <f t="shared" si="4"/>
        <v>0</v>
      </c>
      <c r="M32" s="92">
        <f t="shared" si="4"/>
        <v>100</v>
      </c>
      <c r="N32" s="125">
        <f t="shared" si="2"/>
        <v>100</v>
      </c>
      <c r="O32" s="91"/>
      <c r="P32" s="92"/>
      <c r="Q32" s="92">
        <v>49.3</v>
      </c>
      <c r="R32" s="93">
        <f t="shared" si="3"/>
        <v>49.3</v>
      </c>
      <c r="S32" s="208">
        <v>4</v>
      </c>
      <c r="T32" s="81"/>
      <c r="U32" s="207">
        <v>26005</v>
      </c>
      <c r="V32" s="82" t="s">
        <v>493</v>
      </c>
      <c r="W32" s="208" t="s">
        <v>20</v>
      </c>
      <c r="X32" s="208" t="s">
        <v>12</v>
      </c>
      <c r="Y32" s="83">
        <v>49.3</v>
      </c>
      <c r="AD32" s="82"/>
      <c r="AG32" s="83"/>
      <c r="AH32" s="164"/>
      <c r="AL32" s="82"/>
      <c r="AO32" s="83"/>
      <c r="AP32" s="82"/>
      <c r="AS32" s="83"/>
      <c r="AW32" s="83"/>
      <c r="BA32" s="84"/>
    </row>
    <row r="33" spans="1:53" s="208" customFormat="1" x14ac:dyDescent="0.15">
      <c r="A33" s="102">
        <v>1972</v>
      </c>
      <c r="B33" s="207"/>
      <c r="C33" s="811" t="s">
        <v>629</v>
      </c>
      <c r="D33" s="811"/>
      <c r="E33" s="208">
        <v>291</v>
      </c>
      <c r="G33" s="123"/>
      <c r="I33" s="208">
        <v>15</v>
      </c>
      <c r="J33" s="134">
        <v>15</v>
      </c>
      <c r="K33" s="92">
        <f t="shared" si="4"/>
        <v>0</v>
      </c>
      <c r="L33" s="92">
        <f t="shared" si="4"/>
        <v>0</v>
      </c>
      <c r="M33" s="92">
        <f t="shared" si="4"/>
        <v>100</v>
      </c>
      <c r="N33" s="125">
        <f t="shared" si="2"/>
        <v>100</v>
      </c>
      <c r="O33" s="91"/>
      <c r="P33" s="92"/>
      <c r="Q33" s="92">
        <v>49.3</v>
      </c>
      <c r="R33" s="93">
        <f t="shared" si="3"/>
        <v>49.3</v>
      </c>
      <c r="S33" s="208">
        <v>4</v>
      </c>
      <c r="T33" s="81"/>
      <c r="V33" s="82" t="s">
        <v>493</v>
      </c>
      <c r="W33" s="208" t="s">
        <v>20</v>
      </c>
      <c r="X33" s="208" t="s">
        <v>12</v>
      </c>
      <c r="Y33" s="83">
        <v>49.3</v>
      </c>
      <c r="AD33" s="82"/>
      <c r="AG33" s="83"/>
      <c r="AH33" s="164"/>
      <c r="AL33" s="82"/>
      <c r="AO33" s="83"/>
      <c r="AP33" s="82"/>
      <c r="AS33" s="83"/>
      <c r="AW33" s="83"/>
      <c r="BA33" s="84"/>
    </row>
    <row r="34" spans="1:53" s="334" customFormat="1" x14ac:dyDescent="0.15">
      <c r="A34" s="386">
        <v>1972</v>
      </c>
      <c r="B34" s="355">
        <v>26590</v>
      </c>
      <c r="C34" s="812" t="s">
        <v>630</v>
      </c>
      <c r="D34" s="812"/>
      <c r="E34" s="334">
        <f>366-E33</f>
        <v>75</v>
      </c>
      <c r="F34" s="334">
        <v>2</v>
      </c>
      <c r="G34" s="419">
        <v>5</v>
      </c>
      <c r="H34" s="334">
        <v>10</v>
      </c>
      <c r="J34" s="435">
        <v>15</v>
      </c>
      <c r="K34" s="384">
        <f t="shared" si="4"/>
        <v>33.333333333333329</v>
      </c>
      <c r="L34" s="384">
        <f t="shared" si="4"/>
        <v>66.666666666666657</v>
      </c>
      <c r="M34" s="384">
        <f t="shared" si="4"/>
        <v>0</v>
      </c>
      <c r="N34" s="421">
        <f t="shared" si="2"/>
        <v>99.999999999999986</v>
      </c>
      <c r="O34" s="383">
        <v>8.6999999999999993</v>
      </c>
      <c r="P34" s="384">
        <v>22.6</v>
      </c>
      <c r="Q34" s="384"/>
      <c r="R34" s="385">
        <f t="shared" si="3"/>
        <v>31.3</v>
      </c>
      <c r="S34" s="334">
        <v>5</v>
      </c>
      <c r="T34" s="357"/>
      <c r="U34" s="355">
        <v>26590</v>
      </c>
      <c r="V34" s="343" t="s">
        <v>84</v>
      </c>
      <c r="W34" s="334" t="s">
        <v>75</v>
      </c>
      <c r="X34" s="334" t="s">
        <v>18</v>
      </c>
      <c r="Y34" s="344">
        <v>13.3</v>
      </c>
      <c r="Z34" s="343" t="s">
        <v>274</v>
      </c>
      <c r="AA34" s="334" t="s">
        <v>17</v>
      </c>
      <c r="AB34" s="334" t="s">
        <v>18</v>
      </c>
      <c r="AC34" s="334">
        <v>9.3000000000000007</v>
      </c>
      <c r="AD34" s="343" t="s">
        <v>417</v>
      </c>
      <c r="AE34" s="334" t="s">
        <v>22</v>
      </c>
      <c r="AF34" s="334" t="s">
        <v>11</v>
      </c>
      <c r="AG34" s="344">
        <v>8.6999999999999993</v>
      </c>
      <c r="AH34" s="452"/>
      <c r="AL34" s="343"/>
      <c r="AO34" s="344"/>
      <c r="AP34" s="343"/>
      <c r="AS34" s="344"/>
      <c r="AW34" s="344"/>
      <c r="BA34" s="345"/>
    </row>
    <row r="35" spans="1:53" s="334" customFormat="1" x14ac:dyDescent="0.15">
      <c r="A35" s="386">
        <v>1973</v>
      </c>
      <c r="B35" s="355"/>
      <c r="C35" s="812" t="s">
        <v>630</v>
      </c>
      <c r="D35" s="812"/>
      <c r="E35" s="334">
        <v>288</v>
      </c>
      <c r="G35" s="419">
        <v>5</v>
      </c>
      <c r="H35" s="334">
        <v>10</v>
      </c>
      <c r="J35" s="435">
        <v>15</v>
      </c>
      <c r="K35" s="384">
        <f t="shared" si="4"/>
        <v>33.333333333333329</v>
      </c>
      <c r="L35" s="384">
        <f t="shared" si="4"/>
        <v>66.666666666666657</v>
      </c>
      <c r="M35" s="384">
        <f t="shared" si="4"/>
        <v>0</v>
      </c>
      <c r="N35" s="421">
        <f t="shared" si="2"/>
        <v>99.999999999999986</v>
      </c>
      <c r="O35" s="383">
        <v>8.6999999999999993</v>
      </c>
      <c r="P35" s="384">
        <v>22.6</v>
      </c>
      <c r="Q35" s="384"/>
      <c r="R35" s="385">
        <f t="shared" si="3"/>
        <v>31.3</v>
      </c>
      <c r="S35" s="334">
        <v>5</v>
      </c>
      <c r="T35" s="357"/>
      <c r="V35" s="343" t="s">
        <v>84</v>
      </c>
      <c r="W35" s="334" t="s">
        <v>75</v>
      </c>
      <c r="X35" s="334" t="s">
        <v>18</v>
      </c>
      <c r="Y35" s="344">
        <v>13.3</v>
      </c>
      <c r="Z35" s="343" t="s">
        <v>274</v>
      </c>
      <c r="AA35" s="334" t="s">
        <v>17</v>
      </c>
      <c r="AB35" s="334" t="s">
        <v>18</v>
      </c>
      <c r="AC35" s="334">
        <v>9.3000000000000007</v>
      </c>
      <c r="AD35" s="343" t="s">
        <v>417</v>
      </c>
      <c r="AE35" s="334" t="s">
        <v>22</v>
      </c>
      <c r="AF35" s="334" t="s">
        <v>11</v>
      </c>
      <c r="AG35" s="344">
        <v>8.6999999999999993</v>
      </c>
      <c r="AH35" s="452"/>
      <c r="AL35" s="343"/>
      <c r="AO35" s="344"/>
      <c r="AP35" s="343"/>
      <c r="AS35" s="344"/>
      <c r="AW35" s="344"/>
      <c r="BA35" s="345"/>
    </row>
    <row r="36" spans="1:53" s="208" customFormat="1" x14ac:dyDescent="0.15">
      <c r="A36" s="102">
        <v>1973</v>
      </c>
      <c r="B36" s="207">
        <v>26953</v>
      </c>
      <c r="C36" s="811" t="s">
        <v>631</v>
      </c>
      <c r="D36" s="811"/>
      <c r="E36" s="208">
        <f>365-E35</f>
        <v>77</v>
      </c>
      <c r="F36" s="208">
        <v>1</v>
      </c>
      <c r="G36" s="123"/>
      <c r="I36" s="208">
        <v>15</v>
      </c>
      <c r="J36" s="134">
        <v>15</v>
      </c>
      <c r="K36" s="92">
        <f t="shared" si="4"/>
        <v>0</v>
      </c>
      <c r="L36" s="92">
        <f t="shared" si="4"/>
        <v>0</v>
      </c>
      <c r="M36" s="92">
        <f t="shared" si="4"/>
        <v>100</v>
      </c>
      <c r="N36" s="125">
        <f t="shared" si="2"/>
        <v>100</v>
      </c>
      <c r="O36" s="91"/>
      <c r="P36" s="92"/>
      <c r="Q36" s="92">
        <v>40</v>
      </c>
      <c r="R36" s="93">
        <f t="shared" si="3"/>
        <v>40</v>
      </c>
      <c r="S36" s="208">
        <v>4</v>
      </c>
      <c r="T36" s="95">
        <v>26916</v>
      </c>
      <c r="U36" s="207">
        <v>26953</v>
      </c>
      <c r="V36" s="82" t="s">
        <v>493</v>
      </c>
      <c r="W36" s="208" t="s">
        <v>20</v>
      </c>
      <c r="X36" s="208" t="s">
        <v>12</v>
      </c>
      <c r="Y36" s="83">
        <v>40</v>
      </c>
      <c r="AD36" s="82"/>
      <c r="AG36" s="83"/>
      <c r="AH36" s="164"/>
      <c r="AL36" s="82"/>
      <c r="AO36" s="83"/>
      <c r="AP36" s="82"/>
      <c r="AS36" s="83"/>
      <c r="AW36" s="83"/>
      <c r="BA36" s="84"/>
    </row>
    <row r="37" spans="1:53" s="208" customFormat="1" x14ac:dyDescent="0.15">
      <c r="A37" s="102">
        <v>1974</v>
      </c>
      <c r="B37" s="207"/>
      <c r="C37" s="811" t="s">
        <v>631</v>
      </c>
      <c r="D37" s="811"/>
      <c r="E37" s="208">
        <v>0</v>
      </c>
      <c r="G37" s="123"/>
      <c r="I37" s="208">
        <v>15</v>
      </c>
      <c r="J37" s="134">
        <v>15</v>
      </c>
      <c r="K37" s="92">
        <f t="shared" si="4"/>
        <v>0</v>
      </c>
      <c r="L37" s="92">
        <f t="shared" si="4"/>
        <v>0</v>
      </c>
      <c r="M37" s="92">
        <f t="shared" si="4"/>
        <v>100</v>
      </c>
      <c r="N37" s="125">
        <f t="shared" si="2"/>
        <v>100</v>
      </c>
      <c r="O37" s="91"/>
      <c r="P37" s="92"/>
      <c r="Q37" s="92">
        <v>40</v>
      </c>
      <c r="R37" s="93">
        <f t="shared" si="3"/>
        <v>40</v>
      </c>
      <c r="S37" s="208">
        <v>4</v>
      </c>
      <c r="T37" s="81"/>
      <c r="V37" s="82" t="s">
        <v>493</v>
      </c>
      <c r="W37" s="208" t="s">
        <v>20</v>
      </c>
      <c r="X37" s="208" t="s">
        <v>12</v>
      </c>
      <c r="Y37" s="83">
        <v>40</v>
      </c>
      <c r="AD37" s="82"/>
      <c r="AG37" s="83"/>
      <c r="AH37" s="164"/>
      <c r="AL37" s="82"/>
      <c r="AO37" s="83"/>
      <c r="AP37" s="82"/>
      <c r="AS37" s="83"/>
      <c r="AW37" s="83"/>
      <c r="BA37" s="84"/>
    </row>
    <row r="38" spans="1:53" s="208" customFormat="1" x14ac:dyDescent="0.15">
      <c r="A38" s="102">
        <v>1974</v>
      </c>
      <c r="B38" s="207"/>
      <c r="C38" s="811" t="s">
        <v>631</v>
      </c>
      <c r="D38" s="811"/>
      <c r="E38" s="208">
        <v>365</v>
      </c>
      <c r="G38" s="123"/>
      <c r="I38" s="208">
        <v>15</v>
      </c>
      <c r="J38" s="134">
        <v>15</v>
      </c>
      <c r="K38" s="92">
        <f t="shared" si="4"/>
        <v>0</v>
      </c>
      <c r="L38" s="92">
        <f t="shared" si="4"/>
        <v>0</v>
      </c>
      <c r="M38" s="92">
        <f t="shared" si="4"/>
        <v>100</v>
      </c>
      <c r="N38" s="125">
        <f t="shared" si="2"/>
        <v>100</v>
      </c>
      <c r="O38" s="91"/>
      <c r="P38" s="92"/>
      <c r="Q38" s="92">
        <v>40</v>
      </c>
      <c r="R38" s="93">
        <f t="shared" si="3"/>
        <v>40</v>
      </c>
      <c r="S38" s="208">
        <v>4</v>
      </c>
      <c r="T38" s="81"/>
      <c r="V38" s="82" t="s">
        <v>493</v>
      </c>
      <c r="W38" s="208" t="s">
        <v>20</v>
      </c>
      <c r="X38" s="208" t="s">
        <v>12</v>
      </c>
      <c r="Y38" s="83">
        <v>40</v>
      </c>
      <c r="AD38" s="82"/>
      <c r="AG38" s="83"/>
      <c r="AH38" s="164"/>
      <c r="AL38" s="82"/>
      <c r="AO38" s="83"/>
      <c r="AP38" s="82"/>
      <c r="AS38" s="83"/>
      <c r="AW38" s="83"/>
      <c r="BA38" s="84"/>
    </row>
    <row r="39" spans="1:53" s="208" customFormat="1" x14ac:dyDescent="0.15">
      <c r="A39" s="102">
        <v>1975</v>
      </c>
      <c r="B39" s="207"/>
      <c r="C39" s="811" t="s">
        <v>631</v>
      </c>
      <c r="D39" s="811"/>
      <c r="E39" s="208">
        <v>0</v>
      </c>
      <c r="G39" s="123"/>
      <c r="I39" s="208">
        <v>15</v>
      </c>
      <c r="J39" s="134">
        <v>15</v>
      </c>
      <c r="K39" s="92">
        <f t="shared" si="4"/>
        <v>0</v>
      </c>
      <c r="L39" s="92">
        <f t="shared" si="4"/>
        <v>0</v>
      </c>
      <c r="M39" s="92">
        <f t="shared" si="4"/>
        <v>100</v>
      </c>
      <c r="N39" s="125">
        <f t="shared" si="2"/>
        <v>100</v>
      </c>
      <c r="O39" s="91"/>
      <c r="P39" s="92"/>
      <c r="Q39" s="92">
        <v>40</v>
      </c>
      <c r="R39" s="93">
        <f t="shared" si="3"/>
        <v>40</v>
      </c>
      <c r="S39" s="208">
        <v>4</v>
      </c>
      <c r="T39" s="81"/>
      <c r="V39" s="82" t="s">
        <v>493</v>
      </c>
      <c r="W39" s="208" t="s">
        <v>20</v>
      </c>
      <c r="X39" s="208" t="s">
        <v>12</v>
      </c>
      <c r="Y39" s="83">
        <v>40</v>
      </c>
      <c r="AD39" s="82"/>
      <c r="AG39" s="83"/>
      <c r="AH39" s="164"/>
      <c r="AL39" s="82"/>
      <c r="AO39" s="83"/>
      <c r="AP39" s="82"/>
      <c r="AS39" s="83"/>
      <c r="AW39" s="83"/>
      <c r="BA39" s="84"/>
    </row>
    <row r="40" spans="1:53" s="208" customFormat="1" x14ac:dyDescent="0.15">
      <c r="A40" s="102">
        <v>1975</v>
      </c>
      <c r="B40" s="207"/>
      <c r="C40" s="811" t="s">
        <v>631</v>
      </c>
      <c r="D40" s="811"/>
      <c r="E40" s="208">
        <v>365</v>
      </c>
      <c r="G40" s="123"/>
      <c r="I40" s="208">
        <v>15</v>
      </c>
      <c r="J40" s="134">
        <v>15</v>
      </c>
      <c r="K40" s="92">
        <f t="shared" si="4"/>
        <v>0</v>
      </c>
      <c r="L40" s="92">
        <f t="shared" si="4"/>
        <v>0</v>
      </c>
      <c r="M40" s="92">
        <f t="shared" si="4"/>
        <v>100</v>
      </c>
      <c r="N40" s="125">
        <f t="shared" si="2"/>
        <v>100</v>
      </c>
      <c r="O40" s="91"/>
      <c r="P40" s="92"/>
      <c r="Q40" s="92">
        <v>40</v>
      </c>
      <c r="R40" s="93">
        <f t="shared" si="3"/>
        <v>40</v>
      </c>
      <c r="S40" s="208">
        <v>4</v>
      </c>
      <c r="T40" s="81"/>
      <c r="V40" s="82" t="s">
        <v>493</v>
      </c>
      <c r="W40" s="208" t="s">
        <v>20</v>
      </c>
      <c r="X40" s="208" t="s">
        <v>12</v>
      </c>
      <c r="Y40" s="83">
        <v>40</v>
      </c>
      <c r="AD40" s="82"/>
      <c r="AG40" s="83"/>
      <c r="AH40" s="164"/>
      <c r="AL40" s="82"/>
      <c r="AO40" s="83"/>
      <c r="AP40" s="82"/>
      <c r="AS40" s="83"/>
      <c r="AW40" s="83"/>
      <c r="BA40" s="84"/>
    </row>
    <row r="41" spans="1:53" s="208" customFormat="1" x14ac:dyDescent="0.15">
      <c r="A41" s="102">
        <v>1976</v>
      </c>
      <c r="B41" s="207"/>
      <c r="C41" s="811" t="s">
        <v>631</v>
      </c>
      <c r="D41" s="811"/>
      <c r="E41" s="208">
        <v>11</v>
      </c>
      <c r="G41" s="123"/>
      <c r="I41" s="208">
        <v>15</v>
      </c>
      <c r="J41" s="134">
        <v>15</v>
      </c>
      <c r="K41" s="92">
        <f t="shared" si="4"/>
        <v>0</v>
      </c>
      <c r="L41" s="92">
        <f t="shared" si="4"/>
        <v>0</v>
      </c>
      <c r="M41" s="92">
        <f t="shared" si="4"/>
        <v>100</v>
      </c>
      <c r="N41" s="125">
        <f t="shared" si="2"/>
        <v>100</v>
      </c>
      <c r="O41" s="91"/>
      <c r="P41" s="92"/>
      <c r="Q41" s="92">
        <v>40</v>
      </c>
      <c r="R41" s="93">
        <f t="shared" si="3"/>
        <v>40</v>
      </c>
      <c r="S41" s="208">
        <v>4</v>
      </c>
      <c r="T41" s="81"/>
      <c r="V41" s="82" t="s">
        <v>493</v>
      </c>
      <c r="W41" s="208" t="s">
        <v>20</v>
      </c>
      <c r="X41" s="208" t="s">
        <v>12</v>
      </c>
      <c r="Y41" s="83">
        <v>40</v>
      </c>
      <c r="AD41" s="82"/>
      <c r="AG41" s="83"/>
      <c r="AH41" s="164"/>
      <c r="AL41" s="82"/>
      <c r="AO41" s="83"/>
      <c r="AP41" s="82"/>
      <c r="AS41" s="83"/>
      <c r="AW41" s="83"/>
      <c r="BA41" s="84"/>
    </row>
    <row r="42" spans="1:53" s="334" customFormat="1" x14ac:dyDescent="0.15">
      <c r="A42" s="386">
        <v>1976</v>
      </c>
      <c r="B42" s="355">
        <v>27771</v>
      </c>
      <c r="C42" s="812" t="s">
        <v>632</v>
      </c>
      <c r="D42" s="812"/>
      <c r="E42" s="334">
        <f>366-E41</f>
        <v>355</v>
      </c>
      <c r="F42" s="334">
        <v>2</v>
      </c>
      <c r="G42" s="419"/>
      <c r="I42" s="334">
        <v>16</v>
      </c>
      <c r="J42" s="435">
        <v>16</v>
      </c>
      <c r="K42" s="384">
        <f t="shared" si="4"/>
        <v>0</v>
      </c>
      <c r="L42" s="384">
        <f t="shared" si="4"/>
        <v>0</v>
      </c>
      <c r="M42" s="384">
        <f t="shared" si="4"/>
        <v>100</v>
      </c>
      <c r="N42" s="421">
        <f t="shared" si="2"/>
        <v>100</v>
      </c>
      <c r="O42" s="383"/>
      <c r="P42" s="384"/>
      <c r="Q42" s="384">
        <v>40</v>
      </c>
      <c r="R42" s="385">
        <f t="shared" si="3"/>
        <v>40</v>
      </c>
      <c r="S42" s="334">
        <v>4</v>
      </c>
      <c r="T42" s="357"/>
      <c r="U42" s="355">
        <v>27771</v>
      </c>
      <c r="V42" s="343" t="s">
        <v>493</v>
      </c>
      <c r="W42" s="334" t="s">
        <v>20</v>
      </c>
      <c r="X42" s="334" t="s">
        <v>12</v>
      </c>
      <c r="Y42" s="344">
        <v>40</v>
      </c>
      <c r="AD42" s="343"/>
      <c r="AG42" s="344"/>
      <c r="AH42" s="452"/>
      <c r="AL42" s="343"/>
      <c r="AO42" s="344"/>
      <c r="AP42" s="343"/>
      <c r="AS42" s="344"/>
      <c r="AW42" s="344"/>
      <c r="BA42" s="345"/>
    </row>
    <row r="43" spans="1:53" s="334" customFormat="1" x14ac:dyDescent="0.15">
      <c r="A43" s="386">
        <v>1977</v>
      </c>
      <c r="B43" s="355"/>
      <c r="C43" s="812" t="s">
        <v>632</v>
      </c>
      <c r="D43" s="812"/>
      <c r="E43" s="334">
        <v>254</v>
      </c>
      <c r="G43" s="419"/>
      <c r="I43" s="334">
        <v>16</v>
      </c>
      <c r="J43" s="435">
        <v>16</v>
      </c>
      <c r="K43" s="384">
        <f t="shared" si="4"/>
        <v>0</v>
      </c>
      <c r="L43" s="384">
        <f t="shared" si="4"/>
        <v>0</v>
      </c>
      <c r="M43" s="384">
        <f t="shared" si="4"/>
        <v>100</v>
      </c>
      <c r="N43" s="421">
        <f t="shared" si="2"/>
        <v>100</v>
      </c>
      <c r="O43" s="383"/>
      <c r="P43" s="384"/>
      <c r="Q43" s="384">
        <v>40</v>
      </c>
      <c r="R43" s="385">
        <f t="shared" si="3"/>
        <v>40</v>
      </c>
      <c r="S43" s="334">
        <v>4</v>
      </c>
      <c r="T43" s="357"/>
      <c r="V43" s="343" t="s">
        <v>493</v>
      </c>
      <c r="W43" s="334" t="s">
        <v>20</v>
      </c>
      <c r="X43" s="334" t="s">
        <v>12</v>
      </c>
      <c r="Y43" s="344">
        <v>40</v>
      </c>
      <c r="AD43" s="343"/>
      <c r="AG43" s="344"/>
      <c r="AH43" s="452"/>
      <c r="AL43" s="343"/>
      <c r="AO43" s="344"/>
      <c r="AP43" s="343"/>
      <c r="AS43" s="344"/>
      <c r="AW43" s="344"/>
      <c r="BA43" s="345"/>
    </row>
    <row r="44" spans="1:53" s="208" customFormat="1" x14ac:dyDescent="0.15">
      <c r="A44" s="102">
        <v>1977</v>
      </c>
      <c r="B44" s="207">
        <v>28380</v>
      </c>
      <c r="C44" s="811" t="s">
        <v>633</v>
      </c>
      <c r="D44" s="811"/>
      <c r="E44" s="208">
        <f>365-E43</f>
        <v>111</v>
      </c>
      <c r="F44" s="208">
        <v>1</v>
      </c>
      <c r="G44" s="123"/>
      <c r="I44" s="208">
        <v>16</v>
      </c>
      <c r="J44" s="134">
        <v>16</v>
      </c>
      <c r="K44" s="92">
        <f t="shared" si="4"/>
        <v>0</v>
      </c>
      <c r="L44" s="92">
        <f t="shared" si="4"/>
        <v>0</v>
      </c>
      <c r="M44" s="92">
        <f t="shared" si="4"/>
        <v>100</v>
      </c>
      <c r="N44" s="125">
        <f t="shared" si="2"/>
        <v>100</v>
      </c>
      <c r="O44" s="91"/>
      <c r="P44" s="92"/>
      <c r="Q44" s="92">
        <v>49</v>
      </c>
      <c r="R44" s="93">
        <f t="shared" si="3"/>
        <v>49</v>
      </c>
      <c r="S44" s="208">
        <v>4</v>
      </c>
      <c r="T44" s="95">
        <v>28379</v>
      </c>
      <c r="U44" s="207">
        <v>28380</v>
      </c>
      <c r="V44" s="82" t="s">
        <v>493</v>
      </c>
      <c r="W44" s="208" t="s">
        <v>20</v>
      </c>
      <c r="X44" s="208" t="s">
        <v>12</v>
      </c>
      <c r="Y44" s="83">
        <v>49</v>
      </c>
      <c r="AD44" s="82"/>
      <c r="AG44" s="83"/>
      <c r="AH44" s="164"/>
      <c r="AL44" s="82"/>
      <c r="AO44" s="83"/>
      <c r="AP44" s="82"/>
      <c r="AS44" s="83"/>
      <c r="AW44" s="83"/>
      <c r="BA44" s="84"/>
    </row>
    <row r="45" spans="1:53" s="208" customFormat="1" x14ac:dyDescent="0.15">
      <c r="A45" s="102">
        <v>1978</v>
      </c>
      <c r="B45" s="207"/>
      <c r="C45" s="811" t="s">
        <v>633</v>
      </c>
      <c r="D45" s="811"/>
      <c r="E45" s="208">
        <v>0</v>
      </c>
      <c r="G45" s="123"/>
      <c r="I45" s="208">
        <v>16</v>
      </c>
      <c r="J45" s="134">
        <v>16</v>
      </c>
      <c r="K45" s="92">
        <f t="shared" si="4"/>
        <v>0</v>
      </c>
      <c r="L45" s="92">
        <f t="shared" si="4"/>
        <v>0</v>
      </c>
      <c r="M45" s="92">
        <f t="shared" si="4"/>
        <v>100</v>
      </c>
      <c r="N45" s="125">
        <f t="shared" si="2"/>
        <v>100</v>
      </c>
      <c r="O45" s="91"/>
      <c r="P45" s="92"/>
      <c r="Q45" s="92">
        <v>49</v>
      </c>
      <c r="R45" s="93">
        <f t="shared" si="3"/>
        <v>49</v>
      </c>
      <c r="S45" s="208">
        <v>4</v>
      </c>
      <c r="T45" s="81"/>
      <c r="V45" s="82" t="s">
        <v>493</v>
      </c>
      <c r="W45" s="208" t="s">
        <v>20</v>
      </c>
      <c r="X45" s="208" t="s">
        <v>12</v>
      </c>
      <c r="Y45" s="83">
        <v>49</v>
      </c>
      <c r="AD45" s="82"/>
      <c r="AG45" s="83"/>
      <c r="AH45" s="164"/>
      <c r="AL45" s="82"/>
      <c r="AO45" s="83"/>
      <c r="AP45" s="82"/>
      <c r="AS45" s="83"/>
      <c r="AW45" s="83"/>
      <c r="BA45" s="84"/>
    </row>
    <row r="46" spans="1:53" s="208" customFormat="1" x14ac:dyDescent="0.15">
      <c r="A46" s="102">
        <v>1978</v>
      </c>
      <c r="B46" s="207"/>
      <c r="C46" s="811" t="s">
        <v>633</v>
      </c>
      <c r="D46" s="811"/>
      <c r="E46" s="208">
        <v>365</v>
      </c>
      <c r="G46" s="123"/>
      <c r="I46" s="208">
        <v>16</v>
      </c>
      <c r="J46" s="134">
        <v>16</v>
      </c>
      <c r="K46" s="92">
        <f t="shared" si="4"/>
        <v>0</v>
      </c>
      <c r="L46" s="92">
        <f t="shared" si="4"/>
        <v>0</v>
      </c>
      <c r="M46" s="92">
        <f t="shared" si="4"/>
        <v>100</v>
      </c>
      <c r="N46" s="125">
        <f t="shared" si="2"/>
        <v>100</v>
      </c>
      <c r="O46" s="91"/>
      <c r="P46" s="92"/>
      <c r="Q46" s="92">
        <v>49</v>
      </c>
      <c r="R46" s="93">
        <f t="shared" si="3"/>
        <v>49</v>
      </c>
      <c r="S46" s="208">
        <v>4</v>
      </c>
      <c r="T46" s="81"/>
      <c r="V46" s="82" t="s">
        <v>493</v>
      </c>
      <c r="W46" s="208" t="s">
        <v>20</v>
      </c>
      <c r="X46" s="208" t="s">
        <v>12</v>
      </c>
      <c r="Y46" s="83">
        <v>49</v>
      </c>
      <c r="AD46" s="82"/>
      <c r="AG46" s="83"/>
      <c r="AH46" s="164"/>
      <c r="AL46" s="82"/>
      <c r="AO46" s="83"/>
      <c r="AP46" s="82"/>
      <c r="AS46" s="83"/>
      <c r="AW46" s="83"/>
      <c r="BA46" s="84"/>
    </row>
    <row r="47" spans="1:53" s="208" customFormat="1" x14ac:dyDescent="0.15">
      <c r="A47" s="102">
        <v>1979</v>
      </c>
      <c r="B47" s="207"/>
      <c r="C47" s="811" t="s">
        <v>633</v>
      </c>
      <c r="D47" s="811"/>
      <c r="E47" s="208">
        <v>0</v>
      </c>
      <c r="G47" s="123"/>
      <c r="I47" s="208">
        <v>16</v>
      </c>
      <c r="J47" s="134">
        <v>16</v>
      </c>
      <c r="K47" s="92">
        <f t="shared" si="4"/>
        <v>0</v>
      </c>
      <c r="L47" s="92">
        <f t="shared" si="4"/>
        <v>0</v>
      </c>
      <c r="M47" s="92">
        <f t="shared" si="4"/>
        <v>100</v>
      </c>
      <c r="N47" s="125">
        <f t="shared" si="2"/>
        <v>100</v>
      </c>
      <c r="O47" s="91"/>
      <c r="P47" s="92"/>
      <c r="Q47" s="92">
        <v>49</v>
      </c>
      <c r="R47" s="93">
        <f t="shared" si="3"/>
        <v>49</v>
      </c>
      <c r="S47" s="208">
        <v>4</v>
      </c>
      <c r="T47" s="81"/>
      <c r="V47" s="82" t="s">
        <v>493</v>
      </c>
      <c r="W47" s="208" t="s">
        <v>20</v>
      </c>
      <c r="X47" s="208" t="s">
        <v>12</v>
      </c>
      <c r="Y47" s="83">
        <v>49</v>
      </c>
      <c r="AD47" s="82"/>
      <c r="AG47" s="83"/>
      <c r="AH47" s="164"/>
      <c r="AL47" s="82"/>
      <c r="AO47" s="83"/>
      <c r="AP47" s="82"/>
      <c r="AS47" s="83"/>
      <c r="AW47" s="83"/>
      <c r="BA47" s="84"/>
    </row>
    <row r="48" spans="1:53" s="208" customFormat="1" x14ac:dyDescent="0.15">
      <c r="A48" s="102">
        <v>1979</v>
      </c>
      <c r="B48" s="207"/>
      <c r="C48" s="811" t="s">
        <v>633</v>
      </c>
      <c r="D48" s="811"/>
      <c r="E48" s="208">
        <v>365</v>
      </c>
      <c r="G48" s="123"/>
      <c r="I48" s="208">
        <v>16</v>
      </c>
      <c r="J48" s="134">
        <v>16</v>
      </c>
      <c r="K48" s="92">
        <f t="shared" si="4"/>
        <v>0</v>
      </c>
      <c r="L48" s="92">
        <f t="shared" si="4"/>
        <v>0</v>
      </c>
      <c r="M48" s="92">
        <f t="shared" si="4"/>
        <v>100</v>
      </c>
      <c r="N48" s="125">
        <f t="shared" si="2"/>
        <v>100</v>
      </c>
      <c r="O48" s="91"/>
      <c r="P48" s="92"/>
      <c r="Q48" s="92">
        <v>49</v>
      </c>
      <c r="R48" s="93">
        <f t="shared" si="3"/>
        <v>49</v>
      </c>
      <c r="S48" s="208">
        <v>4</v>
      </c>
      <c r="T48" s="81"/>
      <c r="V48" s="82" t="s">
        <v>493</v>
      </c>
      <c r="W48" s="208" t="s">
        <v>20</v>
      </c>
      <c r="X48" s="208" t="s">
        <v>12</v>
      </c>
      <c r="Y48" s="83">
        <v>49</v>
      </c>
      <c r="AD48" s="82"/>
      <c r="AG48" s="83"/>
      <c r="AH48" s="164"/>
      <c r="AL48" s="82"/>
      <c r="AO48" s="83"/>
      <c r="AP48" s="82"/>
      <c r="AS48" s="83"/>
      <c r="AW48" s="83"/>
      <c r="BA48" s="84"/>
    </row>
    <row r="49" spans="1:53" s="208" customFormat="1" x14ac:dyDescent="0.15">
      <c r="A49" s="102">
        <v>1980</v>
      </c>
      <c r="B49" s="207"/>
      <c r="C49" s="811" t="s">
        <v>633</v>
      </c>
      <c r="D49" s="811"/>
      <c r="E49" s="208">
        <v>0</v>
      </c>
      <c r="G49" s="123"/>
      <c r="I49" s="208">
        <v>16</v>
      </c>
      <c r="J49" s="134">
        <v>16</v>
      </c>
      <c r="K49" s="92">
        <f t="shared" si="4"/>
        <v>0</v>
      </c>
      <c r="L49" s="92">
        <f t="shared" si="4"/>
        <v>0</v>
      </c>
      <c r="M49" s="92">
        <f t="shared" si="4"/>
        <v>100</v>
      </c>
      <c r="N49" s="125">
        <f t="shared" si="2"/>
        <v>100</v>
      </c>
      <c r="O49" s="91"/>
      <c r="P49" s="92"/>
      <c r="Q49" s="92">
        <v>49</v>
      </c>
      <c r="R49" s="93">
        <f t="shared" si="3"/>
        <v>49</v>
      </c>
      <c r="S49" s="208">
        <v>4</v>
      </c>
      <c r="T49" s="81"/>
      <c r="V49" s="82" t="s">
        <v>493</v>
      </c>
      <c r="W49" s="208" t="s">
        <v>20</v>
      </c>
      <c r="X49" s="208" t="s">
        <v>12</v>
      </c>
      <c r="Y49" s="83">
        <v>49</v>
      </c>
      <c r="AD49" s="82"/>
      <c r="AG49" s="83"/>
      <c r="AH49" s="164"/>
      <c r="AL49" s="82"/>
      <c r="AO49" s="83"/>
      <c r="AP49" s="82"/>
      <c r="AS49" s="83"/>
      <c r="AW49" s="83"/>
      <c r="BA49" s="84"/>
    </row>
    <row r="50" spans="1:53" s="208" customFormat="1" x14ac:dyDescent="0.15">
      <c r="A50" s="102">
        <v>1980</v>
      </c>
      <c r="B50" s="207"/>
      <c r="C50" s="811" t="s">
        <v>633</v>
      </c>
      <c r="D50" s="811"/>
      <c r="E50" s="208">
        <v>366</v>
      </c>
      <c r="G50" s="123"/>
      <c r="I50" s="208">
        <v>16</v>
      </c>
      <c r="J50" s="134">
        <v>16</v>
      </c>
      <c r="K50" s="92">
        <f t="shared" si="4"/>
        <v>0</v>
      </c>
      <c r="L50" s="92">
        <f t="shared" si="4"/>
        <v>0</v>
      </c>
      <c r="M50" s="92">
        <f t="shared" si="4"/>
        <v>100</v>
      </c>
      <c r="N50" s="125">
        <f t="shared" si="2"/>
        <v>100</v>
      </c>
      <c r="O50" s="91"/>
      <c r="P50" s="92"/>
      <c r="Q50" s="92">
        <v>49</v>
      </c>
      <c r="R50" s="93">
        <f t="shared" si="3"/>
        <v>49</v>
      </c>
      <c r="S50" s="208">
        <v>4</v>
      </c>
      <c r="T50" s="81"/>
      <c r="V50" s="82" t="s">
        <v>493</v>
      </c>
      <c r="W50" s="208" t="s">
        <v>20</v>
      </c>
      <c r="X50" s="208" t="s">
        <v>12</v>
      </c>
      <c r="Y50" s="83">
        <v>49</v>
      </c>
      <c r="AD50" s="82"/>
      <c r="AG50" s="83"/>
      <c r="AH50" s="164"/>
      <c r="AL50" s="82"/>
      <c r="AO50" s="83"/>
      <c r="AP50" s="82"/>
      <c r="AS50" s="83"/>
      <c r="AW50" s="83"/>
      <c r="BA50" s="84"/>
    </row>
    <row r="51" spans="1:53" s="208" customFormat="1" x14ac:dyDescent="0.15">
      <c r="A51" s="102">
        <v>1981</v>
      </c>
      <c r="B51" s="207"/>
      <c r="C51" s="811" t="s">
        <v>633</v>
      </c>
      <c r="D51" s="811"/>
      <c r="E51" s="208">
        <v>34</v>
      </c>
      <c r="G51" s="123"/>
      <c r="I51" s="208">
        <v>16</v>
      </c>
      <c r="J51" s="134">
        <v>16</v>
      </c>
      <c r="K51" s="92">
        <f t="shared" si="4"/>
        <v>0</v>
      </c>
      <c r="L51" s="92">
        <f t="shared" si="4"/>
        <v>0</v>
      </c>
      <c r="M51" s="92">
        <f t="shared" si="4"/>
        <v>100</v>
      </c>
      <c r="N51" s="125">
        <f t="shared" si="2"/>
        <v>100</v>
      </c>
      <c r="O51" s="91"/>
      <c r="P51" s="92"/>
      <c r="Q51" s="92">
        <v>49</v>
      </c>
      <c r="R51" s="93">
        <f t="shared" si="3"/>
        <v>49</v>
      </c>
      <c r="S51" s="208">
        <v>4</v>
      </c>
      <c r="T51" s="81"/>
      <c r="V51" s="82" t="s">
        <v>493</v>
      </c>
      <c r="W51" s="208" t="s">
        <v>20</v>
      </c>
      <c r="X51" s="208" t="s">
        <v>12</v>
      </c>
      <c r="Y51" s="83">
        <v>49</v>
      </c>
      <c r="AD51" s="82"/>
      <c r="AG51" s="83"/>
      <c r="AH51" s="164"/>
      <c r="AL51" s="82"/>
      <c r="AO51" s="83"/>
      <c r="AP51" s="82"/>
      <c r="AS51" s="83"/>
      <c r="AW51" s="83"/>
      <c r="BA51" s="84"/>
    </row>
    <row r="52" spans="1:53" s="334" customFormat="1" x14ac:dyDescent="0.15">
      <c r="A52" s="386">
        <v>1981</v>
      </c>
      <c r="B52" s="355">
        <v>29621</v>
      </c>
      <c r="C52" s="812" t="s">
        <v>634</v>
      </c>
      <c r="D52" s="812"/>
      <c r="E52" s="334">
        <v>252</v>
      </c>
      <c r="F52" s="334">
        <v>3</v>
      </c>
      <c r="G52" s="419"/>
      <c r="I52" s="334">
        <v>17</v>
      </c>
      <c r="J52" s="435">
        <v>17</v>
      </c>
      <c r="K52" s="384">
        <f t="shared" si="4"/>
        <v>0</v>
      </c>
      <c r="L52" s="384">
        <f t="shared" si="4"/>
        <v>0</v>
      </c>
      <c r="M52" s="384">
        <f t="shared" si="4"/>
        <v>100</v>
      </c>
      <c r="N52" s="421">
        <f t="shared" si="2"/>
        <v>100</v>
      </c>
      <c r="O52" s="383"/>
      <c r="P52" s="384"/>
      <c r="Q52" s="384">
        <v>49</v>
      </c>
      <c r="R52" s="385">
        <f t="shared" si="3"/>
        <v>49</v>
      </c>
      <c r="S52" s="334">
        <v>4</v>
      </c>
      <c r="T52" s="357"/>
      <c r="U52" s="355">
        <v>29621</v>
      </c>
      <c r="V52" s="343" t="s">
        <v>493</v>
      </c>
      <c r="W52" s="334" t="s">
        <v>20</v>
      </c>
      <c r="X52" s="334" t="s">
        <v>12</v>
      </c>
      <c r="Y52" s="344">
        <v>49</v>
      </c>
      <c r="AD52" s="343"/>
      <c r="AG52" s="344"/>
      <c r="AH52" s="452"/>
      <c r="AL52" s="343"/>
      <c r="AO52" s="344"/>
      <c r="AP52" s="343"/>
      <c r="AS52" s="344"/>
      <c r="AW52" s="344"/>
      <c r="BA52" s="345"/>
    </row>
    <row r="53" spans="1:53" s="208" customFormat="1" x14ac:dyDescent="0.15">
      <c r="A53" s="102">
        <v>1981</v>
      </c>
      <c r="B53" s="207">
        <v>29873</v>
      </c>
      <c r="C53" s="811" t="s">
        <v>635</v>
      </c>
      <c r="D53" s="811"/>
      <c r="E53" s="208">
        <f>365-E52-E51</f>
        <v>79</v>
      </c>
      <c r="F53" s="208">
        <v>1</v>
      </c>
      <c r="G53" s="123">
        <v>17</v>
      </c>
      <c r="J53" s="134">
        <v>17</v>
      </c>
      <c r="K53" s="92">
        <f t="shared" si="4"/>
        <v>100</v>
      </c>
      <c r="L53" s="92">
        <f t="shared" si="4"/>
        <v>0</v>
      </c>
      <c r="M53" s="92">
        <f t="shared" si="4"/>
        <v>0</v>
      </c>
      <c r="N53" s="125">
        <f t="shared" si="2"/>
        <v>100</v>
      </c>
      <c r="O53" s="91">
        <v>34.799999999999997</v>
      </c>
      <c r="P53" s="92"/>
      <c r="Q53" s="92"/>
      <c r="R53" s="93">
        <f t="shared" si="3"/>
        <v>34.799999999999997</v>
      </c>
      <c r="S53" s="208">
        <v>4</v>
      </c>
      <c r="T53" s="95">
        <v>29843</v>
      </c>
      <c r="U53" s="207">
        <v>29873</v>
      </c>
      <c r="V53" s="82" t="s">
        <v>494</v>
      </c>
      <c r="W53" s="208" t="s">
        <v>74</v>
      </c>
      <c r="X53" s="208" t="s">
        <v>11</v>
      </c>
      <c r="Y53" s="83">
        <v>34.799999999999997</v>
      </c>
      <c r="AD53" s="82"/>
      <c r="AG53" s="83"/>
      <c r="AH53" s="164"/>
      <c r="AL53" s="82"/>
      <c r="AO53" s="83"/>
      <c r="AP53" s="82"/>
      <c r="AS53" s="83"/>
      <c r="AW53" s="83"/>
      <c r="BA53" s="84"/>
    </row>
    <row r="54" spans="1:53" s="208" customFormat="1" x14ac:dyDescent="0.15">
      <c r="A54" s="102">
        <v>1982</v>
      </c>
      <c r="B54" s="207"/>
      <c r="C54" s="811" t="s">
        <v>635</v>
      </c>
      <c r="D54" s="811"/>
      <c r="E54" s="208">
        <v>0</v>
      </c>
      <c r="G54" s="123">
        <v>17</v>
      </c>
      <c r="J54" s="134">
        <v>17</v>
      </c>
      <c r="K54" s="92">
        <f t="shared" si="4"/>
        <v>100</v>
      </c>
      <c r="L54" s="92">
        <f t="shared" si="4"/>
        <v>0</v>
      </c>
      <c r="M54" s="92">
        <f t="shared" si="4"/>
        <v>0</v>
      </c>
      <c r="N54" s="125">
        <f t="shared" si="2"/>
        <v>100</v>
      </c>
      <c r="O54" s="91">
        <v>34.799999999999997</v>
      </c>
      <c r="P54" s="92"/>
      <c r="Q54" s="92"/>
      <c r="R54" s="93">
        <f t="shared" si="3"/>
        <v>34.799999999999997</v>
      </c>
      <c r="S54" s="208">
        <v>4</v>
      </c>
      <c r="T54" s="81"/>
      <c r="V54" s="82" t="s">
        <v>494</v>
      </c>
      <c r="W54" s="208" t="s">
        <v>74</v>
      </c>
      <c r="X54" s="208" t="s">
        <v>11</v>
      </c>
      <c r="Y54" s="83">
        <v>34.799999999999997</v>
      </c>
      <c r="AD54" s="82"/>
      <c r="AG54" s="83"/>
      <c r="AH54" s="164"/>
      <c r="AL54" s="82"/>
      <c r="AO54" s="83"/>
      <c r="AP54" s="82"/>
      <c r="AS54" s="83"/>
      <c r="AW54" s="83"/>
      <c r="BA54" s="84"/>
    </row>
    <row r="55" spans="1:53" s="208" customFormat="1" x14ac:dyDescent="0.15">
      <c r="A55" s="102">
        <v>1982</v>
      </c>
      <c r="B55" s="207"/>
      <c r="C55" s="811" t="s">
        <v>635</v>
      </c>
      <c r="D55" s="811"/>
      <c r="E55" s="208">
        <v>365</v>
      </c>
      <c r="G55" s="123">
        <v>17</v>
      </c>
      <c r="J55" s="134">
        <v>17</v>
      </c>
      <c r="K55" s="92">
        <f t="shared" si="4"/>
        <v>100</v>
      </c>
      <c r="L55" s="92">
        <f t="shared" si="4"/>
        <v>0</v>
      </c>
      <c r="M55" s="92">
        <f t="shared" si="4"/>
        <v>0</v>
      </c>
      <c r="N55" s="125">
        <f t="shared" si="2"/>
        <v>100</v>
      </c>
      <c r="O55" s="91">
        <v>34.799999999999997</v>
      </c>
      <c r="P55" s="92"/>
      <c r="Q55" s="92"/>
      <c r="R55" s="93">
        <f t="shared" si="3"/>
        <v>34.799999999999997</v>
      </c>
      <c r="S55" s="208">
        <v>4</v>
      </c>
      <c r="T55" s="81"/>
      <c r="V55" s="82" t="s">
        <v>494</v>
      </c>
      <c r="W55" s="208" t="s">
        <v>74</v>
      </c>
      <c r="X55" s="208" t="s">
        <v>11</v>
      </c>
      <c r="Y55" s="83">
        <v>34.799999999999997</v>
      </c>
      <c r="AD55" s="82"/>
      <c r="AG55" s="83"/>
      <c r="AH55" s="164"/>
      <c r="AL55" s="82"/>
      <c r="AO55" s="83"/>
      <c r="AP55" s="82"/>
      <c r="AS55" s="83"/>
      <c r="AW55" s="83"/>
      <c r="BA55" s="84"/>
    </row>
    <row r="56" spans="1:53" s="208" customFormat="1" x14ac:dyDescent="0.15">
      <c r="A56" s="102">
        <v>1983</v>
      </c>
      <c r="B56" s="207"/>
      <c r="C56" s="811" t="s">
        <v>635</v>
      </c>
      <c r="D56" s="811"/>
      <c r="E56" s="208">
        <v>158</v>
      </c>
      <c r="G56" s="123">
        <v>17</v>
      </c>
      <c r="J56" s="134">
        <v>17</v>
      </c>
      <c r="K56" s="92">
        <f t="shared" si="4"/>
        <v>100</v>
      </c>
      <c r="L56" s="92">
        <f t="shared" si="4"/>
        <v>0</v>
      </c>
      <c r="M56" s="92">
        <f t="shared" si="4"/>
        <v>0</v>
      </c>
      <c r="N56" s="125">
        <f t="shared" si="2"/>
        <v>100</v>
      </c>
      <c r="O56" s="91">
        <v>34.799999999999997</v>
      </c>
      <c r="P56" s="92"/>
      <c r="Q56" s="92"/>
      <c r="R56" s="93">
        <f t="shared" si="3"/>
        <v>34.799999999999997</v>
      </c>
      <c r="S56" s="208">
        <v>4</v>
      </c>
      <c r="T56" s="81"/>
      <c r="V56" s="82" t="s">
        <v>494</v>
      </c>
      <c r="W56" s="208" t="s">
        <v>74</v>
      </c>
      <c r="X56" s="208" t="s">
        <v>11</v>
      </c>
      <c r="Y56" s="83">
        <v>34.799999999999997</v>
      </c>
      <c r="AD56" s="82"/>
      <c r="AG56" s="83"/>
      <c r="AH56" s="164"/>
      <c r="AL56" s="82"/>
      <c r="AO56" s="83"/>
      <c r="AP56" s="82"/>
      <c r="AS56" s="83"/>
      <c r="AW56" s="83"/>
      <c r="BA56" s="84"/>
    </row>
    <row r="57" spans="1:53" s="334" customFormat="1" x14ac:dyDescent="0.15">
      <c r="A57" s="386">
        <v>1983</v>
      </c>
      <c r="B57" s="355">
        <v>30475</v>
      </c>
      <c r="C57" s="812" t="s">
        <v>636</v>
      </c>
      <c r="D57" s="812"/>
      <c r="E57" s="334">
        <f>365-E56</f>
        <v>207</v>
      </c>
      <c r="F57" s="334">
        <v>2</v>
      </c>
      <c r="G57" s="419">
        <v>12</v>
      </c>
      <c r="H57" s="334">
        <v>6</v>
      </c>
      <c r="J57" s="435">
        <v>18</v>
      </c>
      <c r="K57" s="384">
        <f t="shared" si="4"/>
        <v>66.666666666666657</v>
      </c>
      <c r="L57" s="384">
        <f t="shared" si="4"/>
        <v>33.333333333333329</v>
      </c>
      <c r="M57" s="384">
        <f t="shared" si="4"/>
        <v>0</v>
      </c>
      <c r="N57" s="421">
        <f t="shared" si="2"/>
        <v>99.999999999999986</v>
      </c>
      <c r="O57" s="383">
        <v>34.799999999999997</v>
      </c>
      <c r="P57" s="384">
        <v>16.799999999999997</v>
      </c>
      <c r="Q57" s="384"/>
      <c r="R57" s="385">
        <f t="shared" si="3"/>
        <v>51.599999999999994</v>
      </c>
      <c r="S57" s="334">
        <v>2</v>
      </c>
      <c r="T57" s="357"/>
      <c r="U57" s="355">
        <v>30475</v>
      </c>
      <c r="V57" s="343" t="s">
        <v>494</v>
      </c>
      <c r="W57" s="334" t="s">
        <v>74</v>
      </c>
      <c r="X57" s="334" t="s">
        <v>11</v>
      </c>
      <c r="Y57" s="344">
        <v>34.799999999999997</v>
      </c>
      <c r="Z57" s="343" t="s">
        <v>84</v>
      </c>
      <c r="AA57" s="334" t="s">
        <v>75</v>
      </c>
      <c r="AB57" s="334" t="s">
        <v>18</v>
      </c>
      <c r="AC57" s="334">
        <v>7.1</v>
      </c>
      <c r="AD57" s="343" t="s">
        <v>274</v>
      </c>
      <c r="AE57" s="334" t="s">
        <v>17</v>
      </c>
      <c r="AF57" s="334" t="s">
        <v>18</v>
      </c>
      <c r="AG57" s="344">
        <v>9.6999999999999993</v>
      </c>
      <c r="AH57" s="452"/>
      <c r="AL57" s="343"/>
      <c r="AO57" s="344"/>
      <c r="AP57" s="343"/>
      <c r="AS57" s="344"/>
      <c r="AW57" s="344"/>
      <c r="BA57" s="345"/>
    </row>
    <row r="58" spans="1:53" s="334" customFormat="1" x14ac:dyDescent="0.15">
      <c r="A58" s="386">
        <v>1984</v>
      </c>
      <c r="B58" s="355"/>
      <c r="C58" s="812" t="s">
        <v>636</v>
      </c>
      <c r="D58" s="812"/>
      <c r="E58" s="334">
        <v>0</v>
      </c>
      <c r="G58" s="419">
        <v>12</v>
      </c>
      <c r="H58" s="334">
        <v>6</v>
      </c>
      <c r="J58" s="435">
        <v>18</v>
      </c>
      <c r="K58" s="384">
        <f t="shared" si="4"/>
        <v>66.666666666666657</v>
      </c>
      <c r="L58" s="384">
        <f t="shared" si="4"/>
        <v>33.333333333333329</v>
      </c>
      <c r="M58" s="384">
        <f t="shared" si="4"/>
        <v>0</v>
      </c>
      <c r="N58" s="421">
        <f t="shared" si="2"/>
        <v>99.999999999999986</v>
      </c>
      <c r="O58" s="383">
        <v>34.799999999999997</v>
      </c>
      <c r="P58" s="384">
        <v>16.799999999999997</v>
      </c>
      <c r="Q58" s="384"/>
      <c r="R58" s="385">
        <f t="shared" si="3"/>
        <v>51.599999999999994</v>
      </c>
      <c r="S58" s="334">
        <v>2</v>
      </c>
      <c r="T58" s="357"/>
      <c r="V58" s="343" t="s">
        <v>494</v>
      </c>
      <c r="W58" s="334" t="s">
        <v>74</v>
      </c>
      <c r="X58" s="334" t="s">
        <v>11</v>
      </c>
      <c r="Y58" s="344">
        <v>34.799999999999997</v>
      </c>
      <c r="Z58" s="343" t="s">
        <v>84</v>
      </c>
      <c r="AA58" s="334" t="s">
        <v>75</v>
      </c>
      <c r="AB58" s="334" t="s">
        <v>18</v>
      </c>
      <c r="AC58" s="334">
        <v>7.1</v>
      </c>
      <c r="AD58" s="343" t="s">
        <v>274</v>
      </c>
      <c r="AE58" s="334" t="s">
        <v>17</v>
      </c>
      <c r="AF58" s="334" t="s">
        <v>18</v>
      </c>
      <c r="AG58" s="344">
        <v>9.6999999999999993</v>
      </c>
      <c r="AH58" s="452"/>
      <c r="AL58" s="343"/>
      <c r="AO58" s="344"/>
      <c r="AP58" s="343"/>
      <c r="AS58" s="344"/>
      <c r="AW58" s="344"/>
      <c r="BA58" s="345"/>
    </row>
    <row r="59" spans="1:53" s="334" customFormat="1" x14ac:dyDescent="0.15">
      <c r="A59" s="386">
        <v>1984</v>
      </c>
      <c r="B59" s="355"/>
      <c r="C59" s="812" t="s">
        <v>636</v>
      </c>
      <c r="D59" s="812"/>
      <c r="E59" s="334">
        <v>366</v>
      </c>
      <c r="G59" s="419">
        <v>12</v>
      </c>
      <c r="H59" s="334">
        <v>6</v>
      </c>
      <c r="J59" s="435">
        <v>18</v>
      </c>
      <c r="K59" s="384">
        <f t="shared" si="4"/>
        <v>66.666666666666657</v>
      </c>
      <c r="L59" s="384">
        <f t="shared" si="4"/>
        <v>33.333333333333329</v>
      </c>
      <c r="M59" s="384">
        <f t="shared" si="4"/>
        <v>0</v>
      </c>
      <c r="N59" s="421">
        <f t="shared" si="2"/>
        <v>99.999999999999986</v>
      </c>
      <c r="O59" s="383">
        <v>34.799999999999997</v>
      </c>
      <c r="P59" s="384">
        <v>16.799999999999997</v>
      </c>
      <c r="Q59" s="384"/>
      <c r="R59" s="385">
        <f t="shared" si="3"/>
        <v>51.599999999999994</v>
      </c>
      <c r="S59" s="334">
        <v>2</v>
      </c>
      <c r="T59" s="357"/>
      <c r="V59" s="343" t="s">
        <v>494</v>
      </c>
      <c r="W59" s="334" t="s">
        <v>74</v>
      </c>
      <c r="X59" s="334" t="s">
        <v>11</v>
      </c>
      <c r="Y59" s="344">
        <v>34.799999999999997</v>
      </c>
      <c r="Z59" s="343" t="s">
        <v>84</v>
      </c>
      <c r="AA59" s="334" t="s">
        <v>75</v>
      </c>
      <c r="AB59" s="334" t="s">
        <v>18</v>
      </c>
      <c r="AC59" s="334">
        <v>7.1</v>
      </c>
      <c r="AD59" s="343" t="s">
        <v>274</v>
      </c>
      <c r="AE59" s="334" t="s">
        <v>17</v>
      </c>
      <c r="AF59" s="334" t="s">
        <v>18</v>
      </c>
      <c r="AG59" s="344">
        <v>9.6999999999999993</v>
      </c>
      <c r="AH59" s="452"/>
      <c r="AL59" s="343"/>
      <c r="AO59" s="344"/>
      <c r="AP59" s="343"/>
      <c r="AS59" s="344"/>
      <c r="AW59" s="344"/>
      <c r="BA59" s="345"/>
    </row>
    <row r="60" spans="1:53" s="334" customFormat="1" ht="8.25" customHeight="1" x14ac:dyDescent="0.15">
      <c r="A60" s="386">
        <v>1985</v>
      </c>
      <c r="B60" s="355"/>
      <c r="C60" s="812" t="s">
        <v>636</v>
      </c>
      <c r="D60" s="812"/>
      <c r="E60" s="334">
        <v>329</v>
      </c>
      <c r="G60" s="419">
        <v>12</v>
      </c>
      <c r="H60" s="334">
        <v>6</v>
      </c>
      <c r="J60" s="435">
        <v>18</v>
      </c>
      <c r="K60" s="384">
        <f t="shared" si="4"/>
        <v>66.666666666666657</v>
      </c>
      <c r="L60" s="384">
        <f t="shared" si="4"/>
        <v>33.333333333333329</v>
      </c>
      <c r="M60" s="384">
        <f t="shared" si="4"/>
        <v>0</v>
      </c>
      <c r="N60" s="421">
        <f t="shared" si="2"/>
        <v>99.999999999999986</v>
      </c>
      <c r="O60" s="383">
        <v>34.799999999999997</v>
      </c>
      <c r="P60" s="384">
        <v>16.799999999999997</v>
      </c>
      <c r="Q60" s="384"/>
      <c r="R60" s="385">
        <f t="shared" si="3"/>
        <v>51.599999999999994</v>
      </c>
      <c r="S60" s="334">
        <v>2</v>
      </c>
      <c r="T60" s="357"/>
      <c r="V60" s="343" t="s">
        <v>494</v>
      </c>
      <c r="W60" s="334" t="s">
        <v>74</v>
      </c>
      <c r="X60" s="334" t="s">
        <v>11</v>
      </c>
      <c r="Y60" s="344">
        <v>34.799999999999997</v>
      </c>
      <c r="Z60" s="343" t="s">
        <v>84</v>
      </c>
      <c r="AA60" s="334" t="s">
        <v>75</v>
      </c>
      <c r="AB60" s="334" t="s">
        <v>18</v>
      </c>
      <c r="AC60" s="334">
        <v>7.1</v>
      </c>
      <c r="AD60" s="343" t="s">
        <v>274</v>
      </c>
      <c r="AE60" s="334" t="s">
        <v>17</v>
      </c>
      <c r="AF60" s="334" t="s">
        <v>18</v>
      </c>
      <c r="AG60" s="344">
        <v>9.6999999999999993</v>
      </c>
      <c r="AH60" s="452"/>
      <c r="AL60" s="343"/>
      <c r="AO60" s="344"/>
      <c r="AP60" s="343"/>
      <c r="AS60" s="344"/>
      <c r="AW60" s="344"/>
      <c r="BA60" s="345"/>
    </row>
    <row r="61" spans="1:53" s="208" customFormat="1" x14ac:dyDescent="0.15">
      <c r="A61" s="102">
        <v>1985</v>
      </c>
      <c r="B61" s="207">
        <v>31377</v>
      </c>
      <c r="C61" s="811" t="s">
        <v>637</v>
      </c>
      <c r="D61" s="811"/>
      <c r="E61" s="208">
        <f>365-E60</f>
        <v>36</v>
      </c>
      <c r="F61" s="208">
        <v>1</v>
      </c>
      <c r="G61" s="123">
        <v>11</v>
      </c>
      <c r="H61" s="208">
        <v>7</v>
      </c>
      <c r="J61" s="134">
        <v>18</v>
      </c>
      <c r="K61" s="92">
        <f t="shared" si="4"/>
        <v>61.111111111111114</v>
      </c>
      <c r="L61" s="92">
        <f t="shared" si="4"/>
        <v>38.888888888888893</v>
      </c>
      <c r="M61" s="92">
        <f t="shared" si="4"/>
        <v>0</v>
      </c>
      <c r="N61" s="125">
        <f t="shared" si="2"/>
        <v>100</v>
      </c>
      <c r="O61" s="91">
        <v>31.8</v>
      </c>
      <c r="P61" s="92">
        <v>17.799999999999997</v>
      </c>
      <c r="Q61" s="92"/>
      <c r="R61" s="93">
        <f t="shared" si="3"/>
        <v>49.599999999999994</v>
      </c>
      <c r="S61" s="208">
        <v>5</v>
      </c>
      <c r="T61" s="95">
        <v>31298</v>
      </c>
      <c r="U61" s="207">
        <v>31377</v>
      </c>
      <c r="V61" s="82" t="s">
        <v>494</v>
      </c>
      <c r="W61" s="208" t="s">
        <v>74</v>
      </c>
      <c r="X61" s="208" t="s">
        <v>11</v>
      </c>
      <c r="Y61" s="83">
        <v>31.8</v>
      </c>
      <c r="Z61" s="82" t="s">
        <v>84</v>
      </c>
      <c r="AA61" s="208" t="s">
        <v>75</v>
      </c>
      <c r="AB61" s="208" t="s">
        <v>18</v>
      </c>
      <c r="AC61" s="208">
        <v>7.6</v>
      </c>
      <c r="AD61" s="82" t="s">
        <v>274</v>
      </c>
      <c r="AE61" s="208" t="s">
        <v>17</v>
      </c>
      <c r="AF61" s="208" t="s">
        <v>18</v>
      </c>
      <c r="AG61" s="83">
        <v>10.199999999999999</v>
      </c>
      <c r="AH61" s="164"/>
      <c r="AL61" s="82"/>
      <c r="AO61" s="83"/>
      <c r="AP61" s="82"/>
      <c r="AS61" s="83"/>
      <c r="AW61" s="83"/>
      <c r="BA61" s="84"/>
    </row>
    <row r="62" spans="1:53" s="208" customFormat="1" x14ac:dyDescent="0.15">
      <c r="A62" s="102">
        <v>1986</v>
      </c>
      <c r="B62" s="207"/>
      <c r="C62" s="811" t="s">
        <v>637</v>
      </c>
      <c r="D62" s="811"/>
      <c r="E62" s="208">
        <v>128</v>
      </c>
      <c r="G62" s="123">
        <v>11</v>
      </c>
      <c r="H62" s="208">
        <v>7</v>
      </c>
      <c r="J62" s="134">
        <v>18</v>
      </c>
      <c r="K62" s="92">
        <f t="shared" si="4"/>
        <v>61.111111111111114</v>
      </c>
      <c r="L62" s="92">
        <f t="shared" si="4"/>
        <v>38.888888888888893</v>
      </c>
      <c r="M62" s="92">
        <f t="shared" si="4"/>
        <v>0</v>
      </c>
      <c r="N62" s="125">
        <f t="shared" si="2"/>
        <v>100</v>
      </c>
      <c r="O62" s="91">
        <v>31.8</v>
      </c>
      <c r="P62" s="92">
        <v>17.799999999999997</v>
      </c>
      <c r="Q62" s="92"/>
      <c r="R62" s="93">
        <f t="shared" si="3"/>
        <v>49.599999999999994</v>
      </c>
      <c r="S62" s="208">
        <v>5</v>
      </c>
      <c r="T62" s="81"/>
      <c r="V62" s="82" t="s">
        <v>494</v>
      </c>
      <c r="W62" s="208" t="s">
        <v>74</v>
      </c>
      <c r="X62" s="208" t="s">
        <v>11</v>
      </c>
      <c r="Y62" s="83">
        <v>31.8</v>
      </c>
      <c r="Z62" s="82" t="s">
        <v>84</v>
      </c>
      <c r="AA62" s="208" t="s">
        <v>75</v>
      </c>
      <c r="AB62" s="208" t="s">
        <v>18</v>
      </c>
      <c r="AC62" s="208">
        <v>7.6</v>
      </c>
      <c r="AD62" s="82" t="s">
        <v>274</v>
      </c>
      <c r="AE62" s="208" t="s">
        <v>17</v>
      </c>
      <c r="AF62" s="208" t="s">
        <v>18</v>
      </c>
      <c r="AG62" s="83">
        <v>10.199999999999999</v>
      </c>
      <c r="AH62" s="164"/>
      <c r="AL62" s="82"/>
      <c r="AO62" s="83"/>
      <c r="AP62" s="82"/>
      <c r="AS62" s="83"/>
      <c r="AW62" s="83"/>
      <c r="BA62" s="84"/>
    </row>
    <row r="63" spans="1:53" s="334" customFormat="1" x14ac:dyDescent="0.15">
      <c r="A63" s="386">
        <v>1986</v>
      </c>
      <c r="B63" s="355">
        <v>31541</v>
      </c>
      <c r="C63" s="812" t="s">
        <v>638</v>
      </c>
      <c r="D63" s="812"/>
      <c r="E63" s="334">
        <f>365-E62</f>
        <v>237</v>
      </c>
      <c r="F63" s="334">
        <v>1</v>
      </c>
      <c r="G63" s="419"/>
      <c r="I63" s="334">
        <v>18</v>
      </c>
      <c r="J63" s="435">
        <v>18</v>
      </c>
      <c r="K63" s="384">
        <f t="shared" si="4"/>
        <v>0</v>
      </c>
      <c r="L63" s="384">
        <f t="shared" si="4"/>
        <v>0</v>
      </c>
      <c r="M63" s="384">
        <f t="shared" si="4"/>
        <v>100</v>
      </c>
      <c r="N63" s="421">
        <f>K63+L63+M63</f>
        <v>100</v>
      </c>
      <c r="O63" s="383"/>
      <c r="P63" s="384"/>
      <c r="Q63" s="384">
        <v>45.2</v>
      </c>
      <c r="R63" s="385">
        <f t="shared" si="3"/>
        <v>45.2</v>
      </c>
      <c r="S63" s="334">
        <v>4</v>
      </c>
      <c r="T63" s="357"/>
      <c r="U63" s="355">
        <v>31541</v>
      </c>
      <c r="V63" s="343" t="s">
        <v>493</v>
      </c>
      <c r="W63" s="334" t="s">
        <v>20</v>
      </c>
      <c r="X63" s="334" t="s">
        <v>12</v>
      </c>
      <c r="Y63" s="344">
        <v>45.2</v>
      </c>
      <c r="AD63" s="343"/>
      <c r="AG63" s="344"/>
      <c r="AH63" s="452"/>
      <c r="AL63" s="343"/>
      <c r="AO63" s="344"/>
      <c r="AP63" s="343"/>
      <c r="AS63" s="344"/>
      <c r="AW63" s="344"/>
      <c r="BA63" s="345"/>
    </row>
    <row r="64" spans="1:53" s="334" customFormat="1" x14ac:dyDescent="0.15">
      <c r="A64" s="386">
        <v>1987</v>
      </c>
      <c r="B64" s="355"/>
      <c r="C64" s="812" t="s">
        <v>638</v>
      </c>
      <c r="D64" s="812"/>
      <c r="E64" s="334">
        <v>0</v>
      </c>
      <c r="G64" s="419"/>
      <c r="I64" s="334">
        <v>18</v>
      </c>
      <c r="J64" s="435">
        <v>18</v>
      </c>
      <c r="K64" s="384">
        <f t="shared" si="4"/>
        <v>0</v>
      </c>
      <c r="L64" s="384">
        <f t="shared" si="4"/>
        <v>0</v>
      </c>
      <c r="M64" s="384">
        <f t="shared" si="4"/>
        <v>100</v>
      </c>
      <c r="N64" s="421">
        <f t="shared" ref="N64:N117" si="5">K64+L64+M64</f>
        <v>100</v>
      </c>
      <c r="O64" s="383"/>
      <c r="P64" s="384"/>
      <c r="Q64" s="384">
        <v>45.2</v>
      </c>
      <c r="R64" s="385">
        <f t="shared" si="3"/>
        <v>45.2</v>
      </c>
      <c r="S64" s="334">
        <v>4</v>
      </c>
      <c r="T64" s="357"/>
      <c r="V64" s="343" t="s">
        <v>493</v>
      </c>
      <c r="W64" s="334" t="s">
        <v>20</v>
      </c>
      <c r="X64" s="334" t="s">
        <v>12</v>
      </c>
      <c r="Y64" s="344">
        <v>45.2</v>
      </c>
      <c r="AD64" s="343"/>
      <c r="AG64" s="344"/>
      <c r="AH64" s="452"/>
      <c r="AL64" s="343"/>
      <c r="AO64" s="344"/>
      <c r="AP64" s="343"/>
      <c r="AS64" s="344"/>
      <c r="AW64" s="344"/>
      <c r="BA64" s="345"/>
    </row>
    <row r="65" spans="1:53" s="334" customFormat="1" x14ac:dyDescent="0.15">
      <c r="A65" s="386">
        <v>1987</v>
      </c>
      <c r="B65" s="355"/>
      <c r="C65" s="812" t="s">
        <v>638</v>
      </c>
      <c r="D65" s="812"/>
      <c r="E65" s="334">
        <v>365</v>
      </c>
      <c r="G65" s="419"/>
      <c r="I65" s="334">
        <v>18</v>
      </c>
      <c r="J65" s="435">
        <v>18</v>
      </c>
      <c r="K65" s="384">
        <f t="shared" si="4"/>
        <v>0</v>
      </c>
      <c r="L65" s="384">
        <f t="shared" si="4"/>
        <v>0</v>
      </c>
      <c r="M65" s="384">
        <f t="shared" si="4"/>
        <v>100</v>
      </c>
      <c r="N65" s="421">
        <f t="shared" si="5"/>
        <v>100</v>
      </c>
      <c r="O65" s="383"/>
      <c r="P65" s="384"/>
      <c r="Q65" s="384">
        <v>45.2</v>
      </c>
      <c r="R65" s="385">
        <f t="shared" si="3"/>
        <v>45.2</v>
      </c>
      <c r="S65" s="334">
        <v>4</v>
      </c>
      <c r="T65" s="357"/>
      <c r="V65" s="343" t="s">
        <v>493</v>
      </c>
      <c r="W65" s="334" t="s">
        <v>20</v>
      </c>
      <c r="X65" s="334" t="s">
        <v>12</v>
      </c>
      <c r="Y65" s="344">
        <v>45.2</v>
      </c>
      <c r="AD65" s="343"/>
      <c r="AG65" s="344"/>
      <c r="AH65" s="452"/>
      <c r="AL65" s="343"/>
      <c r="AO65" s="344"/>
      <c r="AP65" s="343"/>
      <c r="AS65" s="344"/>
      <c r="AW65" s="344"/>
      <c r="BA65" s="345"/>
    </row>
    <row r="66" spans="1:53" s="334" customFormat="1" x14ac:dyDescent="0.15">
      <c r="A66" s="386">
        <v>1988</v>
      </c>
      <c r="B66" s="355"/>
      <c r="C66" s="812" t="s">
        <v>638</v>
      </c>
      <c r="D66" s="812"/>
      <c r="E66" s="334">
        <v>0</v>
      </c>
      <c r="G66" s="419"/>
      <c r="I66" s="334">
        <v>18</v>
      </c>
      <c r="J66" s="435">
        <v>18</v>
      </c>
      <c r="K66" s="384">
        <f t="shared" si="4"/>
        <v>0</v>
      </c>
      <c r="L66" s="384">
        <f t="shared" si="4"/>
        <v>0</v>
      </c>
      <c r="M66" s="384">
        <f t="shared" si="4"/>
        <v>100</v>
      </c>
      <c r="N66" s="421">
        <f t="shared" si="5"/>
        <v>100</v>
      </c>
      <c r="O66" s="383"/>
      <c r="P66" s="384"/>
      <c r="Q66" s="384">
        <v>45.2</v>
      </c>
      <c r="R66" s="385">
        <f t="shared" si="3"/>
        <v>45.2</v>
      </c>
      <c r="S66" s="334">
        <v>4</v>
      </c>
      <c r="T66" s="357"/>
      <c r="V66" s="343" t="s">
        <v>493</v>
      </c>
      <c r="W66" s="334" t="s">
        <v>20</v>
      </c>
      <c r="X66" s="334" t="s">
        <v>12</v>
      </c>
      <c r="Y66" s="344">
        <v>45.2</v>
      </c>
      <c r="AD66" s="343"/>
      <c r="AG66" s="344"/>
      <c r="AH66" s="452"/>
      <c r="AL66" s="343"/>
      <c r="AO66" s="344"/>
      <c r="AP66" s="343"/>
      <c r="AS66" s="344"/>
      <c r="AW66" s="344"/>
      <c r="BA66" s="345"/>
    </row>
    <row r="67" spans="1:53" s="334" customFormat="1" x14ac:dyDescent="0.15">
      <c r="A67" s="386">
        <v>1988</v>
      </c>
      <c r="B67" s="355"/>
      <c r="C67" s="812" t="s">
        <v>638</v>
      </c>
      <c r="D67" s="812"/>
      <c r="E67" s="334">
        <v>366</v>
      </c>
      <c r="G67" s="419"/>
      <c r="I67" s="334">
        <v>18</v>
      </c>
      <c r="J67" s="435">
        <v>18</v>
      </c>
      <c r="K67" s="384">
        <f t="shared" si="4"/>
        <v>0</v>
      </c>
      <c r="L67" s="384">
        <f t="shared" si="4"/>
        <v>0</v>
      </c>
      <c r="M67" s="384">
        <f t="shared" si="4"/>
        <v>100</v>
      </c>
      <c r="N67" s="421">
        <f t="shared" si="5"/>
        <v>100</v>
      </c>
      <c r="O67" s="383"/>
      <c r="P67" s="384"/>
      <c r="Q67" s="384">
        <v>45.2</v>
      </c>
      <c r="R67" s="385">
        <f t="shared" si="3"/>
        <v>45.2</v>
      </c>
      <c r="S67" s="334">
        <v>4</v>
      </c>
      <c r="T67" s="357"/>
      <c r="V67" s="343" t="s">
        <v>493</v>
      </c>
      <c r="W67" s="334" t="s">
        <v>20</v>
      </c>
      <c r="X67" s="334" t="s">
        <v>12</v>
      </c>
      <c r="Y67" s="344">
        <v>45.2</v>
      </c>
      <c r="AD67" s="343"/>
      <c r="AG67" s="344"/>
      <c r="AH67" s="452"/>
      <c r="AL67" s="343"/>
      <c r="AO67" s="344"/>
      <c r="AP67" s="343"/>
      <c r="AS67" s="344"/>
      <c r="AW67" s="344"/>
      <c r="BA67" s="345"/>
    </row>
    <row r="68" spans="1:53" s="334" customFormat="1" x14ac:dyDescent="0.15">
      <c r="A68" s="386">
        <v>1989</v>
      </c>
      <c r="B68" s="355"/>
      <c r="C68" s="812" t="s">
        <v>638</v>
      </c>
      <c r="D68" s="812"/>
      <c r="E68" s="334">
        <v>288</v>
      </c>
      <c r="G68" s="419"/>
      <c r="I68" s="334">
        <v>18</v>
      </c>
      <c r="J68" s="435">
        <v>18</v>
      </c>
      <c r="K68" s="384">
        <f t="shared" si="4"/>
        <v>0</v>
      </c>
      <c r="L68" s="384">
        <f t="shared" si="4"/>
        <v>0</v>
      </c>
      <c r="M68" s="384">
        <f t="shared" si="4"/>
        <v>100</v>
      </c>
      <c r="N68" s="421">
        <f t="shared" si="5"/>
        <v>100</v>
      </c>
      <c r="O68" s="383"/>
      <c r="P68" s="384"/>
      <c r="Q68" s="384">
        <v>45.2</v>
      </c>
      <c r="R68" s="385">
        <f t="shared" si="3"/>
        <v>45.2</v>
      </c>
      <c r="S68" s="334">
        <v>4</v>
      </c>
      <c r="T68" s="357"/>
      <c r="V68" s="343" t="s">
        <v>493</v>
      </c>
      <c r="W68" s="334" t="s">
        <v>20</v>
      </c>
      <c r="X68" s="334" t="s">
        <v>12</v>
      </c>
      <c r="Y68" s="344">
        <v>45.2</v>
      </c>
      <c r="AD68" s="343"/>
      <c r="AG68" s="344"/>
      <c r="AH68" s="452"/>
      <c r="AL68" s="343"/>
      <c r="AO68" s="344"/>
      <c r="AP68" s="343"/>
      <c r="AS68" s="344"/>
      <c r="AW68" s="344"/>
      <c r="BA68" s="345"/>
    </row>
    <row r="69" spans="1:53" s="212" customFormat="1" x14ac:dyDescent="0.15">
      <c r="A69" s="162">
        <v>1989</v>
      </c>
      <c r="B69" s="210">
        <v>32797</v>
      </c>
      <c r="C69" s="845" t="s">
        <v>831</v>
      </c>
      <c r="D69" s="845"/>
      <c r="E69" s="212">
        <f>365-E68</f>
        <v>77</v>
      </c>
      <c r="F69" s="212">
        <v>1</v>
      </c>
      <c r="G69" s="138">
        <v>8</v>
      </c>
      <c r="H69" s="212">
        <v>10</v>
      </c>
      <c r="J69" s="139">
        <v>18</v>
      </c>
      <c r="K69" s="140">
        <f t="shared" si="4"/>
        <v>44.444444444444443</v>
      </c>
      <c r="L69" s="140">
        <f t="shared" si="4"/>
        <v>55.555555555555557</v>
      </c>
      <c r="M69" s="140">
        <f t="shared" si="4"/>
        <v>0</v>
      </c>
      <c r="N69" s="141">
        <f t="shared" si="5"/>
        <v>100</v>
      </c>
      <c r="O69" s="142">
        <v>22.4</v>
      </c>
      <c r="P69" s="140">
        <v>15.2</v>
      </c>
      <c r="Q69" s="140"/>
      <c r="R69" s="143">
        <f t="shared" si="3"/>
        <v>37.599999999999994</v>
      </c>
      <c r="S69" s="212">
        <v>5</v>
      </c>
      <c r="T69" s="145">
        <v>32761</v>
      </c>
      <c r="U69" s="210">
        <v>32797</v>
      </c>
      <c r="V69" s="146" t="s">
        <v>494</v>
      </c>
      <c r="W69" s="212" t="s">
        <v>74</v>
      </c>
      <c r="X69" s="212" t="s">
        <v>11</v>
      </c>
      <c r="Y69" s="147">
        <v>22.4</v>
      </c>
      <c r="Z69" s="146" t="s">
        <v>84</v>
      </c>
      <c r="AA69" s="212" t="s">
        <v>75</v>
      </c>
      <c r="AB69" s="212" t="s">
        <v>18</v>
      </c>
      <c r="AC69" s="212">
        <v>6.7</v>
      </c>
      <c r="AD69" s="146" t="s">
        <v>274</v>
      </c>
      <c r="AE69" s="212" t="s">
        <v>17</v>
      </c>
      <c r="AF69" s="212" t="s">
        <v>18</v>
      </c>
      <c r="AG69" s="147">
        <v>8.5</v>
      </c>
      <c r="AH69" s="187"/>
      <c r="AL69" s="146"/>
      <c r="AO69" s="147"/>
      <c r="AP69" s="146"/>
      <c r="AS69" s="147"/>
      <c r="AW69" s="147"/>
      <c r="BA69" s="148"/>
    </row>
    <row r="70" spans="1:53" s="208" customFormat="1" x14ac:dyDescent="0.15">
      <c r="A70" s="208">
        <v>1990</v>
      </c>
      <c r="C70" s="811" t="s">
        <v>831</v>
      </c>
      <c r="D70" s="811"/>
      <c r="E70" s="208">
        <v>306</v>
      </c>
      <c r="G70" s="123">
        <v>8</v>
      </c>
      <c r="H70" s="208">
        <v>10</v>
      </c>
      <c r="J70" s="134">
        <v>18</v>
      </c>
      <c r="K70" s="91">
        <f t="shared" si="4"/>
        <v>44.444444444444443</v>
      </c>
      <c r="L70" s="92">
        <f t="shared" si="4"/>
        <v>55.555555555555557</v>
      </c>
      <c r="M70" s="208">
        <f t="shared" si="4"/>
        <v>0</v>
      </c>
      <c r="N70" s="93">
        <f t="shared" si="5"/>
        <v>100</v>
      </c>
      <c r="O70" s="91">
        <v>22.4</v>
      </c>
      <c r="P70" s="92">
        <v>15.2</v>
      </c>
      <c r="Q70" s="92"/>
      <c r="R70" s="93">
        <f t="shared" si="3"/>
        <v>37.599999999999994</v>
      </c>
      <c r="S70" s="208">
        <v>5</v>
      </c>
      <c r="T70" s="81"/>
      <c r="V70" s="82" t="s">
        <v>494</v>
      </c>
      <c r="W70" s="208" t="s">
        <v>74</v>
      </c>
      <c r="X70" s="208" t="s">
        <v>11</v>
      </c>
      <c r="Y70" s="83">
        <v>22.4</v>
      </c>
      <c r="Z70" s="82" t="s">
        <v>84</v>
      </c>
      <c r="AA70" s="208" t="s">
        <v>75</v>
      </c>
      <c r="AB70" s="208" t="s">
        <v>18</v>
      </c>
      <c r="AC70" s="208">
        <v>6.7</v>
      </c>
      <c r="AD70" s="82" t="s">
        <v>274</v>
      </c>
      <c r="AE70" s="208" t="s">
        <v>17</v>
      </c>
      <c r="AF70" s="208" t="s">
        <v>18</v>
      </c>
      <c r="AG70" s="83">
        <v>8.5</v>
      </c>
      <c r="AH70" s="164"/>
      <c r="AL70" s="82"/>
      <c r="AO70" s="83"/>
      <c r="AP70" s="82"/>
      <c r="AS70" s="83"/>
      <c r="AW70" s="83"/>
      <c r="BA70" s="84"/>
    </row>
    <row r="71" spans="1:53" s="334" customFormat="1" x14ac:dyDescent="0.15">
      <c r="A71" s="334">
        <v>1990</v>
      </c>
      <c r="B71" s="355">
        <v>33180</v>
      </c>
      <c r="C71" s="812" t="s">
        <v>638</v>
      </c>
      <c r="D71" s="812"/>
      <c r="E71" s="334">
        <f>365-E70</f>
        <v>59</v>
      </c>
      <c r="F71" s="334">
        <v>5</v>
      </c>
      <c r="G71" s="419"/>
      <c r="I71" s="334">
        <v>19</v>
      </c>
      <c r="J71" s="435">
        <v>19</v>
      </c>
      <c r="K71" s="384">
        <f t="shared" si="4"/>
        <v>0</v>
      </c>
      <c r="L71" s="384">
        <f t="shared" si="4"/>
        <v>0</v>
      </c>
      <c r="M71" s="384">
        <f t="shared" si="4"/>
        <v>100</v>
      </c>
      <c r="N71" s="421">
        <f t="shared" si="5"/>
        <v>100</v>
      </c>
      <c r="O71" s="383"/>
      <c r="P71" s="384"/>
      <c r="Q71" s="384">
        <v>38.200000000000003</v>
      </c>
      <c r="R71" s="385">
        <f t="shared" si="3"/>
        <v>38.200000000000003</v>
      </c>
      <c r="S71" s="334">
        <v>4</v>
      </c>
      <c r="T71" s="357"/>
      <c r="U71" s="355">
        <v>33180</v>
      </c>
      <c r="V71" s="343" t="s">
        <v>493</v>
      </c>
      <c r="W71" s="334" t="s">
        <v>20</v>
      </c>
      <c r="X71" s="334" t="s">
        <v>12</v>
      </c>
      <c r="Y71" s="344">
        <v>38.200000000000003</v>
      </c>
      <c r="AD71" s="343"/>
      <c r="AG71" s="344"/>
      <c r="AH71" s="452"/>
      <c r="AL71" s="343"/>
      <c r="AO71" s="344"/>
      <c r="AP71" s="343"/>
      <c r="AS71" s="344"/>
      <c r="AW71" s="344"/>
      <c r="BA71" s="345"/>
    </row>
    <row r="72" spans="1:53" s="334" customFormat="1" x14ac:dyDescent="0.15">
      <c r="A72" s="334">
        <v>1991</v>
      </c>
      <c r="C72" s="812" t="s">
        <v>638</v>
      </c>
      <c r="D72" s="812"/>
      <c r="E72" s="334">
        <v>0</v>
      </c>
      <c r="G72" s="419"/>
      <c r="I72" s="334">
        <v>19</v>
      </c>
      <c r="J72" s="435">
        <v>19</v>
      </c>
      <c r="K72" s="384">
        <f t="shared" si="4"/>
        <v>0</v>
      </c>
      <c r="L72" s="384">
        <f t="shared" si="4"/>
        <v>0</v>
      </c>
      <c r="M72" s="384">
        <f t="shared" si="4"/>
        <v>100</v>
      </c>
      <c r="N72" s="421">
        <f t="shared" si="5"/>
        <v>100</v>
      </c>
      <c r="O72" s="383"/>
      <c r="P72" s="384"/>
      <c r="Q72" s="384">
        <v>38.200000000000003</v>
      </c>
      <c r="R72" s="385">
        <f t="shared" si="3"/>
        <v>38.200000000000003</v>
      </c>
      <c r="S72" s="334">
        <v>4</v>
      </c>
      <c r="T72" s="357"/>
      <c r="V72" s="343" t="s">
        <v>493</v>
      </c>
      <c r="W72" s="334" t="s">
        <v>20</v>
      </c>
      <c r="X72" s="334" t="s">
        <v>12</v>
      </c>
      <c r="Y72" s="344">
        <v>38.200000000000003</v>
      </c>
      <c r="AD72" s="343"/>
      <c r="AG72" s="344"/>
      <c r="AH72" s="452"/>
      <c r="AL72" s="343"/>
      <c r="AO72" s="344"/>
      <c r="AP72" s="343"/>
      <c r="AS72" s="344"/>
      <c r="AW72" s="344"/>
      <c r="BA72" s="345"/>
    </row>
    <row r="73" spans="1:53" s="334" customFormat="1" x14ac:dyDescent="0.15">
      <c r="A73" s="334">
        <v>1991</v>
      </c>
      <c r="C73" s="812" t="s">
        <v>638</v>
      </c>
      <c r="D73" s="812"/>
      <c r="E73" s="334">
        <f>365-E72</f>
        <v>365</v>
      </c>
      <c r="G73" s="419"/>
      <c r="I73" s="334">
        <v>19</v>
      </c>
      <c r="J73" s="435">
        <v>19</v>
      </c>
      <c r="K73" s="384">
        <f t="shared" si="4"/>
        <v>0</v>
      </c>
      <c r="L73" s="384">
        <f t="shared" si="4"/>
        <v>0</v>
      </c>
      <c r="M73" s="384">
        <f t="shared" si="4"/>
        <v>100</v>
      </c>
      <c r="N73" s="421">
        <f t="shared" si="5"/>
        <v>100</v>
      </c>
      <c r="O73" s="383"/>
      <c r="P73" s="384"/>
      <c r="Q73" s="384">
        <v>38.200000000000003</v>
      </c>
      <c r="R73" s="385">
        <f t="shared" ref="R73:R117" si="6">O73+P73+Q73</f>
        <v>38.200000000000003</v>
      </c>
      <c r="S73" s="334">
        <v>4</v>
      </c>
      <c r="T73" s="357"/>
      <c r="V73" s="343" t="s">
        <v>493</v>
      </c>
      <c r="W73" s="334" t="s">
        <v>20</v>
      </c>
      <c r="X73" s="334" t="s">
        <v>12</v>
      </c>
      <c r="Y73" s="344">
        <v>38.200000000000003</v>
      </c>
      <c r="AD73" s="343"/>
      <c r="AG73" s="344"/>
      <c r="AH73" s="452"/>
      <c r="AL73" s="343"/>
      <c r="AO73" s="344"/>
      <c r="AP73" s="343"/>
      <c r="AS73" s="344"/>
      <c r="AW73" s="344"/>
      <c r="BA73" s="345"/>
    </row>
    <row r="74" spans="1:53" s="334" customFormat="1" x14ac:dyDescent="0.15">
      <c r="A74" s="334">
        <v>1992</v>
      </c>
      <c r="C74" s="812" t="s">
        <v>638</v>
      </c>
      <c r="D74" s="812"/>
      <c r="E74" s="334">
        <v>0</v>
      </c>
      <c r="G74" s="419"/>
      <c r="I74" s="334">
        <v>19</v>
      </c>
      <c r="J74" s="435">
        <v>19</v>
      </c>
      <c r="K74" s="384">
        <f t="shared" si="4"/>
        <v>0</v>
      </c>
      <c r="L74" s="384">
        <f t="shared" si="4"/>
        <v>0</v>
      </c>
      <c r="M74" s="384">
        <f t="shared" si="4"/>
        <v>100</v>
      </c>
      <c r="N74" s="421">
        <f t="shared" si="5"/>
        <v>100</v>
      </c>
      <c r="O74" s="383"/>
      <c r="P74" s="384"/>
      <c r="Q74" s="384">
        <v>38.200000000000003</v>
      </c>
      <c r="R74" s="385">
        <f t="shared" si="6"/>
        <v>38.200000000000003</v>
      </c>
      <c r="S74" s="334">
        <v>4</v>
      </c>
      <c r="T74" s="357"/>
      <c r="V74" s="343" t="s">
        <v>493</v>
      </c>
      <c r="W74" s="334" t="s">
        <v>20</v>
      </c>
      <c r="X74" s="334" t="s">
        <v>12</v>
      </c>
      <c r="Y74" s="344">
        <v>38.200000000000003</v>
      </c>
      <c r="AD74" s="343"/>
      <c r="AG74" s="344"/>
      <c r="AH74" s="452"/>
      <c r="AL74" s="343"/>
      <c r="AO74" s="344"/>
      <c r="AP74" s="343"/>
      <c r="AS74" s="344"/>
      <c r="AW74" s="344"/>
      <c r="BA74" s="345"/>
    </row>
    <row r="75" spans="1:53" s="334" customFormat="1" x14ac:dyDescent="0.15">
      <c r="A75" s="334">
        <v>1992</v>
      </c>
      <c r="C75" s="812" t="s">
        <v>638</v>
      </c>
      <c r="D75" s="812"/>
      <c r="E75" s="334">
        <v>366</v>
      </c>
      <c r="G75" s="419"/>
      <c r="I75" s="334">
        <v>19</v>
      </c>
      <c r="J75" s="435">
        <v>19</v>
      </c>
      <c r="K75" s="384">
        <f t="shared" si="4"/>
        <v>0</v>
      </c>
      <c r="L75" s="384">
        <f t="shared" si="4"/>
        <v>0</v>
      </c>
      <c r="M75" s="384">
        <f t="shared" si="4"/>
        <v>100</v>
      </c>
      <c r="N75" s="421">
        <f t="shared" si="5"/>
        <v>100</v>
      </c>
      <c r="O75" s="383"/>
      <c r="P75" s="384"/>
      <c r="Q75" s="384">
        <v>38.200000000000003</v>
      </c>
      <c r="R75" s="385">
        <f t="shared" si="6"/>
        <v>38.200000000000003</v>
      </c>
      <c r="S75" s="334">
        <v>4</v>
      </c>
      <c r="T75" s="357"/>
      <c r="V75" s="343" t="s">
        <v>493</v>
      </c>
      <c r="W75" s="334" t="s">
        <v>20</v>
      </c>
      <c r="X75" s="334" t="s">
        <v>12</v>
      </c>
      <c r="Y75" s="344">
        <v>38.200000000000003</v>
      </c>
      <c r="AD75" s="343"/>
      <c r="AG75" s="344"/>
      <c r="AH75" s="452"/>
      <c r="AL75" s="343"/>
      <c r="AO75" s="344"/>
      <c r="AP75" s="343"/>
      <c r="AS75" s="344"/>
      <c r="AW75" s="344"/>
      <c r="BA75" s="345"/>
    </row>
    <row r="76" spans="1:53" s="334" customFormat="1" x14ac:dyDescent="0.15">
      <c r="A76" s="334">
        <v>1993</v>
      </c>
      <c r="C76" s="812" t="s">
        <v>638</v>
      </c>
      <c r="D76" s="812"/>
      <c r="E76" s="334">
        <v>256</v>
      </c>
      <c r="G76" s="419"/>
      <c r="I76" s="334">
        <v>19</v>
      </c>
      <c r="J76" s="435">
        <v>19</v>
      </c>
      <c r="K76" s="384">
        <f t="shared" si="4"/>
        <v>0</v>
      </c>
      <c r="L76" s="384">
        <f t="shared" si="4"/>
        <v>0</v>
      </c>
      <c r="M76" s="384">
        <f t="shared" si="4"/>
        <v>100</v>
      </c>
      <c r="N76" s="421">
        <f t="shared" si="5"/>
        <v>100</v>
      </c>
      <c r="O76" s="383"/>
      <c r="P76" s="384"/>
      <c r="Q76" s="384">
        <v>38.200000000000003</v>
      </c>
      <c r="R76" s="385">
        <f t="shared" si="6"/>
        <v>38.200000000000003</v>
      </c>
      <c r="S76" s="334">
        <v>4</v>
      </c>
      <c r="T76" s="357"/>
      <c r="V76" s="343" t="s">
        <v>493</v>
      </c>
      <c r="W76" s="334" t="s">
        <v>20</v>
      </c>
      <c r="X76" s="334" t="s">
        <v>12</v>
      </c>
      <c r="Y76" s="344">
        <v>38.200000000000003</v>
      </c>
      <c r="AD76" s="343"/>
      <c r="AG76" s="344"/>
      <c r="AH76" s="452"/>
      <c r="AL76" s="343"/>
      <c r="AO76" s="344"/>
      <c r="AP76" s="343"/>
      <c r="AS76" s="344"/>
      <c r="AW76" s="344"/>
      <c r="BA76" s="345"/>
    </row>
    <row r="77" spans="1:53" s="208" customFormat="1" x14ac:dyDescent="0.15">
      <c r="A77" s="208">
        <v>1993</v>
      </c>
      <c r="B77" s="207">
        <v>34226</v>
      </c>
      <c r="C77" s="811" t="s">
        <v>832</v>
      </c>
      <c r="D77" s="811"/>
      <c r="E77" s="208">
        <f>365-E76</f>
        <v>109</v>
      </c>
      <c r="F77" s="208">
        <v>1</v>
      </c>
      <c r="G77" s="123"/>
      <c r="I77" s="208">
        <v>19</v>
      </c>
      <c r="J77" s="134">
        <v>19</v>
      </c>
      <c r="K77" s="92">
        <f t="shared" si="4"/>
        <v>0</v>
      </c>
      <c r="L77" s="92">
        <f t="shared" si="4"/>
        <v>0</v>
      </c>
      <c r="M77" s="92">
        <f t="shared" si="4"/>
        <v>100</v>
      </c>
      <c r="N77" s="125">
        <f t="shared" si="5"/>
        <v>100</v>
      </c>
      <c r="O77" s="91"/>
      <c r="P77" s="92"/>
      <c r="Q77" s="92">
        <v>40.6</v>
      </c>
      <c r="R77" s="93">
        <f t="shared" si="6"/>
        <v>40.6</v>
      </c>
      <c r="S77" s="208">
        <v>4</v>
      </c>
      <c r="T77" s="95">
        <v>34224</v>
      </c>
      <c r="U77" s="207">
        <v>34226</v>
      </c>
      <c r="V77" s="82" t="s">
        <v>493</v>
      </c>
      <c r="W77" s="208" t="s">
        <v>20</v>
      </c>
      <c r="X77" s="208" t="s">
        <v>12</v>
      </c>
      <c r="Y77" s="83">
        <v>40.6</v>
      </c>
      <c r="AD77" s="82"/>
      <c r="AG77" s="83"/>
      <c r="AH77" s="164"/>
      <c r="AL77" s="82"/>
      <c r="AO77" s="83"/>
      <c r="AP77" s="82"/>
      <c r="AS77" s="83"/>
      <c r="AW77" s="83"/>
      <c r="BA77" s="84"/>
    </row>
    <row r="78" spans="1:53" s="208" customFormat="1" x14ac:dyDescent="0.15">
      <c r="A78" s="208">
        <v>1994</v>
      </c>
      <c r="C78" s="811" t="s">
        <v>832</v>
      </c>
      <c r="D78" s="811"/>
      <c r="E78" s="208">
        <v>0</v>
      </c>
      <c r="G78" s="123"/>
      <c r="I78" s="208">
        <v>18</v>
      </c>
      <c r="J78" s="134">
        <v>18</v>
      </c>
      <c r="K78" s="92">
        <f t="shared" si="4"/>
        <v>0</v>
      </c>
      <c r="L78" s="92">
        <f t="shared" si="4"/>
        <v>0</v>
      </c>
      <c r="M78" s="92">
        <f t="shared" si="4"/>
        <v>100</v>
      </c>
      <c r="N78" s="125">
        <f t="shared" si="5"/>
        <v>100</v>
      </c>
      <c r="O78" s="91"/>
      <c r="P78" s="92"/>
      <c r="Q78" s="92">
        <v>40.6</v>
      </c>
      <c r="R78" s="93">
        <f t="shared" si="6"/>
        <v>40.6</v>
      </c>
      <c r="S78" s="208">
        <v>4</v>
      </c>
      <c r="T78" s="81"/>
      <c r="V78" s="82" t="s">
        <v>493</v>
      </c>
      <c r="W78" s="208" t="s">
        <v>20</v>
      </c>
      <c r="X78" s="208" t="s">
        <v>12</v>
      </c>
      <c r="Y78" s="83">
        <v>40.6</v>
      </c>
      <c r="AD78" s="82"/>
      <c r="AG78" s="83"/>
      <c r="AH78" s="164"/>
      <c r="AL78" s="82"/>
      <c r="AO78" s="83"/>
      <c r="AP78" s="82"/>
      <c r="AS78" s="83"/>
      <c r="AW78" s="83"/>
      <c r="BA78" s="84"/>
    </row>
    <row r="79" spans="1:53" s="208" customFormat="1" x14ac:dyDescent="0.15">
      <c r="A79" s="208">
        <v>1994</v>
      </c>
      <c r="C79" s="811" t="s">
        <v>832</v>
      </c>
      <c r="D79" s="811"/>
      <c r="E79" s="208">
        <f>365-E78</f>
        <v>365</v>
      </c>
      <c r="G79" s="123"/>
      <c r="I79" s="208">
        <v>18</v>
      </c>
      <c r="J79" s="134">
        <v>18</v>
      </c>
      <c r="K79" s="92">
        <f t="shared" si="4"/>
        <v>0</v>
      </c>
      <c r="L79" s="92">
        <f t="shared" si="4"/>
        <v>0</v>
      </c>
      <c r="M79" s="92">
        <f t="shared" si="4"/>
        <v>100</v>
      </c>
      <c r="N79" s="125">
        <f t="shared" si="5"/>
        <v>100</v>
      </c>
      <c r="O79" s="91"/>
      <c r="P79" s="92"/>
      <c r="Q79" s="92">
        <v>40.6</v>
      </c>
      <c r="R79" s="93">
        <f t="shared" si="6"/>
        <v>40.6</v>
      </c>
      <c r="S79" s="208">
        <v>4</v>
      </c>
      <c r="T79" s="81"/>
      <c r="V79" s="82" t="s">
        <v>493</v>
      </c>
      <c r="W79" s="208" t="s">
        <v>20</v>
      </c>
      <c r="X79" s="208" t="s">
        <v>12</v>
      </c>
      <c r="Y79" s="83">
        <v>40.6</v>
      </c>
      <c r="AD79" s="82"/>
      <c r="AG79" s="83"/>
      <c r="AH79" s="164"/>
      <c r="AL79" s="82"/>
      <c r="AO79" s="83"/>
      <c r="AP79" s="82"/>
      <c r="AS79" s="83"/>
      <c r="AW79" s="83"/>
      <c r="BA79" s="84"/>
    </row>
    <row r="80" spans="1:53" s="208" customFormat="1" x14ac:dyDescent="0.15">
      <c r="A80" s="208">
        <v>1995</v>
      </c>
      <c r="C80" s="811" t="s">
        <v>832</v>
      </c>
      <c r="D80" s="811"/>
      <c r="E80" s="208">
        <v>0</v>
      </c>
      <c r="G80" s="123"/>
      <c r="I80" s="208">
        <v>18</v>
      </c>
      <c r="J80" s="134">
        <v>18</v>
      </c>
      <c r="K80" s="92">
        <f t="shared" si="4"/>
        <v>0</v>
      </c>
      <c r="L80" s="92">
        <f t="shared" si="4"/>
        <v>0</v>
      </c>
      <c r="M80" s="92">
        <f t="shared" si="4"/>
        <v>100</v>
      </c>
      <c r="N80" s="125">
        <f t="shared" si="5"/>
        <v>100</v>
      </c>
      <c r="O80" s="91"/>
      <c r="P80" s="92"/>
      <c r="Q80" s="92">
        <v>40.6</v>
      </c>
      <c r="R80" s="93">
        <f t="shared" si="6"/>
        <v>40.6</v>
      </c>
      <c r="S80" s="208">
        <v>4</v>
      </c>
      <c r="T80" s="81"/>
      <c r="V80" s="82" t="s">
        <v>493</v>
      </c>
      <c r="W80" s="208" t="s">
        <v>20</v>
      </c>
      <c r="X80" s="208" t="s">
        <v>12</v>
      </c>
      <c r="Y80" s="83">
        <v>40.6</v>
      </c>
      <c r="AD80" s="82"/>
      <c r="AG80" s="83"/>
      <c r="AH80" s="164"/>
      <c r="AL80" s="82"/>
      <c r="AO80" s="83"/>
      <c r="AP80" s="82"/>
      <c r="AS80" s="83"/>
      <c r="AW80" s="83"/>
      <c r="BA80" s="84"/>
    </row>
    <row r="81" spans="1:53" s="208" customFormat="1" x14ac:dyDescent="0.15">
      <c r="A81" s="208">
        <v>1995</v>
      </c>
      <c r="C81" s="811" t="s">
        <v>832</v>
      </c>
      <c r="D81" s="811"/>
      <c r="E81" s="208">
        <f>365-E80</f>
        <v>365</v>
      </c>
      <c r="G81" s="123"/>
      <c r="I81" s="208">
        <v>18</v>
      </c>
      <c r="J81" s="134">
        <v>18</v>
      </c>
      <c r="K81" s="92">
        <f t="shared" si="4"/>
        <v>0</v>
      </c>
      <c r="L81" s="92">
        <f t="shared" si="4"/>
        <v>0</v>
      </c>
      <c r="M81" s="92">
        <f t="shared" si="4"/>
        <v>100</v>
      </c>
      <c r="N81" s="125">
        <f t="shared" si="5"/>
        <v>100</v>
      </c>
      <c r="O81" s="91"/>
      <c r="P81" s="92"/>
      <c r="Q81" s="92">
        <v>40.6</v>
      </c>
      <c r="R81" s="93">
        <f t="shared" si="6"/>
        <v>40.6</v>
      </c>
      <c r="S81" s="208">
        <v>4</v>
      </c>
      <c r="T81" s="81"/>
      <c r="V81" s="82" t="s">
        <v>493</v>
      </c>
      <c r="W81" s="208" t="s">
        <v>20</v>
      </c>
      <c r="X81" s="208" t="s">
        <v>12</v>
      </c>
      <c r="Y81" s="83">
        <v>40.6</v>
      </c>
      <c r="AD81" s="82"/>
      <c r="AG81" s="83"/>
      <c r="AH81" s="164"/>
      <c r="AL81" s="82"/>
      <c r="AO81" s="83"/>
      <c r="AP81" s="82"/>
      <c r="AS81" s="83"/>
      <c r="AW81" s="83"/>
      <c r="BA81" s="84"/>
    </row>
    <row r="82" spans="1:53" s="208" customFormat="1" x14ac:dyDescent="0.15">
      <c r="A82" s="208">
        <v>1996</v>
      </c>
      <c r="C82" s="811" t="s">
        <v>832</v>
      </c>
      <c r="D82" s="811"/>
      <c r="E82" s="208">
        <v>298</v>
      </c>
      <c r="F82" s="150"/>
      <c r="G82" s="123"/>
      <c r="I82" s="208">
        <v>18</v>
      </c>
      <c r="J82" s="134">
        <v>18</v>
      </c>
      <c r="K82" s="92">
        <f t="shared" si="4"/>
        <v>0</v>
      </c>
      <c r="L82" s="92">
        <f t="shared" si="4"/>
        <v>0</v>
      </c>
      <c r="M82" s="92">
        <f t="shared" si="4"/>
        <v>100</v>
      </c>
      <c r="N82" s="125">
        <f t="shared" si="5"/>
        <v>100</v>
      </c>
      <c r="O82" s="91"/>
      <c r="P82" s="92"/>
      <c r="Q82" s="92">
        <v>40.6</v>
      </c>
      <c r="R82" s="93">
        <f t="shared" si="6"/>
        <v>40.6</v>
      </c>
      <c r="S82" s="208">
        <v>4</v>
      </c>
      <c r="T82" s="81"/>
      <c r="V82" s="82" t="s">
        <v>493</v>
      </c>
      <c r="W82" s="208" t="s">
        <v>20</v>
      </c>
      <c r="X82" s="208" t="s">
        <v>12</v>
      </c>
      <c r="Y82" s="83">
        <v>40.6</v>
      </c>
      <c r="AD82" s="82"/>
      <c r="AG82" s="83"/>
      <c r="AH82" s="164"/>
      <c r="AL82" s="82"/>
      <c r="AO82" s="83"/>
      <c r="AP82" s="82"/>
      <c r="AS82" s="83"/>
      <c r="AW82" s="83"/>
      <c r="BA82" s="84"/>
    </row>
    <row r="83" spans="1:53" s="334" customFormat="1" x14ac:dyDescent="0.15">
      <c r="A83" s="334">
        <v>1996</v>
      </c>
      <c r="B83" s="355">
        <v>35363</v>
      </c>
      <c r="C83" s="812" t="s">
        <v>834</v>
      </c>
      <c r="D83" s="812"/>
      <c r="E83" s="334">
        <f>366-E82</f>
        <v>68</v>
      </c>
      <c r="F83" s="334">
        <v>2</v>
      </c>
      <c r="G83" s="419"/>
      <c r="I83" s="334">
        <v>19</v>
      </c>
      <c r="J83" s="435">
        <v>19</v>
      </c>
      <c r="K83" s="384">
        <f t="shared" si="4"/>
        <v>0</v>
      </c>
      <c r="L83" s="384">
        <f t="shared" si="4"/>
        <v>0</v>
      </c>
      <c r="M83" s="384">
        <f t="shared" si="4"/>
        <v>100</v>
      </c>
      <c r="N83" s="421">
        <f t="shared" si="5"/>
        <v>100</v>
      </c>
      <c r="O83" s="383"/>
      <c r="P83" s="384"/>
      <c r="Q83" s="384">
        <v>40.6</v>
      </c>
      <c r="R83" s="385">
        <f t="shared" si="6"/>
        <v>40.6</v>
      </c>
      <c r="S83" s="334">
        <v>4</v>
      </c>
      <c r="T83" s="357"/>
      <c r="U83" s="355">
        <v>35363</v>
      </c>
      <c r="V83" s="343" t="s">
        <v>493</v>
      </c>
      <c r="W83" s="334" t="s">
        <v>20</v>
      </c>
      <c r="X83" s="334" t="s">
        <v>12</v>
      </c>
      <c r="Y83" s="344">
        <v>40.6</v>
      </c>
      <c r="AD83" s="343"/>
      <c r="AG83" s="344"/>
      <c r="AH83" s="452"/>
      <c r="AL83" s="343"/>
      <c r="AO83" s="344"/>
      <c r="AP83" s="343"/>
      <c r="AS83" s="344"/>
      <c r="AW83" s="344"/>
      <c r="BA83" s="345"/>
    </row>
    <row r="84" spans="1:53" s="334" customFormat="1" x14ac:dyDescent="0.15">
      <c r="A84" s="334">
        <v>1997</v>
      </c>
      <c r="C84" s="812" t="s">
        <v>834</v>
      </c>
      <c r="D84" s="812"/>
      <c r="E84" s="334">
        <v>289</v>
      </c>
      <c r="G84" s="419"/>
      <c r="I84" s="334">
        <v>19</v>
      </c>
      <c r="J84" s="435">
        <v>19</v>
      </c>
      <c r="K84" s="384">
        <f t="shared" si="4"/>
        <v>0</v>
      </c>
      <c r="L84" s="384">
        <f t="shared" si="4"/>
        <v>0</v>
      </c>
      <c r="M84" s="384">
        <f t="shared" si="4"/>
        <v>100</v>
      </c>
      <c r="N84" s="421">
        <f t="shared" si="5"/>
        <v>100</v>
      </c>
      <c r="O84" s="383"/>
      <c r="P84" s="384"/>
      <c r="Q84" s="384">
        <v>40.6</v>
      </c>
      <c r="R84" s="385">
        <f t="shared" si="6"/>
        <v>40.6</v>
      </c>
      <c r="S84" s="334">
        <v>4</v>
      </c>
      <c r="T84" s="357"/>
      <c r="V84" s="343" t="s">
        <v>493</v>
      </c>
      <c r="W84" s="334" t="s">
        <v>20</v>
      </c>
      <c r="X84" s="334" t="s">
        <v>12</v>
      </c>
      <c r="Y84" s="344">
        <v>40.6</v>
      </c>
      <c r="AD84" s="343"/>
      <c r="AG84" s="344"/>
      <c r="AH84" s="452"/>
      <c r="AL84" s="343"/>
      <c r="AO84" s="344"/>
      <c r="AP84" s="343"/>
      <c r="AS84" s="344"/>
      <c r="AW84" s="344"/>
      <c r="BA84" s="345"/>
    </row>
    <row r="85" spans="1:53" s="208" customFormat="1" x14ac:dyDescent="0.15">
      <c r="A85" s="208">
        <v>1997</v>
      </c>
      <c r="B85" s="207">
        <v>35720</v>
      </c>
      <c r="C85" s="811" t="s">
        <v>833</v>
      </c>
      <c r="D85" s="811"/>
      <c r="E85" s="208">
        <f>365-E84</f>
        <v>76</v>
      </c>
      <c r="F85" s="208">
        <v>1</v>
      </c>
      <c r="G85" s="123">
        <v>4</v>
      </c>
      <c r="H85" s="208">
        <v>15</v>
      </c>
      <c r="J85" s="134">
        <v>19</v>
      </c>
      <c r="K85" s="92">
        <f t="shared" si="4"/>
        <v>21.052631578947366</v>
      </c>
      <c r="L85" s="92">
        <f t="shared" si="4"/>
        <v>78.94736842105263</v>
      </c>
      <c r="M85" s="92">
        <f t="shared" si="4"/>
        <v>0</v>
      </c>
      <c r="N85" s="125">
        <f t="shared" si="5"/>
        <v>100</v>
      </c>
      <c r="O85" s="91">
        <v>3.6</v>
      </c>
      <c r="P85" s="92">
        <v>21.9</v>
      </c>
      <c r="Q85" s="92"/>
      <c r="R85" s="93">
        <f t="shared" si="6"/>
        <v>25.5</v>
      </c>
      <c r="S85" s="208">
        <v>5</v>
      </c>
      <c r="T85" s="95">
        <v>35688</v>
      </c>
      <c r="U85" s="207">
        <v>35720</v>
      </c>
      <c r="V85" s="82" t="s">
        <v>274</v>
      </c>
      <c r="W85" s="208" t="s">
        <v>17</v>
      </c>
      <c r="X85" s="208" t="s">
        <v>18</v>
      </c>
      <c r="Y85" s="83">
        <v>15.2</v>
      </c>
      <c r="Z85" s="82" t="s">
        <v>84</v>
      </c>
      <c r="AA85" s="208" t="s">
        <v>75</v>
      </c>
      <c r="AB85" s="208" t="s">
        <v>18</v>
      </c>
      <c r="AC85" s="208">
        <v>6.7</v>
      </c>
      <c r="AD85" s="82" t="s">
        <v>417</v>
      </c>
      <c r="AE85" s="208" t="s">
        <v>22</v>
      </c>
      <c r="AF85" s="208" t="s">
        <v>11</v>
      </c>
      <c r="AG85" s="83">
        <v>3.6</v>
      </c>
      <c r="AH85" s="164"/>
      <c r="AL85" s="82"/>
      <c r="AO85" s="83"/>
      <c r="AP85" s="82"/>
      <c r="AS85" s="83"/>
      <c r="AW85" s="83"/>
      <c r="BA85" s="84"/>
    </row>
    <row r="86" spans="1:53" s="208" customFormat="1" x14ac:dyDescent="0.15">
      <c r="A86" s="208">
        <v>1998</v>
      </c>
      <c r="C86" s="811" t="s">
        <v>833</v>
      </c>
      <c r="D86" s="811"/>
      <c r="E86" s="208">
        <v>0</v>
      </c>
      <c r="G86" s="123">
        <v>4</v>
      </c>
      <c r="H86" s="208">
        <v>15</v>
      </c>
      <c r="J86" s="134">
        <v>19</v>
      </c>
      <c r="K86" s="92">
        <f t="shared" si="4"/>
        <v>21.052631578947366</v>
      </c>
      <c r="L86" s="92">
        <f t="shared" si="4"/>
        <v>78.94736842105263</v>
      </c>
      <c r="M86" s="92">
        <f t="shared" si="4"/>
        <v>0</v>
      </c>
      <c r="N86" s="125">
        <f t="shared" si="5"/>
        <v>100</v>
      </c>
      <c r="O86" s="91">
        <v>3.6</v>
      </c>
      <c r="P86" s="92">
        <v>21.9</v>
      </c>
      <c r="Q86" s="92"/>
      <c r="R86" s="93">
        <f t="shared" si="6"/>
        <v>25.5</v>
      </c>
      <c r="S86" s="208">
        <v>5</v>
      </c>
      <c r="T86" s="81"/>
      <c r="V86" s="82" t="s">
        <v>274</v>
      </c>
      <c r="W86" s="208" t="s">
        <v>17</v>
      </c>
      <c r="X86" s="208" t="s">
        <v>18</v>
      </c>
      <c r="Y86" s="83">
        <v>15.2</v>
      </c>
      <c r="Z86" s="82" t="s">
        <v>84</v>
      </c>
      <c r="AA86" s="208" t="s">
        <v>75</v>
      </c>
      <c r="AB86" s="208" t="s">
        <v>18</v>
      </c>
      <c r="AC86" s="208">
        <v>6.7</v>
      </c>
      <c r="AD86" s="82" t="s">
        <v>417</v>
      </c>
      <c r="AE86" s="208" t="s">
        <v>22</v>
      </c>
      <c r="AF86" s="208" t="s">
        <v>11</v>
      </c>
      <c r="AG86" s="83">
        <v>3.6</v>
      </c>
      <c r="AH86" s="164"/>
      <c r="AL86" s="82"/>
      <c r="AO86" s="83"/>
      <c r="AP86" s="82"/>
      <c r="AS86" s="83"/>
      <c r="AW86" s="83"/>
      <c r="BA86" s="84"/>
    </row>
    <row r="87" spans="1:53" s="208" customFormat="1" x14ac:dyDescent="0.15">
      <c r="A87" s="208">
        <v>1998</v>
      </c>
      <c r="C87" s="811" t="s">
        <v>833</v>
      </c>
      <c r="D87" s="811"/>
      <c r="E87" s="208">
        <f>365-E86</f>
        <v>365</v>
      </c>
      <c r="G87" s="123">
        <v>4</v>
      </c>
      <c r="H87" s="208">
        <v>15</v>
      </c>
      <c r="J87" s="134">
        <v>19</v>
      </c>
      <c r="K87" s="92">
        <f t="shared" si="4"/>
        <v>21.052631578947366</v>
      </c>
      <c r="L87" s="92">
        <f t="shared" si="4"/>
        <v>78.94736842105263</v>
      </c>
      <c r="M87" s="92">
        <f t="shared" si="4"/>
        <v>0</v>
      </c>
      <c r="N87" s="125">
        <f t="shared" si="5"/>
        <v>100</v>
      </c>
      <c r="O87" s="91">
        <v>3.6</v>
      </c>
      <c r="P87" s="92">
        <v>21.9</v>
      </c>
      <c r="Q87" s="92"/>
      <c r="R87" s="93">
        <f t="shared" si="6"/>
        <v>25.5</v>
      </c>
      <c r="S87" s="208">
        <v>5</v>
      </c>
      <c r="T87" s="81"/>
      <c r="V87" s="82" t="s">
        <v>274</v>
      </c>
      <c r="W87" s="208" t="s">
        <v>17</v>
      </c>
      <c r="X87" s="208" t="s">
        <v>18</v>
      </c>
      <c r="Y87" s="83">
        <v>15.2</v>
      </c>
      <c r="Z87" s="82" t="s">
        <v>84</v>
      </c>
      <c r="AA87" s="208" t="s">
        <v>75</v>
      </c>
      <c r="AB87" s="208" t="s">
        <v>18</v>
      </c>
      <c r="AC87" s="208">
        <v>6.7</v>
      </c>
      <c r="AD87" s="82" t="s">
        <v>417</v>
      </c>
      <c r="AE87" s="208" t="s">
        <v>22</v>
      </c>
      <c r="AF87" s="208" t="s">
        <v>11</v>
      </c>
      <c r="AG87" s="83">
        <v>3.6</v>
      </c>
      <c r="AH87" s="164"/>
      <c r="AL87" s="82"/>
      <c r="AO87" s="83"/>
      <c r="AP87" s="82"/>
      <c r="AS87" s="83"/>
      <c r="AW87" s="83"/>
      <c r="BA87" s="84"/>
    </row>
    <row r="88" spans="1:53" s="208" customFormat="1" x14ac:dyDescent="0.15">
      <c r="A88" s="208">
        <v>1999</v>
      </c>
      <c r="C88" s="811" t="s">
        <v>833</v>
      </c>
      <c r="D88" s="811"/>
      <c r="E88" s="208">
        <v>0</v>
      </c>
      <c r="G88" s="123">
        <v>4</v>
      </c>
      <c r="H88" s="208">
        <v>15</v>
      </c>
      <c r="J88" s="134">
        <v>19</v>
      </c>
      <c r="K88" s="92">
        <f t="shared" si="4"/>
        <v>21.052631578947366</v>
      </c>
      <c r="L88" s="92">
        <f t="shared" si="4"/>
        <v>78.94736842105263</v>
      </c>
      <c r="M88" s="92">
        <f t="shared" si="4"/>
        <v>0</v>
      </c>
      <c r="N88" s="125">
        <f t="shared" si="5"/>
        <v>100</v>
      </c>
      <c r="O88" s="91">
        <v>3.6</v>
      </c>
      <c r="P88" s="92">
        <v>21.9</v>
      </c>
      <c r="Q88" s="92"/>
      <c r="R88" s="93">
        <f t="shared" si="6"/>
        <v>25.5</v>
      </c>
      <c r="S88" s="208">
        <v>5</v>
      </c>
      <c r="T88" s="81"/>
      <c r="V88" s="82" t="s">
        <v>274</v>
      </c>
      <c r="W88" s="208" t="s">
        <v>17</v>
      </c>
      <c r="X88" s="208" t="s">
        <v>18</v>
      </c>
      <c r="Y88" s="83">
        <v>15.2</v>
      </c>
      <c r="Z88" s="82" t="s">
        <v>84</v>
      </c>
      <c r="AA88" s="208" t="s">
        <v>75</v>
      </c>
      <c r="AB88" s="208" t="s">
        <v>18</v>
      </c>
      <c r="AC88" s="208">
        <v>6.7</v>
      </c>
      <c r="AD88" s="82" t="s">
        <v>417</v>
      </c>
      <c r="AE88" s="208" t="s">
        <v>22</v>
      </c>
      <c r="AF88" s="208" t="s">
        <v>11</v>
      </c>
      <c r="AG88" s="83">
        <v>3.6</v>
      </c>
      <c r="AH88" s="164"/>
      <c r="AL88" s="82"/>
      <c r="AO88" s="83"/>
      <c r="AP88" s="82"/>
      <c r="AS88" s="83"/>
      <c r="AW88" s="83"/>
      <c r="BA88" s="84"/>
    </row>
    <row r="89" spans="1:53" s="208" customFormat="1" x14ac:dyDescent="0.15">
      <c r="A89" s="208">
        <v>1999</v>
      </c>
      <c r="C89" s="811" t="s">
        <v>833</v>
      </c>
      <c r="D89" s="811"/>
      <c r="E89" s="208">
        <f>365-E88</f>
        <v>365</v>
      </c>
      <c r="G89" s="123">
        <v>4</v>
      </c>
      <c r="H89" s="208">
        <v>15</v>
      </c>
      <c r="J89" s="134">
        <v>19</v>
      </c>
      <c r="K89" s="92">
        <f t="shared" si="4"/>
        <v>21.052631578947366</v>
      </c>
      <c r="L89" s="92">
        <f t="shared" si="4"/>
        <v>78.94736842105263</v>
      </c>
      <c r="M89" s="92">
        <f t="shared" si="4"/>
        <v>0</v>
      </c>
      <c r="N89" s="125">
        <f t="shared" si="5"/>
        <v>100</v>
      </c>
      <c r="O89" s="91">
        <v>3.6</v>
      </c>
      <c r="P89" s="92">
        <v>21.9</v>
      </c>
      <c r="Q89" s="92"/>
      <c r="R89" s="93">
        <f t="shared" si="6"/>
        <v>25.5</v>
      </c>
      <c r="S89" s="208">
        <v>5</v>
      </c>
      <c r="T89" s="81"/>
      <c r="V89" s="82" t="s">
        <v>274</v>
      </c>
      <c r="W89" s="208" t="s">
        <v>17</v>
      </c>
      <c r="X89" s="208" t="s">
        <v>18</v>
      </c>
      <c r="Y89" s="83">
        <v>15.2</v>
      </c>
      <c r="Z89" s="82" t="s">
        <v>84</v>
      </c>
      <c r="AA89" s="208" t="s">
        <v>75</v>
      </c>
      <c r="AB89" s="208" t="s">
        <v>18</v>
      </c>
      <c r="AC89" s="208">
        <v>6.7</v>
      </c>
      <c r="AD89" s="82" t="s">
        <v>417</v>
      </c>
      <c r="AE89" s="208" t="s">
        <v>22</v>
      </c>
      <c r="AF89" s="208" t="s">
        <v>11</v>
      </c>
      <c r="AG89" s="83">
        <v>3.6</v>
      </c>
      <c r="AH89" s="164"/>
      <c r="AL89" s="82"/>
      <c r="AO89" s="83"/>
      <c r="AP89" s="82"/>
      <c r="AS89" s="83"/>
      <c r="AW89" s="83"/>
      <c r="BA89" s="84"/>
    </row>
    <row r="90" spans="1:53" s="208" customFormat="1" x14ac:dyDescent="0.15">
      <c r="A90" s="208">
        <v>2000</v>
      </c>
      <c r="C90" s="811" t="s">
        <v>833</v>
      </c>
      <c r="D90" s="811"/>
      <c r="E90" s="208">
        <v>76</v>
      </c>
      <c r="G90" s="123">
        <v>4</v>
      </c>
      <c r="H90" s="208">
        <v>15</v>
      </c>
      <c r="J90" s="134">
        <v>19</v>
      </c>
      <c r="K90" s="92">
        <f t="shared" ref="K90:M116" si="7">G90/$J90*100</f>
        <v>21.052631578947366</v>
      </c>
      <c r="L90" s="92">
        <f t="shared" si="7"/>
        <v>78.94736842105263</v>
      </c>
      <c r="M90" s="92">
        <f t="shared" si="7"/>
        <v>0</v>
      </c>
      <c r="N90" s="125">
        <f t="shared" si="5"/>
        <v>100</v>
      </c>
      <c r="O90" s="91">
        <v>3.6</v>
      </c>
      <c r="P90" s="92">
        <v>21.9</v>
      </c>
      <c r="Q90" s="92"/>
      <c r="R90" s="93">
        <f t="shared" si="6"/>
        <v>25.5</v>
      </c>
      <c r="S90" s="208">
        <v>5</v>
      </c>
      <c r="T90" s="81"/>
      <c r="V90" s="82" t="s">
        <v>274</v>
      </c>
      <c r="W90" s="208" t="s">
        <v>17</v>
      </c>
      <c r="X90" s="208" t="s">
        <v>18</v>
      </c>
      <c r="Y90" s="83">
        <v>15.2</v>
      </c>
      <c r="Z90" s="82" t="s">
        <v>84</v>
      </c>
      <c r="AA90" s="208" t="s">
        <v>75</v>
      </c>
      <c r="AB90" s="208" t="s">
        <v>18</v>
      </c>
      <c r="AC90" s="208">
        <v>6.7</v>
      </c>
      <c r="AD90" s="82" t="s">
        <v>417</v>
      </c>
      <c r="AE90" s="208" t="s">
        <v>22</v>
      </c>
      <c r="AF90" s="208" t="s">
        <v>11</v>
      </c>
      <c r="AG90" s="83">
        <v>3.6</v>
      </c>
      <c r="AH90" s="164"/>
      <c r="AL90" s="82"/>
      <c r="AO90" s="83"/>
      <c r="AP90" s="82"/>
      <c r="AS90" s="83"/>
      <c r="AW90" s="83"/>
      <c r="BA90" s="84"/>
    </row>
    <row r="91" spans="1:53" s="334" customFormat="1" x14ac:dyDescent="0.15">
      <c r="A91" s="334">
        <v>2000</v>
      </c>
      <c r="B91" s="355">
        <v>36602</v>
      </c>
      <c r="C91" s="812" t="s">
        <v>835</v>
      </c>
      <c r="D91" s="812"/>
      <c r="E91" s="334">
        <f>366-E90</f>
        <v>290</v>
      </c>
      <c r="F91" s="334">
        <v>5</v>
      </c>
      <c r="G91" s="419"/>
      <c r="I91" s="334">
        <v>19</v>
      </c>
      <c r="J91" s="435">
        <v>19</v>
      </c>
      <c r="K91" s="384">
        <f t="shared" si="7"/>
        <v>0</v>
      </c>
      <c r="L91" s="384">
        <f t="shared" si="7"/>
        <v>0</v>
      </c>
      <c r="M91" s="384">
        <f t="shared" si="7"/>
        <v>100</v>
      </c>
      <c r="N91" s="421">
        <f t="shared" si="5"/>
        <v>100</v>
      </c>
      <c r="O91" s="383"/>
      <c r="P91" s="384"/>
      <c r="Q91" s="384">
        <v>39.4</v>
      </c>
      <c r="R91" s="385">
        <f t="shared" si="6"/>
        <v>39.4</v>
      </c>
      <c r="S91" s="334">
        <v>4</v>
      </c>
      <c r="T91" s="357"/>
      <c r="U91" s="355">
        <v>36602</v>
      </c>
      <c r="V91" s="343" t="s">
        <v>493</v>
      </c>
      <c r="W91" s="334" t="s">
        <v>20</v>
      </c>
      <c r="X91" s="334" t="s">
        <v>12</v>
      </c>
      <c r="Y91" s="344">
        <v>39.4</v>
      </c>
      <c r="Z91" s="343"/>
      <c r="AD91" s="343"/>
      <c r="AG91" s="344"/>
      <c r="AH91" s="452"/>
      <c r="AL91" s="343"/>
      <c r="AO91" s="344"/>
      <c r="AP91" s="343"/>
      <c r="AS91" s="344"/>
      <c r="AW91" s="344"/>
      <c r="BA91" s="345"/>
    </row>
    <row r="92" spans="1:53" s="334" customFormat="1" x14ac:dyDescent="0.15">
      <c r="A92" s="334">
        <v>2001</v>
      </c>
      <c r="C92" s="812" t="s">
        <v>835</v>
      </c>
      <c r="D92" s="812"/>
      <c r="E92" s="334">
        <v>291</v>
      </c>
      <c r="G92" s="419"/>
      <c r="I92" s="334">
        <v>19</v>
      </c>
      <c r="J92" s="435">
        <v>19</v>
      </c>
      <c r="K92" s="384">
        <f t="shared" si="7"/>
        <v>0</v>
      </c>
      <c r="L92" s="384">
        <f t="shared" si="7"/>
        <v>0</v>
      </c>
      <c r="M92" s="384">
        <f t="shared" si="7"/>
        <v>100</v>
      </c>
      <c r="N92" s="421">
        <f t="shared" si="5"/>
        <v>100</v>
      </c>
      <c r="O92" s="383"/>
      <c r="P92" s="384"/>
      <c r="Q92" s="384">
        <v>39.4</v>
      </c>
      <c r="R92" s="385">
        <f t="shared" si="6"/>
        <v>39.4</v>
      </c>
      <c r="S92" s="334">
        <v>4</v>
      </c>
      <c r="T92" s="357"/>
      <c r="V92" s="343" t="s">
        <v>493</v>
      </c>
      <c r="W92" s="334" t="s">
        <v>20</v>
      </c>
      <c r="X92" s="334" t="s">
        <v>12</v>
      </c>
      <c r="Y92" s="344">
        <v>39.4</v>
      </c>
      <c r="Z92" s="343"/>
      <c r="AD92" s="343"/>
      <c r="AG92" s="344"/>
      <c r="AH92" s="452"/>
      <c r="AL92" s="343"/>
      <c r="AO92" s="344"/>
      <c r="AP92" s="343"/>
      <c r="AS92" s="344"/>
      <c r="AW92" s="344"/>
      <c r="BA92" s="345"/>
    </row>
    <row r="93" spans="1:53" s="208" customFormat="1" x14ac:dyDescent="0.15">
      <c r="A93" s="208">
        <v>2001</v>
      </c>
      <c r="B93" s="207">
        <v>37183</v>
      </c>
      <c r="C93" s="811" t="s">
        <v>838</v>
      </c>
      <c r="D93" s="811"/>
      <c r="E93" s="208">
        <f>365-E92</f>
        <v>74</v>
      </c>
      <c r="F93" s="208">
        <v>1</v>
      </c>
      <c r="G93" s="123">
        <v>13</v>
      </c>
      <c r="H93" s="208">
        <v>6</v>
      </c>
      <c r="J93" s="134">
        <v>19</v>
      </c>
      <c r="K93" s="92">
        <f t="shared" si="7"/>
        <v>68.421052631578945</v>
      </c>
      <c r="L93" s="92">
        <f t="shared" si="7"/>
        <v>31.578947368421051</v>
      </c>
      <c r="M93" s="92">
        <f t="shared" si="7"/>
        <v>0</v>
      </c>
      <c r="N93" s="125">
        <f t="shared" si="5"/>
        <v>100</v>
      </c>
      <c r="O93" s="91">
        <v>24.2</v>
      </c>
      <c r="P93" s="92">
        <v>13.3</v>
      </c>
      <c r="Q93" s="92"/>
      <c r="R93" s="93">
        <f t="shared" si="6"/>
        <v>37.5</v>
      </c>
      <c r="S93" s="208">
        <v>5</v>
      </c>
      <c r="T93" s="95">
        <v>37144</v>
      </c>
      <c r="U93" s="207">
        <v>37183</v>
      </c>
      <c r="V93" s="82" t="s">
        <v>274</v>
      </c>
      <c r="W93" s="208" t="s">
        <v>17</v>
      </c>
      <c r="X93" s="208" t="s">
        <v>18</v>
      </c>
      <c r="Y93" s="83">
        <v>13.3</v>
      </c>
      <c r="Z93" s="82" t="s">
        <v>494</v>
      </c>
      <c r="AA93" s="208" t="s">
        <v>74</v>
      </c>
      <c r="AB93" s="208" t="s">
        <v>11</v>
      </c>
      <c r="AC93" s="208">
        <v>23</v>
      </c>
      <c r="AD93" s="82" t="s">
        <v>417</v>
      </c>
      <c r="AE93" s="208" t="s">
        <v>22</v>
      </c>
      <c r="AF93" s="208" t="s">
        <v>11</v>
      </c>
      <c r="AG93" s="83">
        <v>1.2</v>
      </c>
      <c r="AH93" s="164"/>
      <c r="AL93" s="82"/>
      <c r="AO93" s="83"/>
      <c r="AP93" s="82"/>
      <c r="AS93" s="83"/>
      <c r="AW93" s="83"/>
      <c r="BA93" s="84"/>
    </row>
    <row r="94" spans="1:53" s="208" customFormat="1" x14ac:dyDescent="0.15">
      <c r="A94" s="208">
        <v>2002</v>
      </c>
      <c r="C94" s="811" t="s">
        <v>838</v>
      </c>
      <c r="D94" s="811"/>
      <c r="E94" s="208">
        <v>0</v>
      </c>
      <c r="G94" s="123">
        <v>13</v>
      </c>
      <c r="H94" s="208">
        <v>6</v>
      </c>
      <c r="J94" s="134">
        <v>19</v>
      </c>
      <c r="K94" s="92">
        <f t="shared" si="7"/>
        <v>68.421052631578945</v>
      </c>
      <c r="L94" s="92">
        <f t="shared" si="7"/>
        <v>31.578947368421051</v>
      </c>
      <c r="M94" s="92">
        <f t="shared" si="7"/>
        <v>0</v>
      </c>
      <c r="N94" s="125">
        <f t="shared" si="5"/>
        <v>100</v>
      </c>
      <c r="O94" s="91">
        <v>24.2</v>
      </c>
      <c r="P94" s="92">
        <v>13.3</v>
      </c>
      <c r="Q94" s="92"/>
      <c r="R94" s="93">
        <f t="shared" si="6"/>
        <v>37.5</v>
      </c>
      <c r="S94" s="208">
        <v>5</v>
      </c>
      <c r="T94" s="81"/>
      <c r="V94" s="82" t="s">
        <v>274</v>
      </c>
      <c r="W94" s="208" t="s">
        <v>17</v>
      </c>
      <c r="X94" s="208" t="s">
        <v>18</v>
      </c>
      <c r="Y94" s="83">
        <v>13.3</v>
      </c>
      <c r="Z94" s="82" t="s">
        <v>494</v>
      </c>
      <c r="AA94" s="208" t="s">
        <v>74</v>
      </c>
      <c r="AB94" s="208" t="s">
        <v>11</v>
      </c>
      <c r="AC94" s="208">
        <v>23</v>
      </c>
      <c r="AD94" s="82" t="s">
        <v>417</v>
      </c>
      <c r="AE94" s="208" t="s">
        <v>22</v>
      </c>
      <c r="AF94" s="208" t="s">
        <v>11</v>
      </c>
      <c r="AG94" s="83">
        <v>1.2</v>
      </c>
      <c r="AH94" s="164"/>
      <c r="AL94" s="82"/>
      <c r="AO94" s="83"/>
      <c r="AP94" s="82"/>
      <c r="AS94" s="83"/>
      <c r="AW94" s="83"/>
      <c r="BA94" s="84"/>
    </row>
    <row r="95" spans="1:53" s="208" customFormat="1" x14ac:dyDescent="0.15">
      <c r="A95" s="208">
        <v>2002</v>
      </c>
      <c r="C95" s="811" t="s">
        <v>838</v>
      </c>
      <c r="D95" s="811"/>
      <c r="E95" s="208">
        <f>365-E94</f>
        <v>365</v>
      </c>
      <c r="G95" s="123">
        <v>13</v>
      </c>
      <c r="H95" s="208">
        <v>6</v>
      </c>
      <c r="J95" s="134">
        <v>19</v>
      </c>
      <c r="K95" s="92">
        <f t="shared" si="7"/>
        <v>68.421052631578945</v>
      </c>
      <c r="L95" s="92">
        <f t="shared" si="7"/>
        <v>31.578947368421051</v>
      </c>
      <c r="M95" s="92">
        <f t="shared" si="7"/>
        <v>0</v>
      </c>
      <c r="N95" s="125">
        <f t="shared" si="5"/>
        <v>100</v>
      </c>
      <c r="O95" s="91">
        <v>24.2</v>
      </c>
      <c r="P95" s="92">
        <v>13.3</v>
      </c>
      <c r="Q95" s="92"/>
      <c r="R95" s="93">
        <f t="shared" si="6"/>
        <v>37.5</v>
      </c>
      <c r="S95" s="208">
        <v>5</v>
      </c>
      <c r="T95" s="81"/>
      <c r="V95" s="82" t="s">
        <v>274</v>
      </c>
      <c r="W95" s="208" t="s">
        <v>17</v>
      </c>
      <c r="X95" s="208" t="s">
        <v>18</v>
      </c>
      <c r="Y95" s="83">
        <v>13.3</v>
      </c>
      <c r="Z95" s="82" t="s">
        <v>494</v>
      </c>
      <c r="AA95" s="208" t="s">
        <v>74</v>
      </c>
      <c r="AB95" s="208" t="s">
        <v>11</v>
      </c>
      <c r="AC95" s="208">
        <v>23</v>
      </c>
      <c r="AD95" s="82" t="s">
        <v>417</v>
      </c>
      <c r="AE95" s="208" t="s">
        <v>22</v>
      </c>
      <c r="AF95" s="208" t="s">
        <v>11</v>
      </c>
      <c r="AG95" s="83">
        <v>1.2</v>
      </c>
      <c r="AH95" s="164"/>
      <c r="AL95" s="82"/>
      <c r="AO95" s="83"/>
      <c r="AP95" s="82"/>
      <c r="AS95" s="83"/>
      <c r="AW95" s="83"/>
      <c r="BA95" s="84"/>
    </row>
    <row r="96" spans="1:53" s="208" customFormat="1" x14ac:dyDescent="0.15">
      <c r="A96" s="208">
        <v>2003</v>
      </c>
      <c r="C96" s="811" t="s">
        <v>838</v>
      </c>
      <c r="D96" s="811"/>
      <c r="E96" s="208">
        <v>0</v>
      </c>
      <c r="G96" s="123">
        <v>13</v>
      </c>
      <c r="H96" s="208">
        <v>6</v>
      </c>
      <c r="J96" s="134">
        <v>19</v>
      </c>
      <c r="K96" s="92">
        <f t="shared" si="7"/>
        <v>68.421052631578945</v>
      </c>
      <c r="L96" s="92">
        <f t="shared" si="7"/>
        <v>31.578947368421051</v>
      </c>
      <c r="M96" s="92">
        <f t="shared" si="7"/>
        <v>0</v>
      </c>
      <c r="N96" s="125">
        <f t="shared" si="5"/>
        <v>100</v>
      </c>
      <c r="O96" s="91">
        <v>24.2</v>
      </c>
      <c r="P96" s="92">
        <v>13.3</v>
      </c>
      <c r="Q96" s="92"/>
      <c r="R96" s="93">
        <f t="shared" si="6"/>
        <v>37.5</v>
      </c>
      <c r="S96" s="208">
        <v>5</v>
      </c>
      <c r="T96" s="81"/>
      <c r="V96" s="82" t="s">
        <v>274</v>
      </c>
      <c r="W96" s="208" t="s">
        <v>17</v>
      </c>
      <c r="X96" s="208" t="s">
        <v>18</v>
      </c>
      <c r="Y96" s="83">
        <v>13.3</v>
      </c>
      <c r="Z96" s="82" t="s">
        <v>494</v>
      </c>
      <c r="AA96" s="208" t="s">
        <v>74</v>
      </c>
      <c r="AB96" s="208" t="s">
        <v>11</v>
      </c>
      <c r="AC96" s="208">
        <v>23</v>
      </c>
      <c r="AD96" s="82" t="s">
        <v>417</v>
      </c>
      <c r="AE96" s="208" t="s">
        <v>22</v>
      </c>
      <c r="AF96" s="208" t="s">
        <v>11</v>
      </c>
      <c r="AG96" s="83">
        <v>1.2</v>
      </c>
      <c r="AH96" s="164"/>
      <c r="AL96" s="82"/>
      <c r="AO96" s="83"/>
      <c r="AP96" s="82"/>
      <c r="AS96" s="83"/>
      <c r="AW96" s="83"/>
      <c r="BA96" s="84"/>
    </row>
    <row r="97" spans="1:53" s="208" customFormat="1" x14ac:dyDescent="0.15">
      <c r="A97" s="208">
        <v>2003</v>
      </c>
      <c r="C97" s="811" t="s">
        <v>838</v>
      </c>
      <c r="D97" s="811"/>
      <c r="E97" s="208">
        <f>365-E96</f>
        <v>365</v>
      </c>
      <c r="G97" s="123">
        <v>13</v>
      </c>
      <c r="H97" s="208">
        <v>6</v>
      </c>
      <c r="J97" s="134">
        <v>19</v>
      </c>
      <c r="K97" s="92">
        <f t="shared" si="7"/>
        <v>68.421052631578945</v>
      </c>
      <c r="L97" s="92">
        <f t="shared" si="7"/>
        <v>31.578947368421051</v>
      </c>
      <c r="M97" s="92">
        <f t="shared" si="7"/>
        <v>0</v>
      </c>
      <c r="N97" s="125">
        <f t="shared" si="5"/>
        <v>100</v>
      </c>
      <c r="O97" s="91">
        <v>24.2</v>
      </c>
      <c r="P97" s="92">
        <v>13.3</v>
      </c>
      <c r="Q97" s="92"/>
      <c r="R97" s="93">
        <f t="shared" si="6"/>
        <v>37.5</v>
      </c>
      <c r="S97" s="208">
        <v>5</v>
      </c>
      <c r="T97" s="81"/>
      <c r="V97" s="82" t="s">
        <v>274</v>
      </c>
      <c r="W97" s="208" t="s">
        <v>17</v>
      </c>
      <c r="X97" s="208" t="s">
        <v>18</v>
      </c>
      <c r="Y97" s="83">
        <v>13.3</v>
      </c>
      <c r="Z97" s="82" t="s">
        <v>494</v>
      </c>
      <c r="AA97" s="208" t="s">
        <v>74</v>
      </c>
      <c r="AB97" s="208" t="s">
        <v>11</v>
      </c>
      <c r="AC97" s="208">
        <v>23</v>
      </c>
      <c r="AD97" s="82" t="s">
        <v>417</v>
      </c>
      <c r="AE97" s="208" t="s">
        <v>22</v>
      </c>
      <c r="AF97" s="208" t="s">
        <v>11</v>
      </c>
      <c r="AG97" s="83">
        <v>1.2</v>
      </c>
      <c r="AH97" s="164"/>
      <c r="AL97" s="82"/>
      <c r="AO97" s="83"/>
      <c r="AP97" s="82"/>
      <c r="AS97" s="83"/>
      <c r="AW97" s="83"/>
      <c r="BA97" s="84"/>
    </row>
    <row r="98" spans="1:53" s="208" customFormat="1" x14ac:dyDescent="0.15">
      <c r="A98" s="208">
        <v>2004</v>
      </c>
      <c r="C98" s="811" t="s">
        <v>838</v>
      </c>
      <c r="D98" s="811"/>
      <c r="E98" s="208">
        <v>0</v>
      </c>
      <c r="G98" s="123">
        <v>13</v>
      </c>
      <c r="H98" s="208">
        <v>6</v>
      </c>
      <c r="J98" s="134">
        <v>19</v>
      </c>
      <c r="K98" s="92">
        <f t="shared" si="7"/>
        <v>68.421052631578945</v>
      </c>
      <c r="L98" s="92">
        <f t="shared" si="7"/>
        <v>31.578947368421051</v>
      </c>
      <c r="M98" s="92">
        <f t="shared" si="7"/>
        <v>0</v>
      </c>
      <c r="N98" s="125">
        <f t="shared" si="5"/>
        <v>100</v>
      </c>
      <c r="O98" s="91">
        <v>24.2</v>
      </c>
      <c r="P98" s="92">
        <v>13.3</v>
      </c>
      <c r="Q98" s="92"/>
      <c r="R98" s="93">
        <f t="shared" si="6"/>
        <v>37.5</v>
      </c>
      <c r="S98" s="208">
        <v>5</v>
      </c>
      <c r="T98" s="81"/>
      <c r="V98" s="82" t="s">
        <v>274</v>
      </c>
      <c r="W98" s="208" t="s">
        <v>17</v>
      </c>
      <c r="X98" s="208" t="s">
        <v>18</v>
      </c>
      <c r="Y98" s="83">
        <v>13.3</v>
      </c>
      <c r="Z98" s="82" t="s">
        <v>494</v>
      </c>
      <c r="AA98" s="208" t="s">
        <v>74</v>
      </c>
      <c r="AB98" s="208" t="s">
        <v>11</v>
      </c>
      <c r="AC98" s="208">
        <v>23</v>
      </c>
      <c r="AD98" s="82" t="s">
        <v>417</v>
      </c>
      <c r="AE98" s="208" t="s">
        <v>22</v>
      </c>
      <c r="AF98" s="208" t="s">
        <v>11</v>
      </c>
      <c r="AG98" s="83">
        <v>1.2</v>
      </c>
      <c r="AH98" s="164"/>
      <c r="AL98" s="82"/>
      <c r="AO98" s="83"/>
      <c r="AP98" s="82"/>
      <c r="AS98" s="83"/>
      <c r="AW98" s="83"/>
      <c r="BA98" s="84"/>
    </row>
    <row r="99" spans="1:53" s="208" customFormat="1" x14ac:dyDescent="0.15">
      <c r="A99" s="208">
        <v>2004</v>
      </c>
      <c r="C99" s="811" t="s">
        <v>838</v>
      </c>
      <c r="D99" s="811"/>
      <c r="E99" s="208">
        <v>366</v>
      </c>
      <c r="G99" s="123">
        <v>13</v>
      </c>
      <c r="H99" s="208">
        <v>6</v>
      </c>
      <c r="J99" s="134">
        <v>19</v>
      </c>
      <c r="K99" s="92">
        <f t="shared" si="7"/>
        <v>68.421052631578945</v>
      </c>
      <c r="L99" s="92">
        <f t="shared" si="7"/>
        <v>31.578947368421051</v>
      </c>
      <c r="M99" s="92">
        <f t="shared" si="7"/>
        <v>0</v>
      </c>
      <c r="N99" s="125">
        <f t="shared" si="5"/>
        <v>100</v>
      </c>
      <c r="O99" s="91">
        <v>24.2</v>
      </c>
      <c r="P99" s="92">
        <v>13.3</v>
      </c>
      <c r="Q99" s="92"/>
      <c r="R99" s="93">
        <f t="shared" si="6"/>
        <v>37.5</v>
      </c>
      <c r="S99" s="208">
        <v>5</v>
      </c>
      <c r="T99" s="81"/>
      <c r="V99" s="82" t="s">
        <v>274</v>
      </c>
      <c r="W99" s="208" t="s">
        <v>17</v>
      </c>
      <c r="X99" s="208" t="s">
        <v>18</v>
      </c>
      <c r="Y99" s="83">
        <v>13.3</v>
      </c>
      <c r="Z99" s="82" t="s">
        <v>494</v>
      </c>
      <c r="AA99" s="208" t="s">
        <v>74</v>
      </c>
      <c r="AB99" s="208" t="s">
        <v>11</v>
      </c>
      <c r="AC99" s="208">
        <v>23</v>
      </c>
      <c r="AD99" s="82" t="s">
        <v>417</v>
      </c>
      <c r="AE99" s="208" t="s">
        <v>22</v>
      </c>
      <c r="AF99" s="208" t="s">
        <v>11</v>
      </c>
      <c r="AG99" s="83">
        <v>1.2</v>
      </c>
      <c r="AH99" s="164"/>
      <c r="AL99" s="82"/>
      <c r="AO99" s="83"/>
      <c r="AP99" s="82"/>
      <c r="AS99" s="83"/>
      <c r="AW99" s="83"/>
      <c r="BA99" s="84"/>
    </row>
    <row r="100" spans="1:53" s="208" customFormat="1" x14ac:dyDescent="0.15">
      <c r="A100" s="208">
        <v>2005</v>
      </c>
      <c r="C100" s="811" t="s">
        <v>838</v>
      </c>
      <c r="D100" s="811"/>
      <c r="E100" s="208">
        <f>365-E101</f>
        <v>289</v>
      </c>
      <c r="G100" s="123">
        <v>13</v>
      </c>
      <c r="H100" s="208">
        <v>6</v>
      </c>
      <c r="J100" s="134">
        <v>19</v>
      </c>
      <c r="K100" s="92">
        <f t="shared" si="7"/>
        <v>68.421052631578945</v>
      </c>
      <c r="L100" s="92">
        <f t="shared" si="7"/>
        <v>31.578947368421051</v>
      </c>
      <c r="M100" s="92">
        <f t="shared" si="7"/>
        <v>0</v>
      </c>
      <c r="N100" s="125">
        <f t="shared" si="5"/>
        <v>100</v>
      </c>
      <c r="O100" s="91">
        <v>24.2</v>
      </c>
      <c r="P100" s="92">
        <v>13.3</v>
      </c>
      <c r="Q100" s="92"/>
      <c r="R100" s="93">
        <f t="shared" si="6"/>
        <v>37.5</v>
      </c>
      <c r="S100" s="208">
        <v>5</v>
      </c>
      <c r="T100" s="81"/>
      <c r="V100" s="82" t="s">
        <v>274</v>
      </c>
      <c r="W100" s="208" t="s">
        <v>17</v>
      </c>
      <c r="X100" s="208" t="s">
        <v>18</v>
      </c>
      <c r="Y100" s="83">
        <v>13.3</v>
      </c>
      <c r="Z100" s="82" t="s">
        <v>494</v>
      </c>
      <c r="AA100" s="208" t="s">
        <v>74</v>
      </c>
      <c r="AB100" s="208" t="s">
        <v>11</v>
      </c>
      <c r="AC100" s="208">
        <v>23</v>
      </c>
      <c r="AD100" s="82" t="s">
        <v>417</v>
      </c>
      <c r="AE100" s="208" t="s">
        <v>22</v>
      </c>
      <c r="AF100" s="208" t="s">
        <v>11</v>
      </c>
      <c r="AG100" s="83">
        <v>1.2</v>
      </c>
      <c r="AH100" s="164"/>
      <c r="AL100" s="82"/>
      <c r="AO100" s="83"/>
      <c r="AP100" s="82"/>
      <c r="AS100" s="83"/>
      <c r="AW100" s="83"/>
      <c r="BA100" s="84"/>
    </row>
    <row r="101" spans="1:53" s="334" customFormat="1" x14ac:dyDescent="0.15">
      <c r="A101" s="334">
        <v>2005</v>
      </c>
      <c r="B101" s="355">
        <v>38642</v>
      </c>
      <c r="C101" s="812" t="s">
        <v>836</v>
      </c>
      <c r="D101" s="812"/>
      <c r="E101" s="334">
        <v>76</v>
      </c>
      <c r="F101" s="334">
        <v>1</v>
      </c>
      <c r="G101" s="419"/>
      <c r="H101" s="334">
        <v>4</v>
      </c>
      <c r="I101" s="334">
        <v>15</v>
      </c>
      <c r="J101" s="435">
        <v>19</v>
      </c>
      <c r="K101" s="384">
        <f t="shared" si="7"/>
        <v>0</v>
      </c>
      <c r="L101" s="384">
        <f t="shared" si="7"/>
        <v>21.052631578947366</v>
      </c>
      <c r="M101" s="384">
        <f t="shared" si="7"/>
        <v>78.94736842105263</v>
      </c>
      <c r="N101" s="421">
        <f t="shared" si="5"/>
        <v>100</v>
      </c>
      <c r="O101" s="383"/>
      <c r="P101" s="384">
        <v>6.5</v>
      </c>
      <c r="Q101" s="384">
        <v>45</v>
      </c>
      <c r="R101" s="385">
        <f t="shared" si="6"/>
        <v>51.5</v>
      </c>
      <c r="S101" s="334">
        <v>2</v>
      </c>
      <c r="T101" s="342">
        <v>38607</v>
      </c>
      <c r="U101" s="355">
        <v>38642</v>
      </c>
      <c r="V101" s="343" t="s">
        <v>493</v>
      </c>
      <c r="W101" s="334" t="s">
        <v>20</v>
      </c>
      <c r="X101" s="334" t="s">
        <v>12</v>
      </c>
      <c r="Y101" s="344">
        <v>36.1</v>
      </c>
      <c r="Z101" s="343" t="s">
        <v>84</v>
      </c>
      <c r="AA101" s="334" t="s">
        <v>75</v>
      </c>
      <c r="AB101" s="334" t="s">
        <v>18</v>
      </c>
      <c r="AC101" s="334">
        <v>6.5</v>
      </c>
      <c r="AD101" s="343" t="s">
        <v>495</v>
      </c>
      <c r="AE101" s="334" t="s">
        <v>116</v>
      </c>
      <c r="AF101" s="334" t="s">
        <v>12</v>
      </c>
      <c r="AG101" s="344">
        <v>8.9</v>
      </c>
      <c r="AH101" s="452"/>
      <c r="AL101" s="343"/>
      <c r="AO101" s="344"/>
      <c r="AP101" s="343"/>
      <c r="AS101" s="344"/>
      <c r="AW101" s="344"/>
      <c r="BA101" s="345"/>
    </row>
    <row r="102" spans="1:53" s="334" customFormat="1" x14ac:dyDescent="0.15">
      <c r="A102" s="334">
        <v>2006</v>
      </c>
      <c r="C102" s="812" t="s">
        <v>836</v>
      </c>
      <c r="D102" s="812"/>
      <c r="E102" s="334">
        <v>0</v>
      </c>
      <c r="G102" s="419"/>
      <c r="H102" s="334">
        <v>4</v>
      </c>
      <c r="I102" s="334">
        <v>15</v>
      </c>
      <c r="J102" s="435">
        <v>19</v>
      </c>
      <c r="K102" s="384">
        <f t="shared" si="7"/>
        <v>0</v>
      </c>
      <c r="L102" s="384">
        <f t="shared" si="7"/>
        <v>21.052631578947366</v>
      </c>
      <c r="M102" s="384">
        <f t="shared" si="7"/>
        <v>78.94736842105263</v>
      </c>
      <c r="N102" s="421">
        <f t="shared" si="5"/>
        <v>100</v>
      </c>
      <c r="O102" s="383"/>
      <c r="P102" s="384">
        <v>6.5</v>
      </c>
      <c r="Q102" s="384">
        <v>45</v>
      </c>
      <c r="R102" s="385">
        <f t="shared" si="6"/>
        <v>51.5</v>
      </c>
      <c r="S102" s="334">
        <v>2</v>
      </c>
      <c r="T102" s="357"/>
      <c r="V102" s="343" t="s">
        <v>493</v>
      </c>
      <c r="W102" s="334" t="s">
        <v>20</v>
      </c>
      <c r="X102" s="334" t="s">
        <v>12</v>
      </c>
      <c r="Y102" s="344">
        <v>36.1</v>
      </c>
      <c r="Z102" s="343" t="s">
        <v>84</v>
      </c>
      <c r="AA102" s="334" t="s">
        <v>75</v>
      </c>
      <c r="AB102" s="334" t="s">
        <v>18</v>
      </c>
      <c r="AC102" s="334">
        <v>6.5</v>
      </c>
      <c r="AD102" s="343" t="s">
        <v>495</v>
      </c>
      <c r="AE102" s="334" t="s">
        <v>116</v>
      </c>
      <c r="AF102" s="334" t="s">
        <v>12</v>
      </c>
      <c r="AG102" s="344">
        <v>8.9</v>
      </c>
      <c r="AH102" s="452"/>
      <c r="AL102" s="343"/>
      <c r="AO102" s="344"/>
      <c r="AP102" s="343"/>
      <c r="AS102" s="344"/>
      <c r="AW102" s="344"/>
      <c r="BA102" s="345"/>
    </row>
    <row r="103" spans="1:53" s="334" customFormat="1" x14ac:dyDescent="0.15">
      <c r="A103" s="334">
        <v>2006</v>
      </c>
      <c r="C103" s="812" t="s">
        <v>836</v>
      </c>
      <c r="D103" s="812"/>
      <c r="E103" s="334">
        <v>365</v>
      </c>
      <c r="G103" s="419"/>
      <c r="H103" s="334">
        <v>4</v>
      </c>
      <c r="I103" s="334">
        <v>15</v>
      </c>
      <c r="J103" s="435">
        <v>19</v>
      </c>
      <c r="K103" s="384">
        <f t="shared" si="7"/>
        <v>0</v>
      </c>
      <c r="L103" s="384">
        <f t="shared" si="7"/>
        <v>21.052631578947366</v>
      </c>
      <c r="M103" s="384">
        <f t="shared" si="7"/>
        <v>78.94736842105263</v>
      </c>
      <c r="N103" s="421">
        <f t="shared" si="5"/>
        <v>100</v>
      </c>
      <c r="O103" s="383"/>
      <c r="P103" s="384">
        <v>6.5</v>
      </c>
      <c r="Q103" s="384">
        <v>45</v>
      </c>
      <c r="R103" s="385">
        <f t="shared" si="6"/>
        <v>51.5</v>
      </c>
      <c r="S103" s="334">
        <v>2</v>
      </c>
      <c r="T103" s="357"/>
      <c r="V103" s="343" t="s">
        <v>493</v>
      </c>
      <c r="W103" s="334" t="s">
        <v>20</v>
      </c>
      <c r="X103" s="334" t="s">
        <v>12</v>
      </c>
      <c r="Y103" s="344">
        <v>36.1</v>
      </c>
      <c r="Z103" s="343" t="s">
        <v>84</v>
      </c>
      <c r="AA103" s="334" t="s">
        <v>75</v>
      </c>
      <c r="AB103" s="334" t="s">
        <v>18</v>
      </c>
      <c r="AC103" s="334">
        <v>6.5</v>
      </c>
      <c r="AD103" s="343" t="s">
        <v>495</v>
      </c>
      <c r="AE103" s="334" t="s">
        <v>116</v>
      </c>
      <c r="AF103" s="334" t="s">
        <v>12</v>
      </c>
      <c r="AG103" s="344">
        <v>8.9</v>
      </c>
      <c r="AH103" s="452"/>
      <c r="AL103" s="343"/>
      <c r="AO103" s="344"/>
      <c r="AP103" s="343"/>
      <c r="AS103" s="344"/>
      <c r="AW103" s="344"/>
      <c r="BA103" s="345"/>
    </row>
    <row r="104" spans="1:53" s="334" customFormat="1" x14ac:dyDescent="0.15">
      <c r="A104" s="334">
        <v>2007</v>
      </c>
      <c r="C104" s="812" t="s">
        <v>836</v>
      </c>
      <c r="D104" s="812"/>
      <c r="E104" s="334">
        <v>0</v>
      </c>
      <c r="G104" s="419"/>
      <c r="H104" s="334">
        <v>4</v>
      </c>
      <c r="I104" s="334">
        <v>15</v>
      </c>
      <c r="J104" s="435">
        <v>19</v>
      </c>
      <c r="K104" s="384">
        <f t="shared" si="7"/>
        <v>0</v>
      </c>
      <c r="L104" s="384">
        <f t="shared" si="7"/>
        <v>21.052631578947366</v>
      </c>
      <c r="M104" s="384">
        <f t="shared" si="7"/>
        <v>78.94736842105263</v>
      </c>
      <c r="N104" s="421">
        <f t="shared" si="5"/>
        <v>100</v>
      </c>
      <c r="O104" s="383"/>
      <c r="P104" s="384">
        <v>6.5</v>
      </c>
      <c r="Q104" s="384">
        <v>45</v>
      </c>
      <c r="R104" s="385">
        <f t="shared" si="6"/>
        <v>51.5</v>
      </c>
      <c r="S104" s="334">
        <v>2</v>
      </c>
      <c r="T104" s="357"/>
      <c r="V104" s="343" t="s">
        <v>493</v>
      </c>
      <c r="W104" s="334" t="s">
        <v>20</v>
      </c>
      <c r="X104" s="334" t="s">
        <v>12</v>
      </c>
      <c r="Y104" s="344">
        <v>36.1</v>
      </c>
      <c r="Z104" s="343" t="s">
        <v>84</v>
      </c>
      <c r="AA104" s="334" t="s">
        <v>75</v>
      </c>
      <c r="AB104" s="334" t="s">
        <v>18</v>
      </c>
      <c r="AC104" s="334">
        <v>6.5</v>
      </c>
      <c r="AD104" s="343" t="s">
        <v>495</v>
      </c>
      <c r="AE104" s="334" t="s">
        <v>116</v>
      </c>
      <c r="AF104" s="334" t="s">
        <v>12</v>
      </c>
      <c r="AG104" s="344">
        <v>8.9</v>
      </c>
      <c r="AH104" s="452"/>
      <c r="AL104" s="343"/>
      <c r="AO104" s="344"/>
      <c r="AP104" s="343"/>
      <c r="AS104" s="344"/>
      <c r="AW104" s="344"/>
      <c r="BA104" s="345"/>
    </row>
    <row r="105" spans="1:53" s="334" customFormat="1" x14ac:dyDescent="0.15">
      <c r="A105" s="334">
        <v>2007</v>
      </c>
      <c r="C105" s="812" t="s">
        <v>836</v>
      </c>
      <c r="D105" s="812"/>
      <c r="E105" s="334">
        <v>365</v>
      </c>
      <c r="G105" s="419"/>
      <c r="H105" s="334">
        <v>4</v>
      </c>
      <c r="I105" s="334">
        <v>15</v>
      </c>
      <c r="J105" s="435">
        <v>19</v>
      </c>
      <c r="K105" s="384">
        <f t="shared" si="7"/>
        <v>0</v>
      </c>
      <c r="L105" s="384">
        <f t="shared" si="7"/>
        <v>21.052631578947366</v>
      </c>
      <c r="M105" s="384">
        <f t="shared" si="7"/>
        <v>78.94736842105263</v>
      </c>
      <c r="N105" s="421">
        <f t="shared" si="5"/>
        <v>100</v>
      </c>
      <c r="O105" s="383"/>
      <c r="P105" s="384">
        <v>6.5</v>
      </c>
      <c r="Q105" s="384">
        <v>45</v>
      </c>
      <c r="R105" s="385">
        <f t="shared" si="6"/>
        <v>51.5</v>
      </c>
      <c r="S105" s="334">
        <v>2</v>
      </c>
      <c r="T105" s="357"/>
      <c r="V105" s="343" t="s">
        <v>493</v>
      </c>
      <c r="W105" s="334" t="s">
        <v>20</v>
      </c>
      <c r="X105" s="334" t="s">
        <v>12</v>
      </c>
      <c r="Y105" s="344">
        <v>36.1</v>
      </c>
      <c r="Z105" s="343" t="s">
        <v>84</v>
      </c>
      <c r="AA105" s="334" t="s">
        <v>75</v>
      </c>
      <c r="AB105" s="334" t="s">
        <v>18</v>
      </c>
      <c r="AC105" s="334">
        <v>6.5</v>
      </c>
      <c r="AD105" s="343" t="s">
        <v>495</v>
      </c>
      <c r="AE105" s="334" t="s">
        <v>116</v>
      </c>
      <c r="AF105" s="334" t="s">
        <v>12</v>
      </c>
      <c r="AG105" s="344">
        <v>8.9</v>
      </c>
      <c r="AH105" s="452"/>
      <c r="AL105" s="343"/>
      <c r="AO105" s="344"/>
      <c r="AP105" s="343"/>
      <c r="AS105" s="344"/>
      <c r="AW105" s="344"/>
      <c r="BA105" s="345"/>
    </row>
    <row r="106" spans="1:53" s="334" customFormat="1" x14ac:dyDescent="0.15">
      <c r="A106" s="334">
        <v>2008</v>
      </c>
      <c r="C106" s="812" t="s">
        <v>836</v>
      </c>
      <c r="D106" s="812"/>
      <c r="E106" s="334">
        <v>0</v>
      </c>
      <c r="G106" s="419"/>
      <c r="H106" s="334">
        <v>4</v>
      </c>
      <c r="I106" s="334">
        <v>15</v>
      </c>
      <c r="J106" s="435">
        <v>19</v>
      </c>
      <c r="K106" s="384">
        <f t="shared" si="7"/>
        <v>0</v>
      </c>
      <c r="L106" s="384">
        <f t="shared" si="7"/>
        <v>21.052631578947366</v>
      </c>
      <c r="M106" s="384">
        <f t="shared" si="7"/>
        <v>78.94736842105263</v>
      </c>
      <c r="N106" s="421">
        <f t="shared" si="5"/>
        <v>100</v>
      </c>
      <c r="O106" s="383"/>
      <c r="P106" s="384">
        <v>6.5</v>
      </c>
      <c r="Q106" s="384">
        <v>45</v>
      </c>
      <c r="R106" s="385">
        <f t="shared" si="6"/>
        <v>51.5</v>
      </c>
      <c r="S106" s="334">
        <v>2</v>
      </c>
      <c r="T106" s="357"/>
      <c r="V106" s="343" t="s">
        <v>493</v>
      </c>
      <c r="W106" s="334" t="s">
        <v>20</v>
      </c>
      <c r="X106" s="334" t="s">
        <v>12</v>
      </c>
      <c r="Y106" s="344">
        <v>36.1</v>
      </c>
      <c r="Z106" s="343" t="s">
        <v>84</v>
      </c>
      <c r="AA106" s="334" t="s">
        <v>75</v>
      </c>
      <c r="AB106" s="334" t="s">
        <v>18</v>
      </c>
      <c r="AC106" s="334">
        <v>6.5</v>
      </c>
      <c r="AD106" s="343" t="s">
        <v>495</v>
      </c>
      <c r="AE106" s="334" t="s">
        <v>116</v>
      </c>
      <c r="AF106" s="334" t="s">
        <v>12</v>
      </c>
      <c r="AG106" s="344">
        <v>8.9</v>
      </c>
      <c r="AH106" s="452"/>
      <c r="AL106" s="343"/>
      <c r="AO106" s="344"/>
      <c r="AP106" s="343"/>
      <c r="AS106" s="344"/>
      <c r="AW106" s="344"/>
      <c r="BA106" s="345"/>
    </row>
    <row r="107" spans="1:53" s="334" customFormat="1" x14ac:dyDescent="0.15">
      <c r="A107" s="334">
        <v>2008</v>
      </c>
      <c r="C107" s="812" t="s">
        <v>836</v>
      </c>
      <c r="D107" s="812"/>
      <c r="E107" s="334">
        <v>366</v>
      </c>
      <c r="G107" s="419"/>
      <c r="H107" s="334">
        <v>4</v>
      </c>
      <c r="I107" s="334">
        <v>15</v>
      </c>
      <c r="J107" s="435">
        <v>19</v>
      </c>
      <c r="K107" s="384">
        <f t="shared" si="7"/>
        <v>0</v>
      </c>
      <c r="L107" s="384">
        <f t="shared" si="7"/>
        <v>21.052631578947366</v>
      </c>
      <c r="M107" s="384">
        <f t="shared" si="7"/>
        <v>78.94736842105263</v>
      </c>
      <c r="N107" s="421">
        <f t="shared" si="5"/>
        <v>100</v>
      </c>
      <c r="O107" s="383"/>
      <c r="P107" s="384">
        <v>6.5</v>
      </c>
      <c r="Q107" s="384">
        <v>45</v>
      </c>
      <c r="R107" s="385">
        <f t="shared" si="6"/>
        <v>51.5</v>
      </c>
      <c r="S107" s="334">
        <v>2</v>
      </c>
      <c r="T107" s="357"/>
      <c r="V107" s="343" t="s">
        <v>493</v>
      </c>
      <c r="W107" s="334" t="s">
        <v>20</v>
      </c>
      <c r="X107" s="334" t="s">
        <v>12</v>
      </c>
      <c r="Y107" s="344">
        <v>36.1</v>
      </c>
      <c r="Z107" s="343" t="s">
        <v>84</v>
      </c>
      <c r="AA107" s="334" t="s">
        <v>75</v>
      </c>
      <c r="AB107" s="334" t="s">
        <v>18</v>
      </c>
      <c r="AC107" s="334">
        <v>6.5</v>
      </c>
      <c r="AD107" s="343" t="s">
        <v>495</v>
      </c>
      <c r="AE107" s="334" t="s">
        <v>116</v>
      </c>
      <c r="AF107" s="334" t="s">
        <v>12</v>
      </c>
      <c r="AG107" s="344">
        <v>8.9</v>
      </c>
      <c r="AH107" s="452"/>
      <c r="AL107" s="343"/>
      <c r="AO107" s="344"/>
      <c r="AP107" s="343"/>
      <c r="AS107" s="344"/>
      <c r="AW107" s="344"/>
      <c r="BA107" s="345"/>
    </row>
    <row r="108" spans="1:53" s="334" customFormat="1" x14ac:dyDescent="0.15">
      <c r="A108" s="334">
        <v>2009</v>
      </c>
      <c r="C108" s="812" t="s">
        <v>836</v>
      </c>
      <c r="D108" s="812"/>
      <c r="E108" s="334">
        <v>292</v>
      </c>
      <c r="G108" s="419"/>
      <c r="H108" s="334">
        <v>4</v>
      </c>
      <c r="I108" s="334">
        <v>15</v>
      </c>
      <c r="J108" s="435">
        <v>19</v>
      </c>
      <c r="K108" s="384">
        <f t="shared" si="7"/>
        <v>0</v>
      </c>
      <c r="L108" s="384">
        <f t="shared" si="7"/>
        <v>21.052631578947366</v>
      </c>
      <c r="M108" s="384">
        <f t="shared" si="7"/>
        <v>78.94736842105263</v>
      </c>
      <c r="N108" s="421">
        <f t="shared" si="5"/>
        <v>100</v>
      </c>
      <c r="O108" s="383"/>
      <c r="P108" s="384">
        <v>6.5</v>
      </c>
      <c r="Q108" s="384">
        <v>45</v>
      </c>
      <c r="R108" s="385">
        <f t="shared" si="6"/>
        <v>51.5</v>
      </c>
      <c r="S108" s="334">
        <v>2</v>
      </c>
      <c r="T108" s="357"/>
      <c r="V108" s="343" t="s">
        <v>493</v>
      </c>
      <c r="W108" s="334" t="s">
        <v>20</v>
      </c>
      <c r="X108" s="334" t="s">
        <v>12</v>
      </c>
      <c r="Y108" s="344">
        <v>36.1</v>
      </c>
      <c r="Z108" s="343" t="s">
        <v>84</v>
      </c>
      <c r="AA108" s="334" t="s">
        <v>75</v>
      </c>
      <c r="AB108" s="334" t="s">
        <v>18</v>
      </c>
      <c r="AC108" s="334">
        <v>6.5</v>
      </c>
      <c r="AD108" s="343" t="s">
        <v>495</v>
      </c>
      <c r="AE108" s="334" t="s">
        <v>116</v>
      </c>
      <c r="AF108" s="334" t="s">
        <v>12</v>
      </c>
      <c r="AG108" s="344">
        <v>8.9</v>
      </c>
      <c r="AH108" s="452"/>
      <c r="AL108" s="343"/>
      <c r="AO108" s="344"/>
      <c r="AP108" s="343"/>
      <c r="AS108" s="344"/>
      <c r="AW108" s="344"/>
      <c r="BA108" s="345"/>
    </row>
    <row r="109" spans="1:53" s="208" customFormat="1" x14ac:dyDescent="0.15">
      <c r="A109" s="208">
        <v>2009</v>
      </c>
      <c r="B109" s="207">
        <v>40106</v>
      </c>
      <c r="C109" s="811" t="s">
        <v>837</v>
      </c>
      <c r="D109" s="811"/>
      <c r="E109" s="208">
        <v>73</v>
      </c>
      <c r="F109" s="208">
        <v>1</v>
      </c>
      <c r="G109" s="123"/>
      <c r="H109" s="208">
        <v>4</v>
      </c>
      <c r="I109" s="208">
        <v>16</v>
      </c>
      <c r="J109" s="134">
        <v>20</v>
      </c>
      <c r="K109" s="92">
        <f t="shared" si="7"/>
        <v>0</v>
      </c>
      <c r="L109" s="92">
        <f t="shared" si="7"/>
        <v>20</v>
      </c>
      <c r="M109" s="92">
        <f t="shared" si="7"/>
        <v>80</v>
      </c>
      <c r="N109" s="125">
        <f t="shared" si="5"/>
        <v>100</v>
      </c>
      <c r="O109" s="91"/>
      <c r="P109" s="92">
        <v>6.5</v>
      </c>
      <c r="Q109" s="92">
        <v>44.4</v>
      </c>
      <c r="R109" s="93">
        <f t="shared" si="6"/>
        <v>50.9</v>
      </c>
      <c r="S109" s="208">
        <v>2</v>
      </c>
      <c r="T109" s="95">
        <v>40070</v>
      </c>
      <c r="U109" s="207">
        <v>40106</v>
      </c>
      <c r="V109" s="82" t="s">
        <v>493</v>
      </c>
      <c r="W109" s="208" t="s">
        <v>20</v>
      </c>
      <c r="X109" s="208" t="s">
        <v>12</v>
      </c>
      <c r="Y109" s="83">
        <v>37.9</v>
      </c>
      <c r="Z109" s="82" t="s">
        <v>84</v>
      </c>
      <c r="AA109" s="208" t="s">
        <v>75</v>
      </c>
      <c r="AB109" s="208" t="s">
        <v>18</v>
      </c>
      <c r="AC109" s="208">
        <v>6.5</v>
      </c>
      <c r="AD109" s="82" t="s">
        <v>495</v>
      </c>
      <c r="AE109" s="208" t="s">
        <v>116</v>
      </c>
      <c r="AF109" s="208" t="s">
        <v>12</v>
      </c>
      <c r="AG109" s="83">
        <v>6.5</v>
      </c>
      <c r="AH109" s="164"/>
      <c r="AL109" s="82"/>
      <c r="AO109" s="83"/>
      <c r="AP109" s="82"/>
      <c r="AS109" s="83"/>
      <c r="AW109" s="83"/>
      <c r="BA109" s="84"/>
    </row>
    <row r="110" spans="1:53" s="208" customFormat="1" x14ac:dyDescent="0.15">
      <c r="A110" s="208">
        <v>2010</v>
      </c>
      <c r="C110" s="811" t="s">
        <v>837</v>
      </c>
      <c r="D110" s="811"/>
      <c r="E110" s="208">
        <v>0</v>
      </c>
      <c r="G110" s="123"/>
      <c r="H110" s="208">
        <v>4</v>
      </c>
      <c r="I110" s="208">
        <v>16</v>
      </c>
      <c r="J110" s="134">
        <v>20</v>
      </c>
      <c r="K110" s="92">
        <f t="shared" si="7"/>
        <v>0</v>
      </c>
      <c r="L110" s="92">
        <f t="shared" si="7"/>
        <v>20</v>
      </c>
      <c r="M110" s="92">
        <f t="shared" si="7"/>
        <v>80</v>
      </c>
      <c r="N110" s="125">
        <f t="shared" si="5"/>
        <v>100</v>
      </c>
      <c r="O110" s="91"/>
      <c r="P110" s="92">
        <v>6.5</v>
      </c>
      <c r="Q110" s="92">
        <v>44.4</v>
      </c>
      <c r="R110" s="93">
        <f t="shared" si="6"/>
        <v>50.9</v>
      </c>
      <c r="S110" s="208">
        <v>2</v>
      </c>
      <c r="T110" s="81"/>
      <c r="V110" s="82" t="s">
        <v>493</v>
      </c>
      <c r="W110" s="208" t="s">
        <v>20</v>
      </c>
      <c r="X110" s="208" t="s">
        <v>12</v>
      </c>
      <c r="Y110" s="83">
        <v>37.9</v>
      </c>
      <c r="Z110" s="82" t="s">
        <v>84</v>
      </c>
      <c r="AA110" s="208" t="s">
        <v>75</v>
      </c>
      <c r="AB110" s="208" t="s">
        <v>18</v>
      </c>
      <c r="AC110" s="208">
        <v>6.5</v>
      </c>
      <c r="AD110" s="82" t="s">
        <v>495</v>
      </c>
      <c r="AE110" s="208" t="s">
        <v>116</v>
      </c>
      <c r="AF110" s="208" t="s">
        <v>12</v>
      </c>
      <c r="AG110" s="83">
        <v>6.5</v>
      </c>
      <c r="AH110" s="164"/>
      <c r="AL110" s="82"/>
      <c r="AO110" s="83"/>
      <c r="AP110" s="82"/>
      <c r="AS110" s="83"/>
      <c r="AW110" s="83"/>
      <c r="BA110" s="84"/>
    </row>
    <row r="111" spans="1:53" s="208" customFormat="1" x14ac:dyDescent="0.15">
      <c r="A111" s="208">
        <v>2010</v>
      </c>
      <c r="C111" s="811" t="s">
        <v>837</v>
      </c>
      <c r="D111" s="811"/>
      <c r="E111" s="208">
        <v>365</v>
      </c>
      <c r="G111" s="123"/>
      <c r="H111" s="208">
        <v>4</v>
      </c>
      <c r="I111" s="208">
        <v>16</v>
      </c>
      <c r="J111" s="134">
        <v>20</v>
      </c>
      <c r="K111" s="92">
        <f t="shared" si="7"/>
        <v>0</v>
      </c>
      <c r="L111" s="92">
        <f t="shared" si="7"/>
        <v>20</v>
      </c>
      <c r="M111" s="92">
        <f t="shared" si="7"/>
        <v>80</v>
      </c>
      <c r="N111" s="125">
        <f t="shared" si="5"/>
        <v>100</v>
      </c>
      <c r="O111" s="91"/>
      <c r="P111" s="92">
        <v>6.5</v>
      </c>
      <c r="Q111" s="92">
        <v>44.4</v>
      </c>
      <c r="R111" s="93">
        <f t="shared" si="6"/>
        <v>50.9</v>
      </c>
      <c r="S111" s="208">
        <v>2</v>
      </c>
      <c r="T111" s="81"/>
      <c r="V111" s="82" t="s">
        <v>493</v>
      </c>
      <c r="W111" s="208" t="s">
        <v>20</v>
      </c>
      <c r="X111" s="208" t="s">
        <v>12</v>
      </c>
      <c r="Y111" s="83">
        <v>37.9</v>
      </c>
      <c r="Z111" s="82" t="s">
        <v>84</v>
      </c>
      <c r="AA111" s="208" t="s">
        <v>75</v>
      </c>
      <c r="AB111" s="208" t="s">
        <v>18</v>
      </c>
      <c r="AC111" s="208">
        <v>6.5</v>
      </c>
      <c r="AD111" s="82" t="s">
        <v>495</v>
      </c>
      <c r="AE111" s="208" t="s">
        <v>116</v>
      </c>
      <c r="AF111" s="208" t="s">
        <v>12</v>
      </c>
      <c r="AG111" s="83">
        <v>6.5</v>
      </c>
      <c r="AH111" s="164"/>
      <c r="AL111" s="82"/>
      <c r="AO111" s="83"/>
      <c r="AP111" s="82"/>
      <c r="AS111" s="83"/>
      <c r="AW111" s="83"/>
      <c r="BA111" s="84"/>
    </row>
    <row r="112" spans="1:53" s="208" customFormat="1" x14ac:dyDescent="0.15">
      <c r="A112" s="208">
        <v>2011</v>
      </c>
      <c r="C112" s="811" t="s">
        <v>837</v>
      </c>
      <c r="D112" s="811"/>
      <c r="E112" s="208">
        <v>0</v>
      </c>
      <c r="G112" s="123"/>
      <c r="H112" s="208">
        <v>4</v>
      </c>
      <c r="I112" s="208">
        <v>16</v>
      </c>
      <c r="J112" s="134">
        <v>20</v>
      </c>
      <c r="K112" s="92">
        <f t="shared" si="7"/>
        <v>0</v>
      </c>
      <c r="L112" s="92">
        <f t="shared" si="7"/>
        <v>20</v>
      </c>
      <c r="M112" s="92">
        <f t="shared" si="7"/>
        <v>80</v>
      </c>
      <c r="N112" s="125">
        <f t="shared" si="5"/>
        <v>100</v>
      </c>
      <c r="O112" s="91"/>
      <c r="P112" s="92">
        <v>6.5</v>
      </c>
      <c r="Q112" s="92">
        <v>44.4</v>
      </c>
      <c r="R112" s="93">
        <f t="shared" si="6"/>
        <v>50.9</v>
      </c>
      <c r="S112" s="208">
        <v>2</v>
      </c>
      <c r="T112" s="81"/>
      <c r="V112" s="82" t="s">
        <v>493</v>
      </c>
      <c r="W112" s="208" t="s">
        <v>20</v>
      </c>
      <c r="X112" s="208" t="s">
        <v>12</v>
      </c>
      <c r="Y112" s="83">
        <v>37.9</v>
      </c>
      <c r="Z112" s="82" t="s">
        <v>84</v>
      </c>
      <c r="AA112" s="208" t="s">
        <v>75</v>
      </c>
      <c r="AB112" s="208" t="s">
        <v>18</v>
      </c>
      <c r="AC112" s="208">
        <v>6.5</v>
      </c>
      <c r="AD112" s="82" t="s">
        <v>495</v>
      </c>
      <c r="AE112" s="208" t="s">
        <v>116</v>
      </c>
      <c r="AF112" s="208" t="s">
        <v>12</v>
      </c>
      <c r="AG112" s="83">
        <v>6.5</v>
      </c>
      <c r="AH112" s="164"/>
      <c r="AL112" s="82"/>
      <c r="AO112" s="83"/>
      <c r="AP112" s="82"/>
      <c r="AS112" s="83"/>
      <c r="AW112" s="83"/>
      <c r="BA112" s="84"/>
    </row>
    <row r="113" spans="1:53" s="208" customFormat="1" x14ac:dyDescent="0.15">
      <c r="A113" s="208">
        <v>2011</v>
      </c>
      <c r="C113" s="811" t="s">
        <v>837</v>
      </c>
      <c r="D113" s="811"/>
      <c r="E113" s="208">
        <v>365</v>
      </c>
      <c r="G113" s="123"/>
      <c r="H113" s="208">
        <v>4</v>
      </c>
      <c r="I113" s="208">
        <v>16</v>
      </c>
      <c r="J113" s="134">
        <v>20</v>
      </c>
      <c r="K113" s="92">
        <f t="shared" si="7"/>
        <v>0</v>
      </c>
      <c r="L113" s="92">
        <f t="shared" si="7"/>
        <v>20</v>
      </c>
      <c r="M113" s="92">
        <f t="shared" si="7"/>
        <v>80</v>
      </c>
      <c r="N113" s="125">
        <f t="shared" si="5"/>
        <v>100</v>
      </c>
      <c r="O113" s="91"/>
      <c r="P113" s="92">
        <v>6.5</v>
      </c>
      <c r="Q113" s="92">
        <v>44.4</v>
      </c>
      <c r="R113" s="93">
        <f t="shared" si="6"/>
        <v>50.9</v>
      </c>
      <c r="S113" s="208">
        <v>2</v>
      </c>
      <c r="T113" s="81"/>
      <c r="V113" s="82" t="s">
        <v>493</v>
      </c>
      <c r="W113" s="208" t="s">
        <v>20</v>
      </c>
      <c r="X113" s="208" t="s">
        <v>12</v>
      </c>
      <c r="Y113" s="83">
        <v>37.9</v>
      </c>
      <c r="Z113" s="82" t="s">
        <v>84</v>
      </c>
      <c r="AA113" s="208" t="s">
        <v>75</v>
      </c>
      <c r="AB113" s="208" t="s">
        <v>18</v>
      </c>
      <c r="AC113" s="208">
        <v>6.5</v>
      </c>
      <c r="AD113" s="82" t="s">
        <v>495</v>
      </c>
      <c r="AE113" s="208" t="s">
        <v>116</v>
      </c>
      <c r="AF113" s="208" t="s">
        <v>12</v>
      </c>
      <c r="AG113" s="83">
        <v>6.5</v>
      </c>
      <c r="AH113" s="164"/>
      <c r="AL113" s="82"/>
      <c r="AO113" s="83"/>
      <c r="AP113" s="82"/>
      <c r="AS113" s="83"/>
      <c r="AW113" s="83"/>
      <c r="BA113" s="84"/>
    </row>
    <row r="114" spans="1:53" s="208" customFormat="1" x14ac:dyDescent="0.15">
      <c r="A114" s="208">
        <v>2012</v>
      </c>
      <c r="C114" s="811" t="s">
        <v>837</v>
      </c>
      <c r="D114" s="811"/>
      <c r="E114" s="208">
        <v>0</v>
      </c>
      <c r="G114" s="123"/>
      <c r="H114" s="208">
        <v>4</v>
      </c>
      <c r="I114" s="208">
        <v>16</v>
      </c>
      <c r="J114" s="134">
        <v>20</v>
      </c>
      <c r="K114" s="92">
        <f t="shared" si="7"/>
        <v>0</v>
      </c>
      <c r="L114" s="92">
        <f t="shared" si="7"/>
        <v>20</v>
      </c>
      <c r="M114" s="92">
        <f t="shared" si="7"/>
        <v>80</v>
      </c>
      <c r="N114" s="125">
        <f t="shared" si="5"/>
        <v>100</v>
      </c>
      <c r="O114" s="91"/>
      <c r="P114" s="92">
        <v>6.5</v>
      </c>
      <c r="Q114" s="92">
        <v>44.4</v>
      </c>
      <c r="R114" s="93">
        <f t="shared" si="6"/>
        <v>50.9</v>
      </c>
      <c r="S114" s="208">
        <v>2</v>
      </c>
      <c r="T114" s="81"/>
      <c r="V114" s="82" t="s">
        <v>493</v>
      </c>
      <c r="W114" s="208" t="s">
        <v>20</v>
      </c>
      <c r="X114" s="208" t="s">
        <v>12</v>
      </c>
      <c r="Y114" s="83">
        <v>37.9</v>
      </c>
      <c r="Z114" s="82" t="s">
        <v>84</v>
      </c>
      <c r="AA114" s="208" t="s">
        <v>75</v>
      </c>
      <c r="AB114" s="208" t="s">
        <v>18</v>
      </c>
      <c r="AC114" s="208">
        <v>6.5</v>
      </c>
      <c r="AD114" s="82" t="s">
        <v>495</v>
      </c>
      <c r="AE114" s="208" t="s">
        <v>116</v>
      </c>
      <c r="AF114" s="208" t="s">
        <v>12</v>
      </c>
      <c r="AG114" s="83">
        <v>6.5</v>
      </c>
      <c r="AH114" s="164"/>
      <c r="AL114" s="82"/>
      <c r="AO114" s="83"/>
      <c r="AP114" s="82"/>
      <c r="AS114" s="83"/>
      <c r="AW114" s="83"/>
      <c r="BA114" s="84"/>
    </row>
    <row r="115" spans="1:53" s="208" customFormat="1" x14ac:dyDescent="0.15">
      <c r="A115" s="208">
        <v>2012</v>
      </c>
      <c r="B115" s="149"/>
      <c r="C115" s="811" t="s">
        <v>837</v>
      </c>
      <c r="D115" s="811"/>
      <c r="E115" s="208">
        <v>366</v>
      </c>
      <c r="F115" s="150"/>
      <c r="G115" s="123"/>
      <c r="H115" s="208">
        <v>4</v>
      </c>
      <c r="I115" s="208">
        <v>16</v>
      </c>
      <c r="J115" s="134">
        <v>20</v>
      </c>
      <c r="K115" s="92">
        <f>G115/$J115*100</f>
        <v>0</v>
      </c>
      <c r="L115" s="92">
        <f t="shared" si="7"/>
        <v>20</v>
      </c>
      <c r="M115" s="92">
        <f t="shared" si="7"/>
        <v>80</v>
      </c>
      <c r="N115" s="125">
        <f t="shared" si="5"/>
        <v>100</v>
      </c>
      <c r="O115" s="91"/>
      <c r="P115" s="92">
        <v>6.5</v>
      </c>
      <c r="Q115" s="92">
        <v>44.4</v>
      </c>
      <c r="R115" s="93">
        <f t="shared" si="6"/>
        <v>50.9</v>
      </c>
      <c r="S115" s="208">
        <v>2</v>
      </c>
      <c r="T115" s="81"/>
      <c r="V115" s="82" t="s">
        <v>493</v>
      </c>
      <c r="W115" s="208" t="s">
        <v>20</v>
      </c>
      <c r="X115" s="208" t="s">
        <v>12</v>
      </c>
      <c r="Y115" s="83">
        <v>37.9</v>
      </c>
      <c r="Z115" s="82" t="s">
        <v>84</v>
      </c>
      <c r="AA115" s="208" t="s">
        <v>75</v>
      </c>
      <c r="AB115" s="208" t="s">
        <v>18</v>
      </c>
      <c r="AC115" s="208">
        <v>6.5</v>
      </c>
      <c r="AD115" s="82" t="s">
        <v>495</v>
      </c>
      <c r="AE115" s="208" t="s">
        <v>116</v>
      </c>
      <c r="AF115" s="208" t="s">
        <v>12</v>
      </c>
      <c r="AG115" s="83">
        <v>6.5</v>
      </c>
      <c r="AH115" s="164"/>
      <c r="AL115" s="82"/>
      <c r="AO115" s="83"/>
      <c r="AP115" s="82"/>
      <c r="AS115" s="83"/>
      <c r="AW115" s="83"/>
      <c r="BA115" s="84"/>
    </row>
    <row r="116" spans="1:53" s="310" customFormat="1" x14ac:dyDescent="0.15">
      <c r="A116" s="310">
        <v>2013</v>
      </c>
      <c r="B116" s="149"/>
      <c r="C116" s="811" t="s">
        <v>837</v>
      </c>
      <c r="D116" s="811"/>
      <c r="E116" s="310">
        <v>288</v>
      </c>
      <c r="F116" s="150"/>
      <c r="G116" s="123"/>
      <c r="H116" s="310">
        <v>4</v>
      </c>
      <c r="I116" s="310">
        <v>16</v>
      </c>
      <c r="J116" s="134">
        <v>20</v>
      </c>
      <c r="K116" s="92">
        <f>G116/$J116*100</f>
        <v>0</v>
      </c>
      <c r="L116" s="92">
        <f t="shared" si="7"/>
        <v>20</v>
      </c>
      <c r="M116" s="92">
        <f t="shared" si="7"/>
        <v>80</v>
      </c>
      <c r="N116" s="125">
        <f t="shared" si="5"/>
        <v>100</v>
      </c>
      <c r="O116" s="91"/>
      <c r="P116" s="92">
        <v>6.5</v>
      </c>
      <c r="Q116" s="92">
        <v>44.4</v>
      </c>
      <c r="R116" s="93">
        <f t="shared" si="6"/>
        <v>50.9</v>
      </c>
      <c r="S116" s="310">
        <v>2</v>
      </c>
      <c r="T116" s="81"/>
      <c r="V116" s="82" t="s">
        <v>493</v>
      </c>
      <c r="W116" s="310" t="s">
        <v>20</v>
      </c>
      <c r="X116" s="310" t="s">
        <v>12</v>
      </c>
      <c r="Y116" s="83">
        <v>37.9</v>
      </c>
      <c r="Z116" s="82" t="s">
        <v>84</v>
      </c>
      <c r="AA116" s="310" t="s">
        <v>75</v>
      </c>
      <c r="AB116" s="310" t="s">
        <v>18</v>
      </c>
      <c r="AC116" s="310">
        <v>6.5</v>
      </c>
      <c r="AD116" s="82" t="s">
        <v>495</v>
      </c>
      <c r="AE116" s="310" t="s">
        <v>116</v>
      </c>
      <c r="AF116" s="310" t="s">
        <v>12</v>
      </c>
      <c r="AG116" s="83">
        <v>6.5</v>
      </c>
      <c r="AH116" s="164"/>
      <c r="AL116" s="82"/>
      <c r="AO116" s="83"/>
      <c r="AP116" s="82"/>
      <c r="AS116" s="83"/>
      <c r="AW116" s="83"/>
      <c r="BA116" s="84"/>
    </row>
    <row r="117" spans="1:53" s="334" customFormat="1" x14ac:dyDescent="0.15">
      <c r="A117" s="334">
        <v>2013</v>
      </c>
      <c r="B117" s="355">
        <v>41563</v>
      </c>
      <c r="C117" s="812" t="s">
        <v>1265</v>
      </c>
      <c r="D117" s="812"/>
      <c r="E117" s="334">
        <f>365-E116</f>
        <v>77</v>
      </c>
      <c r="F117" s="334">
        <v>1</v>
      </c>
      <c r="G117" s="419">
        <v>18</v>
      </c>
      <c r="J117" s="435">
        <v>18</v>
      </c>
      <c r="K117" s="384">
        <v>100</v>
      </c>
      <c r="L117" s="384">
        <v>0</v>
      </c>
      <c r="M117" s="384">
        <v>0</v>
      </c>
      <c r="N117" s="421">
        <f t="shared" si="5"/>
        <v>100</v>
      </c>
      <c r="O117" s="383">
        <v>45.6</v>
      </c>
      <c r="P117" s="384"/>
      <c r="Q117" s="384"/>
      <c r="R117" s="385">
        <f t="shared" si="6"/>
        <v>45.6</v>
      </c>
      <c r="S117" s="334">
        <v>5</v>
      </c>
      <c r="T117" s="342">
        <v>41526</v>
      </c>
      <c r="U117" s="355">
        <v>41563</v>
      </c>
      <c r="V117" s="343" t="s">
        <v>494</v>
      </c>
      <c r="W117" s="334" t="s">
        <v>74</v>
      </c>
      <c r="X117" s="334" t="s">
        <v>11</v>
      </c>
      <c r="Y117" s="344">
        <v>28.4</v>
      </c>
      <c r="Z117" s="343" t="s">
        <v>1266</v>
      </c>
      <c r="AA117" s="334" t="s">
        <v>27</v>
      </c>
      <c r="AB117" s="334" t="s">
        <v>11</v>
      </c>
      <c r="AC117" s="334">
        <v>17.2</v>
      </c>
      <c r="AD117" s="343"/>
      <c r="AG117" s="344"/>
      <c r="AH117" s="452"/>
      <c r="AL117" s="343"/>
      <c r="AO117" s="344"/>
      <c r="AP117" s="343"/>
      <c r="AS117" s="344"/>
      <c r="AW117" s="344"/>
      <c r="BA117" s="345"/>
    </row>
    <row r="118" spans="1:53" s="658" customFormat="1" x14ac:dyDescent="0.15">
      <c r="A118" s="658">
        <v>2014</v>
      </c>
      <c r="B118" s="655"/>
      <c r="C118" s="812" t="s">
        <v>1265</v>
      </c>
      <c r="D118" s="812"/>
      <c r="E118" s="658">
        <v>0</v>
      </c>
      <c r="G118" s="649">
        <v>18</v>
      </c>
      <c r="J118" s="651">
        <v>18</v>
      </c>
      <c r="K118" s="647">
        <v>100</v>
      </c>
      <c r="L118" s="647">
        <v>0</v>
      </c>
      <c r="M118" s="647">
        <v>0</v>
      </c>
      <c r="N118" s="650">
        <f>K118+L118+M118</f>
        <v>100</v>
      </c>
      <c r="O118" s="646">
        <v>45.6</v>
      </c>
      <c r="P118" s="647"/>
      <c r="Q118" s="647"/>
      <c r="R118" s="648">
        <f>O118+P118+Q118</f>
        <v>45.6</v>
      </c>
      <c r="S118" s="658">
        <v>5</v>
      </c>
      <c r="T118" s="487"/>
      <c r="U118" s="655"/>
      <c r="V118" s="641" t="s">
        <v>494</v>
      </c>
      <c r="W118" s="658" t="s">
        <v>74</v>
      </c>
      <c r="X118" s="658" t="s">
        <v>11</v>
      </c>
      <c r="Y118" s="642">
        <v>28.4</v>
      </c>
      <c r="Z118" s="641" t="s">
        <v>1266</v>
      </c>
      <c r="AA118" s="658" t="s">
        <v>27</v>
      </c>
      <c r="AB118" s="658" t="s">
        <v>11</v>
      </c>
      <c r="AC118" s="658">
        <v>17.2</v>
      </c>
      <c r="AD118" s="641"/>
      <c r="AG118" s="642"/>
      <c r="AH118" s="452"/>
      <c r="AL118" s="641"/>
      <c r="AO118" s="642"/>
      <c r="AP118" s="641"/>
      <c r="AS118" s="642"/>
      <c r="AW118" s="642"/>
      <c r="BA118" s="643"/>
    </row>
    <row r="119" spans="1:53" s="658" customFormat="1" x14ac:dyDescent="0.15">
      <c r="A119" s="658">
        <v>2014</v>
      </c>
      <c r="B119" s="655"/>
      <c r="C119" s="812" t="s">
        <v>1265</v>
      </c>
      <c r="D119" s="812"/>
      <c r="E119" s="658">
        <v>365</v>
      </c>
      <c r="G119" s="649">
        <v>18</v>
      </c>
      <c r="J119" s="651">
        <v>18</v>
      </c>
      <c r="K119" s="647">
        <v>100</v>
      </c>
      <c r="L119" s="647">
        <v>0</v>
      </c>
      <c r="M119" s="647">
        <v>0</v>
      </c>
      <c r="N119" s="650">
        <f>K119+L119+M119</f>
        <v>100</v>
      </c>
      <c r="O119" s="646">
        <v>45.6</v>
      </c>
      <c r="P119" s="647"/>
      <c r="Q119" s="647"/>
      <c r="R119" s="648">
        <f>O119+P119+Q119</f>
        <v>45.6</v>
      </c>
      <c r="S119" s="658">
        <v>5</v>
      </c>
      <c r="T119" s="487"/>
      <c r="U119" s="655"/>
      <c r="V119" s="641" t="s">
        <v>494</v>
      </c>
      <c r="W119" s="658" t="s">
        <v>74</v>
      </c>
      <c r="X119" s="658" t="s">
        <v>11</v>
      </c>
      <c r="Y119" s="642">
        <v>28.4</v>
      </c>
      <c r="Z119" s="641" t="s">
        <v>1266</v>
      </c>
      <c r="AA119" s="658" t="s">
        <v>27</v>
      </c>
      <c r="AB119" s="658" t="s">
        <v>11</v>
      </c>
      <c r="AC119" s="658">
        <v>17.2</v>
      </c>
      <c r="AD119" s="641"/>
      <c r="AG119" s="642"/>
      <c r="AH119" s="452"/>
      <c r="AL119" s="641"/>
      <c r="AO119" s="642"/>
      <c r="AP119" s="641"/>
      <c r="AS119" s="642"/>
      <c r="AW119" s="642"/>
      <c r="BA119" s="643"/>
    </row>
    <row r="120" spans="1:53" s="752" customFormat="1" x14ac:dyDescent="0.15">
      <c r="A120" s="752">
        <v>2015</v>
      </c>
      <c r="C120" s="812" t="s">
        <v>1265</v>
      </c>
      <c r="D120" s="812"/>
      <c r="E120" s="752">
        <v>349</v>
      </c>
      <c r="G120" s="649">
        <v>18</v>
      </c>
      <c r="J120" s="651">
        <v>18</v>
      </c>
      <c r="K120" s="647">
        <v>100</v>
      </c>
      <c r="L120" s="647">
        <v>0</v>
      </c>
      <c r="M120" s="647">
        <v>0</v>
      </c>
      <c r="N120" s="650">
        <f t="shared" ref="N120:N121" si="8">K120+L120+M120</f>
        <v>100</v>
      </c>
      <c r="O120" s="646">
        <v>45.6</v>
      </c>
      <c r="P120" s="647"/>
      <c r="Q120" s="647"/>
      <c r="R120" s="648">
        <f t="shared" ref="R120:R121" si="9">O120+P120+Q120</f>
        <v>45.6</v>
      </c>
      <c r="S120" s="752">
        <v>5</v>
      </c>
      <c r="T120" s="487"/>
      <c r="U120" s="748"/>
      <c r="V120" s="641" t="s">
        <v>494</v>
      </c>
      <c r="W120" s="752" t="s">
        <v>74</v>
      </c>
      <c r="X120" s="752" t="s">
        <v>11</v>
      </c>
      <c r="Y120" s="642">
        <v>28.4</v>
      </c>
      <c r="Z120" s="641" t="s">
        <v>1266</v>
      </c>
      <c r="AA120" s="752" t="s">
        <v>27</v>
      </c>
      <c r="AB120" s="752" t="s">
        <v>11</v>
      </c>
      <c r="AC120" s="752">
        <v>17.2</v>
      </c>
      <c r="AD120" s="641"/>
      <c r="AG120" s="642"/>
      <c r="AH120" s="452"/>
      <c r="AL120" s="641"/>
      <c r="AO120" s="642"/>
      <c r="AP120" s="641"/>
      <c r="AS120" s="642"/>
      <c r="AW120" s="642"/>
      <c r="BA120" s="643"/>
    </row>
    <row r="121" spans="1:53" s="752" customFormat="1" x14ac:dyDescent="0.15">
      <c r="A121" s="752">
        <v>2015</v>
      </c>
      <c r="B121" s="500">
        <v>42354</v>
      </c>
      <c r="C121" s="812" t="s">
        <v>1265</v>
      </c>
      <c r="D121" s="812"/>
      <c r="E121" s="752">
        <v>16</v>
      </c>
      <c r="F121" s="493">
        <v>0</v>
      </c>
      <c r="G121" s="649">
        <v>19</v>
      </c>
      <c r="J121" s="651">
        <v>19</v>
      </c>
      <c r="K121" s="647">
        <v>100</v>
      </c>
      <c r="L121" s="647">
        <v>0</v>
      </c>
      <c r="M121" s="647">
        <v>0</v>
      </c>
      <c r="N121" s="650">
        <f t="shared" si="8"/>
        <v>100</v>
      </c>
      <c r="O121" s="646">
        <v>45.6</v>
      </c>
      <c r="P121" s="647"/>
      <c r="Q121" s="647"/>
      <c r="R121" s="648">
        <f t="shared" si="9"/>
        <v>45.6</v>
      </c>
      <c r="S121" s="752">
        <v>5</v>
      </c>
      <c r="T121" s="487"/>
      <c r="U121" s="748"/>
      <c r="V121" s="641" t="s">
        <v>494</v>
      </c>
      <c r="W121" s="752" t="s">
        <v>74</v>
      </c>
      <c r="X121" s="752" t="s">
        <v>11</v>
      </c>
      <c r="Y121" s="642">
        <v>28.4</v>
      </c>
      <c r="Z121" s="641" t="s">
        <v>1266</v>
      </c>
      <c r="AA121" s="752" t="s">
        <v>27</v>
      </c>
      <c r="AB121" s="752" t="s">
        <v>11</v>
      </c>
      <c r="AC121" s="752">
        <v>17.2</v>
      </c>
      <c r="AD121" s="641"/>
      <c r="AG121" s="642"/>
      <c r="AH121" s="452"/>
      <c r="AL121" s="641"/>
      <c r="AO121" s="642"/>
      <c r="AP121" s="641"/>
      <c r="AS121" s="642"/>
      <c r="AW121" s="642"/>
      <c r="BA121" s="643"/>
    </row>
    <row r="122" spans="1:53" x14ac:dyDescent="0.15">
      <c r="M122" s="2"/>
      <c r="N122" s="2"/>
    </row>
    <row r="124" spans="1:53" s="2" customFormat="1" ht="18" customHeight="1" x14ac:dyDescent="0.2">
      <c r="B124" s="22" t="s">
        <v>1284</v>
      </c>
      <c r="H124" s="6"/>
    </row>
    <row r="125" spans="1:53" s="2" customFormat="1" ht="9" customHeight="1" x14ac:dyDescent="0.15">
      <c r="H125" s="6"/>
    </row>
    <row r="126" spans="1:53" s="364" customFormat="1" ht="9" customHeight="1" x14ac:dyDescent="0.15">
      <c r="A126" s="362"/>
      <c r="B126" s="363" t="s">
        <v>1235</v>
      </c>
      <c r="C126" s="363"/>
      <c r="D126" s="363"/>
      <c r="E126" s="363"/>
      <c r="F126" s="363"/>
      <c r="G126" s="363" t="s">
        <v>1236</v>
      </c>
      <c r="H126" s="363"/>
      <c r="I126" s="363"/>
      <c r="J126" s="363"/>
      <c r="K126" s="363"/>
      <c r="L126" s="363"/>
      <c r="M126" s="363"/>
      <c r="N126" s="363"/>
      <c r="R126" s="802" t="s">
        <v>1237</v>
      </c>
      <c r="S126" s="802"/>
      <c r="T126" s="802"/>
      <c r="U126" s="802"/>
      <c r="V126" s="802"/>
      <c r="W126" s="802"/>
      <c r="X126" s="365"/>
      <c r="Y126" s="365"/>
      <c r="AA126" s="365"/>
      <c r="AB126" s="365"/>
      <c r="AC126" s="365"/>
      <c r="AD126" s="365"/>
    </row>
    <row r="127" spans="1:53" s="369" customFormat="1" ht="9" customHeight="1" x14ac:dyDescent="0.15">
      <c r="A127" s="366"/>
      <c r="B127" s="367" t="s">
        <v>1239</v>
      </c>
      <c r="C127" s="368"/>
      <c r="D127" s="368"/>
      <c r="E127" s="368"/>
      <c r="F127" s="368"/>
      <c r="G127" s="367" t="s">
        <v>1238</v>
      </c>
      <c r="H127" s="368"/>
      <c r="I127" s="368"/>
      <c r="J127" s="368"/>
      <c r="K127" s="368"/>
      <c r="L127" s="368"/>
      <c r="M127" s="368"/>
      <c r="N127" s="368"/>
      <c r="R127" s="370" t="s">
        <v>1240</v>
      </c>
      <c r="S127" s="371"/>
      <c r="T127" s="372"/>
      <c r="U127" s="372"/>
      <c r="V127" s="372"/>
      <c r="W127" s="370" t="s">
        <v>1241</v>
      </c>
      <c r="X127" s="372"/>
      <c r="Y127" s="372"/>
      <c r="AA127" s="372"/>
      <c r="AB127" s="372"/>
      <c r="AC127" s="372"/>
      <c r="AD127" s="372"/>
    </row>
    <row r="128" spans="1:53" s="351" customFormat="1" ht="12" customHeight="1" x14ac:dyDescent="0.15">
      <c r="A128" s="373" t="s">
        <v>3</v>
      </c>
      <c r="B128" s="374" t="s">
        <v>8</v>
      </c>
      <c r="C128" s="374" t="s">
        <v>9</v>
      </c>
      <c r="D128" s="374" t="s">
        <v>10</v>
      </c>
      <c r="E128" s="375" t="s">
        <v>1215</v>
      </c>
      <c r="F128" s="374"/>
      <c r="G128" s="351" t="s">
        <v>3</v>
      </c>
      <c r="H128" s="803" t="s">
        <v>0</v>
      </c>
      <c r="I128" s="803"/>
      <c r="J128" s="803" t="s">
        <v>1</v>
      </c>
      <c r="K128" s="803"/>
      <c r="L128" s="803" t="s">
        <v>2</v>
      </c>
      <c r="M128" s="803"/>
      <c r="N128" s="804" t="s">
        <v>1215</v>
      </c>
      <c r="O128" s="804"/>
      <c r="P128" s="376"/>
      <c r="Q128" s="376"/>
      <c r="R128" s="377" t="s">
        <v>3</v>
      </c>
      <c r="S128" s="378" t="s">
        <v>136</v>
      </c>
      <c r="T128" s="376" t="s">
        <v>134</v>
      </c>
      <c r="U128" s="374" t="s">
        <v>135</v>
      </c>
      <c r="V128" s="376"/>
      <c r="W128" s="379" t="s">
        <v>26</v>
      </c>
    </row>
    <row r="129" spans="1:34" s="273" customFormat="1" x14ac:dyDescent="0.15">
      <c r="A129" s="273">
        <v>1959</v>
      </c>
      <c r="B129" s="260">
        <f>(K6*($E6/365)) + (K7*($E7/365))</f>
        <v>0</v>
      </c>
      <c r="C129" s="260">
        <f>(L6*($E6/365)) + (L7*($E7/365))</f>
        <v>0</v>
      </c>
      <c r="D129" s="260">
        <f>(M6*($E6/365)) + (M7*($E7/365))</f>
        <v>100</v>
      </c>
      <c r="E129" s="261">
        <f>B129+C129+D129</f>
        <v>100</v>
      </c>
      <c r="G129" s="273">
        <v>1959</v>
      </c>
      <c r="H129" s="819">
        <f>(O6/$R6*100*($E6/365))+(O7/$R7*100*($E7/365))</f>
        <v>0</v>
      </c>
      <c r="I129" s="819"/>
      <c r="J129" s="819">
        <f>(P6/$R6*100*($E6/365))+(P7/$R7*100*($E7/365))</f>
        <v>0</v>
      </c>
      <c r="K129" s="819"/>
      <c r="L129" s="819">
        <f>(Q6/$R6*100*($E6/365))+(Q7/$R7*100*($E7/365))</f>
        <v>100</v>
      </c>
      <c r="M129" s="819"/>
      <c r="N129" s="813">
        <f>H129+J129+L129</f>
        <v>100</v>
      </c>
      <c r="O129" s="813"/>
      <c r="R129" s="273">
        <v>1959</v>
      </c>
      <c r="S129" s="260">
        <f>(O6*($E6/365)) + (O7*($E7/365))</f>
        <v>0</v>
      </c>
      <c r="T129" s="260">
        <f>(P6*($E6/365)) + (P7*($E7/365))</f>
        <v>0</v>
      </c>
      <c r="U129" s="260">
        <f>(Q6*($E6/365)) + (Q7*($E7/365))</f>
        <v>52</v>
      </c>
      <c r="V129" s="274"/>
      <c r="W129" s="274">
        <f>S129+T129+U129</f>
        <v>52</v>
      </c>
      <c r="AH129" s="280"/>
    </row>
    <row r="130" spans="1:34" x14ac:dyDescent="0.15">
      <c r="A130" s="1">
        <v>1960</v>
      </c>
      <c r="B130" s="8">
        <f>(K8*($E8/366))+(K9*($E9/366))</f>
        <v>0</v>
      </c>
      <c r="C130" s="8">
        <f>(L8*($E8/366))+(L9*($E9/366))</f>
        <v>0</v>
      </c>
      <c r="D130" s="8">
        <f>(M8*($E8/366))+(M9*($E9/366))</f>
        <v>100</v>
      </c>
      <c r="E130" s="48">
        <f>B130+C130+D130</f>
        <v>100</v>
      </c>
      <c r="G130" s="1">
        <v>1960</v>
      </c>
      <c r="H130" s="809">
        <f>(O8/$R8*100*($E8/366))+(O9/$R9*100*($E9/366))</f>
        <v>0</v>
      </c>
      <c r="I130" s="809"/>
      <c r="J130" s="809">
        <f>(P8/$R8*100*($E8/366))+(P9/$R9*100*($E9/366))</f>
        <v>0</v>
      </c>
      <c r="K130" s="809"/>
      <c r="L130" s="809">
        <f>(Q8/$R8*100*($E8/366))+(Q9/$R9*100*($E9/366))</f>
        <v>100</v>
      </c>
      <c r="M130" s="809"/>
      <c r="N130" s="810">
        <f t="shared" ref="N130:N161" si="10">H130+J130+L130</f>
        <v>100</v>
      </c>
      <c r="O130" s="810"/>
      <c r="R130" s="1">
        <v>1960</v>
      </c>
      <c r="S130" s="8">
        <f>(O8*($E8/366))+(O9*($E9/366))</f>
        <v>0</v>
      </c>
      <c r="T130" s="8">
        <f>(P8*($E8/366))+(P9*($E9/366))</f>
        <v>0</v>
      </c>
      <c r="U130" s="8">
        <f>(Q8*($E8/366))+(Q9*($E9/366))</f>
        <v>52</v>
      </c>
      <c r="V130" s="7"/>
      <c r="W130" s="7">
        <f>S130+T130+U130</f>
        <v>52</v>
      </c>
    </row>
    <row r="131" spans="1:34" x14ac:dyDescent="0.15">
      <c r="A131" s="1">
        <v>1961</v>
      </c>
      <c r="B131" s="8">
        <f>(K10*($E10/365))+(K11*($E11/365))</f>
        <v>0</v>
      </c>
      <c r="C131" s="8">
        <f>(L10*($E10/365))+(L11*($E11/365))</f>
        <v>0</v>
      </c>
      <c r="D131" s="8">
        <f>(M10*($E10/365))+(M11*($E11/365))</f>
        <v>100</v>
      </c>
      <c r="E131" s="48">
        <f t="shared" ref="E131:E183" si="11">B131+C131+D131</f>
        <v>100</v>
      </c>
      <c r="G131" s="1">
        <v>1961</v>
      </c>
      <c r="H131" s="809">
        <f>(O10/$R10*100*($E10/365))+(O11/$R11*100*($E11/365))</f>
        <v>0</v>
      </c>
      <c r="I131" s="809"/>
      <c r="J131" s="809">
        <f>(P10/$R10*100*($E10/365))+(P11/$R11*100*($E11/365))</f>
        <v>0</v>
      </c>
      <c r="K131" s="809"/>
      <c r="L131" s="809">
        <f>(Q10/$R10*100*($E10/365))+(Q11/$R11*100*($E11/365))</f>
        <v>100</v>
      </c>
      <c r="M131" s="809"/>
      <c r="N131" s="781">
        <f t="shared" si="10"/>
        <v>100</v>
      </c>
      <c r="O131" s="781"/>
      <c r="R131" s="1">
        <v>1961</v>
      </c>
      <c r="S131" s="8">
        <f>(O10*($E10/365))+(O11*($E11/365))</f>
        <v>0</v>
      </c>
      <c r="T131" s="8">
        <f>(P10*($E10/365))+(P11*($E11/365))</f>
        <v>0</v>
      </c>
      <c r="U131" s="8">
        <f>(Q10*($E10/365))+(Q11*($E11/365))</f>
        <v>51.171506849315072</v>
      </c>
      <c r="V131" s="7"/>
      <c r="W131" s="7">
        <f t="shared" ref="W131:W183" si="12">S131+T131+U131</f>
        <v>51.171506849315072</v>
      </c>
    </row>
    <row r="132" spans="1:34" x14ac:dyDescent="0.15">
      <c r="A132" s="1">
        <v>1962</v>
      </c>
      <c r="B132" s="8">
        <f>(K12*($E12/365))+(K13*($E13/365))</f>
        <v>0</v>
      </c>
      <c r="C132" s="8">
        <f>(L12*($E12/365))+(L13*($E13/365))</f>
        <v>0</v>
      </c>
      <c r="D132" s="8">
        <f>(M12*($E12/365))+(M13*($E13/365))</f>
        <v>100</v>
      </c>
      <c r="E132" s="48">
        <f t="shared" si="11"/>
        <v>100</v>
      </c>
      <c r="G132" s="1">
        <v>1962</v>
      </c>
      <c r="H132" s="809">
        <f>(O12/$R12*100*($E12/365))+(O13/$R13*100*($E13/365))</f>
        <v>0</v>
      </c>
      <c r="I132" s="809"/>
      <c r="J132" s="809">
        <f>(P12/$R12*100*($E12/365))+(P13/$R13*100*($E13/365))</f>
        <v>0</v>
      </c>
      <c r="K132" s="809"/>
      <c r="L132" s="809">
        <f>(Q12/$R12*100*($E12/365))+(Q13/$R13*100*($E13/365))</f>
        <v>100</v>
      </c>
      <c r="M132" s="809"/>
      <c r="N132" s="781">
        <f t="shared" si="10"/>
        <v>100</v>
      </c>
      <c r="O132" s="781"/>
      <c r="R132" s="1">
        <v>1962</v>
      </c>
      <c r="S132" s="8">
        <f>(O12*($E12/365))+(O13*($E13/365))</f>
        <v>0</v>
      </c>
      <c r="T132" s="8">
        <f>(P12*($E12/365))+(P13*($E13/365))</f>
        <v>0</v>
      </c>
      <c r="U132" s="8">
        <f>(Q12*($E12/365))+(Q13*($E13/365))</f>
        <v>49.3</v>
      </c>
      <c r="V132" s="7"/>
      <c r="W132" s="7">
        <f t="shared" si="12"/>
        <v>49.3</v>
      </c>
    </row>
    <row r="133" spans="1:34" x14ac:dyDescent="0.15">
      <c r="A133" s="1">
        <v>1963</v>
      </c>
      <c r="B133" s="8">
        <f>(K14*($E14/365))+(K15*($E15/365))+(K16*($E16/365))</f>
        <v>4.0913242009132427</v>
      </c>
      <c r="C133" s="8">
        <f>(L14*($E14/365))+(L15*($E15/365))+(L16*($E16/365))</f>
        <v>3.5799086757990866</v>
      </c>
      <c r="D133" s="8">
        <f>(M14*($E14/365))+(M15*($E15/365))+(M16*($E16/365))</f>
        <v>92.328767123287662</v>
      </c>
      <c r="E133" s="48">
        <f t="shared" si="11"/>
        <v>99.999999999999986</v>
      </c>
      <c r="G133" s="1">
        <v>1963</v>
      </c>
      <c r="H133" s="809">
        <f>(O14/$R14*100*($E14/365))+(O15/$R15*100*($E15/365))+(O16/$R16*100*($E16/365))</f>
        <v>4.4502486870988367</v>
      </c>
      <c r="I133" s="809"/>
      <c r="J133" s="809">
        <f>(P14/$R14*100*($E14/365))+(P15/$R15*100*($E15/365))+(P16/$R16*100*($E16/365))</f>
        <v>3.2209841896134934</v>
      </c>
      <c r="K133" s="809"/>
      <c r="L133" s="809">
        <f>(Q14/$R14*100*($E14/365))+(Q15/$R15*100*($E15/365))+(Q16/$R16*100*($E16/365))</f>
        <v>92.328767123287662</v>
      </c>
      <c r="M133" s="809"/>
      <c r="N133" s="781">
        <f t="shared" si="10"/>
        <v>99.999999999999986</v>
      </c>
      <c r="O133" s="781"/>
      <c r="R133" s="1">
        <v>1963</v>
      </c>
      <c r="S133" s="8">
        <f>(O14*($E14/365))+(O15*($E15/365))+(O16*($E16/365))</f>
        <v>2.1939726027397262</v>
      </c>
      <c r="T133" s="8">
        <f>(P14*($E14/365))+(P15*($E15/365))+(P16*($E16/365))</f>
        <v>1.5879452054794521</v>
      </c>
      <c r="U133" s="8">
        <f>(Q14*($E14/365))+(Q15*($E15/365))+(Q16*($E16/365))</f>
        <v>45.51808219178082</v>
      </c>
      <c r="V133" s="7"/>
      <c r="W133" s="7">
        <f t="shared" si="12"/>
        <v>49.3</v>
      </c>
    </row>
    <row r="134" spans="1:34" x14ac:dyDescent="0.15">
      <c r="A134" s="1">
        <v>1964</v>
      </c>
      <c r="B134" s="8">
        <f>(K17*($E17/366))+(K18*($E18/366))</f>
        <v>0</v>
      </c>
      <c r="C134" s="8">
        <f>(L17*($E17/366))+(L18*($E18/366))</f>
        <v>0</v>
      </c>
      <c r="D134" s="8">
        <f>(M17*($E17/366))+(M18*($E18/366))</f>
        <v>100</v>
      </c>
      <c r="E134" s="48">
        <f t="shared" si="11"/>
        <v>100</v>
      </c>
      <c r="G134" s="1">
        <v>1964</v>
      </c>
      <c r="H134" s="809">
        <f>(O17/$R17*100*($E17/366))+(O18/$R18*100*($E18/366))</f>
        <v>0</v>
      </c>
      <c r="I134" s="809"/>
      <c r="J134" s="809">
        <f>(P17/$R17*100*($E17/366))+(P18/$R18*100*($E18/366))</f>
        <v>0</v>
      </c>
      <c r="K134" s="809"/>
      <c r="L134" s="809">
        <f>(Q17/$R17*100*($E17/366))+(Q18/$R18*100*($E18/366))</f>
        <v>100</v>
      </c>
      <c r="M134" s="809"/>
      <c r="N134" s="781">
        <f t="shared" si="10"/>
        <v>100</v>
      </c>
      <c r="O134" s="781"/>
      <c r="R134" s="1">
        <v>1964</v>
      </c>
      <c r="S134" s="8">
        <f>(O17*($E17/366))+(O18*($E18/366))</f>
        <v>0</v>
      </c>
      <c r="T134" s="8">
        <f>(P17*($E17/366))+(P18*($E18/366))</f>
        <v>0</v>
      </c>
      <c r="U134" s="8">
        <f>(Q17*($E17/366))+(Q18*($E18/366))</f>
        <v>49.3</v>
      </c>
      <c r="V134" s="7"/>
      <c r="W134" s="7">
        <f t="shared" si="12"/>
        <v>49.3</v>
      </c>
    </row>
    <row r="135" spans="1:34" x14ac:dyDescent="0.15">
      <c r="A135" s="1">
        <v>1965</v>
      </c>
      <c r="B135" s="8">
        <f>(K19*($E19/365))+(K20*($E20/365))</f>
        <v>13.479452054794519</v>
      </c>
      <c r="C135" s="8">
        <f>(L19*($E19/365))+(L20*($E20/365))</f>
        <v>8.9863013698630141</v>
      </c>
      <c r="D135" s="8">
        <f>(M19*($E19/365))+(M20*($E20/365))</f>
        <v>77.534246575342465</v>
      </c>
      <c r="E135" s="48">
        <f t="shared" si="11"/>
        <v>100</v>
      </c>
      <c r="G135" s="1">
        <v>1965</v>
      </c>
      <c r="H135" s="809">
        <f>(O19/$R19*100*($E19/365))+(O20/$R20*100*($E20/365))</f>
        <v>13.757118670155455</v>
      </c>
      <c r="I135" s="809"/>
      <c r="J135" s="809">
        <f>(P19/$R19*100*($E19/365))+(P20/$R20*100*($E20/365))</f>
        <v>8.708634754502075</v>
      </c>
      <c r="K135" s="809"/>
      <c r="L135" s="809">
        <f>(Q19/$R19*100*($E19/365))+(Q20/$R20*100*($E20/365))</f>
        <v>77.534246575342465</v>
      </c>
      <c r="M135" s="809"/>
      <c r="N135" s="781">
        <f t="shared" si="10"/>
        <v>100</v>
      </c>
      <c r="O135" s="781"/>
      <c r="R135" s="1">
        <v>1965</v>
      </c>
      <c r="S135" s="8">
        <f>(O19*($E19/365))+(O20*($E20/365))</f>
        <v>7.3463013698630144</v>
      </c>
      <c r="T135" s="8">
        <f>(P19*($E19/365))+(P20*($E20/365))</f>
        <v>4.6504109589041089</v>
      </c>
      <c r="U135" s="8">
        <f>(Q19*($E19/365))+(Q20*($E20/365))</f>
        <v>38.224383561643833</v>
      </c>
      <c r="V135" s="7"/>
      <c r="W135" s="7">
        <f t="shared" si="12"/>
        <v>50.221095890410957</v>
      </c>
    </row>
    <row r="136" spans="1:34" x14ac:dyDescent="0.15">
      <c r="A136" s="1">
        <v>1966</v>
      </c>
      <c r="B136" s="8">
        <f>(K21*($E21/365))+(K22*($E22/365))</f>
        <v>60</v>
      </c>
      <c r="C136" s="8">
        <f>(L21*($E21/365))+(L22*($E22/365))</f>
        <v>40</v>
      </c>
      <c r="D136" s="8">
        <f>(M21*($E21/365))+(M22*($E22/365))</f>
        <v>0</v>
      </c>
      <c r="E136" s="48">
        <f t="shared" si="11"/>
        <v>100</v>
      </c>
      <c r="G136" s="1">
        <v>1966</v>
      </c>
      <c r="H136" s="809">
        <f>(O21/$R21*100*($E21/365))+(O22/$R22*100*($E22/365))</f>
        <v>61.235955056179769</v>
      </c>
      <c r="I136" s="809"/>
      <c r="J136" s="809">
        <f>(P21/$R21*100*($E21/365))+(P22/$R22*100*($E22/365))</f>
        <v>38.764044943820217</v>
      </c>
      <c r="K136" s="809"/>
      <c r="L136" s="809">
        <f>(Q21/$R21*100*($E21/365))+(Q22/$R22*100*($E22/365))</f>
        <v>0</v>
      </c>
      <c r="M136" s="809"/>
      <c r="N136" s="781">
        <f t="shared" si="10"/>
        <v>99.999999999999986</v>
      </c>
      <c r="O136" s="781"/>
      <c r="R136" s="1">
        <v>1966</v>
      </c>
      <c r="S136" s="8">
        <f>(O21*($E21/365))+(O22*($E22/365))</f>
        <v>32.700000000000003</v>
      </c>
      <c r="T136" s="8">
        <f>(P21*($E21/365))+(P22*($E22/365))</f>
        <v>20.7</v>
      </c>
      <c r="U136" s="8">
        <f>(Q21*($E21/365))+(Q22*($E22/365))</f>
        <v>0</v>
      </c>
      <c r="V136" s="7"/>
      <c r="W136" s="7">
        <f t="shared" si="12"/>
        <v>53.400000000000006</v>
      </c>
    </row>
    <row r="137" spans="1:34" x14ac:dyDescent="0.15">
      <c r="A137" s="1">
        <v>1967</v>
      </c>
      <c r="B137" s="8">
        <f>(K23*($E23/365))+(K24*($E24/365))</f>
        <v>60</v>
      </c>
      <c r="C137" s="8">
        <f>(L23*($E23/365))+(L24*($E24/365))</f>
        <v>40</v>
      </c>
      <c r="D137" s="8">
        <f>(M23*($E23/365))+(M24*($E24/365))</f>
        <v>0</v>
      </c>
      <c r="E137" s="48">
        <f t="shared" si="11"/>
        <v>100</v>
      </c>
      <c r="G137" s="1">
        <v>1967</v>
      </c>
      <c r="H137" s="809">
        <f>(O23/$R23*100*($E23/365))+(O24/$R24*100*($E24/365))</f>
        <v>61.235955056179769</v>
      </c>
      <c r="I137" s="809"/>
      <c r="J137" s="809">
        <f>(P23/$R23*100*($E23/365))+(P24/$R24*100*($E24/365))</f>
        <v>38.764044943820217</v>
      </c>
      <c r="K137" s="809"/>
      <c r="L137" s="809">
        <f>(Q23/$R23*100*($E23/365))+(Q24/$R24*100*($E24/365))</f>
        <v>0</v>
      </c>
      <c r="M137" s="809"/>
      <c r="N137" s="781">
        <f t="shared" si="10"/>
        <v>99.999999999999986</v>
      </c>
      <c r="O137" s="781"/>
      <c r="R137" s="1">
        <v>1967</v>
      </c>
      <c r="S137" s="8">
        <f>(O23*($E23/365))+(O24*($E24/365))</f>
        <v>32.700000000000003</v>
      </c>
      <c r="T137" s="8">
        <f>(P23*($E23/365))+(P24*($E24/365))</f>
        <v>20.7</v>
      </c>
      <c r="U137" s="8">
        <f>(Q23*($E23/365))+(Q24*($E24/365))</f>
        <v>0</v>
      </c>
      <c r="V137" s="7"/>
      <c r="W137" s="7">
        <f t="shared" si="12"/>
        <v>53.400000000000006</v>
      </c>
    </row>
    <row r="138" spans="1:34" x14ac:dyDescent="0.15">
      <c r="A138" s="1">
        <v>1968</v>
      </c>
      <c r="B138" s="8">
        <f>(K25*($E25/366))+(K26*($E26/366))</f>
        <v>60</v>
      </c>
      <c r="C138" s="8">
        <f>(L25*($E25/366))+(L26*($E26/366))</f>
        <v>40</v>
      </c>
      <c r="D138" s="8">
        <f>(M25*($E25/366))+(M26*($E26/366))</f>
        <v>0</v>
      </c>
      <c r="E138" s="48">
        <f t="shared" si="11"/>
        <v>100</v>
      </c>
      <c r="G138" s="1">
        <v>1968</v>
      </c>
      <c r="H138" s="809">
        <f>(O25/$R25*100*($E25/366))+(O26/$R26*100*($E26/366))</f>
        <v>61.235955056179769</v>
      </c>
      <c r="I138" s="809"/>
      <c r="J138" s="809">
        <f>(P25/$R25*100*($E25/366))+(P26/$R26*100*($E26/366))</f>
        <v>38.764044943820217</v>
      </c>
      <c r="K138" s="809"/>
      <c r="L138" s="809">
        <f>(Q25/$R25*100*($E25/366))+(Q26/$R26*100*($E26/366))</f>
        <v>0</v>
      </c>
      <c r="M138" s="809"/>
      <c r="N138" s="781">
        <f t="shared" si="10"/>
        <v>99.999999999999986</v>
      </c>
      <c r="O138" s="781"/>
      <c r="R138" s="1">
        <v>1968</v>
      </c>
      <c r="S138" s="8">
        <f>(O25*($E25/366))+(O26*($E26/366))</f>
        <v>32.700000000000003</v>
      </c>
      <c r="T138" s="8">
        <f>(P25*($E25/366))+(P26*($E26/366))</f>
        <v>20.7</v>
      </c>
      <c r="U138" s="8">
        <f>(Q25*($E25/366))+(Q26*($E26/366))</f>
        <v>0</v>
      </c>
      <c r="V138" s="7"/>
      <c r="W138" s="7">
        <f t="shared" si="12"/>
        <v>53.400000000000006</v>
      </c>
    </row>
    <row r="139" spans="1:34" x14ac:dyDescent="0.15">
      <c r="A139" s="1">
        <v>1969</v>
      </c>
      <c r="B139" s="8">
        <f>(K27*($E27/365))+(K28*($E28/365))</f>
        <v>60</v>
      </c>
      <c r="C139" s="8">
        <f>(L27*($E27/365))+(L28*($E28/365))</f>
        <v>40</v>
      </c>
      <c r="D139" s="8">
        <f>(M27*($E27/365))+(M28*($E28/365))</f>
        <v>0</v>
      </c>
      <c r="E139" s="48">
        <f t="shared" si="11"/>
        <v>100</v>
      </c>
      <c r="G139" s="1">
        <v>1969</v>
      </c>
      <c r="H139" s="809">
        <f>(O27/$R27*100*($E27/365))+(O28/$R28*100*($E28/365))</f>
        <v>59.360890797272802</v>
      </c>
      <c r="I139" s="809"/>
      <c r="J139" s="809">
        <f>(P27/$R27*100*($E27/365))+(P28/$R28*100*($E28/365))</f>
        <v>40.639109202727191</v>
      </c>
      <c r="K139" s="809"/>
      <c r="L139" s="809">
        <f>(Q27/$R27*100*($E27/365))+(Q28/$R28*100*($E28/365))</f>
        <v>0</v>
      </c>
      <c r="M139" s="809"/>
      <c r="N139" s="781">
        <f t="shared" si="10"/>
        <v>100</v>
      </c>
      <c r="O139" s="781"/>
      <c r="R139" s="1">
        <v>1969</v>
      </c>
      <c r="S139" s="8">
        <f>(O27*($E27/365))+(O28*($E28/365))</f>
        <v>31.206301369863017</v>
      </c>
      <c r="T139" s="8">
        <f>(P27*($E27/365))+(P28*($E28/365))</f>
        <v>21.303835616438356</v>
      </c>
      <c r="U139" s="8">
        <f>(Q27*($E27/365))+(Q28*($E28/365))</f>
        <v>0</v>
      </c>
      <c r="V139" s="7"/>
      <c r="W139" s="7">
        <f t="shared" si="12"/>
        <v>52.510136986301376</v>
      </c>
    </row>
    <row r="140" spans="1:34" x14ac:dyDescent="0.15">
      <c r="A140" s="1">
        <v>1970</v>
      </c>
      <c r="B140" s="8">
        <f>(K29*($E29/365))+(K30*($E30/365))</f>
        <v>60</v>
      </c>
      <c r="C140" s="8">
        <f>(L29*($E29/365))+(L30*($E30/365))</f>
        <v>40</v>
      </c>
      <c r="D140" s="8">
        <f>(M29*($E29/365))+(M30*($E30/365))</f>
        <v>0</v>
      </c>
      <c r="E140" s="48">
        <f t="shared" si="11"/>
        <v>100</v>
      </c>
      <c r="G140" s="1">
        <v>1970</v>
      </c>
      <c r="H140" s="809">
        <f>(O29/$R29*100*($E29/365))+(O30/$R30*100*($E30/365))</f>
        <v>55.335968379446641</v>
      </c>
      <c r="I140" s="809"/>
      <c r="J140" s="809">
        <f>(P29/$R29*100*($E29/365))+(P30/$R30*100*($E30/365))</f>
        <v>44.664031620553359</v>
      </c>
      <c r="K140" s="809"/>
      <c r="L140" s="809">
        <f>(Q29/$R29*100*($E29/365))+(Q30/$R30*100*($E30/365))</f>
        <v>0</v>
      </c>
      <c r="M140" s="809"/>
      <c r="N140" s="781">
        <f t="shared" si="10"/>
        <v>100</v>
      </c>
      <c r="O140" s="781"/>
      <c r="R140" s="1">
        <v>1970</v>
      </c>
      <c r="S140" s="8">
        <f>(O29*($E29/365))+(O30*($E30/365))</f>
        <v>28</v>
      </c>
      <c r="T140" s="8">
        <f>(P29*($E29/365))+(P30*($E30/365))</f>
        <v>22.6</v>
      </c>
      <c r="U140" s="8">
        <f>(Q29*($E29/365))+(Q30*($E30/365))</f>
        <v>0</v>
      </c>
      <c r="V140" s="7"/>
      <c r="W140" s="7">
        <f t="shared" si="12"/>
        <v>50.6</v>
      </c>
    </row>
    <row r="141" spans="1:34" x14ac:dyDescent="0.15">
      <c r="A141" s="1">
        <v>1971</v>
      </c>
      <c r="B141" s="8">
        <f>(K31*($E31/365))+(K32*($E32/365))</f>
        <v>11.671232876712329</v>
      </c>
      <c r="C141" s="8">
        <f>(L31*($E31/365))+(L32*($E32/365))</f>
        <v>7.7808219178082192</v>
      </c>
      <c r="D141" s="8">
        <f>(M31*($E31/365))+(M32*($E32/365))</f>
        <v>80.547945205479451</v>
      </c>
      <c r="E141" s="48">
        <f t="shared" si="11"/>
        <v>100</v>
      </c>
      <c r="G141" s="1">
        <v>1971</v>
      </c>
      <c r="H141" s="809">
        <f>(O31/$R31*100*($E31/365))+(O32/$R32*100*($E32/365))</f>
        <v>10.763982890248524</v>
      </c>
      <c r="I141" s="809"/>
      <c r="J141" s="809">
        <f>(P31/$R31*100*($E31/365))+(P32/$R32*100*($E32/365))</f>
        <v>8.6880719042720234</v>
      </c>
      <c r="K141" s="809"/>
      <c r="L141" s="809">
        <f>(Q31/$R31*100*($E31/365))+(Q32/$R32*100*($E32/365))</f>
        <v>80.547945205479451</v>
      </c>
      <c r="M141" s="809"/>
      <c r="N141" s="781">
        <f t="shared" si="10"/>
        <v>100</v>
      </c>
      <c r="O141" s="781"/>
      <c r="R141" s="1">
        <v>1971</v>
      </c>
      <c r="S141" s="8">
        <f>(O31*($E31/365))+(O32*($E32/365))</f>
        <v>5.4465753424657537</v>
      </c>
      <c r="T141" s="8">
        <f>(P31*($E31/365))+(P32*($E32/365))</f>
        <v>4.3961643835616444</v>
      </c>
      <c r="U141" s="8">
        <f>(Q31*($E31/365))+(Q32*($E32/365))</f>
        <v>39.710136986301372</v>
      </c>
      <c r="V141" s="7"/>
      <c r="W141" s="7">
        <f t="shared" si="12"/>
        <v>49.552876712328768</v>
      </c>
    </row>
    <row r="142" spans="1:34" x14ac:dyDescent="0.15">
      <c r="A142" s="1">
        <v>1972</v>
      </c>
      <c r="B142" s="8">
        <f>(K33*($E33/366))+(K34*($E34/366))</f>
        <v>6.830601092896174</v>
      </c>
      <c r="C142" s="8">
        <f>(L33*($E33/366))+(L34*($E34/366))</f>
        <v>13.661202185792348</v>
      </c>
      <c r="D142" s="8">
        <f>(M33*($E33/366))+(M34*($E34/366))</f>
        <v>79.508196721311478</v>
      </c>
      <c r="E142" s="48">
        <f t="shared" si="11"/>
        <v>100</v>
      </c>
      <c r="G142" s="1">
        <v>1972</v>
      </c>
      <c r="H142" s="809">
        <f>(O33/$R33*100*($E33/366))+(O34/$R34*100*($E34/366))</f>
        <v>5.6958047451945726</v>
      </c>
      <c r="I142" s="809"/>
      <c r="J142" s="809">
        <f>(P33/$R33*100*($E33/366))+(P34/$R34*100*($E34/366))</f>
        <v>14.795998533493954</v>
      </c>
      <c r="K142" s="809"/>
      <c r="L142" s="809">
        <f>(Q33/$R33*100*($E33/366))+(Q34/$R34*100*($E34/366))</f>
        <v>79.508196721311478</v>
      </c>
      <c r="M142" s="809"/>
      <c r="N142" s="781">
        <f t="shared" si="10"/>
        <v>100</v>
      </c>
      <c r="O142" s="781"/>
      <c r="R142" s="1">
        <v>1972</v>
      </c>
      <c r="S142" s="8">
        <f>(O33*($E33/366))+(O34*($E34/366))</f>
        <v>1.7827868852459015</v>
      </c>
      <c r="T142" s="8">
        <f>(P33*($E33/366))+(P34*($E34/366))</f>
        <v>4.6311475409836067</v>
      </c>
      <c r="U142" s="8">
        <f>(Q33*($E33/366))+(Q34*($E34/366))</f>
        <v>39.197540983606558</v>
      </c>
      <c r="V142" s="7"/>
      <c r="W142" s="7">
        <f t="shared" si="12"/>
        <v>45.611475409836068</v>
      </c>
    </row>
    <row r="143" spans="1:34" x14ac:dyDescent="0.15">
      <c r="A143" s="1">
        <v>1973</v>
      </c>
      <c r="B143" s="8">
        <f>(K35*($E35/365))+(K36*($E36/365))</f>
        <v>26.301369863013694</v>
      </c>
      <c r="C143" s="8">
        <f>(L35*($E35/365))+(L36*($E36/365))</f>
        <v>52.602739726027387</v>
      </c>
      <c r="D143" s="8">
        <f>(M35*($E35/365))+(M36*($E36/365))</f>
        <v>21.095890410958905</v>
      </c>
      <c r="E143" s="48">
        <f t="shared" si="11"/>
        <v>99.999999999999986</v>
      </c>
      <c r="G143" s="1">
        <v>1973</v>
      </c>
      <c r="H143" s="809">
        <f>(O35/$R35*100*($E35/365))+(O36/$R36*100*($E36/365))</f>
        <v>21.931813208455505</v>
      </c>
      <c r="I143" s="809"/>
      <c r="J143" s="809">
        <f>(P35/$R35*100*($E35/365))+(P36/$R36*100*($E36/365))</f>
        <v>56.97229638058559</v>
      </c>
      <c r="K143" s="809"/>
      <c r="L143" s="809">
        <f>(Q35/$R35*100*($E35/365))+(Q36/$R36*100*($E36/365))</f>
        <v>21.095890410958905</v>
      </c>
      <c r="M143" s="809"/>
      <c r="N143" s="781">
        <f t="shared" si="10"/>
        <v>100</v>
      </c>
      <c r="O143" s="781"/>
      <c r="R143" s="1">
        <v>1973</v>
      </c>
      <c r="S143" s="8">
        <f>(O35*($E35/365))+(O36*($E36/365))</f>
        <v>6.8646575342465743</v>
      </c>
      <c r="T143" s="8">
        <f>(P35*($E35/365))+(P36*($E36/365))</f>
        <v>17.83232876712329</v>
      </c>
      <c r="U143" s="8">
        <f>(Q35*($E35/365))+(Q36*($E36/365))</f>
        <v>8.4383561643835616</v>
      </c>
      <c r="V143" s="7"/>
      <c r="W143" s="7">
        <f t="shared" si="12"/>
        <v>33.135342465753425</v>
      </c>
    </row>
    <row r="144" spans="1:34" x14ac:dyDescent="0.15">
      <c r="A144" s="1">
        <v>1974</v>
      </c>
      <c r="B144" s="8">
        <f>(K37*($E37/365))+(K38*($E38/365))</f>
        <v>0</v>
      </c>
      <c r="C144" s="8">
        <f>(L37*($E37/365))+(L38*($E38/365))</f>
        <v>0</v>
      </c>
      <c r="D144" s="8">
        <f>(M37*($E37/365))+(M38*($E38/365))</f>
        <v>100</v>
      </c>
      <c r="E144" s="48">
        <f t="shared" si="11"/>
        <v>100</v>
      </c>
      <c r="G144" s="1">
        <v>1974</v>
      </c>
      <c r="H144" s="809">
        <f>(O37/$R37*100*($E37/365))+(O38/$R38*100*($E38/365))</f>
        <v>0</v>
      </c>
      <c r="I144" s="809"/>
      <c r="J144" s="809">
        <f>(P37/$R37*100*($E37/365))+(P38/$R38*100*($E38/365))</f>
        <v>0</v>
      </c>
      <c r="K144" s="809"/>
      <c r="L144" s="809">
        <f>(Q37/$R37*100*($E37/365))+(Q38/$R38*100*($E38/365))</f>
        <v>100</v>
      </c>
      <c r="M144" s="809"/>
      <c r="N144" s="781">
        <f t="shared" si="10"/>
        <v>100</v>
      </c>
      <c r="O144" s="781"/>
      <c r="R144" s="1">
        <v>1974</v>
      </c>
      <c r="S144" s="8">
        <f>(O37*($E37/365))+(O38*($E38/365))</f>
        <v>0</v>
      </c>
      <c r="T144" s="8">
        <f>(P37*($E37/365))+(P38*($E38/365))</f>
        <v>0</v>
      </c>
      <c r="U144" s="8">
        <f>(Q37*($E37/365))+(Q38*($E38/365))</f>
        <v>40</v>
      </c>
      <c r="V144" s="7"/>
      <c r="W144" s="7">
        <f t="shared" si="12"/>
        <v>40</v>
      </c>
    </row>
    <row r="145" spans="1:23" x14ac:dyDescent="0.15">
      <c r="A145" s="1">
        <v>1975</v>
      </c>
      <c r="B145" s="8">
        <f>(K39*($E39/365))+(K40*($E40/365))</f>
        <v>0</v>
      </c>
      <c r="C145" s="8">
        <f>(L39*($E39/365))+(L40*($E40/365))</f>
        <v>0</v>
      </c>
      <c r="D145" s="8">
        <f>(M39*($E39/365))+(M40*($E40/365))</f>
        <v>100</v>
      </c>
      <c r="E145" s="48">
        <f t="shared" si="11"/>
        <v>100</v>
      </c>
      <c r="G145" s="1">
        <v>1975</v>
      </c>
      <c r="H145" s="809">
        <f>(O39/$R39*100*($E39/365))+(O40/$R40*100*($E40/365))</f>
        <v>0</v>
      </c>
      <c r="I145" s="809"/>
      <c r="J145" s="809">
        <f>(P39/$R39*100*($E39/365))+(P40/$R40*100*($E40/365))</f>
        <v>0</v>
      </c>
      <c r="K145" s="809"/>
      <c r="L145" s="809">
        <f>(Q39/$R39*100*($E39/365))+(Q40/$R40*100*($E40/365))</f>
        <v>100</v>
      </c>
      <c r="M145" s="809"/>
      <c r="N145" s="781">
        <f t="shared" si="10"/>
        <v>100</v>
      </c>
      <c r="O145" s="781"/>
      <c r="R145" s="1">
        <v>1975</v>
      </c>
      <c r="S145" s="8">
        <f>(O39*($E39/365))+(O40*($E40/365))</f>
        <v>0</v>
      </c>
      <c r="T145" s="8">
        <f>(P39*($E39/365))+(P40*($E40/365))</f>
        <v>0</v>
      </c>
      <c r="U145" s="8">
        <f>(Q39*($E39/365))+(Q40*($E40/365))</f>
        <v>40</v>
      </c>
      <c r="V145" s="7"/>
      <c r="W145" s="7">
        <f t="shared" si="12"/>
        <v>40</v>
      </c>
    </row>
    <row r="146" spans="1:23" x14ac:dyDescent="0.15">
      <c r="A146" s="1">
        <v>1976</v>
      </c>
      <c r="B146" s="8">
        <f>(K41*($E41/366))+(K42*($E42/366))</f>
        <v>0</v>
      </c>
      <c r="C146" s="8">
        <f>(L41*($E41/366))+(L42*($E42/366))</f>
        <v>0</v>
      </c>
      <c r="D146" s="8">
        <f>(M41*($E41/366))+(M42*($E42/366))</f>
        <v>100</v>
      </c>
      <c r="E146" s="48">
        <f t="shared" si="11"/>
        <v>100</v>
      </c>
      <c r="G146" s="1">
        <v>1976</v>
      </c>
      <c r="H146" s="809">
        <f>(O41/$R41*100*($E41/366))+(O42/$R42*100*($E42/366))</f>
        <v>0</v>
      </c>
      <c r="I146" s="809"/>
      <c r="J146" s="809">
        <f>(P41/$R41*100*($E41/366))+(P42/$R42*100*($E42/366))</f>
        <v>0</v>
      </c>
      <c r="K146" s="809"/>
      <c r="L146" s="809">
        <f>(Q41/$R41*100*($E41/366))+(Q42/$R42*100*($E42/366))</f>
        <v>100</v>
      </c>
      <c r="M146" s="809"/>
      <c r="N146" s="781">
        <f t="shared" si="10"/>
        <v>100</v>
      </c>
      <c r="O146" s="781"/>
      <c r="R146" s="1">
        <v>1976</v>
      </c>
      <c r="S146" s="8">
        <f>(O41*($E41/366))+(O42*($E42/366))</f>
        <v>0</v>
      </c>
      <c r="T146" s="8">
        <f>(P41*($E41/366))+(P42*($E42/366))</f>
        <v>0</v>
      </c>
      <c r="U146" s="8">
        <f>(Q41*($E41/366))+(Q42*($E42/366))</f>
        <v>39.999999999999993</v>
      </c>
      <c r="V146" s="7"/>
      <c r="W146" s="7">
        <f t="shared" si="12"/>
        <v>39.999999999999993</v>
      </c>
    </row>
    <row r="147" spans="1:23" x14ac:dyDescent="0.15">
      <c r="A147" s="1">
        <v>1977</v>
      </c>
      <c r="B147" s="8">
        <f>(K43*($E43/365))+(K44*($E44/365))</f>
        <v>0</v>
      </c>
      <c r="C147" s="8">
        <f>(L43*($E43/365))+(L44*($E44/365))</f>
        <v>0</v>
      </c>
      <c r="D147" s="8">
        <f>(M43*($E43/365))+(M44*($E44/365))</f>
        <v>100</v>
      </c>
      <c r="E147" s="48">
        <f t="shared" si="11"/>
        <v>100</v>
      </c>
      <c r="G147" s="1">
        <v>1977</v>
      </c>
      <c r="H147" s="809">
        <f>(O43/$R43*100*($E43/365))+(O44/$R44*100*($E44/365))</f>
        <v>0</v>
      </c>
      <c r="I147" s="809"/>
      <c r="J147" s="809">
        <f>(P43/$R43*100*($E43/365))+(P44/$R44*100*($E44/365))</f>
        <v>0</v>
      </c>
      <c r="K147" s="809"/>
      <c r="L147" s="809">
        <f>(Q43/$R43*100*($E43/365))+(Q44/$R44*100*($E44/365))</f>
        <v>100</v>
      </c>
      <c r="M147" s="809"/>
      <c r="N147" s="781">
        <f t="shared" si="10"/>
        <v>100</v>
      </c>
      <c r="O147" s="781"/>
      <c r="R147" s="1">
        <v>1977</v>
      </c>
      <c r="S147" s="8">
        <f>(O43*($E43/365))+(O44*($E44/365))</f>
        <v>0</v>
      </c>
      <c r="T147" s="8">
        <f>(P43*($E43/365))+(P44*($E44/365))</f>
        <v>0</v>
      </c>
      <c r="U147" s="8">
        <f>(Q43*($E43/365))+(Q44*($E44/365))</f>
        <v>42.736986301369868</v>
      </c>
      <c r="V147" s="7"/>
      <c r="W147" s="7">
        <f t="shared" si="12"/>
        <v>42.736986301369868</v>
      </c>
    </row>
    <row r="148" spans="1:23" x14ac:dyDescent="0.15">
      <c r="A148" s="1">
        <v>1978</v>
      </c>
      <c r="B148" s="8">
        <f>(K45*($E45/365))+(K46*($E46/365))</f>
        <v>0</v>
      </c>
      <c r="C148" s="8">
        <f>(L45*($E45/365))+(L46*($E46/365))</f>
        <v>0</v>
      </c>
      <c r="D148" s="8">
        <f>(M45*($E45/365))+(M46*($E46/365))</f>
        <v>100</v>
      </c>
      <c r="E148" s="48">
        <f t="shared" si="11"/>
        <v>100</v>
      </c>
      <c r="G148" s="1">
        <v>1978</v>
      </c>
      <c r="H148" s="809">
        <f>(O45/$R45*100*($E45/365))+(O46/$R46*100*($E46/365))</f>
        <v>0</v>
      </c>
      <c r="I148" s="809"/>
      <c r="J148" s="809">
        <f>(P45/$R45*100*($E45/365))+(P46/$R46*100*($E46/365))</f>
        <v>0</v>
      </c>
      <c r="K148" s="809"/>
      <c r="L148" s="809">
        <f>(Q45/$R45*100*($E45/365))+(Q46/$R46*100*($E46/365))</f>
        <v>100</v>
      </c>
      <c r="M148" s="809"/>
      <c r="N148" s="781">
        <f t="shared" si="10"/>
        <v>100</v>
      </c>
      <c r="O148" s="781"/>
      <c r="R148" s="1">
        <v>1978</v>
      </c>
      <c r="S148" s="8">
        <f>(O45*($E45/365))+(O46*($E46/365))</f>
        <v>0</v>
      </c>
      <c r="T148" s="8">
        <f>(P45*($E45/365))+(P46*($E46/365))</f>
        <v>0</v>
      </c>
      <c r="U148" s="8">
        <f>(Q45*($E45/365))+(Q46*($E46/365))</f>
        <v>49</v>
      </c>
      <c r="V148" s="7"/>
      <c r="W148" s="7">
        <f t="shared" si="12"/>
        <v>49</v>
      </c>
    </row>
    <row r="149" spans="1:23" x14ac:dyDescent="0.15">
      <c r="A149" s="1">
        <v>1979</v>
      </c>
      <c r="B149" s="8">
        <f>(K47*($E47/365))+(K48*($E48/365))</f>
        <v>0</v>
      </c>
      <c r="C149" s="8">
        <f>(L47*($E47/365))+(L48*($E48/365))</f>
        <v>0</v>
      </c>
      <c r="D149" s="8">
        <f>(M47*($E47/365))+(M48*($E48/365))</f>
        <v>100</v>
      </c>
      <c r="E149" s="48">
        <f t="shared" si="11"/>
        <v>100</v>
      </c>
      <c r="G149" s="1">
        <v>1979</v>
      </c>
      <c r="H149" s="809">
        <f>(O47/$R47*100*($E47/365))+(O48/$R48*100*($E48/365))</f>
        <v>0</v>
      </c>
      <c r="I149" s="809"/>
      <c r="J149" s="809">
        <f>(P47/$R47*100*($E47/365))+(P48/$R48*100*($E48/365))</f>
        <v>0</v>
      </c>
      <c r="K149" s="809"/>
      <c r="L149" s="809">
        <f>(Q47/$R47*100*($E47/365))+(Q48/$R48*100*($E48/365))</f>
        <v>100</v>
      </c>
      <c r="M149" s="809"/>
      <c r="N149" s="781">
        <f t="shared" si="10"/>
        <v>100</v>
      </c>
      <c r="O149" s="781"/>
      <c r="R149" s="1">
        <v>1979</v>
      </c>
      <c r="S149" s="8">
        <f>(O47*($E47/365))+(O48*($E48/365))</f>
        <v>0</v>
      </c>
      <c r="T149" s="8">
        <f>(P47*($E47/365))+(P48*($E48/365))</f>
        <v>0</v>
      </c>
      <c r="U149" s="8">
        <f>(Q47*($E47/365))+(Q48*($E48/365))</f>
        <v>49</v>
      </c>
      <c r="V149" s="7"/>
      <c r="W149" s="7">
        <f t="shared" si="12"/>
        <v>49</v>
      </c>
    </row>
    <row r="150" spans="1:23" x14ac:dyDescent="0.15">
      <c r="A150" s="1">
        <v>1980</v>
      </c>
      <c r="B150" s="8">
        <f>(K49*($E49/366))+(K50*($E50/366))</f>
        <v>0</v>
      </c>
      <c r="C150" s="8">
        <f>(L49*($E49/366))+(L50*($E50/366))</f>
        <v>0</v>
      </c>
      <c r="D150" s="8">
        <f>(M49*($E49/366))+(M50*($E50/366))</f>
        <v>100</v>
      </c>
      <c r="E150" s="48">
        <f t="shared" si="11"/>
        <v>100</v>
      </c>
      <c r="G150" s="1">
        <v>1980</v>
      </c>
      <c r="H150" s="809">
        <f>(O49/$R49*100*($E49/366))+(O50/$R50*100*($E50/366))</f>
        <v>0</v>
      </c>
      <c r="I150" s="809"/>
      <c r="J150" s="809">
        <f>(P49/$R49*100*($E49/366))+(P50/$R50*100*($E50/366))</f>
        <v>0</v>
      </c>
      <c r="K150" s="809"/>
      <c r="L150" s="809">
        <f>(Q49/$R49*100*($E49/366))+(Q50/$R50*100*($E50/366))</f>
        <v>100</v>
      </c>
      <c r="M150" s="809"/>
      <c r="N150" s="781">
        <f t="shared" si="10"/>
        <v>100</v>
      </c>
      <c r="O150" s="781"/>
      <c r="R150" s="1">
        <v>1980</v>
      </c>
      <c r="S150" s="8">
        <f>(O49*($E49/366))+(O50*($E50/366))</f>
        <v>0</v>
      </c>
      <c r="T150" s="8">
        <f>(P49*($E49/366))+(P50*($E50/366))</f>
        <v>0</v>
      </c>
      <c r="U150" s="8">
        <f>(Q49*($E49/366))+(Q50*($E50/366))</f>
        <v>49</v>
      </c>
      <c r="V150" s="7"/>
      <c r="W150" s="7">
        <f t="shared" si="12"/>
        <v>49</v>
      </c>
    </row>
    <row r="151" spans="1:23" x14ac:dyDescent="0.15">
      <c r="A151" s="1">
        <v>1981</v>
      </c>
      <c r="B151" s="8">
        <f>(K51*($E51/365))+(K52*($E52/365))+(K53*($E53/365))</f>
        <v>21.643835616438356</v>
      </c>
      <c r="C151" s="8">
        <f>(L51*($E51/365))+(L52*($E52/365))+(L53*($E53/365))</f>
        <v>0</v>
      </c>
      <c r="D151" s="8">
        <f>(M51*($E51/365))+(M52*($E52/365))+(M53*($E53/365))</f>
        <v>78.356164383561648</v>
      </c>
      <c r="E151" s="48">
        <f t="shared" si="11"/>
        <v>100</v>
      </c>
      <c r="G151" s="1">
        <v>1981</v>
      </c>
      <c r="H151" s="809">
        <f>(O51/$R51*100*($E51/365))+(O52/$R52*100*($E52/365))+(O53/$R53*100*($E53/365))</f>
        <v>21.643835616438356</v>
      </c>
      <c r="I151" s="809"/>
      <c r="J151" s="809">
        <f>(P51/$R51*100*($E51/365))+(P52/$R52*100*($E52/365))+(P53/$R53*100*($E53/365))</f>
        <v>0</v>
      </c>
      <c r="K151" s="809"/>
      <c r="L151" s="809">
        <f>(Q51/$R51*100*($E51/365))+(Q52/$R52*100*($E52/365))+(Q53/$R53*100*($E53/365))</f>
        <v>78.356164383561648</v>
      </c>
      <c r="M151" s="809"/>
      <c r="N151" s="781">
        <f t="shared" si="10"/>
        <v>100</v>
      </c>
      <c r="O151" s="781"/>
      <c r="R151" s="1">
        <v>1981</v>
      </c>
      <c r="S151" s="8">
        <f>(O51*($E51/365))+(O52*($E52/365))+(O53*($E53/365))</f>
        <v>7.5320547945205476</v>
      </c>
      <c r="T151" s="8">
        <f>(P51*($E51/365))+(P52*($E52/365))+(P53*($E53/365))</f>
        <v>0</v>
      </c>
      <c r="U151" s="8">
        <f>(Q51*($E51/365))+(Q52*($E52/365))+(Q53*($E53/365))</f>
        <v>38.394520547945206</v>
      </c>
      <c r="V151" s="7"/>
      <c r="W151" s="7">
        <f t="shared" si="12"/>
        <v>45.926575342465753</v>
      </c>
    </row>
    <row r="152" spans="1:23" x14ac:dyDescent="0.15">
      <c r="A152" s="1">
        <v>1982</v>
      </c>
      <c r="B152" s="8">
        <f>(K54*($E54/365))+(K55*($E55/365))</f>
        <v>100</v>
      </c>
      <c r="C152" s="8">
        <f>(L54*($E54/365))+(L55*($E55/365))</f>
        <v>0</v>
      </c>
      <c r="D152" s="8">
        <f>(M54*($E54/365))+(M55*($E55/365))</f>
        <v>0</v>
      </c>
      <c r="E152" s="48">
        <f t="shared" si="11"/>
        <v>100</v>
      </c>
      <c r="G152" s="1">
        <v>1982</v>
      </c>
      <c r="H152" s="809">
        <f>(O54/$R54*100*($E54/365))+(O55/$R55*100*($E55/365))</f>
        <v>100</v>
      </c>
      <c r="I152" s="809"/>
      <c r="J152" s="809">
        <f>(P54/$R54*100*($E54/365))+(P55/$R55*100*($E55/365))</f>
        <v>0</v>
      </c>
      <c r="K152" s="809"/>
      <c r="L152" s="809">
        <f>(Q54/$R54*100*($E54/365))+(Q55/$R55*100*($E55/365))</f>
        <v>0</v>
      </c>
      <c r="M152" s="809"/>
      <c r="N152" s="781">
        <f t="shared" si="10"/>
        <v>100</v>
      </c>
      <c r="O152" s="781"/>
      <c r="R152" s="1">
        <v>1982</v>
      </c>
      <c r="S152" s="8">
        <f>(O54*($E54/365))+(O55*($E55/365))</f>
        <v>34.799999999999997</v>
      </c>
      <c r="T152" s="8">
        <f>(P54*($E54/365))+(P55*($E55/365))</f>
        <v>0</v>
      </c>
      <c r="U152" s="8">
        <f>(Q54*($E54/365))+(Q55*($E55/365))</f>
        <v>0</v>
      </c>
      <c r="V152" s="7"/>
      <c r="W152" s="7">
        <f t="shared" si="12"/>
        <v>34.799999999999997</v>
      </c>
    </row>
    <row r="153" spans="1:23" x14ac:dyDescent="0.15">
      <c r="A153" s="1">
        <v>1983</v>
      </c>
      <c r="B153" s="8">
        <f>(K56*($E56/365))+(K57*($E57/365))</f>
        <v>81.095890410958901</v>
      </c>
      <c r="C153" s="8">
        <f>(L56*($E56/365))+(L57*($E57/365))</f>
        <v>18.904109589041092</v>
      </c>
      <c r="D153" s="8">
        <f>(M56*($E56/365))+(M57*($E57/365))</f>
        <v>0</v>
      </c>
      <c r="E153" s="48">
        <f t="shared" si="11"/>
        <v>100</v>
      </c>
      <c r="G153" s="1">
        <v>1983</v>
      </c>
      <c r="H153" s="809">
        <f>(O56/$R56*100*($E56/365))+(O57/$R57*100*($E57/365))</f>
        <v>81.535520866517999</v>
      </c>
      <c r="I153" s="809"/>
      <c r="J153" s="809">
        <f>(P56/$R56*100*($E56/365))+(P57/$R57*100*($E57/365))</f>
        <v>18.464479133481998</v>
      </c>
      <c r="K153" s="809"/>
      <c r="L153" s="809">
        <f>(Q56/$R56*100*($E56/365))+(Q57/$R57*100*($E57/365))</f>
        <v>0</v>
      </c>
      <c r="M153" s="809"/>
      <c r="N153" s="781">
        <f t="shared" si="10"/>
        <v>100</v>
      </c>
      <c r="O153" s="781"/>
      <c r="R153" s="1">
        <v>1983</v>
      </c>
      <c r="S153" s="8">
        <f>(O56*($E56/365))+(O57*($E57/365))</f>
        <v>34.799999999999997</v>
      </c>
      <c r="T153" s="8">
        <f>(P56*($E56/365))+(P57*($E57/365))</f>
        <v>9.5276712328767115</v>
      </c>
      <c r="U153" s="8">
        <f>(Q56*($E56/365))+(Q57*($E57/365))</f>
        <v>0</v>
      </c>
      <c r="V153" s="7"/>
      <c r="W153" s="7">
        <f t="shared" si="12"/>
        <v>44.32767123287671</v>
      </c>
    </row>
    <row r="154" spans="1:23" x14ac:dyDescent="0.15">
      <c r="A154" s="1">
        <v>1984</v>
      </c>
      <c r="B154" s="8">
        <f>(K58*($E58/366))+(K59*($E59/366))</f>
        <v>66.666666666666657</v>
      </c>
      <c r="C154" s="8">
        <f>(L58*($E58/366))+(L59*($E59/366))</f>
        <v>33.333333333333329</v>
      </c>
      <c r="D154" s="8">
        <f>(M58*($E58/366))+(M59*($E59/366))</f>
        <v>0</v>
      </c>
      <c r="E154" s="48">
        <f t="shared" si="11"/>
        <v>99.999999999999986</v>
      </c>
      <c r="G154" s="1">
        <v>1984</v>
      </c>
      <c r="H154" s="809">
        <f>(O58/$R58*100*($E58/366))+(O59/$R59*100*($E59/366))</f>
        <v>67.441860465116278</v>
      </c>
      <c r="I154" s="809"/>
      <c r="J154" s="809">
        <f>(P58/$R58*100*($E58/366))+(P59/$R59*100*($E59/366))</f>
        <v>32.558139534883715</v>
      </c>
      <c r="K154" s="809"/>
      <c r="L154" s="809">
        <f>(Q58/$R58*100*($E58/366))+(Q59/$R59*100*($E59/366))</f>
        <v>0</v>
      </c>
      <c r="M154" s="809"/>
      <c r="N154" s="781">
        <f t="shared" si="10"/>
        <v>100</v>
      </c>
      <c r="O154" s="781"/>
      <c r="R154" s="1">
        <v>1984</v>
      </c>
      <c r="S154" s="8">
        <f>(O58*($E58/366))+(O59*($E59/366))</f>
        <v>34.799999999999997</v>
      </c>
      <c r="T154" s="8">
        <f>(P58*($E58/366))+(P59*($E59/366))</f>
        <v>16.799999999999997</v>
      </c>
      <c r="U154" s="8">
        <f>(Q58*($E58/366))+(Q59*($E59/366))</f>
        <v>0</v>
      </c>
      <c r="V154" s="7"/>
      <c r="W154" s="7">
        <f t="shared" si="12"/>
        <v>51.599999999999994</v>
      </c>
    </row>
    <row r="155" spans="1:23" x14ac:dyDescent="0.15">
      <c r="A155" s="1">
        <v>1985</v>
      </c>
      <c r="B155" s="8">
        <f>(K60*($E60/365))+(K61*($E61/365))</f>
        <v>66.118721461187207</v>
      </c>
      <c r="C155" s="8">
        <f>(L60*($E60/365))+(L61*($E61/365))</f>
        <v>33.881278538812779</v>
      </c>
      <c r="D155" s="8">
        <f>(M60*($E60/365))+(M61*($E61/365))</f>
        <v>0</v>
      </c>
      <c r="E155" s="48">
        <f t="shared" si="11"/>
        <v>99.999999999999986</v>
      </c>
      <c r="G155" s="1">
        <v>1985</v>
      </c>
      <c r="H155" s="809">
        <f>(O60/$R60*100*($E60/365))+(O61/$R61*100*($E61/365))</f>
        <v>67.113524956581614</v>
      </c>
      <c r="I155" s="809"/>
      <c r="J155" s="809">
        <f>(P60/$R60*100*($E60/365))+(P61/$R61*100*($E61/365))</f>
        <v>32.886475043418386</v>
      </c>
      <c r="K155" s="809"/>
      <c r="L155" s="809">
        <f>(Q60/$R60*100*($E60/365))+(Q61/$R61*100*($E61/365))</f>
        <v>0</v>
      </c>
      <c r="M155" s="809"/>
      <c r="N155" s="781">
        <f t="shared" si="10"/>
        <v>100</v>
      </c>
      <c r="O155" s="781"/>
      <c r="R155" s="1">
        <v>1985</v>
      </c>
      <c r="S155" s="8">
        <f>(O60*($E60/365))+(O61*($E61/365))</f>
        <v>34.504109589041093</v>
      </c>
      <c r="T155" s="8">
        <f>(P60*($E60/365))+(P61*($E61/365))</f>
        <v>16.898630136986299</v>
      </c>
      <c r="U155" s="8">
        <f>(Q60*($E60/365))+(Q61*($E61/365))</f>
        <v>0</v>
      </c>
      <c r="V155" s="7"/>
      <c r="W155" s="7">
        <f t="shared" si="12"/>
        <v>51.402739726027391</v>
      </c>
    </row>
    <row r="156" spans="1:23" x14ac:dyDescent="0.15">
      <c r="A156" s="1">
        <v>1986</v>
      </c>
      <c r="B156" s="8">
        <f>(K62*($E62/365))+(K63*($E63/365))</f>
        <v>21.430745814307461</v>
      </c>
      <c r="C156" s="8">
        <f>(L62*($E62/365))+(L63*($E63/365))</f>
        <v>13.637747336377474</v>
      </c>
      <c r="D156" s="8">
        <f>(M62*($E62/365))+(M63*($E63/365))</f>
        <v>64.93150684931507</v>
      </c>
      <c r="E156" s="48">
        <f t="shared" si="11"/>
        <v>100</v>
      </c>
      <c r="G156" s="1">
        <v>1986</v>
      </c>
      <c r="H156" s="809">
        <f>(O62/$R62*100*($E62/365))+(O63/$R63*100*($E63/365))</f>
        <v>22.483429076447198</v>
      </c>
      <c r="I156" s="809"/>
      <c r="J156" s="809">
        <f>(P62/$R62*100*($E62/365))+(P63/$R63*100*($E63/365))</f>
        <v>12.585064074237737</v>
      </c>
      <c r="K156" s="809"/>
      <c r="L156" s="809">
        <f>(Q62/$R62*100*($E62/365))+(Q63/$R63*100*($E63/365))</f>
        <v>64.93150684931507</v>
      </c>
      <c r="M156" s="809"/>
      <c r="N156" s="781">
        <f t="shared" si="10"/>
        <v>100</v>
      </c>
      <c r="O156" s="781"/>
      <c r="R156" s="1">
        <v>1986</v>
      </c>
      <c r="S156" s="8">
        <f>(O62*($E62/365))+(O63*($E63/365))</f>
        <v>11.151780821917809</v>
      </c>
      <c r="T156" s="8">
        <f>(P62*($E62/365))+(P63*($E63/365))</f>
        <v>6.2421917808219165</v>
      </c>
      <c r="U156" s="8">
        <f>(Q62*($E62/365))+(Q63*($E63/365))</f>
        <v>29.349041095890414</v>
      </c>
      <c r="V156" s="7"/>
      <c r="W156" s="7">
        <f t="shared" si="12"/>
        <v>46.743013698630136</v>
      </c>
    </row>
    <row r="157" spans="1:23" x14ac:dyDescent="0.15">
      <c r="A157" s="1">
        <v>1987</v>
      </c>
      <c r="B157" s="8">
        <f>(K64*($E64/365))+(K65*($E65/365))</f>
        <v>0</v>
      </c>
      <c r="C157" s="8">
        <f>(L64*($E64/365))+(L65*($E65/365))</f>
        <v>0</v>
      </c>
      <c r="D157" s="8">
        <f>(M64*($E64/365))+(M65*($E65/365))</f>
        <v>100</v>
      </c>
      <c r="E157" s="48">
        <f t="shared" si="11"/>
        <v>100</v>
      </c>
      <c r="G157" s="1">
        <v>1987</v>
      </c>
      <c r="H157" s="809">
        <f>(O64/$R64*100*($E64/365))+(O65/$R65*100*($E65/365))</f>
        <v>0</v>
      </c>
      <c r="I157" s="809"/>
      <c r="J157" s="809">
        <f>(P64/$R64*100*($E64/365))+(P65/$R65*100*($E65/365))</f>
        <v>0</v>
      </c>
      <c r="K157" s="809"/>
      <c r="L157" s="809">
        <f>(Q64/$R64*100*($E64/365))+(Q65/$R65*100*($E65/365))</f>
        <v>100</v>
      </c>
      <c r="M157" s="809"/>
      <c r="N157" s="781">
        <f t="shared" si="10"/>
        <v>100</v>
      </c>
      <c r="O157" s="781"/>
      <c r="R157" s="1">
        <v>1987</v>
      </c>
      <c r="S157" s="8">
        <f>(O64*($E64/365))+(O65*($E65/365))</f>
        <v>0</v>
      </c>
      <c r="T157" s="8">
        <f>(P64*($E64/365))+(P65*($E65/365))</f>
        <v>0</v>
      </c>
      <c r="U157" s="8">
        <f>(Q64*($E64/365))+(Q65*($E65/365))</f>
        <v>45.2</v>
      </c>
      <c r="V157" s="7"/>
      <c r="W157" s="7">
        <f t="shared" si="12"/>
        <v>45.2</v>
      </c>
    </row>
    <row r="158" spans="1:23" x14ac:dyDescent="0.15">
      <c r="A158" s="1">
        <v>1988</v>
      </c>
      <c r="B158" s="8">
        <f>(K66*($E66/366))+(K67*($E67/366))</f>
        <v>0</v>
      </c>
      <c r="C158" s="8">
        <f>(L66*($E66/366))+(L67*($E67/366))</f>
        <v>0</v>
      </c>
      <c r="D158" s="8">
        <f>(M66*($E66/366))+(M67*($E67/366))</f>
        <v>100</v>
      </c>
      <c r="E158" s="48">
        <f t="shared" si="11"/>
        <v>100</v>
      </c>
      <c r="G158" s="1">
        <v>1988</v>
      </c>
      <c r="H158" s="809">
        <f>(O66/$R66*100*($E66/366))+(O67/$R67*100*($E67/366))</f>
        <v>0</v>
      </c>
      <c r="I158" s="809"/>
      <c r="J158" s="809">
        <f>(P66/$R66*100*($E66/366))+(P67/$R67*100*($E67/366))</f>
        <v>0</v>
      </c>
      <c r="K158" s="809"/>
      <c r="L158" s="809">
        <f>(Q66/$R66*100*($E66/366))+(Q67/$R67*100*($E67/366))</f>
        <v>100</v>
      </c>
      <c r="M158" s="809"/>
      <c r="N158" s="781">
        <f t="shared" si="10"/>
        <v>100</v>
      </c>
      <c r="O158" s="781"/>
      <c r="R158" s="1">
        <v>1988</v>
      </c>
      <c r="S158" s="8">
        <f>(O66*($E66/366))+(O67*($E67/366))</f>
        <v>0</v>
      </c>
      <c r="T158" s="8">
        <f>(P66*($E66/366))+(P67*($E67/366))</f>
        <v>0</v>
      </c>
      <c r="U158" s="8">
        <f>(Q66*($E66/366))+(Q67*($E67/366))</f>
        <v>45.2</v>
      </c>
      <c r="V158" s="7"/>
      <c r="W158" s="7">
        <f t="shared" si="12"/>
        <v>45.2</v>
      </c>
    </row>
    <row r="159" spans="1:23" x14ac:dyDescent="0.15">
      <c r="A159" s="1">
        <v>1989</v>
      </c>
      <c r="B159" s="8">
        <f>(K68*($E68/365))+(K69*($E69/365))</f>
        <v>9.3759512937595115</v>
      </c>
      <c r="C159" s="8">
        <f>(L68*($E68/365))+(L69*($E69/365))</f>
        <v>11.719939117199392</v>
      </c>
      <c r="D159" s="8">
        <f>(M68*($E68/365))+(M69*($E69/365))</f>
        <v>78.904109589041099</v>
      </c>
      <c r="E159" s="48">
        <f t="shared" si="11"/>
        <v>100</v>
      </c>
      <c r="G159" s="1">
        <v>1989</v>
      </c>
      <c r="H159" s="809">
        <f>(O68/$R68*100*($E68/365))+(O69/$R69*100*($E69/365))</f>
        <v>12.567764500145731</v>
      </c>
      <c r="I159" s="809"/>
      <c r="J159" s="809">
        <f>(P68/$R68*100*($E68/365))+(P69/$R69*100*($E69/365))</f>
        <v>8.5281259108131735</v>
      </c>
      <c r="K159" s="809"/>
      <c r="L159" s="809">
        <f>(Q68/$R68*100*($E68/365))+(Q69/$R69*100*($E69/365))</f>
        <v>78.904109589041099</v>
      </c>
      <c r="M159" s="809"/>
      <c r="N159" s="781">
        <f t="shared" si="10"/>
        <v>100</v>
      </c>
      <c r="O159" s="781"/>
      <c r="R159" s="1">
        <v>1989</v>
      </c>
      <c r="S159" s="8">
        <f>(O68*($E68/365))+(O69*($E69/365))</f>
        <v>4.7254794520547945</v>
      </c>
      <c r="T159" s="8">
        <f>(P68*($E68/365))+(P69*($E69/365))</f>
        <v>3.206575342465753</v>
      </c>
      <c r="U159" s="8">
        <f>(Q68*($E68/365))+(Q69*($E69/365))</f>
        <v>35.664657534246579</v>
      </c>
      <c r="V159" s="7"/>
      <c r="W159" s="7">
        <f t="shared" si="12"/>
        <v>43.596712328767126</v>
      </c>
    </row>
    <row r="160" spans="1:23" x14ac:dyDescent="0.15">
      <c r="A160" s="1">
        <v>1990</v>
      </c>
      <c r="B160" s="8">
        <f>(K70*($E70/365))+(K71*($E71/365))</f>
        <v>37.260273972602739</v>
      </c>
      <c r="C160" s="8">
        <f>(L70*($E70/365))+(L71*($E71/365))</f>
        <v>46.575342465753423</v>
      </c>
      <c r="D160" s="8">
        <f>(M70*($E70/365))+(M71*($E71/365))</f>
        <v>16.164383561643834</v>
      </c>
      <c r="E160" s="48">
        <f t="shared" si="11"/>
        <v>100</v>
      </c>
      <c r="G160" s="1">
        <v>1990</v>
      </c>
      <c r="H160" s="809">
        <f>(O70/$R70*100*($E70/365))+(O71/$R71*100*($E71/365))</f>
        <v>49.944622559020701</v>
      </c>
      <c r="I160" s="809"/>
      <c r="J160" s="809">
        <f>(P70/$R70*100*($E70/365))+(P71/$R71*100*($E71/365))</f>
        <v>33.890993879335468</v>
      </c>
      <c r="K160" s="809"/>
      <c r="L160" s="809">
        <f>(Q70/$R70*100*($E70/365))+(Q71/$R71*100*($E71/365))</f>
        <v>16.164383561643834</v>
      </c>
      <c r="M160" s="809"/>
      <c r="N160" s="781">
        <f t="shared" si="10"/>
        <v>100</v>
      </c>
      <c r="O160" s="781"/>
      <c r="R160" s="1">
        <v>1990</v>
      </c>
      <c r="S160" s="8">
        <f>(O70*($E70/365))+(O71*($E71/365))</f>
        <v>18.77917808219178</v>
      </c>
      <c r="T160" s="8">
        <f>(P70*($E70/365))+(P71*($E71/365))</f>
        <v>12.743013698630136</v>
      </c>
      <c r="U160" s="8">
        <f>(Q70*($E70/365))+(Q71*($E71/365))</f>
        <v>6.1747945205479455</v>
      </c>
      <c r="V160" s="7"/>
      <c r="W160" s="7">
        <f t="shared" si="12"/>
        <v>37.696986301369861</v>
      </c>
    </row>
    <row r="161" spans="1:23" x14ac:dyDescent="0.15">
      <c r="A161" s="1">
        <v>1991</v>
      </c>
      <c r="B161" s="8">
        <f>(K72*($E72/365))+(K73*($E73/365))</f>
        <v>0</v>
      </c>
      <c r="C161" s="8">
        <f>(L72*($E72/365))+(L73*($E73/365))</f>
        <v>0</v>
      </c>
      <c r="D161" s="8">
        <f>(M72*($E72/365))+(M73*($E73/365))</f>
        <v>100</v>
      </c>
      <c r="E161" s="48">
        <f t="shared" si="11"/>
        <v>100</v>
      </c>
      <c r="G161" s="1">
        <v>1991</v>
      </c>
      <c r="H161" s="809">
        <f>(O72/$R72*100*($E72/365))+(O73/$R73*100*($E73/365))</f>
        <v>0</v>
      </c>
      <c r="I161" s="809"/>
      <c r="J161" s="809">
        <f>(P72/$R72*100*($E72/365))+(P73/$R73*100*($E73/365))</f>
        <v>0</v>
      </c>
      <c r="K161" s="809"/>
      <c r="L161" s="809">
        <f>(Q72/$R72*100*($E72/365))+(Q73/$R73*100*($E73/365))</f>
        <v>100</v>
      </c>
      <c r="M161" s="809"/>
      <c r="N161" s="781">
        <f t="shared" si="10"/>
        <v>100</v>
      </c>
      <c r="O161" s="781"/>
      <c r="R161" s="1">
        <v>1991</v>
      </c>
      <c r="S161" s="8">
        <f>(O72*($E72/365))+(O73*($E73/365))</f>
        <v>0</v>
      </c>
      <c r="T161" s="8">
        <f>(P72*($E72/365))+(P73*($E73/365))</f>
        <v>0</v>
      </c>
      <c r="U161" s="8">
        <f>(Q72*($E72/365))+(Q73*($E73/365))</f>
        <v>38.200000000000003</v>
      </c>
      <c r="V161" s="7"/>
      <c r="W161" s="7">
        <f t="shared" si="12"/>
        <v>38.200000000000003</v>
      </c>
    </row>
    <row r="162" spans="1:23" x14ac:dyDescent="0.15">
      <c r="A162" s="1">
        <v>1992</v>
      </c>
      <c r="B162" s="8">
        <f>(K74*($E74/366))+(K75*($E75/366))</f>
        <v>0</v>
      </c>
      <c r="C162" s="8">
        <f>(L74*($E74/366))+(L75*($E75/366))</f>
        <v>0</v>
      </c>
      <c r="D162" s="8">
        <f>(M74*($E74/366))+(M75*($E75/366))</f>
        <v>100</v>
      </c>
      <c r="E162" s="48">
        <f t="shared" si="11"/>
        <v>100</v>
      </c>
      <c r="G162" s="1">
        <v>1992</v>
      </c>
      <c r="H162" s="809">
        <f>(O74/$R74*100*($E74/366))+(O75/$R75*100*($E75/366))</f>
        <v>0</v>
      </c>
      <c r="I162" s="809"/>
      <c r="J162" s="809">
        <f>(P74/$R74*100*($E74/366))+(P75/$R75*100*($E75/366))</f>
        <v>0</v>
      </c>
      <c r="K162" s="809"/>
      <c r="L162" s="809">
        <f>(Q74/$R74*100*($E74/366))+(Q75/$R75*100*($E75/366))</f>
        <v>100</v>
      </c>
      <c r="M162" s="809"/>
      <c r="N162" s="781">
        <f t="shared" ref="N162:N182" si="13">H162+J162+L162</f>
        <v>100</v>
      </c>
      <c r="O162" s="781"/>
      <c r="R162" s="1">
        <v>1992</v>
      </c>
      <c r="S162" s="8">
        <f>(O74*($E74/366))+(O75*($E75/366))</f>
        <v>0</v>
      </c>
      <c r="T162" s="8">
        <f>(P74*($E74/366))+(P75*($E75/366))</f>
        <v>0</v>
      </c>
      <c r="U162" s="8">
        <f>(Q74*($E74/366))+(Q75*($E75/366))</f>
        <v>38.200000000000003</v>
      </c>
      <c r="V162" s="7"/>
      <c r="W162" s="7">
        <f t="shared" si="12"/>
        <v>38.200000000000003</v>
      </c>
    </row>
    <row r="163" spans="1:23" x14ac:dyDescent="0.15">
      <c r="A163" s="1">
        <v>1993</v>
      </c>
      <c r="B163" s="8">
        <f>(K76*($E76/365))+(K77*($E77/365))</f>
        <v>0</v>
      </c>
      <c r="C163" s="8">
        <f>(L76*($E76/365))+(L77*($E77/365))</f>
        <v>0</v>
      </c>
      <c r="D163" s="8">
        <f>(M76*($E76/365))+(M77*($E77/365))</f>
        <v>100</v>
      </c>
      <c r="E163" s="48">
        <f t="shared" si="11"/>
        <v>100</v>
      </c>
      <c r="G163" s="1">
        <v>1993</v>
      </c>
      <c r="H163" s="809">
        <f>(O76/$R76*100*($E76/365))+(O77/$R77*100*($E77/365))</f>
        <v>0</v>
      </c>
      <c r="I163" s="809"/>
      <c r="J163" s="809">
        <f>(P76/$R76*100*($E76/365))+(P77/$R77*100*($E77/365))</f>
        <v>0</v>
      </c>
      <c r="K163" s="809"/>
      <c r="L163" s="809">
        <f>(Q76/$R76*100*($E76/365))+(Q77/$R77*100*($E77/365))</f>
        <v>100</v>
      </c>
      <c r="M163" s="809"/>
      <c r="N163" s="781">
        <f t="shared" si="13"/>
        <v>100</v>
      </c>
      <c r="O163" s="781"/>
      <c r="R163" s="1">
        <v>1993</v>
      </c>
      <c r="S163" s="8">
        <f>(O76*($E76/365))+(O77*($E77/365))</f>
        <v>0</v>
      </c>
      <c r="T163" s="8">
        <f>(P76*($E76/365))+(P77*($E77/365))</f>
        <v>0</v>
      </c>
      <c r="U163" s="8">
        <f>(Q76*($E76/365))+(Q77*($E77/365))</f>
        <v>38.916712328767126</v>
      </c>
      <c r="V163" s="7"/>
      <c r="W163" s="7">
        <f t="shared" si="12"/>
        <v>38.916712328767126</v>
      </c>
    </row>
    <row r="164" spans="1:23" x14ac:dyDescent="0.15">
      <c r="A164" s="1">
        <v>1994</v>
      </c>
      <c r="B164" s="8">
        <f>(K78*($E78/365))+(K79*($E79/365))</f>
        <v>0</v>
      </c>
      <c r="C164" s="8">
        <f>(L78*($E78/365))+(L79*($E79/365))</f>
        <v>0</v>
      </c>
      <c r="D164" s="8">
        <f>(M78*($E78/365))+(M79*($E79/365))</f>
        <v>100</v>
      </c>
      <c r="E164" s="48">
        <f t="shared" si="11"/>
        <v>100</v>
      </c>
      <c r="G164" s="1">
        <v>1994</v>
      </c>
      <c r="H164" s="809">
        <f>(O78/$R78*100*($E78/365))+(O79/$R79*100*($E79/365))</f>
        <v>0</v>
      </c>
      <c r="I164" s="809"/>
      <c r="J164" s="809">
        <f>(P78/$R78*100*($E78/365))+(P79/$R79*100*($E79/365))</f>
        <v>0</v>
      </c>
      <c r="K164" s="809"/>
      <c r="L164" s="809">
        <f>(Q78/$R78*100*($E78/365))+(Q79/$R79*100*($E79/365))</f>
        <v>100</v>
      </c>
      <c r="M164" s="809"/>
      <c r="N164" s="781">
        <f t="shared" si="13"/>
        <v>100</v>
      </c>
      <c r="O164" s="781"/>
      <c r="R164" s="1">
        <v>1994</v>
      </c>
      <c r="S164" s="8">
        <f>(O78*($E78/365))+(O79*($E79/365))</f>
        <v>0</v>
      </c>
      <c r="T164" s="8">
        <f>(P78*($E78/365))+(P79*($E79/365))</f>
        <v>0</v>
      </c>
      <c r="U164" s="8">
        <f>(Q78*($E78/365))+(Q79*($E79/365))</f>
        <v>40.6</v>
      </c>
      <c r="V164" s="7"/>
      <c r="W164" s="7">
        <f t="shared" si="12"/>
        <v>40.6</v>
      </c>
    </row>
    <row r="165" spans="1:23" x14ac:dyDescent="0.15">
      <c r="A165" s="1">
        <v>1995</v>
      </c>
      <c r="B165" s="8">
        <f>(K80*($E80/365))+(K81*($E81/365))</f>
        <v>0</v>
      </c>
      <c r="C165" s="8">
        <f>(L80*($E80/365))+(L81*($E81/365))</f>
        <v>0</v>
      </c>
      <c r="D165" s="8">
        <f>(M80*($E80/365))+(M81*($E81/365))</f>
        <v>100</v>
      </c>
      <c r="E165" s="48">
        <f t="shared" si="11"/>
        <v>100</v>
      </c>
      <c r="G165" s="1">
        <v>1995</v>
      </c>
      <c r="H165" s="809">
        <f>(O80/$R80*100*($E80/365))+(O81/$R81*100*($E81/365))</f>
        <v>0</v>
      </c>
      <c r="I165" s="809"/>
      <c r="J165" s="809">
        <f>(P80/$R80*100*($E80/365))+(P81/$R81*100*($E81/365))</f>
        <v>0</v>
      </c>
      <c r="K165" s="809"/>
      <c r="L165" s="809">
        <f>(Q80/$R80*100*($E80/365))+(Q81/$R81*100*($E81/365))</f>
        <v>100</v>
      </c>
      <c r="M165" s="809"/>
      <c r="N165" s="781">
        <f t="shared" si="13"/>
        <v>100</v>
      </c>
      <c r="O165" s="781"/>
      <c r="R165" s="1">
        <v>1995</v>
      </c>
      <c r="S165" s="8">
        <f>(O80*($E80/365))+(O81*($E81/365))</f>
        <v>0</v>
      </c>
      <c r="T165" s="8">
        <f>(P80*($E80/365))+(P81*($E81/365))</f>
        <v>0</v>
      </c>
      <c r="U165" s="8">
        <f>(Q80*($E80/365))+(Q81*($E81/365))</f>
        <v>40.6</v>
      </c>
      <c r="V165" s="7"/>
      <c r="W165" s="7">
        <f t="shared" si="12"/>
        <v>40.6</v>
      </c>
    </row>
    <row r="166" spans="1:23" x14ac:dyDescent="0.15">
      <c r="A166" s="1">
        <v>1996</v>
      </c>
      <c r="B166" s="8">
        <f>(K82*($E82/366))+(K83*($E83/366))</f>
        <v>0</v>
      </c>
      <c r="C166" s="8">
        <f>(L82*($E82/366))+(L83*($E83/366))</f>
        <v>0</v>
      </c>
      <c r="D166" s="8">
        <f>(M82*($E82/366))+(M83*($E83/366))</f>
        <v>100</v>
      </c>
      <c r="E166" s="48">
        <f t="shared" si="11"/>
        <v>100</v>
      </c>
      <c r="G166" s="1">
        <v>1996</v>
      </c>
      <c r="H166" s="809">
        <f>(O82/$R82*100*($E82/366))+(O83/$R83*100*($E83/366))</f>
        <v>0</v>
      </c>
      <c r="I166" s="809"/>
      <c r="J166" s="809">
        <f>(P82/$R82*100*($E82/366))+(P83/$R83*100*($E83/366))</f>
        <v>0</v>
      </c>
      <c r="K166" s="809"/>
      <c r="L166" s="809">
        <f>(Q82/$R82*100*($E82/366))+(Q83/$R83*100*($E83/366))</f>
        <v>100</v>
      </c>
      <c r="M166" s="809"/>
      <c r="N166" s="781">
        <f t="shared" si="13"/>
        <v>100</v>
      </c>
      <c r="O166" s="781"/>
      <c r="R166" s="1">
        <v>1996</v>
      </c>
      <c r="S166" s="8">
        <f>(O82*($E82/366))+(O83*($E83/366))</f>
        <v>0</v>
      </c>
      <c r="T166" s="8">
        <f>(P82*($E82/366))+(P83*($E83/366))</f>
        <v>0</v>
      </c>
      <c r="U166" s="8">
        <f>(Q82*($E82/366))+(Q83*($E83/366))</f>
        <v>40.6</v>
      </c>
      <c r="V166" s="7"/>
      <c r="W166" s="7">
        <f t="shared" si="12"/>
        <v>40.6</v>
      </c>
    </row>
    <row r="167" spans="1:23" x14ac:dyDescent="0.15">
      <c r="A167" s="1">
        <v>1997</v>
      </c>
      <c r="B167" s="8">
        <f>(K84*($E84/365))+(K85*($E85/365))</f>
        <v>4.3835616438356162</v>
      </c>
      <c r="C167" s="8">
        <f>(L84*($E84/365))+(L85*($E85/365))</f>
        <v>16.438356164383563</v>
      </c>
      <c r="D167" s="8">
        <f>(M84*($E84/365))+(M85*($E85/365))</f>
        <v>79.178082191780817</v>
      </c>
      <c r="E167" s="48">
        <f t="shared" si="11"/>
        <v>100</v>
      </c>
      <c r="G167" s="1">
        <v>1997</v>
      </c>
      <c r="H167" s="809">
        <f>(O84/$R84*100*($E84/365))+(O85/$R85*100*($E85/365))</f>
        <v>2.9395648670427077</v>
      </c>
      <c r="I167" s="809"/>
      <c r="J167" s="809">
        <f>(P84/$R84*100*($E84/365))+(P85/$R85*100*($E85/365))</f>
        <v>17.882352941176471</v>
      </c>
      <c r="K167" s="809"/>
      <c r="L167" s="809">
        <f>(Q84/$R84*100*($E84/365))+(Q85/$R85*100*($E85/365))</f>
        <v>79.178082191780817</v>
      </c>
      <c r="M167" s="809"/>
      <c r="N167" s="781">
        <f t="shared" si="13"/>
        <v>100</v>
      </c>
      <c r="O167" s="781"/>
      <c r="R167" s="1">
        <v>1997</v>
      </c>
      <c r="S167" s="8">
        <f>(O84*($E84/365))+(O85*($E85/365))</f>
        <v>0.74958904109589042</v>
      </c>
      <c r="T167" s="8">
        <f>(P84*($E84/365))+(P85*($E85/365))</f>
        <v>4.5599999999999996</v>
      </c>
      <c r="U167" s="8">
        <f>(Q84*($E84/365))+(Q85*($E85/365))</f>
        <v>32.146301369863011</v>
      </c>
      <c r="V167" s="7"/>
      <c r="W167" s="7">
        <f t="shared" si="12"/>
        <v>37.455890410958901</v>
      </c>
    </row>
    <row r="168" spans="1:23" x14ac:dyDescent="0.15">
      <c r="A168" s="1">
        <v>1998</v>
      </c>
      <c r="B168" s="8">
        <f>(K86*($E86/365))+(K87*($E87/365))</f>
        <v>21.052631578947366</v>
      </c>
      <c r="C168" s="8">
        <f>(L86*($E86/365))+(L87*($E87/365))</f>
        <v>78.94736842105263</v>
      </c>
      <c r="D168" s="8">
        <f>(M86*($E86/365))+(M87*($E87/365))</f>
        <v>0</v>
      </c>
      <c r="E168" s="48">
        <f t="shared" si="11"/>
        <v>100</v>
      </c>
      <c r="G168" s="1">
        <v>1998</v>
      </c>
      <c r="H168" s="809">
        <f>(O86/$R86*100*($E86/365))+(O87/$R87*100*($E87/365))</f>
        <v>14.117647058823529</v>
      </c>
      <c r="I168" s="809"/>
      <c r="J168" s="809">
        <f>(P86/$R86*100*($E86/365))+(P87/$R87*100*($E87/365))</f>
        <v>85.882352941176464</v>
      </c>
      <c r="K168" s="809"/>
      <c r="L168" s="809">
        <f>(Q86/$R86*100*($E86/365))+(Q87/$R87*100*($E87/365))</f>
        <v>0</v>
      </c>
      <c r="M168" s="809"/>
      <c r="N168" s="781">
        <f t="shared" si="13"/>
        <v>100</v>
      </c>
      <c r="O168" s="781"/>
      <c r="R168" s="1">
        <v>1998</v>
      </c>
      <c r="S168" s="8">
        <f>(O86*($E86/365))+(O87*($E87/365))</f>
        <v>3.6</v>
      </c>
      <c r="T168" s="8">
        <f>(P86*($E86/365))+(P87*($E87/365))</f>
        <v>21.9</v>
      </c>
      <c r="U168" s="8">
        <f>(Q86*($E86/365))+(Q87*($E87/365))</f>
        <v>0</v>
      </c>
      <c r="V168" s="7"/>
      <c r="W168" s="7">
        <f t="shared" si="12"/>
        <v>25.5</v>
      </c>
    </row>
    <row r="169" spans="1:23" x14ac:dyDescent="0.15">
      <c r="A169" s="1">
        <v>1999</v>
      </c>
      <c r="B169" s="8">
        <f>(K88*($E88/365))+(K89*($E89/365))</f>
        <v>21.052631578947366</v>
      </c>
      <c r="C169" s="8">
        <f>(L88*($E88/365))+(L89*($E89/365))</f>
        <v>78.94736842105263</v>
      </c>
      <c r="D169" s="8">
        <f>(M88*($E88/365))+(M89*($E89/365))</f>
        <v>0</v>
      </c>
      <c r="E169" s="48">
        <f t="shared" si="11"/>
        <v>100</v>
      </c>
      <c r="G169" s="1">
        <v>1999</v>
      </c>
      <c r="H169" s="809">
        <f>(O88/$R88*100*($E88/365))+(O89/$R89*100*($E89/365))</f>
        <v>14.117647058823529</v>
      </c>
      <c r="I169" s="809"/>
      <c r="J169" s="809">
        <f>(P88/$R88*100*($E88/365))+(P89/$R89*100*($E89/365))</f>
        <v>85.882352941176464</v>
      </c>
      <c r="K169" s="809"/>
      <c r="L169" s="809">
        <f>(Q88/$R88*100*($E88/365))+(Q89/$R89*100*($E89/365))</f>
        <v>0</v>
      </c>
      <c r="M169" s="809"/>
      <c r="N169" s="781">
        <f t="shared" si="13"/>
        <v>100</v>
      </c>
      <c r="O169" s="781"/>
      <c r="R169" s="1">
        <v>1999</v>
      </c>
      <c r="S169" s="8">
        <f>(O88*($E88/365))+(O89*($E89/365))</f>
        <v>3.6</v>
      </c>
      <c r="T169" s="8">
        <f>(P88*($E88/365))+(P89*($E89/365))</f>
        <v>21.9</v>
      </c>
      <c r="U169" s="8">
        <f>(Q88*($E88/365))+(Q89*($E89/365))</f>
        <v>0</v>
      </c>
      <c r="V169" s="7"/>
      <c r="W169" s="7">
        <f t="shared" si="12"/>
        <v>25.5</v>
      </c>
    </row>
    <row r="170" spans="1:23" x14ac:dyDescent="0.15">
      <c r="A170" s="1">
        <v>2000</v>
      </c>
      <c r="B170" s="8">
        <f>(K90*($E90/366))+(K91*($E91/366))</f>
        <v>4.3715846994535514</v>
      </c>
      <c r="C170" s="8">
        <f>(L90*($E90/366))+(L91*($E91/366))</f>
        <v>16.393442622950818</v>
      </c>
      <c r="D170" s="8">
        <f>(M90*($E90/366))+(M91*($E91/366))</f>
        <v>79.234972677595621</v>
      </c>
      <c r="E170" s="48">
        <f t="shared" si="11"/>
        <v>100</v>
      </c>
      <c r="G170" s="1">
        <v>2000</v>
      </c>
      <c r="H170" s="809">
        <f>(O90/$R90*100*($E90/366))+(O91/$R91*100*($E91/366))</f>
        <v>2.9315332690453233</v>
      </c>
      <c r="I170" s="809"/>
      <c r="J170" s="809">
        <f>(P90/$R90*100*($E90/366))+(P91/$R91*100*($E91/366))</f>
        <v>17.833494053359047</v>
      </c>
      <c r="K170" s="809"/>
      <c r="L170" s="809">
        <f>(Q90/$R90*100*($E90/366))+(Q91/$R91*100*($E91/366))</f>
        <v>79.234972677595621</v>
      </c>
      <c r="M170" s="809"/>
      <c r="N170" s="781">
        <f t="shared" si="13"/>
        <v>100</v>
      </c>
      <c r="O170" s="781"/>
      <c r="R170" s="1">
        <v>2000</v>
      </c>
      <c r="S170" s="8">
        <f>(O90*($E90/366))+(O91*($E91/366))</f>
        <v>0.74754098360655741</v>
      </c>
      <c r="T170" s="8">
        <f>(P90*($E90/366))+(P91*($E91/366))</f>
        <v>4.5475409836065577</v>
      </c>
      <c r="U170" s="8">
        <f>(Q90*($E90/366))+(Q91*($E91/366))</f>
        <v>31.218579234972676</v>
      </c>
      <c r="V170" s="7"/>
      <c r="W170" s="7">
        <f t="shared" si="12"/>
        <v>36.513661202185787</v>
      </c>
    </row>
    <row r="171" spans="1:23" x14ac:dyDescent="0.15">
      <c r="A171" s="1">
        <v>2001</v>
      </c>
      <c r="B171" s="8">
        <f>(K92*($E92/365))+(K93*($E93/365))</f>
        <v>13.871665465032443</v>
      </c>
      <c r="C171" s="8">
        <f>(L92*($E92/365))+(L93*($E93/365))</f>
        <v>6.4023071377072815</v>
      </c>
      <c r="D171" s="8">
        <f>(M92*($E92/365))+(M93*($E93/365))</f>
        <v>79.726027397260268</v>
      </c>
      <c r="E171" s="48">
        <f t="shared" si="11"/>
        <v>100</v>
      </c>
      <c r="G171" s="1">
        <v>2001</v>
      </c>
      <c r="H171" s="809">
        <f>(O92/$R92*100*($E92/365))+(O93/$R93*100*($E93/365))</f>
        <v>13.083470319634703</v>
      </c>
      <c r="I171" s="809"/>
      <c r="J171" s="809">
        <f>(P92/$R92*100*($E92/365))+(P93/$R93*100*($E93/365))</f>
        <v>7.1905022831050234</v>
      </c>
      <c r="K171" s="809"/>
      <c r="L171" s="809">
        <f>(Q92/$R92*100*($E92/365))+(Q93/$R93*100*($E93/365))</f>
        <v>79.726027397260268</v>
      </c>
      <c r="M171" s="809"/>
      <c r="N171" s="781">
        <f t="shared" si="13"/>
        <v>100</v>
      </c>
      <c r="O171" s="781"/>
      <c r="R171" s="1">
        <v>2001</v>
      </c>
      <c r="S171" s="8">
        <f>(O92*($E92/365))+(O93*($E93/365))</f>
        <v>4.9063013698630131</v>
      </c>
      <c r="T171" s="8">
        <f>(P92*($E92/365))+(P93*($E93/365))</f>
        <v>2.6964383561643839</v>
      </c>
      <c r="U171" s="8">
        <f>(Q92*($E92/365))+(Q93*($E93/365))</f>
        <v>31.412054794520543</v>
      </c>
      <c r="V171" s="7"/>
      <c r="W171" s="7">
        <f t="shared" si="12"/>
        <v>39.014794520547937</v>
      </c>
    </row>
    <row r="172" spans="1:23" x14ac:dyDescent="0.15">
      <c r="A172" s="1">
        <v>2002</v>
      </c>
      <c r="B172" s="8">
        <f>(K94*($E94/365))+(K95*($E95/365))</f>
        <v>68.421052631578945</v>
      </c>
      <c r="C172" s="8">
        <f>(L94*($E94/365))+(L95*($E95/365))</f>
        <v>31.578947368421051</v>
      </c>
      <c r="D172" s="8">
        <f>(M94*($E94/365))+(M95*($E95/365))</f>
        <v>0</v>
      </c>
      <c r="E172" s="48">
        <f t="shared" si="11"/>
        <v>100</v>
      </c>
      <c r="G172" s="1">
        <v>2002</v>
      </c>
      <c r="H172" s="809">
        <f>(O94/$R94*100*($E94/365))+(O95/$R95*100*($E95/365))</f>
        <v>64.533333333333331</v>
      </c>
      <c r="I172" s="809"/>
      <c r="J172" s="809">
        <f>(P94/$R94*100*($E94/365))+(P95/$R95*100*($E95/365))</f>
        <v>35.466666666666669</v>
      </c>
      <c r="K172" s="809"/>
      <c r="L172" s="809">
        <f>(Q94/$R94*100*($E94/365))+(Q95/$R95*100*($E95/365))</f>
        <v>0</v>
      </c>
      <c r="M172" s="809"/>
      <c r="N172" s="781">
        <f t="shared" si="13"/>
        <v>100</v>
      </c>
      <c r="O172" s="781"/>
      <c r="R172" s="1">
        <v>2002</v>
      </c>
      <c r="S172" s="8">
        <f>(O94*($E94/365))+(O95*($E95/365))</f>
        <v>24.2</v>
      </c>
      <c r="T172" s="8">
        <f>(P94*($E94/365))+(P95*($E95/365))</f>
        <v>13.3</v>
      </c>
      <c r="U172" s="8">
        <f>(Q94*($E94/365))+(Q95*($E95/365))</f>
        <v>0</v>
      </c>
      <c r="V172" s="7"/>
      <c r="W172" s="7">
        <f t="shared" si="12"/>
        <v>37.5</v>
      </c>
    </row>
    <row r="173" spans="1:23" x14ac:dyDescent="0.15">
      <c r="A173" s="1">
        <v>2003</v>
      </c>
      <c r="B173" s="8">
        <f>(K96*($E96/365))+(K97*($E97/365))</f>
        <v>68.421052631578945</v>
      </c>
      <c r="C173" s="8">
        <f>(L96*($E96/365))+(L97*($E97/365))</f>
        <v>31.578947368421051</v>
      </c>
      <c r="D173" s="8">
        <f>(M96*($E96/365))+(M97*($E97/365))</f>
        <v>0</v>
      </c>
      <c r="E173" s="48">
        <f t="shared" si="11"/>
        <v>100</v>
      </c>
      <c r="G173" s="1">
        <v>2003</v>
      </c>
      <c r="H173" s="809">
        <f>(O96/$R96*100*($E96/365))+(O97/$R97*100*($E97/365))</f>
        <v>64.533333333333331</v>
      </c>
      <c r="I173" s="809"/>
      <c r="J173" s="809">
        <f>(P96/$R96*100*($E96/365))+(P97/$R97*100*($E97/365))</f>
        <v>35.466666666666669</v>
      </c>
      <c r="K173" s="809"/>
      <c r="L173" s="809">
        <f>(Q96/$R96*100*($E96/365))+(Q97/$R97*100*($E97/365))</f>
        <v>0</v>
      </c>
      <c r="M173" s="809"/>
      <c r="N173" s="781">
        <f t="shared" si="13"/>
        <v>100</v>
      </c>
      <c r="O173" s="781"/>
      <c r="R173" s="1">
        <v>2003</v>
      </c>
      <c r="S173" s="8">
        <f>(O96*($E96/365))+(O97*($E97/365))</f>
        <v>24.2</v>
      </c>
      <c r="T173" s="8">
        <f>(P96*($E96/365))+(P97*($E97/365))</f>
        <v>13.3</v>
      </c>
      <c r="U173" s="8">
        <f>(Q96*($E96/365))+(Q97*($E97/365))</f>
        <v>0</v>
      </c>
      <c r="V173" s="7"/>
      <c r="W173" s="7">
        <f t="shared" si="12"/>
        <v>37.5</v>
      </c>
    </row>
    <row r="174" spans="1:23" x14ac:dyDescent="0.15">
      <c r="A174" s="1">
        <v>2004</v>
      </c>
      <c r="B174" s="8">
        <f>(K98*($E98/366))+(K99*($E99/366))</f>
        <v>68.421052631578945</v>
      </c>
      <c r="C174" s="8">
        <f>(L98*($E98/366))+(L99*($E99/366))</f>
        <v>31.578947368421051</v>
      </c>
      <c r="D174" s="8">
        <f>(M98*($E98/366))+(M99*($E99/366))</f>
        <v>0</v>
      </c>
      <c r="E174" s="48">
        <f t="shared" si="11"/>
        <v>100</v>
      </c>
      <c r="G174" s="1">
        <v>2004</v>
      </c>
      <c r="H174" s="809">
        <f>(O98/$R98*100*($E98/366))+(O99/$R99*100*($E99/366))</f>
        <v>64.533333333333331</v>
      </c>
      <c r="I174" s="809"/>
      <c r="J174" s="809">
        <f>(P98/$R98*100*($E98/366))+(P99/$R99*100*($E99/366))</f>
        <v>35.466666666666669</v>
      </c>
      <c r="K174" s="809"/>
      <c r="L174" s="809">
        <f>(Q98/$R98*100*($E98/366))+(Q99/$R99*100*($E99/366))</f>
        <v>0</v>
      </c>
      <c r="M174" s="809"/>
      <c r="N174" s="781">
        <f t="shared" si="13"/>
        <v>100</v>
      </c>
      <c r="O174" s="781"/>
      <c r="R174" s="1">
        <v>2004</v>
      </c>
      <c r="S174" s="8">
        <f>(O98*($E98/366))+(O99*($E99/366))</f>
        <v>24.2</v>
      </c>
      <c r="T174" s="8">
        <f>(P98*($E98/366))+(P99*($E99/366))</f>
        <v>13.3</v>
      </c>
      <c r="U174" s="8">
        <f>(Q98*($E98/366))+(Q99*($E99/366))</f>
        <v>0</v>
      </c>
      <c r="V174" s="7"/>
      <c r="W174" s="7">
        <f t="shared" si="12"/>
        <v>37.5</v>
      </c>
    </row>
    <row r="175" spans="1:23" x14ac:dyDescent="0.15">
      <c r="A175" s="1">
        <v>2005</v>
      </c>
      <c r="B175" s="8">
        <f>(K100*($E100/365))+(K101*($E101/365))</f>
        <v>54.174477289113192</v>
      </c>
      <c r="C175" s="8">
        <f>(L100*($E100/365))+(L101*($E101/365))</f>
        <v>29.387166546503241</v>
      </c>
      <c r="D175" s="8">
        <f>(M100*($E100/365))+(M101*($E101/365))</f>
        <v>16.438356164383563</v>
      </c>
      <c r="E175" s="48">
        <f t="shared" si="11"/>
        <v>100</v>
      </c>
      <c r="G175" s="1">
        <v>2005</v>
      </c>
      <c r="H175" s="809">
        <f>(O100/$R100*100*($E100/365))+(O101/$R101*100*($E101/365))</f>
        <v>51.096255707762552</v>
      </c>
      <c r="I175" s="809"/>
      <c r="J175" s="809">
        <f>(P100/$R100*100*($E100/365))+(P101/$R101*100*($E101/365))</f>
        <v>30.709835527774082</v>
      </c>
      <c r="K175" s="809"/>
      <c r="L175" s="809">
        <f>(Q100/$R100*100*($E100/365))+(Q101/$R101*100*($E101/365))</f>
        <v>18.193908764463359</v>
      </c>
      <c r="M175" s="809"/>
      <c r="N175" s="781">
        <f t="shared" si="13"/>
        <v>99.999999999999986</v>
      </c>
      <c r="O175" s="781"/>
      <c r="R175" s="1">
        <v>2005</v>
      </c>
      <c r="S175" s="8">
        <f>(O100*($E100/365))+(O101*($E101/365))</f>
        <v>19.161095890410959</v>
      </c>
      <c r="T175" s="8">
        <f>(P100*($E100/365))+(P101*($E101/365))</f>
        <v>11.884109589041095</v>
      </c>
      <c r="U175" s="8">
        <f>(Q100*($E100/365))+(Q101*($E101/365))</f>
        <v>9.3698630136986303</v>
      </c>
      <c r="V175" s="7"/>
      <c r="W175" s="7">
        <f t="shared" si="12"/>
        <v>40.415068493150685</v>
      </c>
    </row>
    <row r="176" spans="1:23" x14ac:dyDescent="0.15">
      <c r="A176" s="1">
        <v>2006</v>
      </c>
      <c r="B176" s="8">
        <f>(K102*($E102/365))+(K103*($E103/365))</f>
        <v>0</v>
      </c>
      <c r="C176" s="8">
        <f>(L102*($E102/365))+(L103*($E103/365))</f>
        <v>21.052631578947366</v>
      </c>
      <c r="D176" s="8">
        <f>(M102*($E102/365))+(M103*($E103/365))</f>
        <v>78.94736842105263</v>
      </c>
      <c r="E176" s="48">
        <f t="shared" si="11"/>
        <v>100</v>
      </c>
      <c r="G176" s="1">
        <v>2006</v>
      </c>
      <c r="H176" s="809">
        <f>(O102/$R102*100*($E102/365))+(O103/$R103*100*($E103/365))</f>
        <v>0</v>
      </c>
      <c r="I176" s="809"/>
      <c r="J176" s="809">
        <f>(P102/$R102*100*($E102/365))+(P103/$R103*100*($E103/365))</f>
        <v>12.621359223300971</v>
      </c>
      <c r="K176" s="809"/>
      <c r="L176" s="809">
        <f>(Q102/$R102*100*($E102/365))+(Q103/$R103*100*($E103/365))</f>
        <v>87.378640776699029</v>
      </c>
      <c r="M176" s="809"/>
      <c r="N176" s="781">
        <f t="shared" si="13"/>
        <v>100</v>
      </c>
      <c r="O176" s="781"/>
      <c r="R176" s="1">
        <v>2006</v>
      </c>
      <c r="S176" s="8">
        <f>(O102*($E102/365))+(O103*($E103/365))</f>
        <v>0</v>
      </c>
      <c r="T176" s="8">
        <f>(P102*($E102/365))+(P103*($E103/365))</f>
        <v>6.5</v>
      </c>
      <c r="U176" s="8">
        <f>(Q102*($E102/365))+(Q103*($E103/365))</f>
        <v>45</v>
      </c>
      <c r="V176" s="7"/>
      <c r="W176" s="7">
        <f t="shared" si="12"/>
        <v>51.5</v>
      </c>
    </row>
    <row r="177" spans="1:34" x14ac:dyDescent="0.15">
      <c r="A177" s="1">
        <v>2007</v>
      </c>
      <c r="B177" s="8">
        <f>(K104*($E104/365))+(K105*($E105/365))</f>
        <v>0</v>
      </c>
      <c r="C177" s="8">
        <f>(L104*($E104/365))+(L105*($E105/365))</f>
        <v>21.052631578947366</v>
      </c>
      <c r="D177" s="8">
        <f>(M104*($E104/365))+(M105*($E105/365))</f>
        <v>78.94736842105263</v>
      </c>
      <c r="E177" s="48">
        <f t="shared" si="11"/>
        <v>100</v>
      </c>
      <c r="G177" s="1">
        <v>2007</v>
      </c>
      <c r="H177" s="809">
        <f>(O104/$R104*100*($E104/365))+(O105/$R105*100*($E105/365))</f>
        <v>0</v>
      </c>
      <c r="I177" s="809"/>
      <c r="J177" s="809">
        <f>(P104/$R104*100*($E104/365))+(P105/$R105*100*($E105/365))</f>
        <v>12.621359223300971</v>
      </c>
      <c r="K177" s="809"/>
      <c r="L177" s="809">
        <f>(Q104/$R104*100*($E104/365))+(Q105/$R105*100*($E105/365))</f>
        <v>87.378640776699029</v>
      </c>
      <c r="M177" s="809"/>
      <c r="N177" s="781">
        <f t="shared" si="13"/>
        <v>100</v>
      </c>
      <c r="O177" s="781"/>
      <c r="R177" s="1">
        <v>2007</v>
      </c>
      <c r="S177" s="8">
        <f>(O104*($E104/365))+(O105*($E105/365))</f>
        <v>0</v>
      </c>
      <c r="T177" s="8">
        <f>(P104*($E104/365))+(P105*($E105/365))</f>
        <v>6.5</v>
      </c>
      <c r="U177" s="8">
        <f>(Q104*($E104/365))+(Q105*($E105/365))</f>
        <v>45</v>
      </c>
      <c r="V177" s="7"/>
      <c r="W177" s="7">
        <f t="shared" si="12"/>
        <v>51.5</v>
      </c>
    </row>
    <row r="178" spans="1:34" x14ac:dyDescent="0.15">
      <c r="A178" s="1">
        <v>2008</v>
      </c>
      <c r="B178" s="8">
        <f>(K106*($E106/366))+(K107*($E107/366))</f>
        <v>0</v>
      </c>
      <c r="C178" s="8">
        <f>(L106*($E106/366))+(L107*($E107/366))</f>
        <v>21.052631578947366</v>
      </c>
      <c r="D178" s="8">
        <f>(M106*($E106/366))+(M107*($E107/366))</f>
        <v>78.94736842105263</v>
      </c>
      <c r="E178" s="48">
        <f t="shared" si="11"/>
        <v>100</v>
      </c>
      <c r="G178" s="1">
        <v>2008</v>
      </c>
      <c r="H178" s="809">
        <f>(O106/$R106*100*($E106/366))+(O107/$R107*100*($E107/366))</f>
        <v>0</v>
      </c>
      <c r="I178" s="809"/>
      <c r="J178" s="809">
        <f>(P106/$R106*100*($E106/366))+(P107/$R107*100*($E107/366))</f>
        <v>12.621359223300971</v>
      </c>
      <c r="K178" s="809"/>
      <c r="L178" s="809">
        <f>(Q106/$R106*100*($E106/366))+(Q107/$R107*100*($E107/366))</f>
        <v>87.378640776699029</v>
      </c>
      <c r="M178" s="809"/>
      <c r="N178" s="781">
        <f t="shared" si="13"/>
        <v>100</v>
      </c>
      <c r="O178" s="781"/>
      <c r="R178" s="1">
        <v>2008</v>
      </c>
      <c r="S178" s="8">
        <f>(O106*($E106/366))+(O107*($E107/366))</f>
        <v>0</v>
      </c>
      <c r="T178" s="8">
        <f>(P106*($E106/366))+(P107*($E107/366))</f>
        <v>6.5</v>
      </c>
      <c r="U178" s="8">
        <f>(Q106*($E106/366))+(Q107*($E107/366))</f>
        <v>45</v>
      </c>
      <c r="V178" s="7"/>
      <c r="W178" s="7">
        <f t="shared" si="12"/>
        <v>51.5</v>
      </c>
    </row>
    <row r="179" spans="1:34" x14ac:dyDescent="0.15">
      <c r="A179" s="1">
        <v>2009</v>
      </c>
      <c r="B179" s="8">
        <f>(K108*($E108/365))+(K109*($E109/365))</f>
        <v>0</v>
      </c>
      <c r="C179" s="8">
        <f>(L108*($E108/365))+(L109*($E109/365))</f>
        <v>20.842105263157894</v>
      </c>
      <c r="D179" s="8">
        <f>(M108*($E108/365))+(M109*($E109/365))</f>
        <v>79.15789473684211</v>
      </c>
      <c r="E179" s="48">
        <f t="shared" si="11"/>
        <v>100</v>
      </c>
      <c r="G179" s="1">
        <v>2009</v>
      </c>
      <c r="H179" s="809">
        <f>(O108/$R108*100*($E108/365))+(O109/$R109*100*($E109/365))</f>
        <v>0</v>
      </c>
      <c r="I179" s="809"/>
      <c r="J179" s="809">
        <f>(P108/$R108*100*($E108/365))+(P109/$R109*100*($E109/365))</f>
        <v>12.651114883552369</v>
      </c>
      <c r="K179" s="809"/>
      <c r="L179" s="809">
        <f>(Q108/$R108*100*($E108/365))+(Q109/$R109*100*($E109/365))</f>
        <v>87.348885116447633</v>
      </c>
      <c r="M179" s="809"/>
      <c r="N179" s="781">
        <f t="shared" si="13"/>
        <v>100</v>
      </c>
      <c r="O179" s="781"/>
      <c r="R179" s="1">
        <v>2009</v>
      </c>
      <c r="S179" s="8">
        <f>(O108*($E108/365))+(O109*($E109/365))</f>
        <v>0</v>
      </c>
      <c r="T179" s="8">
        <f>(P108*($E108/365))+(P109*($E109/365))</f>
        <v>6.5</v>
      </c>
      <c r="U179" s="8">
        <f>(Q108*($E108/365))+(Q109*($E109/365))</f>
        <v>44.88</v>
      </c>
      <c r="V179" s="7"/>
      <c r="W179" s="7">
        <f t="shared" si="12"/>
        <v>51.38</v>
      </c>
    </row>
    <row r="180" spans="1:34" x14ac:dyDescent="0.15">
      <c r="A180" s="1">
        <v>2010</v>
      </c>
      <c r="B180" s="8">
        <f>(K110*($E110/365))+(K111*($E111/365))</f>
        <v>0</v>
      </c>
      <c r="C180" s="8">
        <f>(L110*($E110/365))+(L111*($E111/365))</f>
        <v>20</v>
      </c>
      <c r="D180" s="8">
        <f>(M110*($E110/365))+(M111*($E111/365))</f>
        <v>80</v>
      </c>
      <c r="E180" s="48">
        <f t="shared" si="11"/>
        <v>100</v>
      </c>
      <c r="G180" s="1">
        <v>2010</v>
      </c>
      <c r="H180" s="809">
        <f>(O110/$R110*100*($E110/365))+(O111/$R111*100*($E111/365))</f>
        <v>0</v>
      </c>
      <c r="I180" s="809"/>
      <c r="J180" s="809">
        <f>(P110/$R110*100*($E110/365))+(P111/$R111*100*($E111/365))</f>
        <v>12.770137524557956</v>
      </c>
      <c r="K180" s="809"/>
      <c r="L180" s="809">
        <f>(Q110/$R110*100*($E110/365))+(Q111/$R111*100*($E111/365))</f>
        <v>87.229862475442047</v>
      </c>
      <c r="M180" s="809"/>
      <c r="N180" s="781">
        <f t="shared" si="13"/>
        <v>100</v>
      </c>
      <c r="O180" s="781"/>
      <c r="R180" s="1">
        <v>2010</v>
      </c>
      <c r="S180" s="8">
        <f>(O110*($E110/365))+(O111*($E111/365))</f>
        <v>0</v>
      </c>
      <c r="T180" s="8">
        <f>(P110*($E110/365))+(P111*($E111/365))</f>
        <v>6.5</v>
      </c>
      <c r="U180" s="8">
        <f>(Q110*($E110/365))+(Q111*($E111/365))</f>
        <v>44.4</v>
      </c>
      <c r="V180" s="7"/>
      <c r="W180" s="7">
        <f t="shared" si="12"/>
        <v>50.9</v>
      </c>
    </row>
    <row r="181" spans="1:34" x14ac:dyDescent="0.15">
      <c r="A181" s="1">
        <v>2011</v>
      </c>
      <c r="B181" s="8">
        <f>(K112*($E112/365))+(K113*($E113/365))</f>
        <v>0</v>
      </c>
      <c r="C181" s="8">
        <f>(L112*($E112/365))+(L113*($E113/365))</f>
        <v>20</v>
      </c>
      <c r="D181" s="8">
        <f>(M112*($E112/365))+(M113*($E113/365))</f>
        <v>80</v>
      </c>
      <c r="E181" s="48">
        <f t="shared" si="11"/>
        <v>100</v>
      </c>
      <c r="G181" s="1">
        <v>2011</v>
      </c>
      <c r="H181" s="809">
        <f>(O112/$R112*100*($E112/365))+(O113/$R113*100*($E113/365))</f>
        <v>0</v>
      </c>
      <c r="I181" s="809"/>
      <c r="J181" s="809">
        <f>(P112/$R112*100*($E112/365))+(P113/$R113*100*($E113/365))</f>
        <v>12.770137524557956</v>
      </c>
      <c r="K181" s="809"/>
      <c r="L181" s="809">
        <f>(Q112/$R112*100*($E112/365))+(Q113/$R113*100*($E113/365))</f>
        <v>87.229862475442047</v>
      </c>
      <c r="M181" s="809"/>
      <c r="N181" s="781">
        <f t="shared" si="13"/>
        <v>100</v>
      </c>
      <c r="O181" s="781"/>
      <c r="R181" s="1">
        <v>2011</v>
      </c>
      <c r="S181" s="8">
        <f>(O112*($E112/365))+(O113*($E113/365))</f>
        <v>0</v>
      </c>
      <c r="T181" s="8">
        <f>(P112*($E112/365))+(P113*($E113/365))</f>
        <v>6.5</v>
      </c>
      <c r="U181" s="8">
        <f>(Q112*($E112/365))+(Q113*($E113/365))</f>
        <v>44.4</v>
      </c>
      <c r="V181" s="7"/>
      <c r="W181" s="7">
        <f t="shared" si="12"/>
        <v>50.9</v>
      </c>
    </row>
    <row r="182" spans="1:34" x14ac:dyDescent="0.15">
      <c r="A182" s="1">
        <v>2012</v>
      </c>
      <c r="B182" s="8">
        <f>(K114*($E114/366))+(K115*($E115/366))</f>
        <v>0</v>
      </c>
      <c r="C182" s="8">
        <f>(L114*($E114/366))+(L115*($E115/366))</f>
        <v>20</v>
      </c>
      <c r="D182" s="8">
        <f>(M114*($E114/366))+(M115*($E115/366))</f>
        <v>80</v>
      </c>
      <c r="E182" s="48">
        <f t="shared" si="11"/>
        <v>100</v>
      </c>
      <c r="G182" s="1">
        <v>2012</v>
      </c>
      <c r="H182" s="809">
        <f>(O114/$R114*100*($E114/366))+(O115/$R115*100*($E115/366))</f>
        <v>0</v>
      </c>
      <c r="I182" s="809"/>
      <c r="J182" s="809">
        <f>(P114/$R114*100*($E114/366))+(P115/$R115*100*($E115/366))</f>
        <v>12.770137524557956</v>
      </c>
      <c r="K182" s="809"/>
      <c r="L182" s="809">
        <f>(Q114/$R114*100*($E114/366))+(Q115/$R115*100*($E115/366))</f>
        <v>87.229862475442047</v>
      </c>
      <c r="M182" s="809"/>
      <c r="N182" s="781">
        <f t="shared" si="13"/>
        <v>100</v>
      </c>
      <c r="O182" s="781"/>
      <c r="R182" s="1">
        <v>2012</v>
      </c>
      <c r="S182" s="8">
        <f>(O114*($E114/366))+(O115*($E115/366))</f>
        <v>0</v>
      </c>
      <c r="T182" s="8">
        <f>(P114*($E114/366))+(P115*($E115/366))</f>
        <v>6.5</v>
      </c>
      <c r="U182" s="8">
        <f>(Q114*($E114/366))+(Q115*($E115/366))</f>
        <v>44.4</v>
      </c>
      <c r="V182" s="7"/>
      <c r="W182" s="7">
        <f t="shared" si="12"/>
        <v>50.9</v>
      </c>
    </row>
    <row r="183" spans="1:34" x14ac:dyDescent="0.15">
      <c r="A183" s="1">
        <v>2013</v>
      </c>
      <c r="B183" s="8">
        <f>(K116*($E116/365))+(K117*($E117/365))</f>
        <v>21.095890410958905</v>
      </c>
      <c r="C183" s="8">
        <f>(L116*($E116/365))+(L117*($E117/365))</f>
        <v>15.780821917808218</v>
      </c>
      <c r="D183" s="8">
        <f>(M116*($E116/365))+(M117*($E117/365))</f>
        <v>63.123287671232873</v>
      </c>
      <c r="E183" s="309">
        <f t="shared" si="11"/>
        <v>100</v>
      </c>
      <c r="G183" s="1">
        <v>2013</v>
      </c>
      <c r="H183" s="809">
        <f>(O116/$R116*100*($E116/365))+(O117/$R117*100*($E117/365))</f>
        <v>21.095890410958905</v>
      </c>
      <c r="I183" s="809"/>
      <c r="J183" s="809">
        <f>(P116/$R116*100*($E116/365))+(P117/$R117*100*($E117/365))</f>
        <v>10.07616330704847</v>
      </c>
      <c r="K183" s="809"/>
      <c r="L183" s="809">
        <f>(Q116/$R116*100*($E116/365))+(Q117/$R117*100*($E117/365))</f>
        <v>68.827946281992624</v>
      </c>
      <c r="M183" s="809"/>
      <c r="N183" s="781">
        <f>H183+J183+L183</f>
        <v>100</v>
      </c>
      <c r="O183" s="781"/>
      <c r="R183" s="1">
        <v>2013</v>
      </c>
      <c r="S183" s="8">
        <f>(O116*($E116/365))+(O117*($E117/365))</f>
        <v>9.6197260273972596</v>
      </c>
      <c r="T183" s="8">
        <f>(P116*($E116/365))+(P117*($E117/365))</f>
        <v>5.1287671232876715</v>
      </c>
      <c r="U183" s="8">
        <f>(Q116*($E116/365))+(Q117*($E117/365))</f>
        <v>35.033424657534248</v>
      </c>
      <c r="W183" s="7">
        <f t="shared" si="12"/>
        <v>49.781917808219177</v>
      </c>
      <c r="X183" s="7"/>
    </row>
    <row r="184" spans="1:34" x14ac:dyDescent="0.15">
      <c r="A184" s="1">
        <v>2014</v>
      </c>
      <c r="B184" s="8">
        <f>(K118*($E118/365))+(K119*($E119/365))</f>
        <v>100</v>
      </c>
      <c r="C184" s="8">
        <f>(L118*($E118/365))+(L119*($E119/365))</f>
        <v>0</v>
      </c>
      <c r="D184" s="8">
        <f>(M118*($E118/365))+(M119*($E119/365))</f>
        <v>0</v>
      </c>
      <c r="E184" s="656">
        <f>B184+C184+D184</f>
        <v>100</v>
      </c>
      <c r="G184" s="1">
        <v>2014</v>
      </c>
      <c r="H184" s="809">
        <f>(O118/$R118*100*($E118/365))+(O119/$R119*100*($E119/365))</f>
        <v>100</v>
      </c>
      <c r="I184" s="809"/>
      <c r="J184" s="809">
        <f>(P118/$R118*100*($E118/365))+(P119/$R119*100*($E119/365))</f>
        <v>0</v>
      </c>
      <c r="K184" s="809"/>
      <c r="L184" s="809">
        <f>(Q118/$R118*100*($E118/365))+(Q119/$R119*100*($E119/365))</f>
        <v>0</v>
      </c>
      <c r="M184" s="809"/>
      <c r="N184" s="781">
        <f>H184+J184+L184</f>
        <v>100</v>
      </c>
      <c r="O184" s="781"/>
      <c r="R184" s="1">
        <v>2014</v>
      </c>
      <c r="S184" s="8">
        <f>(O118*($E118/365))+(O119*($E119/365))</f>
        <v>45.6</v>
      </c>
      <c r="T184" s="8">
        <f>(P118*($E118/365))+(P119*($E119/365))</f>
        <v>0</v>
      </c>
      <c r="U184" s="8">
        <f>(Q118*($E118/365))+(Q119*($E119/365))</f>
        <v>0</v>
      </c>
      <c r="W184" s="7">
        <f>S184+T184+U184</f>
        <v>45.6</v>
      </c>
      <c r="X184" s="7"/>
    </row>
    <row r="185" spans="1:34" s="754" customFormat="1" x14ac:dyDescent="0.15">
      <c r="A185" s="754">
        <v>2015</v>
      </c>
      <c r="B185" s="749">
        <f>(K120*($E120/365))+(K121*($E121/365))</f>
        <v>100</v>
      </c>
      <c r="C185" s="749">
        <f>(L120*($E120/365))+(L121*($E121/365))</f>
        <v>0</v>
      </c>
      <c r="D185" s="749">
        <f>(M120*($E120/365))+(M121*($E121/365))</f>
        <v>0</v>
      </c>
      <c r="E185" s="750">
        <f>B185+C185+D185</f>
        <v>100</v>
      </c>
      <c r="G185" s="754">
        <v>2015</v>
      </c>
      <c r="H185" s="809">
        <f>(O120/$R120*100*($E120/365))+(O121/$R121*100*($E121/365))</f>
        <v>100</v>
      </c>
      <c r="I185" s="809"/>
      <c r="J185" s="809">
        <f>(P120/$R120*100*($E120/365))+(P121/$R121*100*($E121/365))</f>
        <v>0</v>
      </c>
      <c r="K185" s="809"/>
      <c r="L185" s="809">
        <f>(Q120/$R120*100*($E120/365))+(Q121/$R121*100*($E121/365))</f>
        <v>0</v>
      </c>
      <c r="M185" s="809"/>
      <c r="N185" s="781">
        <f>H185+J185+L185</f>
        <v>100</v>
      </c>
      <c r="O185" s="781"/>
      <c r="R185" s="754">
        <v>2015</v>
      </c>
      <c r="S185" s="749">
        <f>(O120*($E120/365))+(O121*($E121/365))</f>
        <v>45.6</v>
      </c>
      <c r="T185" s="749">
        <f>(P120*($E120/365))+(P121*($E121/365))</f>
        <v>0</v>
      </c>
      <c r="U185" s="749">
        <f>(Q120*($E120/365))+(Q121*($E121/365))</f>
        <v>0</v>
      </c>
      <c r="W185" s="753">
        <f>S185+T185+U185</f>
        <v>45.6</v>
      </c>
      <c r="X185" s="753"/>
      <c r="AH185" s="37"/>
    </row>
    <row r="186" spans="1:34" s="754" customFormat="1" x14ac:dyDescent="0.15">
      <c r="X186" s="753"/>
      <c r="AH186" s="37"/>
    </row>
  </sheetData>
  <mergeCells count="370">
    <mergeCell ref="C120:D120"/>
    <mergeCell ref="C121:D121"/>
    <mergeCell ref="H185:I185"/>
    <mergeCell ref="J185:K185"/>
    <mergeCell ref="L185:M185"/>
    <mergeCell ref="N185:O185"/>
    <mergeCell ref="H184:I184"/>
    <mergeCell ref="J184:K184"/>
    <mergeCell ref="L184:M184"/>
    <mergeCell ref="N184:O184"/>
    <mergeCell ref="L170:M170"/>
    <mergeCell ref="N169:O169"/>
    <mergeCell ref="N170:O170"/>
    <mergeCell ref="L180:M180"/>
    <mergeCell ref="L176:M176"/>
    <mergeCell ref="N176:O176"/>
    <mergeCell ref="N171:O171"/>
    <mergeCell ref="N166:O166"/>
    <mergeCell ref="L169:M169"/>
    <mergeCell ref="J179:K179"/>
    <mergeCell ref="J180:K180"/>
    <mergeCell ref="L156:M156"/>
    <mergeCell ref="L157:M157"/>
    <mergeCell ref="L158:M158"/>
    <mergeCell ref="C118:D118"/>
    <mergeCell ref="C119:D119"/>
    <mergeCell ref="L182:M182"/>
    <mergeCell ref="N181:O181"/>
    <mergeCell ref="N182:O182"/>
    <mergeCell ref="L179:M179"/>
    <mergeCell ref="N179:O179"/>
    <mergeCell ref="N180:O180"/>
    <mergeCell ref="N173:O173"/>
    <mergeCell ref="N174:O174"/>
    <mergeCell ref="L177:M177"/>
    <mergeCell ref="L178:M178"/>
    <mergeCell ref="N162:O162"/>
    <mergeCell ref="N163:O163"/>
    <mergeCell ref="L172:M172"/>
    <mergeCell ref="L173:M173"/>
    <mergeCell ref="L174:M174"/>
    <mergeCell ref="L175:M175"/>
    <mergeCell ref="N175:O175"/>
    <mergeCell ref="N164:O164"/>
    <mergeCell ref="N165:O165"/>
    <mergeCell ref="N168:O168"/>
    <mergeCell ref="L168:M168"/>
    <mergeCell ref="L171:M171"/>
    <mergeCell ref="AT4:AW4"/>
    <mergeCell ref="AX4:BA4"/>
    <mergeCell ref="N183:O183"/>
    <mergeCell ref="C116:D116"/>
    <mergeCell ref="C117:D117"/>
    <mergeCell ref="H183:I183"/>
    <mergeCell ref="J183:K183"/>
    <mergeCell ref="L183:M183"/>
    <mergeCell ref="H182:I182"/>
    <mergeCell ref="J182:K182"/>
    <mergeCell ref="C114:D114"/>
    <mergeCell ref="C115:D115"/>
    <mergeCell ref="N177:O177"/>
    <mergeCell ref="N178:O178"/>
    <mergeCell ref="N167:O167"/>
    <mergeCell ref="N172:O172"/>
    <mergeCell ref="N161:O161"/>
    <mergeCell ref="N158:O158"/>
    <mergeCell ref="N159:O159"/>
    <mergeCell ref="N160:O160"/>
    <mergeCell ref="R126:W126"/>
    <mergeCell ref="H181:I181"/>
    <mergeCell ref="J181:K181"/>
    <mergeCell ref="L181:M181"/>
    <mergeCell ref="J177:K177"/>
    <mergeCell ref="J178:K178"/>
    <mergeCell ref="J167:K167"/>
    <mergeCell ref="J168:K168"/>
    <mergeCell ref="J169:K169"/>
    <mergeCell ref="J170:K170"/>
    <mergeCell ref="J171:K171"/>
    <mergeCell ref="J172:K172"/>
    <mergeCell ref="J161:K161"/>
    <mergeCell ref="J162:K162"/>
    <mergeCell ref="J163:K163"/>
    <mergeCell ref="J164:K164"/>
    <mergeCell ref="J165:K165"/>
    <mergeCell ref="J166:K166"/>
    <mergeCell ref="J173:K173"/>
    <mergeCell ref="J174:K174"/>
    <mergeCell ref="J175:K175"/>
    <mergeCell ref="J176:K176"/>
    <mergeCell ref="H176:I176"/>
    <mergeCell ref="H161:I161"/>
    <mergeCell ref="H162:I162"/>
    <mergeCell ref="H163:I163"/>
    <mergeCell ref="H177:I177"/>
    <mergeCell ref="H178:I178"/>
    <mergeCell ref="H179:I179"/>
    <mergeCell ref="H180:I180"/>
    <mergeCell ref="J156:K156"/>
    <mergeCell ref="J157:K157"/>
    <mergeCell ref="J158:K158"/>
    <mergeCell ref="J159:K159"/>
    <mergeCell ref="J160:K160"/>
    <mergeCell ref="H170:I170"/>
    <mergeCell ref="H171:I171"/>
    <mergeCell ref="H172:I172"/>
    <mergeCell ref="H173:I173"/>
    <mergeCell ref="H174:I174"/>
    <mergeCell ref="H175:I175"/>
    <mergeCell ref="H164:I164"/>
    <mergeCell ref="H165:I165"/>
    <mergeCell ref="H166:I166"/>
    <mergeCell ref="H167:I167"/>
    <mergeCell ref="H168:I168"/>
    <mergeCell ref="H169:I169"/>
    <mergeCell ref="H158:I158"/>
    <mergeCell ref="H159:I159"/>
    <mergeCell ref="H160:I160"/>
    <mergeCell ref="H155:I155"/>
    <mergeCell ref="J155:K155"/>
    <mergeCell ref="L155:M155"/>
    <mergeCell ref="N155:O155"/>
    <mergeCell ref="H156:I156"/>
    <mergeCell ref="H157:I157"/>
    <mergeCell ref="N156:O156"/>
    <mergeCell ref="N157:O157"/>
    <mergeCell ref="L159:M159"/>
    <mergeCell ref="L160:M160"/>
    <mergeCell ref="L161:M161"/>
    <mergeCell ref="L162:M162"/>
    <mergeCell ref="L163:M163"/>
    <mergeCell ref="L164:M164"/>
    <mergeCell ref="L165:M165"/>
    <mergeCell ref="L166:M166"/>
    <mergeCell ref="L167:M167"/>
    <mergeCell ref="H153:I153"/>
    <mergeCell ref="J153:K153"/>
    <mergeCell ref="L153:M153"/>
    <mergeCell ref="N153:O153"/>
    <mergeCell ref="H154:I154"/>
    <mergeCell ref="J154:K154"/>
    <mergeCell ref="L154:M154"/>
    <mergeCell ref="N154:O154"/>
    <mergeCell ref="H151:I151"/>
    <mergeCell ref="J151:K151"/>
    <mergeCell ref="L151:M151"/>
    <mergeCell ref="N151:O151"/>
    <mergeCell ref="H152:I152"/>
    <mergeCell ref="J152:K152"/>
    <mergeCell ref="L152:M152"/>
    <mergeCell ref="N152:O152"/>
    <mergeCell ref="H149:I149"/>
    <mergeCell ref="J149:K149"/>
    <mergeCell ref="L149:M149"/>
    <mergeCell ref="N149:O149"/>
    <mergeCell ref="H150:I150"/>
    <mergeCell ref="J150:K150"/>
    <mergeCell ref="L150:M150"/>
    <mergeCell ref="N150:O150"/>
    <mergeCell ref="H147:I147"/>
    <mergeCell ref="J147:K147"/>
    <mergeCell ref="L147:M147"/>
    <mergeCell ref="N147:O147"/>
    <mergeCell ref="H148:I148"/>
    <mergeCell ref="J148:K148"/>
    <mergeCell ref="L148:M148"/>
    <mergeCell ref="N148:O148"/>
    <mergeCell ref="H145:I145"/>
    <mergeCell ref="J145:K145"/>
    <mergeCell ref="L145:M145"/>
    <mergeCell ref="N145:O145"/>
    <mergeCell ref="H146:I146"/>
    <mergeCell ref="J146:K146"/>
    <mergeCell ref="L146:M146"/>
    <mergeCell ref="N146:O146"/>
    <mergeCell ref="H143:I143"/>
    <mergeCell ref="J143:K143"/>
    <mergeCell ref="L143:M143"/>
    <mergeCell ref="N143:O143"/>
    <mergeCell ref="H144:I144"/>
    <mergeCell ref="J144:K144"/>
    <mergeCell ref="L144:M144"/>
    <mergeCell ref="N144:O144"/>
    <mergeCell ref="H141:I141"/>
    <mergeCell ref="J141:K141"/>
    <mergeCell ref="L141:M141"/>
    <mergeCell ref="N141:O141"/>
    <mergeCell ref="H142:I142"/>
    <mergeCell ref="J142:K142"/>
    <mergeCell ref="L142:M142"/>
    <mergeCell ref="N142:O142"/>
    <mergeCell ref="H139:I139"/>
    <mergeCell ref="J139:K139"/>
    <mergeCell ref="L139:M139"/>
    <mergeCell ref="N139:O139"/>
    <mergeCell ref="H140:I140"/>
    <mergeCell ref="J140:K140"/>
    <mergeCell ref="L140:M140"/>
    <mergeCell ref="N140:O140"/>
    <mergeCell ref="H137:I137"/>
    <mergeCell ref="J137:K137"/>
    <mergeCell ref="L137:M137"/>
    <mergeCell ref="N137:O137"/>
    <mergeCell ref="H138:I138"/>
    <mergeCell ref="J138:K138"/>
    <mergeCell ref="L138:M138"/>
    <mergeCell ref="N138:O138"/>
    <mergeCell ref="H135:I135"/>
    <mergeCell ref="J135:K135"/>
    <mergeCell ref="L135:M135"/>
    <mergeCell ref="N135:O135"/>
    <mergeCell ref="H136:I136"/>
    <mergeCell ref="J136:K136"/>
    <mergeCell ref="L136:M136"/>
    <mergeCell ref="N136:O136"/>
    <mergeCell ref="H133:I133"/>
    <mergeCell ref="J133:K133"/>
    <mergeCell ref="L133:M133"/>
    <mergeCell ref="N133:O133"/>
    <mergeCell ref="H134:I134"/>
    <mergeCell ref="J134:K134"/>
    <mergeCell ref="L134:M134"/>
    <mergeCell ref="N134:O134"/>
    <mergeCell ref="H131:I131"/>
    <mergeCell ref="J131:K131"/>
    <mergeCell ref="L131:M131"/>
    <mergeCell ref="N131:O131"/>
    <mergeCell ref="H132:I132"/>
    <mergeCell ref="J132:K132"/>
    <mergeCell ref="L132:M132"/>
    <mergeCell ref="N132:O132"/>
    <mergeCell ref="H128:I128"/>
    <mergeCell ref="J128:K128"/>
    <mergeCell ref="L128:M128"/>
    <mergeCell ref="N128:O128"/>
    <mergeCell ref="H130:I130"/>
    <mergeCell ref="J130:K130"/>
    <mergeCell ref="L130:M130"/>
    <mergeCell ref="N130:O130"/>
    <mergeCell ref="H129:I129"/>
    <mergeCell ref="J129:K129"/>
    <mergeCell ref="L129:M129"/>
    <mergeCell ref="N129:O129"/>
    <mergeCell ref="G3:M3"/>
    <mergeCell ref="O3:Q3"/>
    <mergeCell ref="C9:D9"/>
    <mergeCell ref="C10:D10"/>
    <mergeCell ref="A4:A5"/>
    <mergeCell ref="B4:B5"/>
    <mergeCell ref="C4:D5"/>
    <mergeCell ref="E4:E5"/>
    <mergeCell ref="F4:F5"/>
    <mergeCell ref="G4:J4"/>
    <mergeCell ref="C11:D11"/>
    <mergeCell ref="C12:D12"/>
    <mergeCell ref="Z4:AC4"/>
    <mergeCell ref="AD4:AG4"/>
    <mergeCell ref="AH4:AK4"/>
    <mergeCell ref="AL4:AO4"/>
    <mergeCell ref="U4:U5"/>
    <mergeCell ref="V4:Y4"/>
    <mergeCell ref="AP4:AS4"/>
    <mergeCell ref="C8:D8"/>
    <mergeCell ref="K4:N4"/>
    <mergeCell ref="O4:R4"/>
    <mergeCell ref="S4:S5"/>
    <mergeCell ref="T4:T5"/>
    <mergeCell ref="C7:D7"/>
    <mergeCell ref="C6:D6"/>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110:D110"/>
    <mergeCell ref="C103:D103"/>
    <mergeCell ref="C104:D104"/>
    <mergeCell ref="C111:D111"/>
    <mergeCell ref="C112:D112"/>
    <mergeCell ref="C113:D113"/>
    <mergeCell ref="C105:D105"/>
    <mergeCell ref="C106:D106"/>
    <mergeCell ref="C94:D94"/>
    <mergeCell ref="C95:D95"/>
    <mergeCell ref="C96:D96"/>
    <mergeCell ref="C107:D107"/>
    <mergeCell ref="C108:D108"/>
    <mergeCell ref="C109:D109"/>
    <mergeCell ref="C97:D97"/>
    <mergeCell ref="C98:D98"/>
    <mergeCell ref="C99:D99"/>
    <mergeCell ref="C100:D100"/>
    <mergeCell ref="C101:D101"/>
    <mergeCell ref="C102:D102"/>
  </mergeCells>
  <phoneticPr fontId="0" type="noConversion"/>
  <pageMargins left="0.78740157499999996" right="0.78740157499999996" top="0.984251969" bottom="0.984251969" header="0.4921259845" footer="0.4921259845"/>
  <pageSetup paperSize="9" orientation="portrait" r:id="rId1"/>
  <headerFooter alignWithMargins="0"/>
  <drawing r:id="rId2"/>
  <legacyDrawing r:id="rId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A126"/>
  <sheetViews>
    <sheetView zoomScale="120" zoomScaleNormal="120" workbookViewId="0">
      <pane xSplit="1" ySplit="5" topLeftCell="F72" activePane="bottomRight" state="frozen"/>
      <selection pane="topRight" activeCell="B1" sqref="B1"/>
      <selection pane="bottomLeft" activeCell="A6" sqref="A6"/>
      <selection pane="bottomRight" activeCell="W123" sqref="W123"/>
    </sheetView>
  </sheetViews>
  <sheetFormatPr baseColWidth="10" defaultColWidth="10.7109375" defaultRowHeight="9" x14ac:dyDescent="0.15"/>
  <cols>
    <col min="1" max="1" width="5.85546875" style="1" customWidth="1"/>
    <col min="2" max="6" width="7.85546875" style="1" customWidth="1"/>
    <col min="7" max="18" width="4.5703125" style="1" customWidth="1"/>
    <col min="19" max="21" width="7.85546875" style="1" customWidth="1"/>
    <col min="22" max="53" width="5.7109375" style="1" customWidth="1"/>
    <col min="54" max="16384" width="10.7109375" style="1"/>
  </cols>
  <sheetData>
    <row r="1" spans="1:53" s="2" customFormat="1" ht="15" customHeight="1" x14ac:dyDescent="0.2">
      <c r="B1" s="22" t="s">
        <v>14</v>
      </c>
    </row>
    <row r="2" spans="1:53" s="2" customFormat="1" ht="15" customHeight="1" x14ac:dyDescent="0.2">
      <c r="B2" s="22" t="s">
        <v>144</v>
      </c>
    </row>
    <row r="3" spans="1:53" s="2" customFormat="1" x14ac:dyDescent="0.15">
      <c r="G3" s="814"/>
      <c r="H3" s="814"/>
      <c r="I3" s="814"/>
      <c r="J3" s="814"/>
      <c r="K3" s="814"/>
      <c r="L3" s="814"/>
      <c r="M3" s="814"/>
      <c r="O3" s="814"/>
      <c r="P3" s="814"/>
      <c r="Q3" s="814"/>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1" t="s">
        <v>23</v>
      </c>
      <c r="AU5" s="351" t="s">
        <v>24</v>
      </c>
      <c r="AV5" s="351" t="s">
        <v>25</v>
      </c>
      <c r="AW5" s="353" t="s">
        <v>1217</v>
      </c>
      <c r="AX5" s="351" t="s">
        <v>23</v>
      </c>
      <c r="AY5" s="351" t="s">
        <v>24</v>
      </c>
      <c r="AZ5" s="351" t="s">
        <v>25</v>
      </c>
      <c r="BA5" s="354" t="s">
        <v>1217</v>
      </c>
    </row>
    <row r="6" spans="1:53" s="190" customFormat="1" x14ac:dyDescent="0.15">
      <c r="A6" s="190">
        <v>1991</v>
      </c>
      <c r="C6" s="826" t="s">
        <v>1283</v>
      </c>
      <c r="D6" s="826"/>
      <c r="E6" s="189">
        <v>356</v>
      </c>
      <c r="F6" s="191"/>
      <c r="G6" s="123"/>
      <c r="J6" s="134"/>
      <c r="K6" s="92"/>
      <c r="L6" s="92"/>
      <c r="M6" s="92"/>
      <c r="N6" s="125"/>
      <c r="O6" s="91"/>
      <c r="P6" s="92"/>
      <c r="Q6" s="92"/>
      <c r="R6" s="93"/>
      <c r="T6" s="81"/>
      <c r="V6" s="82"/>
      <c r="Y6" s="83"/>
      <c r="AD6" s="82"/>
      <c r="AG6" s="83"/>
      <c r="AL6" s="82"/>
      <c r="AO6" s="83"/>
      <c r="AP6" s="82"/>
      <c r="AS6" s="83"/>
      <c r="AW6" s="83"/>
      <c r="BA6" s="84"/>
    </row>
    <row r="7" spans="1:53" s="334" customFormat="1" x14ac:dyDescent="0.15">
      <c r="A7" s="334">
        <v>1991</v>
      </c>
      <c r="B7" s="355">
        <v>33595</v>
      </c>
      <c r="C7" s="812" t="s">
        <v>948</v>
      </c>
      <c r="D7" s="812"/>
      <c r="E7" s="334">
        <v>9</v>
      </c>
      <c r="F7" s="334" t="s">
        <v>348</v>
      </c>
      <c r="G7" s="419">
        <v>3</v>
      </c>
      <c r="H7" s="334">
        <v>7</v>
      </c>
      <c r="J7" s="435">
        <v>23</v>
      </c>
      <c r="K7" s="384">
        <f t="shared" ref="K7:M11" si="0">G7/J7*100</f>
        <v>13.043478260869565</v>
      </c>
      <c r="L7" s="384">
        <f t="shared" si="0"/>
        <v>53.666666666666671</v>
      </c>
      <c r="M7" s="384">
        <f t="shared" si="0"/>
        <v>0</v>
      </c>
      <c r="N7" s="421">
        <f>K7+L7+M7</f>
        <v>66.710144927536234</v>
      </c>
      <c r="O7" s="383">
        <v>9.6</v>
      </c>
      <c r="P7" s="384">
        <v>16.8</v>
      </c>
      <c r="Q7" s="384"/>
      <c r="R7" s="385">
        <f t="shared" ref="R7:R80" si="1">SUM(O7:Q7)</f>
        <v>26.4</v>
      </c>
      <c r="S7" s="334">
        <v>5</v>
      </c>
      <c r="T7" s="342">
        <v>33538</v>
      </c>
      <c r="U7" s="355">
        <v>33595</v>
      </c>
      <c r="V7" s="343" t="s">
        <v>101</v>
      </c>
      <c r="W7" s="334" t="s">
        <v>77</v>
      </c>
      <c r="X7" s="334" t="s">
        <v>11</v>
      </c>
      <c r="Y7" s="344">
        <v>9.6</v>
      </c>
      <c r="Z7" s="334" t="s">
        <v>949</v>
      </c>
      <c r="AA7" s="334" t="s">
        <v>86</v>
      </c>
      <c r="AB7" s="334" t="s">
        <v>18</v>
      </c>
      <c r="AC7" s="334">
        <v>10.7</v>
      </c>
      <c r="AD7" s="343" t="s">
        <v>950</v>
      </c>
      <c r="AE7" s="334" t="s">
        <v>951</v>
      </c>
      <c r="AF7" s="334" t="s">
        <v>18</v>
      </c>
      <c r="AG7" s="344">
        <v>6.1</v>
      </c>
      <c r="AL7" s="343"/>
      <c r="AO7" s="344"/>
      <c r="AP7" s="343"/>
      <c r="AS7" s="344"/>
      <c r="AW7" s="344"/>
      <c r="BA7" s="345"/>
    </row>
    <row r="8" spans="1:53" s="334" customFormat="1" x14ac:dyDescent="0.15">
      <c r="A8" s="334">
        <v>1992</v>
      </c>
      <c r="C8" s="812" t="s">
        <v>948</v>
      </c>
      <c r="D8" s="812"/>
      <c r="E8" s="334">
        <v>157</v>
      </c>
      <c r="G8" s="419">
        <v>3</v>
      </c>
      <c r="H8" s="334">
        <v>7</v>
      </c>
      <c r="J8" s="435">
        <v>23</v>
      </c>
      <c r="K8" s="384">
        <f t="shared" si="0"/>
        <v>13.043478260869565</v>
      </c>
      <c r="L8" s="384">
        <f t="shared" si="0"/>
        <v>53.666666666666671</v>
      </c>
      <c r="M8" s="384">
        <f t="shared" si="0"/>
        <v>0</v>
      </c>
      <c r="N8" s="421">
        <f>K8+L8+M8</f>
        <v>66.710144927536234</v>
      </c>
      <c r="O8" s="383">
        <v>9.6</v>
      </c>
      <c r="P8" s="384">
        <v>16.8</v>
      </c>
      <c r="Q8" s="384"/>
      <c r="R8" s="385">
        <f t="shared" si="1"/>
        <v>26.4</v>
      </c>
      <c r="S8" s="334">
        <v>5</v>
      </c>
      <c r="T8" s="357"/>
      <c r="V8" s="343" t="s">
        <v>101</v>
      </c>
      <c r="W8" s="334" t="s">
        <v>77</v>
      </c>
      <c r="X8" s="334" t="s">
        <v>11</v>
      </c>
      <c r="Y8" s="344">
        <v>9.6</v>
      </c>
      <c r="Z8" s="334" t="s">
        <v>949</v>
      </c>
      <c r="AA8" s="334" t="s">
        <v>86</v>
      </c>
      <c r="AB8" s="334" t="s">
        <v>18</v>
      </c>
      <c r="AC8" s="334">
        <v>10.7</v>
      </c>
      <c r="AD8" s="343" t="s">
        <v>950</v>
      </c>
      <c r="AE8" s="334" t="s">
        <v>951</v>
      </c>
      <c r="AF8" s="334" t="s">
        <v>18</v>
      </c>
      <c r="AG8" s="344">
        <v>6.1</v>
      </c>
      <c r="AL8" s="343"/>
      <c r="AO8" s="344"/>
      <c r="AP8" s="343"/>
      <c r="AS8" s="344"/>
      <c r="AW8" s="344"/>
      <c r="BA8" s="345"/>
    </row>
    <row r="9" spans="1:53" s="190" customFormat="1" x14ac:dyDescent="0.15">
      <c r="A9" s="190">
        <v>1992</v>
      </c>
      <c r="B9" s="188">
        <v>33761</v>
      </c>
      <c r="C9" s="811" t="s">
        <v>952</v>
      </c>
      <c r="D9" s="811"/>
      <c r="E9" s="190">
        <v>35</v>
      </c>
      <c r="F9" s="190">
        <v>5</v>
      </c>
      <c r="G9" s="123">
        <v>0</v>
      </c>
      <c r="H9" s="190">
        <v>0</v>
      </c>
      <c r="I9" s="190">
        <v>0</v>
      </c>
      <c r="J9" s="134">
        <v>0</v>
      </c>
      <c r="K9" s="92">
        <v>0</v>
      </c>
      <c r="L9" s="92">
        <v>0</v>
      </c>
      <c r="M9" s="92">
        <v>0</v>
      </c>
      <c r="N9" s="125">
        <v>0</v>
      </c>
      <c r="O9" s="91">
        <v>0</v>
      </c>
      <c r="P9" s="92">
        <v>0</v>
      </c>
      <c r="Q9" s="92">
        <v>0</v>
      </c>
      <c r="R9" s="93">
        <f t="shared" si="1"/>
        <v>0</v>
      </c>
      <c r="S9" s="190">
        <v>6</v>
      </c>
      <c r="T9" s="81"/>
      <c r="U9" s="188">
        <v>33761</v>
      </c>
      <c r="V9" s="854" t="s">
        <v>1169</v>
      </c>
      <c r="W9" s="855"/>
      <c r="X9" s="855"/>
      <c r="Y9" s="855"/>
      <c r="Z9" s="855"/>
      <c r="AA9" s="855"/>
      <c r="AB9" s="855"/>
      <c r="AC9" s="856"/>
      <c r="AH9" s="82"/>
      <c r="AK9" s="83"/>
      <c r="AP9" s="82"/>
      <c r="AS9" s="83"/>
      <c r="AW9" s="83"/>
      <c r="BA9" s="84"/>
    </row>
    <row r="10" spans="1:53" s="334" customFormat="1" x14ac:dyDescent="0.15">
      <c r="A10" s="334">
        <v>1992</v>
      </c>
      <c r="B10" s="355">
        <v>33796</v>
      </c>
      <c r="C10" s="812" t="s">
        <v>1170</v>
      </c>
      <c r="D10" s="812"/>
      <c r="E10" s="334">
        <f>366-E9-E8</f>
        <v>174</v>
      </c>
      <c r="F10" s="334">
        <v>5</v>
      </c>
      <c r="G10" s="419">
        <v>7</v>
      </c>
      <c r="H10" s="334">
        <v>9</v>
      </c>
      <c r="J10" s="435">
        <v>19</v>
      </c>
      <c r="K10" s="384">
        <f t="shared" si="0"/>
        <v>36.84210526315789</v>
      </c>
      <c r="L10" s="384">
        <f t="shared" si="0"/>
        <v>24.428571428571434</v>
      </c>
      <c r="M10" s="384">
        <f t="shared" si="0"/>
        <v>0</v>
      </c>
      <c r="N10" s="421">
        <f>K10+L10+M10</f>
        <v>61.270676691729321</v>
      </c>
      <c r="O10" s="383">
        <v>21.5</v>
      </c>
      <c r="P10" s="384">
        <v>17.899999999999999</v>
      </c>
      <c r="Q10" s="384"/>
      <c r="R10" s="385">
        <f t="shared" si="1"/>
        <v>39.4</v>
      </c>
      <c r="S10" s="334">
        <v>5</v>
      </c>
      <c r="T10" s="357"/>
      <c r="U10" s="355">
        <v>33796</v>
      </c>
      <c r="V10" s="343" t="s">
        <v>564</v>
      </c>
      <c r="W10" s="334" t="s">
        <v>22</v>
      </c>
      <c r="X10" s="334" t="s">
        <v>11</v>
      </c>
      <c r="Y10" s="344">
        <v>13.5</v>
      </c>
      <c r="Z10" s="334" t="s">
        <v>953</v>
      </c>
      <c r="AA10" s="334" t="s">
        <v>86</v>
      </c>
      <c r="AB10" s="334" t="s">
        <v>18</v>
      </c>
      <c r="AC10" s="334">
        <v>10.7</v>
      </c>
      <c r="AD10" s="343" t="s">
        <v>955</v>
      </c>
      <c r="AE10" s="334" t="s">
        <v>88</v>
      </c>
      <c r="AF10" s="334" t="s">
        <v>11</v>
      </c>
      <c r="AG10" s="334">
        <v>8</v>
      </c>
      <c r="AH10" s="343" t="s">
        <v>950</v>
      </c>
      <c r="AI10" s="334" t="s">
        <v>951</v>
      </c>
      <c r="AJ10" s="334" t="s">
        <v>18</v>
      </c>
      <c r="AK10" s="344">
        <v>6.1</v>
      </c>
      <c r="AL10" s="343" t="s">
        <v>954</v>
      </c>
      <c r="AM10" s="334" t="s">
        <v>17</v>
      </c>
      <c r="AN10" s="334" t="s">
        <v>18</v>
      </c>
      <c r="AO10" s="344">
        <v>1.1000000000000001</v>
      </c>
      <c r="AP10" s="343" t="s">
        <v>1171</v>
      </c>
      <c r="AQ10" s="334" t="s">
        <v>340</v>
      </c>
      <c r="AR10" s="334" t="s">
        <v>18</v>
      </c>
      <c r="AS10" s="344">
        <v>0</v>
      </c>
      <c r="AW10" s="344"/>
      <c r="BA10" s="345"/>
    </row>
    <row r="11" spans="1:53" s="334" customFormat="1" x14ac:dyDescent="0.15">
      <c r="A11" s="334">
        <v>1993</v>
      </c>
      <c r="C11" s="812" t="s">
        <v>1170</v>
      </c>
      <c r="D11" s="812"/>
      <c r="E11" s="334">
        <v>298</v>
      </c>
      <c r="G11" s="419">
        <v>7</v>
      </c>
      <c r="H11" s="334">
        <v>9</v>
      </c>
      <c r="J11" s="435">
        <v>19</v>
      </c>
      <c r="K11" s="384">
        <f t="shared" si="0"/>
        <v>36.84210526315789</v>
      </c>
      <c r="L11" s="384">
        <f t="shared" si="0"/>
        <v>24.428571428571434</v>
      </c>
      <c r="M11" s="384">
        <f t="shared" si="0"/>
        <v>0</v>
      </c>
      <c r="N11" s="421">
        <f>K11+L11+M11</f>
        <v>61.270676691729321</v>
      </c>
      <c r="O11" s="383">
        <v>21.5</v>
      </c>
      <c r="P11" s="384">
        <v>17.899999999999999</v>
      </c>
      <c r="Q11" s="384"/>
      <c r="R11" s="385">
        <f t="shared" si="1"/>
        <v>39.4</v>
      </c>
      <c r="S11" s="334">
        <v>5</v>
      </c>
      <c r="T11" s="357"/>
      <c r="V11" s="343" t="s">
        <v>564</v>
      </c>
      <c r="W11" s="334" t="s">
        <v>22</v>
      </c>
      <c r="X11" s="334" t="s">
        <v>11</v>
      </c>
      <c r="Y11" s="344">
        <v>13.5</v>
      </c>
      <c r="Z11" s="334" t="s">
        <v>953</v>
      </c>
      <c r="AA11" s="334" t="s">
        <v>86</v>
      </c>
      <c r="AB11" s="334" t="s">
        <v>18</v>
      </c>
      <c r="AC11" s="334">
        <v>10.7</v>
      </c>
      <c r="AD11" s="343" t="s">
        <v>955</v>
      </c>
      <c r="AE11" s="334" t="s">
        <v>88</v>
      </c>
      <c r="AF11" s="334" t="s">
        <v>11</v>
      </c>
      <c r="AG11" s="334">
        <v>8</v>
      </c>
      <c r="AH11" s="343" t="s">
        <v>950</v>
      </c>
      <c r="AI11" s="334" t="s">
        <v>951</v>
      </c>
      <c r="AJ11" s="334" t="s">
        <v>18</v>
      </c>
      <c r="AK11" s="344">
        <v>6.1</v>
      </c>
      <c r="AL11" s="343" t="s">
        <v>954</v>
      </c>
      <c r="AM11" s="334" t="s">
        <v>17</v>
      </c>
      <c r="AN11" s="334" t="s">
        <v>18</v>
      </c>
      <c r="AO11" s="344">
        <v>1.1000000000000001</v>
      </c>
      <c r="AP11" s="343" t="s">
        <v>1171</v>
      </c>
      <c r="AQ11" s="334" t="s">
        <v>340</v>
      </c>
      <c r="AR11" s="334" t="s">
        <v>18</v>
      </c>
      <c r="AS11" s="344">
        <v>0</v>
      </c>
      <c r="AW11" s="344"/>
      <c r="BA11" s="345"/>
    </row>
    <row r="12" spans="1:53" s="190" customFormat="1" x14ac:dyDescent="0.15">
      <c r="A12" s="190">
        <v>1993</v>
      </c>
      <c r="B12" s="188">
        <v>34268</v>
      </c>
      <c r="C12" s="811" t="s">
        <v>958</v>
      </c>
      <c r="D12" s="811"/>
      <c r="E12" s="190">
        <f xml:space="preserve"> 365-E11</f>
        <v>67</v>
      </c>
      <c r="F12" s="190">
        <v>5</v>
      </c>
      <c r="G12" s="123"/>
      <c r="I12" s="190">
        <v>13</v>
      </c>
      <c r="J12" s="134">
        <v>20</v>
      </c>
      <c r="K12" s="92">
        <f>G12/J12*100</f>
        <v>0</v>
      </c>
      <c r="L12" s="92">
        <f>H12/J12*100</f>
        <v>0</v>
      </c>
      <c r="M12" s="92">
        <f>I12/J12*100</f>
        <v>65</v>
      </c>
      <c r="N12" s="125">
        <f t="shared" ref="N12:N84" si="2">SUM(K12:M12)</f>
        <v>65</v>
      </c>
      <c r="O12" s="91"/>
      <c r="P12" s="92"/>
      <c r="Q12" s="92">
        <v>65.900000000000006</v>
      </c>
      <c r="R12" s="93">
        <f t="shared" si="1"/>
        <v>65.900000000000006</v>
      </c>
      <c r="S12" s="190">
        <v>2</v>
      </c>
      <c r="T12" s="95">
        <v>34231</v>
      </c>
      <c r="U12" s="188">
        <v>34268</v>
      </c>
      <c r="V12" s="82" t="s">
        <v>957</v>
      </c>
      <c r="W12" s="190" t="s">
        <v>97</v>
      </c>
      <c r="X12" s="190" t="s">
        <v>12</v>
      </c>
      <c r="Y12" s="83">
        <v>37.200000000000003</v>
      </c>
      <c r="Z12" s="190" t="s">
        <v>956</v>
      </c>
      <c r="AA12" s="190" t="s">
        <v>886</v>
      </c>
      <c r="AB12" s="190" t="s">
        <v>12</v>
      </c>
      <c r="AC12" s="190">
        <v>28.7</v>
      </c>
      <c r="AD12" s="82"/>
      <c r="AG12" s="83"/>
      <c r="AL12" s="82"/>
      <c r="AO12" s="83"/>
      <c r="AP12" s="82"/>
      <c r="AS12" s="83"/>
      <c r="AW12" s="83"/>
      <c r="BA12" s="84"/>
    </row>
    <row r="13" spans="1:53" s="190" customFormat="1" x14ac:dyDescent="0.15">
      <c r="A13" s="190">
        <v>1994</v>
      </c>
      <c r="C13" s="811" t="s">
        <v>958</v>
      </c>
      <c r="D13" s="811"/>
      <c r="E13" s="190">
        <v>0</v>
      </c>
      <c r="G13" s="123"/>
      <c r="I13" s="190">
        <v>13</v>
      </c>
      <c r="J13" s="134">
        <v>20</v>
      </c>
      <c r="K13" s="92">
        <f t="shared" ref="K13:K75" si="3">G13/J13*100</f>
        <v>0</v>
      </c>
      <c r="L13" s="92">
        <f t="shared" ref="L13:L75" si="4">H13/J13*100</f>
        <v>0</v>
      </c>
      <c r="M13" s="92">
        <f t="shared" ref="M13:M75" si="5">I13/J13*100</f>
        <v>65</v>
      </c>
      <c r="N13" s="125">
        <f t="shared" si="2"/>
        <v>65</v>
      </c>
      <c r="O13" s="91"/>
      <c r="P13" s="92"/>
      <c r="Q13" s="92">
        <v>65.900000000000006</v>
      </c>
      <c r="R13" s="93">
        <f t="shared" si="1"/>
        <v>65.900000000000006</v>
      </c>
      <c r="S13" s="190">
        <v>2</v>
      </c>
      <c r="T13" s="81"/>
      <c r="V13" s="82" t="s">
        <v>957</v>
      </c>
      <c r="W13" s="190" t="s">
        <v>97</v>
      </c>
      <c r="X13" s="190" t="s">
        <v>12</v>
      </c>
      <c r="Y13" s="83">
        <v>37.200000000000003</v>
      </c>
      <c r="Z13" s="190" t="s">
        <v>956</v>
      </c>
      <c r="AA13" s="190" t="s">
        <v>886</v>
      </c>
      <c r="AB13" s="190" t="s">
        <v>12</v>
      </c>
      <c r="AC13" s="190">
        <v>28.7</v>
      </c>
      <c r="AD13" s="82"/>
      <c r="AG13" s="83"/>
      <c r="AL13" s="82"/>
      <c r="AO13" s="83"/>
      <c r="AP13" s="82"/>
      <c r="AS13" s="83"/>
      <c r="AW13" s="83"/>
      <c r="BA13" s="84"/>
    </row>
    <row r="14" spans="1:53" s="190" customFormat="1" x14ac:dyDescent="0.15">
      <c r="A14" s="190">
        <v>1994</v>
      </c>
      <c r="C14" s="811" t="s">
        <v>958</v>
      </c>
      <c r="D14" s="811"/>
      <c r="E14" s="190">
        <v>365</v>
      </c>
      <c r="G14" s="123"/>
      <c r="I14" s="190">
        <v>13</v>
      </c>
      <c r="J14" s="134">
        <v>20</v>
      </c>
      <c r="K14" s="92">
        <f t="shared" si="3"/>
        <v>0</v>
      </c>
      <c r="L14" s="92">
        <f t="shared" si="4"/>
        <v>0</v>
      </c>
      <c r="M14" s="92">
        <f t="shared" si="5"/>
        <v>65</v>
      </c>
      <c r="N14" s="125">
        <f t="shared" si="2"/>
        <v>65</v>
      </c>
      <c r="O14" s="91"/>
      <c r="P14" s="92"/>
      <c r="Q14" s="92">
        <v>65.900000000000006</v>
      </c>
      <c r="R14" s="93">
        <f t="shared" si="1"/>
        <v>65.900000000000006</v>
      </c>
      <c r="S14" s="190">
        <v>2</v>
      </c>
      <c r="T14" s="81"/>
      <c r="V14" s="82" t="s">
        <v>957</v>
      </c>
      <c r="W14" s="190" t="s">
        <v>97</v>
      </c>
      <c r="X14" s="190" t="s">
        <v>12</v>
      </c>
      <c r="Y14" s="83">
        <v>37.200000000000003</v>
      </c>
      <c r="Z14" s="190" t="s">
        <v>956</v>
      </c>
      <c r="AA14" s="190" t="s">
        <v>886</v>
      </c>
      <c r="AB14" s="190" t="s">
        <v>12</v>
      </c>
      <c r="AC14" s="190">
        <v>28.7</v>
      </c>
      <c r="AD14" s="82"/>
      <c r="AG14" s="83"/>
      <c r="AL14" s="82"/>
      <c r="AO14" s="83"/>
      <c r="AP14" s="82"/>
      <c r="AS14" s="83"/>
      <c r="AW14" s="83"/>
      <c r="BA14" s="84"/>
    </row>
    <row r="15" spans="1:53" s="190" customFormat="1" x14ac:dyDescent="0.15">
      <c r="A15" s="190">
        <v>1995</v>
      </c>
      <c r="C15" s="811" t="s">
        <v>958</v>
      </c>
      <c r="D15" s="811"/>
      <c r="E15" s="190">
        <v>64</v>
      </c>
      <c r="G15" s="123"/>
      <c r="I15" s="190">
        <v>13</v>
      </c>
      <c r="J15" s="134">
        <v>20</v>
      </c>
      <c r="K15" s="92">
        <f t="shared" si="3"/>
        <v>0</v>
      </c>
      <c r="L15" s="92">
        <f t="shared" si="4"/>
        <v>0</v>
      </c>
      <c r="M15" s="92">
        <f t="shared" si="5"/>
        <v>65</v>
      </c>
      <c r="N15" s="125">
        <f t="shared" si="2"/>
        <v>65</v>
      </c>
      <c r="O15" s="91"/>
      <c r="P15" s="92"/>
      <c r="Q15" s="92">
        <v>65.900000000000006</v>
      </c>
      <c r="R15" s="93">
        <f t="shared" si="1"/>
        <v>65.900000000000006</v>
      </c>
      <c r="S15" s="190">
        <v>2</v>
      </c>
      <c r="T15" s="81"/>
      <c r="V15" s="82" t="s">
        <v>957</v>
      </c>
      <c r="W15" s="190" t="s">
        <v>97</v>
      </c>
      <c r="X15" s="190" t="s">
        <v>12</v>
      </c>
      <c r="Y15" s="83">
        <v>37.200000000000003</v>
      </c>
      <c r="Z15" s="190" t="s">
        <v>956</v>
      </c>
      <c r="AA15" s="190" t="s">
        <v>886</v>
      </c>
      <c r="AB15" s="190" t="s">
        <v>12</v>
      </c>
      <c r="AC15" s="190">
        <v>28.7</v>
      </c>
      <c r="AD15" s="82"/>
      <c r="AG15" s="83"/>
      <c r="AL15" s="82"/>
      <c r="AO15" s="83"/>
      <c r="AP15" s="82"/>
      <c r="AS15" s="83"/>
      <c r="AW15" s="83"/>
      <c r="BA15" s="84"/>
    </row>
    <row r="16" spans="1:53" s="334" customFormat="1" x14ac:dyDescent="0.15">
      <c r="A16" s="334">
        <v>1995</v>
      </c>
      <c r="B16" s="355">
        <v>34764</v>
      </c>
      <c r="C16" s="812" t="s">
        <v>959</v>
      </c>
      <c r="D16" s="812"/>
      <c r="E16" s="334">
        <f xml:space="preserve"> 365-E15</f>
        <v>301</v>
      </c>
      <c r="F16" s="334">
        <v>6</v>
      </c>
      <c r="G16" s="419"/>
      <c r="I16" s="334">
        <v>18</v>
      </c>
      <c r="J16" s="435">
        <v>21</v>
      </c>
      <c r="K16" s="384">
        <f t="shared" si="3"/>
        <v>0</v>
      </c>
      <c r="L16" s="384">
        <f t="shared" si="4"/>
        <v>0</v>
      </c>
      <c r="M16" s="384">
        <f t="shared" si="5"/>
        <v>85.714285714285708</v>
      </c>
      <c r="N16" s="421">
        <f t="shared" si="2"/>
        <v>85.714285714285708</v>
      </c>
      <c r="O16" s="383"/>
      <c r="P16" s="384"/>
      <c r="Q16" s="384">
        <v>65.900000000000006</v>
      </c>
      <c r="R16" s="385">
        <f t="shared" si="1"/>
        <v>65.900000000000006</v>
      </c>
      <c r="S16" s="334">
        <v>2</v>
      </c>
      <c r="T16" s="357"/>
      <c r="U16" s="355">
        <v>34764</v>
      </c>
      <c r="V16" s="343" t="s">
        <v>957</v>
      </c>
      <c r="W16" s="334" t="s">
        <v>97</v>
      </c>
      <c r="X16" s="334" t="s">
        <v>12</v>
      </c>
      <c r="Y16" s="344">
        <v>37.200000000000003</v>
      </c>
      <c r="Z16" s="334" t="s">
        <v>956</v>
      </c>
      <c r="AA16" s="334" t="s">
        <v>886</v>
      </c>
      <c r="AB16" s="334" t="s">
        <v>12</v>
      </c>
      <c r="AC16" s="334">
        <v>28.7</v>
      </c>
      <c r="AD16" s="343"/>
      <c r="AG16" s="344"/>
      <c r="AL16" s="343"/>
      <c r="AO16" s="344"/>
      <c r="AP16" s="343"/>
      <c r="AS16" s="344"/>
      <c r="AW16" s="344"/>
      <c r="BA16" s="345"/>
    </row>
    <row r="17" spans="1:53" s="334" customFormat="1" x14ac:dyDescent="0.15">
      <c r="A17" s="334">
        <v>1996</v>
      </c>
      <c r="C17" s="812" t="s">
        <v>959</v>
      </c>
      <c r="D17" s="812"/>
      <c r="E17" s="334">
        <v>37</v>
      </c>
      <c r="G17" s="419"/>
      <c r="I17" s="334">
        <v>18</v>
      </c>
      <c r="J17" s="435">
        <v>21</v>
      </c>
      <c r="K17" s="384">
        <f t="shared" si="3"/>
        <v>0</v>
      </c>
      <c r="L17" s="384">
        <f t="shared" si="4"/>
        <v>0</v>
      </c>
      <c r="M17" s="384">
        <f t="shared" si="5"/>
        <v>85.714285714285708</v>
      </c>
      <c r="N17" s="421">
        <f t="shared" si="2"/>
        <v>85.714285714285708</v>
      </c>
      <c r="O17" s="383"/>
      <c r="P17" s="384"/>
      <c r="Q17" s="384">
        <v>65.900000000000006</v>
      </c>
      <c r="R17" s="385">
        <f t="shared" si="1"/>
        <v>65.900000000000006</v>
      </c>
      <c r="S17" s="334">
        <v>2</v>
      </c>
      <c r="T17" s="357"/>
      <c r="V17" s="343" t="s">
        <v>957</v>
      </c>
      <c r="W17" s="334" t="s">
        <v>97</v>
      </c>
      <c r="X17" s="334" t="s">
        <v>12</v>
      </c>
      <c r="Y17" s="344">
        <v>37.200000000000003</v>
      </c>
      <c r="Z17" s="334" t="s">
        <v>956</v>
      </c>
      <c r="AA17" s="334" t="s">
        <v>886</v>
      </c>
      <c r="AB17" s="334" t="s">
        <v>12</v>
      </c>
      <c r="AC17" s="334">
        <v>28.7</v>
      </c>
      <c r="AD17" s="343"/>
      <c r="AG17" s="344"/>
      <c r="AL17" s="343"/>
      <c r="AO17" s="344"/>
      <c r="AP17" s="343"/>
      <c r="AS17" s="344"/>
      <c r="AW17" s="344"/>
      <c r="BA17" s="345"/>
    </row>
    <row r="18" spans="1:53" s="190" customFormat="1" x14ac:dyDescent="0.15">
      <c r="A18" s="190">
        <v>1996</v>
      </c>
      <c r="B18" s="188">
        <v>35102</v>
      </c>
      <c r="C18" s="811" t="s">
        <v>960</v>
      </c>
      <c r="D18" s="811"/>
      <c r="E18" s="190">
        <v>237</v>
      </c>
      <c r="F18" s="190">
        <v>2</v>
      </c>
      <c r="G18" s="123"/>
      <c r="I18" s="190">
        <v>14</v>
      </c>
      <c r="J18" s="134">
        <v>21</v>
      </c>
      <c r="K18" s="92">
        <f t="shared" si="3"/>
        <v>0</v>
      </c>
      <c r="L18" s="92">
        <f t="shared" si="4"/>
        <v>0</v>
      </c>
      <c r="M18" s="92">
        <f t="shared" si="5"/>
        <v>66.666666666666657</v>
      </c>
      <c r="N18" s="125">
        <f t="shared" si="2"/>
        <v>66.666666666666657</v>
      </c>
      <c r="O18" s="91"/>
      <c r="P18" s="92"/>
      <c r="Q18" s="92">
        <v>65.900000000000006</v>
      </c>
      <c r="R18" s="93">
        <f t="shared" si="1"/>
        <v>65.900000000000006</v>
      </c>
      <c r="S18" s="190">
        <v>2</v>
      </c>
      <c r="T18" s="81"/>
      <c r="V18" s="82" t="s">
        <v>957</v>
      </c>
      <c r="W18" s="190" t="s">
        <v>97</v>
      </c>
      <c r="X18" s="190" t="s">
        <v>12</v>
      </c>
      <c r="Y18" s="83">
        <v>37.200000000000003</v>
      </c>
      <c r="Z18" s="190" t="s">
        <v>956</v>
      </c>
      <c r="AA18" s="190" t="s">
        <v>886</v>
      </c>
      <c r="AB18" s="190" t="s">
        <v>12</v>
      </c>
      <c r="AC18" s="190">
        <v>28.7</v>
      </c>
      <c r="AD18" s="82"/>
      <c r="AG18" s="83"/>
      <c r="AL18" s="82"/>
      <c r="AO18" s="83"/>
      <c r="AP18" s="82"/>
      <c r="AS18" s="83"/>
      <c r="AW18" s="83"/>
      <c r="BA18" s="84"/>
    </row>
    <row r="19" spans="1:53" s="190" customFormat="1" x14ac:dyDescent="0.15">
      <c r="A19" s="190">
        <v>1996</v>
      </c>
      <c r="B19" s="216">
        <v>35339</v>
      </c>
      <c r="C19" s="811" t="s">
        <v>960</v>
      </c>
      <c r="D19" s="811"/>
      <c r="E19" s="190">
        <v>92</v>
      </c>
      <c r="F19" s="217">
        <v>0</v>
      </c>
      <c r="G19" s="123"/>
      <c r="I19" s="190">
        <v>13</v>
      </c>
      <c r="J19" s="134">
        <v>20</v>
      </c>
      <c r="K19" s="92">
        <f t="shared" si="3"/>
        <v>0</v>
      </c>
      <c r="L19" s="92">
        <f t="shared" si="4"/>
        <v>0</v>
      </c>
      <c r="M19" s="92">
        <f t="shared" si="5"/>
        <v>65</v>
      </c>
      <c r="N19" s="125">
        <f t="shared" si="2"/>
        <v>65</v>
      </c>
      <c r="O19" s="91"/>
      <c r="P19" s="92"/>
      <c r="Q19" s="92">
        <v>65.900000000000006</v>
      </c>
      <c r="R19" s="93">
        <f t="shared" si="1"/>
        <v>65.900000000000006</v>
      </c>
      <c r="S19" s="190">
        <v>2</v>
      </c>
      <c r="T19" s="81"/>
      <c r="V19" s="82" t="s">
        <v>957</v>
      </c>
      <c r="W19" s="190" t="s">
        <v>97</v>
      </c>
      <c r="X19" s="190" t="s">
        <v>12</v>
      </c>
      <c r="Y19" s="83">
        <v>37.200000000000003</v>
      </c>
      <c r="Z19" s="190" t="s">
        <v>956</v>
      </c>
      <c r="AA19" s="190" t="s">
        <v>886</v>
      </c>
      <c r="AB19" s="190" t="s">
        <v>12</v>
      </c>
      <c r="AC19" s="190">
        <v>28.7</v>
      </c>
      <c r="AD19" s="82"/>
      <c r="AG19" s="83"/>
      <c r="AL19" s="82"/>
      <c r="AO19" s="83"/>
      <c r="AP19" s="82"/>
      <c r="AS19" s="83"/>
      <c r="AW19" s="83"/>
      <c r="BA19" s="84"/>
    </row>
    <row r="20" spans="1:53" s="190" customFormat="1" x14ac:dyDescent="0.15">
      <c r="A20" s="190">
        <v>1997</v>
      </c>
      <c r="B20" s="216">
        <v>35431</v>
      </c>
      <c r="C20" s="811" t="s">
        <v>960</v>
      </c>
      <c r="D20" s="811"/>
      <c r="E20" s="190">
        <v>209</v>
      </c>
      <c r="F20" s="217">
        <v>0</v>
      </c>
      <c r="G20" s="123"/>
      <c r="I20" s="190">
        <v>12</v>
      </c>
      <c r="J20" s="134">
        <v>18</v>
      </c>
      <c r="K20" s="92">
        <f>G20/J20*100</f>
        <v>0</v>
      </c>
      <c r="L20" s="92">
        <f>H20/J20*100</f>
        <v>0</v>
      </c>
      <c r="M20" s="92">
        <f>I20/J20*100</f>
        <v>66.666666666666657</v>
      </c>
      <c r="N20" s="125">
        <f>SUM(K20:M20)</f>
        <v>66.666666666666657</v>
      </c>
      <c r="O20" s="91"/>
      <c r="P20" s="92"/>
      <c r="Q20" s="92">
        <v>65.900000000000006</v>
      </c>
      <c r="R20" s="93">
        <f>SUM(O20:Q20)</f>
        <v>65.900000000000006</v>
      </c>
      <c r="S20" s="190">
        <v>2</v>
      </c>
      <c r="T20" s="81"/>
      <c r="V20" s="82" t="s">
        <v>957</v>
      </c>
      <c r="W20" s="190" t="s">
        <v>97</v>
      </c>
      <c r="X20" s="190" t="s">
        <v>12</v>
      </c>
      <c r="Y20" s="83">
        <v>37.200000000000003</v>
      </c>
      <c r="Z20" s="190" t="s">
        <v>956</v>
      </c>
      <c r="AA20" s="190" t="s">
        <v>886</v>
      </c>
      <c r="AB20" s="190" t="s">
        <v>12</v>
      </c>
      <c r="AC20" s="190">
        <v>28.7</v>
      </c>
      <c r="AD20" s="82"/>
      <c r="AG20" s="83"/>
      <c r="AL20" s="82"/>
      <c r="AO20" s="83"/>
      <c r="AP20" s="82"/>
      <c r="AS20" s="83"/>
      <c r="AW20" s="83"/>
      <c r="BA20" s="84"/>
    </row>
    <row r="21" spans="1:53" s="190" customFormat="1" x14ac:dyDescent="0.15">
      <c r="A21" s="190">
        <v>1997</v>
      </c>
      <c r="B21" s="216">
        <v>35640</v>
      </c>
      <c r="C21" s="811" t="s">
        <v>960</v>
      </c>
      <c r="D21" s="811"/>
      <c r="E21" s="190">
        <v>94</v>
      </c>
      <c r="F21" s="217">
        <v>0</v>
      </c>
      <c r="G21" s="123"/>
      <c r="I21" s="190">
        <v>13</v>
      </c>
      <c r="J21" s="134">
        <v>19</v>
      </c>
      <c r="K21" s="92">
        <f t="shared" si="3"/>
        <v>0</v>
      </c>
      <c r="L21" s="92">
        <f t="shared" si="4"/>
        <v>0</v>
      </c>
      <c r="M21" s="92">
        <f t="shared" si="5"/>
        <v>68.421052631578945</v>
      </c>
      <c r="N21" s="125">
        <f t="shared" si="2"/>
        <v>68.421052631578945</v>
      </c>
      <c r="O21" s="91"/>
      <c r="P21" s="92"/>
      <c r="Q21" s="92">
        <v>65.900000000000006</v>
      </c>
      <c r="R21" s="93">
        <f t="shared" si="1"/>
        <v>65.900000000000006</v>
      </c>
      <c r="S21" s="190">
        <v>2</v>
      </c>
      <c r="T21" s="81"/>
      <c r="V21" s="82" t="s">
        <v>957</v>
      </c>
      <c r="W21" s="190" t="s">
        <v>97</v>
      </c>
      <c r="X21" s="190" t="s">
        <v>12</v>
      </c>
      <c r="Y21" s="83">
        <v>37.200000000000003</v>
      </c>
      <c r="Z21" s="190" t="s">
        <v>956</v>
      </c>
      <c r="AA21" s="190" t="s">
        <v>886</v>
      </c>
      <c r="AB21" s="190" t="s">
        <v>12</v>
      </c>
      <c r="AC21" s="190">
        <v>28.7</v>
      </c>
      <c r="AD21" s="82"/>
      <c r="AG21" s="83"/>
      <c r="AL21" s="82"/>
      <c r="AO21" s="83"/>
      <c r="AP21" s="82"/>
      <c r="AS21" s="83"/>
      <c r="AW21" s="83"/>
      <c r="BA21" s="84"/>
    </row>
    <row r="22" spans="1:53" s="334" customFormat="1" x14ac:dyDescent="0.15">
      <c r="A22" s="334">
        <v>1997</v>
      </c>
      <c r="B22" s="355">
        <v>35734</v>
      </c>
      <c r="C22" s="812" t="s">
        <v>1172</v>
      </c>
      <c r="D22" s="812"/>
      <c r="E22" s="334">
        <v>62</v>
      </c>
      <c r="F22" s="334">
        <v>1</v>
      </c>
      <c r="G22" s="419">
        <v>22</v>
      </c>
      <c r="J22" s="435">
        <v>23</v>
      </c>
      <c r="K22" s="384">
        <f t="shared" si="3"/>
        <v>95.652173913043484</v>
      </c>
      <c r="L22" s="384">
        <f t="shared" si="4"/>
        <v>0</v>
      </c>
      <c r="M22" s="384">
        <f t="shared" si="5"/>
        <v>0</v>
      </c>
      <c r="N22" s="421">
        <f t="shared" si="2"/>
        <v>95.652173913043484</v>
      </c>
      <c r="O22" s="383">
        <v>56.7</v>
      </c>
      <c r="P22" s="384"/>
      <c r="Q22" s="384"/>
      <c r="R22" s="385">
        <f t="shared" si="1"/>
        <v>56.7</v>
      </c>
      <c r="S22" s="334">
        <v>2</v>
      </c>
      <c r="T22" s="342">
        <v>35694</v>
      </c>
      <c r="U22" s="355">
        <v>35734</v>
      </c>
      <c r="V22" s="343" t="s">
        <v>961</v>
      </c>
      <c r="W22" s="334" t="s">
        <v>338</v>
      </c>
      <c r="X22" s="334" t="s">
        <v>11</v>
      </c>
      <c r="Y22" s="344">
        <v>43.7</v>
      </c>
      <c r="Z22" s="334" t="s">
        <v>962</v>
      </c>
      <c r="AA22" s="334" t="s">
        <v>107</v>
      </c>
      <c r="AB22" s="334" t="s">
        <v>11</v>
      </c>
      <c r="AC22" s="334">
        <v>13</v>
      </c>
      <c r="AD22" s="343"/>
      <c r="AG22" s="344"/>
      <c r="AL22" s="343"/>
      <c r="AO22" s="344"/>
      <c r="AP22" s="343"/>
      <c r="AS22" s="344"/>
      <c r="AW22" s="344"/>
      <c r="BA22" s="345"/>
    </row>
    <row r="23" spans="1:53" s="334" customFormat="1" x14ac:dyDescent="0.15">
      <c r="A23" s="334">
        <v>1998</v>
      </c>
      <c r="C23" s="812" t="s">
        <v>1172</v>
      </c>
      <c r="D23" s="812"/>
      <c r="E23" s="334">
        <v>207</v>
      </c>
      <c r="G23" s="419">
        <v>22</v>
      </c>
      <c r="J23" s="435">
        <v>23</v>
      </c>
      <c r="K23" s="384">
        <f t="shared" si="3"/>
        <v>95.652173913043484</v>
      </c>
      <c r="L23" s="384">
        <f t="shared" si="4"/>
        <v>0</v>
      </c>
      <c r="M23" s="384">
        <f t="shared" si="5"/>
        <v>0</v>
      </c>
      <c r="N23" s="421">
        <f t="shared" si="2"/>
        <v>95.652173913043484</v>
      </c>
      <c r="O23" s="383">
        <v>56.7</v>
      </c>
      <c r="P23" s="384"/>
      <c r="Q23" s="384"/>
      <c r="R23" s="385">
        <f t="shared" si="1"/>
        <v>56.7</v>
      </c>
      <c r="S23" s="334">
        <v>2</v>
      </c>
      <c r="T23" s="357"/>
      <c r="V23" s="343" t="s">
        <v>961</v>
      </c>
      <c r="W23" s="334" t="s">
        <v>338</v>
      </c>
      <c r="X23" s="334" t="s">
        <v>11</v>
      </c>
      <c r="Y23" s="344">
        <v>43.7</v>
      </c>
      <c r="Z23" s="334" t="s">
        <v>962</v>
      </c>
      <c r="AA23" s="334" t="s">
        <v>107</v>
      </c>
      <c r="AB23" s="334" t="s">
        <v>11</v>
      </c>
      <c r="AC23" s="334">
        <v>13</v>
      </c>
      <c r="AD23" s="343"/>
      <c r="AG23" s="344"/>
      <c r="AL23" s="343"/>
      <c r="AO23" s="344"/>
      <c r="AP23" s="343"/>
      <c r="AS23" s="344"/>
      <c r="AW23" s="344"/>
      <c r="BA23" s="345"/>
    </row>
    <row r="24" spans="1:53" s="334" customFormat="1" x14ac:dyDescent="0.15">
      <c r="A24" s="334">
        <v>1998</v>
      </c>
      <c r="B24" s="450">
        <v>36003</v>
      </c>
      <c r="C24" s="812" t="s">
        <v>1172</v>
      </c>
      <c r="D24" s="812"/>
      <c r="E24" s="334">
        <v>122</v>
      </c>
      <c r="F24" s="451">
        <v>0</v>
      </c>
      <c r="G24" s="419">
        <v>21</v>
      </c>
      <c r="J24" s="435">
        <v>22</v>
      </c>
      <c r="K24" s="384">
        <f t="shared" si="3"/>
        <v>95.454545454545453</v>
      </c>
      <c r="L24" s="384">
        <f t="shared" si="4"/>
        <v>0</v>
      </c>
      <c r="M24" s="384">
        <f t="shared" si="5"/>
        <v>0</v>
      </c>
      <c r="N24" s="421">
        <f t="shared" si="2"/>
        <v>95.454545454545453</v>
      </c>
      <c r="O24" s="383">
        <v>56.7</v>
      </c>
      <c r="P24" s="384"/>
      <c r="Q24" s="384"/>
      <c r="R24" s="385">
        <f t="shared" si="1"/>
        <v>56.7</v>
      </c>
      <c r="S24" s="334">
        <v>2</v>
      </c>
      <c r="T24" s="357"/>
      <c r="V24" s="343" t="s">
        <v>961</v>
      </c>
      <c r="W24" s="334" t="s">
        <v>338</v>
      </c>
      <c r="X24" s="334" t="s">
        <v>11</v>
      </c>
      <c r="Y24" s="344">
        <v>43.7</v>
      </c>
      <c r="Z24" s="334" t="s">
        <v>962</v>
      </c>
      <c r="AA24" s="334" t="s">
        <v>107</v>
      </c>
      <c r="AB24" s="334" t="s">
        <v>11</v>
      </c>
      <c r="AC24" s="334">
        <v>13</v>
      </c>
      <c r="AD24" s="343"/>
      <c r="AG24" s="344"/>
      <c r="AL24" s="343"/>
      <c r="AO24" s="344"/>
      <c r="AP24" s="343"/>
      <c r="AS24" s="344"/>
      <c r="AW24" s="344"/>
      <c r="BA24" s="345"/>
    </row>
    <row r="25" spans="1:53" s="334" customFormat="1" x14ac:dyDescent="0.15">
      <c r="A25" s="334">
        <v>1998</v>
      </c>
      <c r="B25" s="450">
        <v>36125</v>
      </c>
      <c r="C25" s="812" t="s">
        <v>1172</v>
      </c>
      <c r="D25" s="812"/>
      <c r="E25" s="334">
        <f xml:space="preserve"> 365-E24-E23</f>
        <v>36</v>
      </c>
      <c r="F25" s="451">
        <v>0</v>
      </c>
      <c r="G25" s="419">
        <v>22</v>
      </c>
      <c r="J25" s="435">
        <v>22</v>
      </c>
      <c r="K25" s="384">
        <f t="shared" si="3"/>
        <v>100</v>
      </c>
      <c r="L25" s="384">
        <f t="shared" si="4"/>
        <v>0</v>
      </c>
      <c r="M25" s="384">
        <f t="shared" si="5"/>
        <v>0</v>
      </c>
      <c r="N25" s="421">
        <f t="shared" si="2"/>
        <v>100</v>
      </c>
      <c r="O25" s="383">
        <v>56.7</v>
      </c>
      <c r="P25" s="384"/>
      <c r="Q25" s="384"/>
      <c r="R25" s="385">
        <f t="shared" si="1"/>
        <v>56.7</v>
      </c>
      <c r="S25" s="334">
        <v>2</v>
      </c>
      <c r="T25" s="357"/>
      <c r="V25" s="343" t="s">
        <v>961</v>
      </c>
      <c r="W25" s="334" t="s">
        <v>338</v>
      </c>
      <c r="X25" s="334" t="s">
        <v>11</v>
      </c>
      <c r="Y25" s="344">
        <v>43.7</v>
      </c>
      <c r="Z25" s="334" t="s">
        <v>962</v>
      </c>
      <c r="AA25" s="334" t="s">
        <v>107</v>
      </c>
      <c r="AB25" s="334" t="s">
        <v>11</v>
      </c>
      <c r="AC25" s="334">
        <v>13</v>
      </c>
      <c r="AD25" s="343"/>
      <c r="AG25" s="344"/>
      <c r="AL25" s="343"/>
      <c r="AO25" s="344"/>
      <c r="AP25" s="343"/>
      <c r="AS25" s="344"/>
      <c r="AW25" s="344"/>
      <c r="BA25" s="345"/>
    </row>
    <row r="26" spans="1:53" s="334" customFormat="1" x14ac:dyDescent="0.15">
      <c r="A26" s="334">
        <v>1999</v>
      </c>
      <c r="B26" s="451"/>
      <c r="C26" s="812" t="s">
        <v>1172</v>
      </c>
      <c r="D26" s="812"/>
      <c r="E26" s="334">
        <v>84</v>
      </c>
      <c r="F26" s="451"/>
      <c r="G26" s="419">
        <v>22</v>
      </c>
      <c r="J26" s="435">
        <v>22</v>
      </c>
      <c r="K26" s="384">
        <f t="shared" si="3"/>
        <v>100</v>
      </c>
      <c r="L26" s="384">
        <f t="shared" si="4"/>
        <v>0</v>
      </c>
      <c r="M26" s="384">
        <f t="shared" si="5"/>
        <v>0</v>
      </c>
      <c r="N26" s="421">
        <f t="shared" si="2"/>
        <v>100</v>
      </c>
      <c r="O26" s="383">
        <v>56.7</v>
      </c>
      <c r="P26" s="384"/>
      <c r="Q26" s="384"/>
      <c r="R26" s="385">
        <f t="shared" si="1"/>
        <v>56.7</v>
      </c>
      <c r="S26" s="334">
        <v>2</v>
      </c>
      <c r="T26" s="357"/>
      <c r="V26" s="343" t="s">
        <v>961</v>
      </c>
      <c r="W26" s="334" t="s">
        <v>338</v>
      </c>
      <c r="X26" s="334" t="s">
        <v>11</v>
      </c>
      <c r="Y26" s="344">
        <v>43.7</v>
      </c>
      <c r="Z26" s="334" t="s">
        <v>962</v>
      </c>
      <c r="AA26" s="334" t="s">
        <v>107</v>
      </c>
      <c r="AB26" s="334" t="s">
        <v>11</v>
      </c>
      <c r="AC26" s="334">
        <v>13</v>
      </c>
      <c r="AD26" s="343"/>
      <c r="AG26" s="344"/>
      <c r="AL26" s="343"/>
      <c r="AO26" s="344"/>
      <c r="AP26" s="343"/>
      <c r="AS26" s="344"/>
      <c r="AW26" s="344"/>
      <c r="BA26" s="345"/>
    </row>
    <row r="27" spans="1:53" s="334" customFormat="1" x14ac:dyDescent="0.15">
      <c r="A27" s="334">
        <v>1999</v>
      </c>
      <c r="B27" s="450">
        <v>36245</v>
      </c>
      <c r="C27" s="812" t="s">
        <v>1172</v>
      </c>
      <c r="D27" s="812"/>
      <c r="E27" s="334">
        <v>281</v>
      </c>
      <c r="F27" s="451">
        <v>0</v>
      </c>
      <c r="G27" s="419">
        <v>19</v>
      </c>
      <c r="J27" s="435">
        <v>19</v>
      </c>
      <c r="K27" s="384">
        <f t="shared" si="3"/>
        <v>100</v>
      </c>
      <c r="L27" s="384">
        <f t="shared" si="4"/>
        <v>0</v>
      </c>
      <c r="M27" s="384">
        <f t="shared" si="5"/>
        <v>0</v>
      </c>
      <c r="N27" s="421">
        <f t="shared" si="2"/>
        <v>100</v>
      </c>
      <c r="O27" s="383">
        <v>56.7</v>
      </c>
      <c r="P27" s="384"/>
      <c r="Q27" s="384"/>
      <c r="R27" s="385">
        <f t="shared" si="1"/>
        <v>56.7</v>
      </c>
      <c r="S27" s="334">
        <v>2</v>
      </c>
      <c r="T27" s="357"/>
      <c r="V27" s="343" t="s">
        <v>961</v>
      </c>
      <c r="W27" s="334" t="s">
        <v>338</v>
      </c>
      <c r="X27" s="334" t="s">
        <v>11</v>
      </c>
      <c r="Y27" s="344">
        <v>43.7</v>
      </c>
      <c r="Z27" s="334" t="s">
        <v>962</v>
      </c>
      <c r="AA27" s="334" t="s">
        <v>107</v>
      </c>
      <c r="AB27" s="334" t="s">
        <v>11</v>
      </c>
      <c r="AC27" s="334">
        <v>13</v>
      </c>
      <c r="AD27" s="343"/>
      <c r="AG27" s="344"/>
      <c r="AL27" s="343"/>
      <c r="AO27" s="344"/>
      <c r="AP27" s="343"/>
      <c r="AS27" s="344"/>
      <c r="AW27" s="344"/>
      <c r="BA27" s="345"/>
    </row>
    <row r="28" spans="1:53" s="334" customFormat="1" x14ac:dyDescent="0.15">
      <c r="A28" s="334">
        <v>2000</v>
      </c>
      <c r="B28" s="450"/>
      <c r="C28" s="812" t="s">
        <v>1172</v>
      </c>
      <c r="D28" s="812"/>
      <c r="E28" s="334">
        <v>163</v>
      </c>
      <c r="F28" s="451"/>
      <c r="G28" s="419">
        <v>19</v>
      </c>
      <c r="J28" s="435">
        <v>19</v>
      </c>
      <c r="K28" s="384">
        <f t="shared" si="3"/>
        <v>100</v>
      </c>
      <c r="L28" s="384">
        <f t="shared" si="4"/>
        <v>0</v>
      </c>
      <c r="M28" s="384">
        <f t="shared" si="5"/>
        <v>0</v>
      </c>
      <c r="N28" s="421">
        <f t="shared" si="2"/>
        <v>100</v>
      </c>
      <c r="O28" s="383">
        <v>56.7</v>
      </c>
      <c r="P28" s="384"/>
      <c r="Q28" s="384"/>
      <c r="R28" s="385">
        <f t="shared" si="1"/>
        <v>56.7</v>
      </c>
      <c r="S28" s="334">
        <v>2</v>
      </c>
      <c r="T28" s="357"/>
      <c r="V28" s="343" t="s">
        <v>961</v>
      </c>
      <c r="W28" s="334" t="s">
        <v>338</v>
      </c>
      <c r="X28" s="334" t="s">
        <v>11</v>
      </c>
      <c r="Y28" s="344">
        <v>43.7</v>
      </c>
      <c r="Z28" s="334" t="s">
        <v>962</v>
      </c>
      <c r="AA28" s="334" t="s">
        <v>107</v>
      </c>
      <c r="AB28" s="334" t="s">
        <v>11</v>
      </c>
      <c r="AC28" s="334">
        <v>13</v>
      </c>
      <c r="AD28" s="343"/>
      <c r="AG28" s="344"/>
      <c r="AL28" s="343"/>
      <c r="AO28" s="344"/>
      <c r="AP28" s="343"/>
      <c r="AS28" s="344"/>
      <c r="AW28" s="344"/>
      <c r="BA28" s="345"/>
    </row>
    <row r="29" spans="1:53" s="334" customFormat="1" x14ac:dyDescent="0.15">
      <c r="A29" s="334">
        <v>2000</v>
      </c>
      <c r="B29" s="450">
        <v>36689</v>
      </c>
      <c r="C29" s="812" t="s">
        <v>1172</v>
      </c>
      <c r="D29" s="812"/>
      <c r="E29" s="334">
        <v>17</v>
      </c>
      <c r="F29" s="451">
        <v>0</v>
      </c>
      <c r="G29" s="419">
        <v>17</v>
      </c>
      <c r="J29" s="435">
        <v>19</v>
      </c>
      <c r="K29" s="384">
        <f t="shared" si="3"/>
        <v>89.473684210526315</v>
      </c>
      <c r="L29" s="384">
        <f t="shared" si="4"/>
        <v>0</v>
      </c>
      <c r="M29" s="384">
        <f t="shared" si="5"/>
        <v>0</v>
      </c>
      <c r="N29" s="421">
        <f t="shared" si="2"/>
        <v>89.473684210526315</v>
      </c>
      <c r="O29" s="383">
        <v>56.7</v>
      </c>
      <c r="P29" s="384"/>
      <c r="Q29" s="384"/>
      <c r="R29" s="385">
        <f t="shared" si="1"/>
        <v>56.7</v>
      </c>
      <c r="S29" s="334">
        <v>2</v>
      </c>
      <c r="T29" s="357"/>
      <c r="V29" s="343" t="s">
        <v>961</v>
      </c>
      <c r="W29" s="334" t="s">
        <v>338</v>
      </c>
      <c r="X29" s="334" t="s">
        <v>11</v>
      </c>
      <c r="Y29" s="344">
        <v>43.7</v>
      </c>
      <c r="Z29" s="334" t="s">
        <v>962</v>
      </c>
      <c r="AA29" s="334" t="s">
        <v>107</v>
      </c>
      <c r="AB29" s="334" t="s">
        <v>11</v>
      </c>
      <c r="AC29" s="334">
        <v>13</v>
      </c>
      <c r="AD29" s="343"/>
      <c r="AG29" s="344"/>
      <c r="AL29" s="343"/>
      <c r="AO29" s="344"/>
      <c r="AP29" s="343"/>
      <c r="AS29" s="344"/>
      <c r="AW29" s="344"/>
      <c r="BA29" s="345"/>
    </row>
    <row r="30" spans="1:53" s="206" customFormat="1" x14ac:dyDescent="0.15">
      <c r="A30" s="206">
        <v>2000</v>
      </c>
      <c r="B30" s="205">
        <v>36706</v>
      </c>
      <c r="C30" s="811" t="s">
        <v>1173</v>
      </c>
      <c r="D30" s="811"/>
      <c r="E30" s="206">
        <v>48</v>
      </c>
      <c r="F30" s="206">
        <v>4</v>
      </c>
      <c r="G30" s="123">
        <v>16</v>
      </c>
      <c r="J30" s="134">
        <v>19</v>
      </c>
      <c r="K30" s="92">
        <f>G30/J30*100</f>
        <v>84.210526315789465</v>
      </c>
      <c r="L30" s="92">
        <f>H30/J30*100</f>
        <v>0</v>
      </c>
      <c r="M30" s="92">
        <f>I30/J30*100</f>
        <v>0</v>
      </c>
      <c r="N30" s="125">
        <f>SUM(K30:M30)</f>
        <v>84.210526315789465</v>
      </c>
      <c r="O30" s="91">
        <v>43.7</v>
      </c>
      <c r="P30" s="92"/>
      <c r="Q30" s="92"/>
      <c r="R30" s="93">
        <f>SUM(O30:Q30)</f>
        <v>43.7</v>
      </c>
      <c r="S30" s="206">
        <v>4</v>
      </c>
      <c r="T30" s="81"/>
      <c r="U30" s="205">
        <v>36706</v>
      </c>
      <c r="V30" s="82" t="s">
        <v>961</v>
      </c>
      <c r="W30" s="206" t="s">
        <v>338</v>
      </c>
      <c r="X30" s="206" t="s">
        <v>11</v>
      </c>
      <c r="Y30" s="83">
        <v>43.7</v>
      </c>
      <c r="AD30" s="82"/>
      <c r="AG30" s="83"/>
      <c r="AL30" s="82"/>
      <c r="AO30" s="83"/>
      <c r="AP30" s="82"/>
      <c r="AS30" s="83"/>
      <c r="AW30" s="83"/>
      <c r="BA30" s="84"/>
    </row>
    <row r="31" spans="1:53" s="190" customFormat="1" x14ac:dyDescent="0.15">
      <c r="A31" s="190">
        <v>2000</v>
      </c>
      <c r="B31" s="216">
        <v>36754</v>
      </c>
      <c r="C31" s="811" t="s">
        <v>1173</v>
      </c>
      <c r="D31" s="811"/>
      <c r="E31" s="190">
        <v>138</v>
      </c>
      <c r="F31" s="217">
        <v>0</v>
      </c>
      <c r="G31" s="123">
        <v>15</v>
      </c>
      <c r="J31" s="134">
        <v>19</v>
      </c>
      <c r="K31" s="92">
        <f t="shared" si="3"/>
        <v>78.94736842105263</v>
      </c>
      <c r="L31" s="92">
        <f t="shared" si="4"/>
        <v>0</v>
      </c>
      <c r="M31" s="92">
        <f t="shared" si="5"/>
        <v>0</v>
      </c>
      <c r="N31" s="125">
        <f t="shared" si="2"/>
        <v>78.94736842105263</v>
      </c>
      <c r="O31" s="91">
        <v>43.7</v>
      </c>
      <c r="P31" s="92"/>
      <c r="Q31" s="92"/>
      <c r="R31" s="93">
        <f t="shared" si="1"/>
        <v>43.7</v>
      </c>
      <c r="S31" s="190">
        <v>4</v>
      </c>
      <c r="T31" s="81"/>
      <c r="U31" s="188"/>
      <c r="V31" s="82" t="s">
        <v>961</v>
      </c>
      <c r="W31" s="190" t="s">
        <v>338</v>
      </c>
      <c r="X31" s="190" t="s">
        <v>11</v>
      </c>
      <c r="Y31" s="83">
        <v>43.7</v>
      </c>
      <c r="AD31" s="82"/>
      <c r="AG31" s="83"/>
      <c r="AL31" s="82"/>
      <c r="AO31" s="83"/>
      <c r="AP31" s="82"/>
      <c r="AS31" s="83"/>
      <c r="AW31" s="83"/>
      <c r="BA31" s="84"/>
    </row>
    <row r="32" spans="1:53" s="190" customFormat="1" x14ac:dyDescent="0.15">
      <c r="A32" s="190">
        <v>2001</v>
      </c>
      <c r="B32" s="217"/>
      <c r="C32" s="811" t="s">
        <v>1173</v>
      </c>
      <c r="D32" s="811"/>
      <c r="E32" s="190">
        <v>58</v>
      </c>
      <c r="F32" s="217"/>
      <c r="G32" s="123">
        <v>15</v>
      </c>
      <c r="J32" s="134">
        <v>19</v>
      </c>
      <c r="K32" s="92">
        <f t="shared" si="3"/>
        <v>78.94736842105263</v>
      </c>
      <c r="L32" s="92">
        <f t="shared" si="4"/>
        <v>0</v>
      </c>
      <c r="M32" s="92">
        <f t="shared" si="5"/>
        <v>0</v>
      </c>
      <c r="N32" s="125">
        <f t="shared" si="2"/>
        <v>78.94736842105263</v>
      </c>
      <c r="O32" s="91">
        <v>43.7</v>
      </c>
      <c r="P32" s="92"/>
      <c r="Q32" s="92"/>
      <c r="R32" s="93">
        <f t="shared" si="1"/>
        <v>43.7</v>
      </c>
      <c r="S32" s="190">
        <v>4</v>
      </c>
      <c r="T32" s="81"/>
      <c r="V32" s="82" t="s">
        <v>961</v>
      </c>
      <c r="W32" s="190" t="s">
        <v>338</v>
      </c>
      <c r="X32" s="190" t="s">
        <v>11</v>
      </c>
      <c r="Y32" s="83">
        <v>43.7</v>
      </c>
      <c r="AD32" s="82"/>
      <c r="AG32" s="83"/>
      <c r="AL32" s="82"/>
      <c r="AO32" s="83"/>
      <c r="AP32" s="82"/>
      <c r="AS32" s="83"/>
      <c r="AW32" s="83"/>
      <c r="BA32" s="84"/>
    </row>
    <row r="33" spans="1:53" s="190" customFormat="1" x14ac:dyDescent="0.15">
      <c r="A33" s="190">
        <v>2001</v>
      </c>
      <c r="B33" s="216">
        <v>36950</v>
      </c>
      <c r="C33" s="811" t="s">
        <v>1173</v>
      </c>
      <c r="D33" s="811"/>
      <c r="E33" s="190">
        <v>127</v>
      </c>
      <c r="F33" s="217">
        <v>0</v>
      </c>
      <c r="G33" s="123">
        <v>14</v>
      </c>
      <c r="J33" s="134">
        <v>19</v>
      </c>
      <c r="K33" s="92">
        <f t="shared" si="3"/>
        <v>73.68421052631578</v>
      </c>
      <c r="L33" s="92">
        <f t="shared" si="4"/>
        <v>0</v>
      </c>
      <c r="M33" s="92">
        <f t="shared" si="5"/>
        <v>0</v>
      </c>
      <c r="N33" s="125">
        <f t="shared" si="2"/>
        <v>73.68421052631578</v>
      </c>
      <c r="O33" s="91">
        <v>43.7</v>
      </c>
      <c r="P33" s="92"/>
      <c r="Q33" s="92"/>
      <c r="R33" s="93">
        <f t="shared" si="1"/>
        <v>43.7</v>
      </c>
      <c r="S33" s="190">
        <v>4</v>
      </c>
      <c r="T33" s="81"/>
      <c r="V33" s="82" t="s">
        <v>961</v>
      </c>
      <c r="W33" s="190" t="s">
        <v>338</v>
      </c>
      <c r="X33" s="190" t="s">
        <v>11</v>
      </c>
      <c r="Y33" s="83">
        <v>43.7</v>
      </c>
      <c r="AD33" s="82"/>
      <c r="AG33" s="83"/>
      <c r="AL33" s="82"/>
      <c r="AO33" s="83"/>
      <c r="AP33" s="82"/>
      <c r="AS33" s="83"/>
      <c r="AW33" s="83"/>
      <c r="BA33" s="84"/>
    </row>
    <row r="34" spans="1:53" s="190" customFormat="1" x14ac:dyDescent="0.15">
      <c r="A34" s="190">
        <v>2001</v>
      </c>
      <c r="B34" s="216">
        <v>37077</v>
      </c>
      <c r="C34" s="811" t="s">
        <v>1173</v>
      </c>
      <c r="D34" s="811"/>
      <c r="E34" s="190">
        <v>106</v>
      </c>
      <c r="F34" s="217">
        <v>0</v>
      </c>
      <c r="G34" s="123">
        <v>15</v>
      </c>
      <c r="J34" s="134">
        <v>19</v>
      </c>
      <c r="K34" s="92">
        <f t="shared" si="3"/>
        <v>78.94736842105263</v>
      </c>
      <c r="L34" s="92">
        <f t="shared" si="4"/>
        <v>0</v>
      </c>
      <c r="M34" s="92">
        <f t="shared" si="5"/>
        <v>0</v>
      </c>
      <c r="N34" s="125">
        <f t="shared" si="2"/>
        <v>78.94736842105263</v>
      </c>
      <c r="O34" s="91">
        <v>43.7</v>
      </c>
      <c r="P34" s="92"/>
      <c r="Q34" s="92"/>
      <c r="R34" s="93">
        <f t="shared" si="1"/>
        <v>43.7</v>
      </c>
      <c r="S34" s="190">
        <v>4</v>
      </c>
      <c r="T34" s="81"/>
      <c r="V34" s="82" t="s">
        <v>961</v>
      </c>
      <c r="W34" s="190" t="s">
        <v>338</v>
      </c>
      <c r="X34" s="190" t="s">
        <v>11</v>
      </c>
      <c r="Y34" s="83">
        <v>43.7</v>
      </c>
      <c r="AD34" s="82"/>
      <c r="AG34" s="83"/>
      <c r="AL34" s="82"/>
      <c r="AO34" s="83"/>
      <c r="AP34" s="82"/>
      <c r="AS34" s="83"/>
      <c r="AW34" s="83"/>
      <c r="BA34" s="84"/>
    </row>
    <row r="35" spans="1:53" s="334" customFormat="1" x14ac:dyDescent="0.15">
      <c r="A35" s="334">
        <v>2001</v>
      </c>
      <c r="B35" s="355">
        <v>37183</v>
      </c>
      <c r="C35" s="812" t="s">
        <v>963</v>
      </c>
      <c r="D35" s="812"/>
      <c r="E35" s="334">
        <f xml:space="preserve"> 365-E34-E33-E32</f>
        <v>74</v>
      </c>
      <c r="F35" s="334">
        <v>1</v>
      </c>
      <c r="G35" s="419"/>
      <c r="I35" s="334">
        <v>13</v>
      </c>
      <c r="J35" s="435">
        <v>15</v>
      </c>
      <c r="K35" s="384">
        <f t="shared" si="3"/>
        <v>0</v>
      </c>
      <c r="L35" s="384">
        <f t="shared" si="4"/>
        <v>0</v>
      </c>
      <c r="M35" s="384">
        <f t="shared" si="5"/>
        <v>86.666666666666671</v>
      </c>
      <c r="N35" s="421">
        <f t="shared" si="2"/>
        <v>86.666666666666671</v>
      </c>
      <c r="O35" s="383"/>
      <c r="P35" s="384"/>
      <c r="Q35" s="384">
        <v>56.1</v>
      </c>
      <c r="R35" s="385">
        <f t="shared" si="1"/>
        <v>56.1</v>
      </c>
      <c r="S35" s="334">
        <v>3</v>
      </c>
      <c r="T35" s="342">
        <v>37143</v>
      </c>
      <c r="U35" s="355">
        <v>37183</v>
      </c>
      <c r="V35" s="343" t="s">
        <v>957</v>
      </c>
      <c r="W35" s="334" t="s">
        <v>97</v>
      </c>
      <c r="X35" s="334" t="s">
        <v>12</v>
      </c>
      <c r="Y35" s="344">
        <v>43.5</v>
      </c>
      <c r="Z35" s="334" t="s">
        <v>964</v>
      </c>
      <c r="AA35" s="334" t="s">
        <v>317</v>
      </c>
      <c r="AB35" s="334" t="s">
        <v>12</v>
      </c>
      <c r="AC35" s="334">
        <v>3.5</v>
      </c>
      <c r="AD35" s="343" t="s">
        <v>956</v>
      </c>
      <c r="AE35" s="334" t="s">
        <v>886</v>
      </c>
      <c r="AF35" s="334" t="s">
        <v>12</v>
      </c>
      <c r="AG35" s="344">
        <v>9.1</v>
      </c>
      <c r="AL35" s="343"/>
      <c r="AO35" s="344"/>
      <c r="AP35" s="343"/>
      <c r="AS35" s="344"/>
      <c r="AW35" s="344"/>
      <c r="BA35" s="345"/>
    </row>
    <row r="36" spans="1:53" s="334" customFormat="1" x14ac:dyDescent="0.15">
      <c r="A36" s="334">
        <v>2002</v>
      </c>
      <c r="C36" s="812" t="s">
        <v>963</v>
      </c>
      <c r="D36" s="812"/>
      <c r="E36" s="334">
        <v>0</v>
      </c>
      <c r="G36" s="419"/>
      <c r="I36" s="334">
        <v>13</v>
      </c>
      <c r="J36" s="435">
        <v>15</v>
      </c>
      <c r="K36" s="384">
        <f t="shared" si="3"/>
        <v>0</v>
      </c>
      <c r="L36" s="384">
        <f t="shared" si="4"/>
        <v>0</v>
      </c>
      <c r="M36" s="384">
        <f t="shared" si="5"/>
        <v>86.666666666666671</v>
      </c>
      <c r="N36" s="421">
        <f t="shared" si="2"/>
        <v>86.666666666666671</v>
      </c>
      <c r="O36" s="383"/>
      <c r="P36" s="384"/>
      <c r="Q36" s="384">
        <v>56.1</v>
      </c>
      <c r="R36" s="385">
        <f t="shared" si="1"/>
        <v>56.1</v>
      </c>
      <c r="S36" s="334">
        <v>3</v>
      </c>
      <c r="T36" s="357"/>
      <c r="V36" s="343" t="s">
        <v>957</v>
      </c>
      <c r="W36" s="334" t="s">
        <v>97</v>
      </c>
      <c r="X36" s="334" t="s">
        <v>12</v>
      </c>
      <c r="Y36" s="344">
        <v>43.5</v>
      </c>
      <c r="Z36" s="334" t="s">
        <v>964</v>
      </c>
      <c r="AA36" s="334" t="s">
        <v>317</v>
      </c>
      <c r="AB36" s="334" t="s">
        <v>12</v>
      </c>
      <c r="AC36" s="334">
        <v>3.5</v>
      </c>
      <c r="AD36" s="343" t="s">
        <v>956</v>
      </c>
      <c r="AE36" s="334" t="s">
        <v>886</v>
      </c>
      <c r="AF36" s="334" t="s">
        <v>12</v>
      </c>
      <c r="AG36" s="344">
        <v>9.1</v>
      </c>
      <c r="AL36" s="343"/>
      <c r="AO36" s="344"/>
      <c r="AP36" s="343"/>
      <c r="AS36" s="344"/>
      <c r="AW36" s="344"/>
      <c r="BA36" s="345"/>
    </row>
    <row r="37" spans="1:53" s="334" customFormat="1" x14ac:dyDescent="0.15">
      <c r="A37" s="334">
        <v>2002</v>
      </c>
      <c r="C37" s="812" t="s">
        <v>963</v>
      </c>
      <c r="D37" s="812"/>
      <c r="E37" s="334">
        <v>365</v>
      </c>
      <c r="G37" s="419"/>
      <c r="I37" s="334">
        <v>13</v>
      </c>
      <c r="J37" s="435">
        <v>15</v>
      </c>
      <c r="K37" s="384">
        <f t="shared" si="3"/>
        <v>0</v>
      </c>
      <c r="L37" s="384">
        <f t="shared" si="4"/>
        <v>0</v>
      </c>
      <c r="M37" s="384">
        <f t="shared" si="5"/>
        <v>86.666666666666671</v>
      </c>
      <c r="N37" s="421">
        <f t="shared" si="2"/>
        <v>86.666666666666671</v>
      </c>
      <c r="O37" s="383"/>
      <c r="P37" s="384"/>
      <c r="Q37" s="384">
        <v>56.1</v>
      </c>
      <c r="R37" s="385">
        <f t="shared" si="1"/>
        <v>56.1</v>
      </c>
      <c r="S37" s="334">
        <v>3</v>
      </c>
      <c r="T37" s="357"/>
      <c r="V37" s="343" t="s">
        <v>957</v>
      </c>
      <c r="W37" s="334" t="s">
        <v>97</v>
      </c>
      <c r="X37" s="334" t="s">
        <v>12</v>
      </c>
      <c r="Y37" s="344">
        <v>43.5</v>
      </c>
      <c r="Z37" s="334" t="s">
        <v>964</v>
      </c>
      <c r="AA37" s="334" t="s">
        <v>317</v>
      </c>
      <c r="AB37" s="334" t="s">
        <v>12</v>
      </c>
      <c r="AC37" s="334">
        <v>3.5</v>
      </c>
      <c r="AD37" s="343" t="s">
        <v>956</v>
      </c>
      <c r="AE37" s="334" t="s">
        <v>886</v>
      </c>
      <c r="AF37" s="334" t="s">
        <v>12</v>
      </c>
      <c r="AG37" s="344">
        <v>9.1</v>
      </c>
      <c r="AL37" s="343"/>
      <c r="AO37" s="344"/>
      <c r="AP37" s="343"/>
      <c r="AS37" s="344"/>
      <c r="AW37" s="344"/>
      <c r="BA37" s="345"/>
    </row>
    <row r="38" spans="1:53" s="334" customFormat="1" x14ac:dyDescent="0.15">
      <c r="A38" s="334">
        <v>2003</v>
      </c>
      <c r="C38" s="812" t="s">
        <v>963</v>
      </c>
      <c r="D38" s="812"/>
      <c r="E38" s="334">
        <v>6</v>
      </c>
      <c r="G38" s="419"/>
      <c r="I38" s="334">
        <v>13</v>
      </c>
      <c r="J38" s="435">
        <v>15</v>
      </c>
      <c r="K38" s="384">
        <f t="shared" si="3"/>
        <v>0</v>
      </c>
      <c r="L38" s="384">
        <f t="shared" si="4"/>
        <v>0</v>
      </c>
      <c r="M38" s="384">
        <f t="shared" si="5"/>
        <v>86.666666666666671</v>
      </c>
      <c r="N38" s="421">
        <f t="shared" si="2"/>
        <v>86.666666666666671</v>
      </c>
      <c r="O38" s="383"/>
      <c r="P38" s="384"/>
      <c r="Q38" s="384">
        <v>56.1</v>
      </c>
      <c r="R38" s="385">
        <f t="shared" si="1"/>
        <v>56.1</v>
      </c>
      <c r="S38" s="334">
        <v>3</v>
      </c>
      <c r="T38" s="357"/>
      <c r="V38" s="343" t="s">
        <v>957</v>
      </c>
      <c r="W38" s="334" t="s">
        <v>97</v>
      </c>
      <c r="X38" s="334" t="s">
        <v>12</v>
      </c>
      <c r="Y38" s="344">
        <v>43.5</v>
      </c>
      <c r="Z38" s="334" t="s">
        <v>964</v>
      </c>
      <c r="AA38" s="334" t="s">
        <v>317</v>
      </c>
      <c r="AB38" s="334" t="s">
        <v>12</v>
      </c>
      <c r="AC38" s="334">
        <v>3.5</v>
      </c>
      <c r="AD38" s="343" t="s">
        <v>956</v>
      </c>
      <c r="AE38" s="334" t="s">
        <v>886</v>
      </c>
      <c r="AF38" s="334" t="s">
        <v>12</v>
      </c>
      <c r="AG38" s="344">
        <v>9.1</v>
      </c>
      <c r="AL38" s="343"/>
      <c r="AO38" s="344"/>
      <c r="AP38" s="343"/>
      <c r="AS38" s="344"/>
      <c r="AW38" s="344"/>
      <c r="BA38" s="345"/>
    </row>
    <row r="39" spans="1:53" s="334" customFormat="1" x14ac:dyDescent="0.15">
      <c r="A39" s="334">
        <v>2003</v>
      </c>
      <c r="B39" s="450">
        <v>37628</v>
      </c>
      <c r="C39" s="812" t="s">
        <v>963</v>
      </c>
      <c r="D39" s="812"/>
      <c r="E39" s="334">
        <v>55</v>
      </c>
      <c r="F39" s="451">
        <v>0</v>
      </c>
      <c r="G39" s="419"/>
      <c r="I39" s="334">
        <v>13</v>
      </c>
      <c r="J39" s="435">
        <v>16</v>
      </c>
      <c r="K39" s="384">
        <f t="shared" si="3"/>
        <v>0</v>
      </c>
      <c r="L39" s="384">
        <f t="shared" si="4"/>
        <v>0</v>
      </c>
      <c r="M39" s="384">
        <f t="shared" si="5"/>
        <v>81.25</v>
      </c>
      <c r="N39" s="421">
        <f t="shared" si="2"/>
        <v>81.25</v>
      </c>
      <c r="O39" s="383"/>
      <c r="P39" s="384"/>
      <c r="Q39" s="384">
        <v>56.1</v>
      </c>
      <c r="R39" s="385">
        <f t="shared" si="1"/>
        <v>56.1</v>
      </c>
      <c r="S39" s="334">
        <v>3</v>
      </c>
      <c r="T39" s="357"/>
      <c r="V39" s="343" t="s">
        <v>957</v>
      </c>
      <c r="W39" s="334" t="s">
        <v>97</v>
      </c>
      <c r="X39" s="334" t="s">
        <v>12</v>
      </c>
      <c r="Y39" s="344">
        <v>43.5</v>
      </c>
      <c r="Z39" s="334" t="s">
        <v>964</v>
      </c>
      <c r="AA39" s="334" t="s">
        <v>317</v>
      </c>
      <c r="AB39" s="334" t="s">
        <v>12</v>
      </c>
      <c r="AC39" s="334">
        <v>3.5</v>
      </c>
      <c r="AD39" s="343" t="s">
        <v>956</v>
      </c>
      <c r="AE39" s="334" t="s">
        <v>886</v>
      </c>
      <c r="AF39" s="334" t="s">
        <v>12</v>
      </c>
      <c r="AG39" s="344">
        <v>9.1</v>
      </c>
      <c r="AL39" s="343"/>
      <c r="AO39" s="344"/>
      <c r="AP39" s="343"/>
      <c r="AS39" s="344"/>
      <c r="AW39" s="344"/>
      <c r="BA39" s="345"/>
    </row>
    <row r="40" spans="1:53" s="190" customFormat="1" x14ac:dyDescent="0.15">
      <c r="A40" s="190">
        <v>2003</v>
      </c>
      <c r="B40" s="188">
        <v>37683</v>
      </c>
      <c r="C40" s="811" t="s">
        <v>965</v>
      </c>
      <c r="D40" s="811"/>
      <c r="E40" s="190">
        <v>30</v>
      </c>
      <c r="F40" s="190">
        <v>4</v>
      </c>
      <c r="G40" s="123"/>
      <c r="I40" s="190">
        <v>12</v>
      </c>
      <c r="J40" s="134">
        <v>16</v>
      </c>
      <c r="K40" s="92">
        <f t="shared" si="3"/>
        <v>0</v>
      </c>
      <c r="L40" s="92">
        <f t="shared" si="4"/>
        <v>0</v>
      </c>
      <c r="M40" s="92">
        <f t="shared" si="5"/>
        <v>75</v>
      </c>
      <c r="N40" s="125">
        <f t="shared" si="2"/>
        <v>75</v>
      </c>
      <c r="O40" s="91"/>
      <c r="P40" s="92"/>
      <c r="Q40" s="92">
        <v>47</v>
      </c>
      <c r="R40" s="93">
        <f t="shared" si="1"/>
        <v>47</v>
      </c>
      <c r="S40" s="190">
        <v>5</v>
      </c>
      <c r="T40" s="81"/>
      <c r="U40" s="188">
        <v>37683</v>
      </c>
      <c r="V40" s="82" t="s">
        <v>957</v>
      </c>
      <c r="W40" s="190" t="s">
        <v>97</v>
      </c>
      <c r="X40" s="190" t="s">
        <v>12</v>
      </c>
      <c r="Y40" s="83">
        <v>43.5</v>
      </c>
      <c r="Z40" s="190" t="s">
        <v>964</v>
      </c>
      <c r="AA40" s="190" t="s">
        <v>317</v>
      </c>
      <c r="AB40" s="190" t="s">
        <v>12</v>
      </c>
      <c r="AC40" s="206">
        <v>3.5</v>
      </c>
      <c r="AD40" s="82"/>
      <c r="AG40" s="83"/>
      <c r="AL40" s="82"/>
      <c r="AO40" s="83"/>
      <c r="AP40" s="82"/>
      <c r="AS40" s="83"/>
      <c r="AW40" s="83"/>
      <c r="BA40" s="84"/>
    </row>
    <row r="41" spans="1:53" s="190" customFormat="1" x14ac:dyDescent="0.15">
      <c r="A41" s="190">
        <v>2003</v>
      </c>
      <c r="B41" s="216">
        <v>37713</v>
      </c>
      <c r="C41" s="811" t="s">
        <v>965</v>
      </c>
      <c r="D41" s="811"/>
      <c r="E41" s="190">
        <v>75</v>
      </c>
      <c r="F41" s="217">
        <v>0</v>
      </c>
      <c r="G41" s="123"/>
      <c r="I41" s="190">
        <v>11</v>
      </c>
      <c r="J41" s="134">
        <v>16</v>
      </c>
      <c r="K41" s="92">
        <f t="shared" si="3"/>
        <v>0</v>
      </c>
      <c r="L41" s="92">
        <f t="shared" si="4"/>
        <v>0</v>
      </c>
      <c r="M41" s="92">
        <f t="shared" si="5"/>
        <v>68.75</v>
      </c>
      <c r="N41" s="125">
        <f t="shared" si="2"/>
        <v>68.75</v>
      </c>
      <c r="O41" s="91"/>
      <c r="P41" s="92"/>
      <c r="Q41" s="92">
        <v>47</v>
      </c>
      <c r="R41" s="93">
        <f t="shared" si="1"/>
        <v>47</v>
      </c>
      <c r="S41" s="190">
        <v>5</v>
      </c>
      <c r="T41" s="81"/>
      <c r="U41" s="188"/>
      <c r="V41" s="82" t="s">
        <v>957</v>
      </c>
      <c r="W41" s="190" t="s">
        <v>97</v>
      </c>
      <c r="X41" s="190" t="s">
        <v>12</v>
      </c>
      <c r="Y41" s="83">
        <v>43.5</v>
      </c>
      <c r="Z41" s="190" t="s">
        <v>964</v>
      </c>
      <c r="AA41" s="190" t="s">
        <v>317</v>
      </c>
      <c r="AB41" s="190" t="s">
        <v>12</v>
      </c>
      <c r="AC41" s="206">
        <v>3.5</v>
      </c>
      <c r="AD41" s="82"/>
      <c r="AG41" s="83"/>
      <c r="AL41" s="82"/>
      <c r="AO41" s="83"/>
      <c r="AP41" s="82"/>
      <c r="AS41" s="83"/>
      <c r="AW41" s="83"/>
      <c r="BA41" s="84"/>
    </row>
    <row r="42" spans="1:53" s="208" customFormat="1" x14ac:dyDescent="0.15">
      <c r="A42" s="208">
        <v>2003</v>
      </c>
      <c r="B42" s="216">
        <v>37788</v>
      </c>
      <c r="C42" s="811" t="s">
        <v>965</v>
      </c>
      <c r="D42" s="811"/>
      <c r="E42" s="208">
        <v>16</v>
      </c>
      <c r="F42" s="217">
        <v>0</v>
      </c>
      <c r="G42" s="123"/>
      <c r="I42" s="208">
        <v>11</v>
      </c>
      <c r="J42" s="134">
        <v>17</v>
      </c>
      <c r="K42" s="92">
        <f>G42/J42*100</f>
        <v>0</v>
      </c>
      <c r="L42" s="92">
        <f>H42/J42*100</f>
        <v>0</v>
      </c>
      <c r="M42" s="92">
        <f>I42/J42*100</f>
        <v>64.705882352941174</v>
      </c>
      <c r="N42" s="125">
        <f>SUM(K42:M42)</f>
        <v>64.705882352941174</v>
      </c>
      <c r="O42" s="91"/>
      <c r="P42" s="92"/>
      <c r="Q42" s="92">
        <v>47</v>
      </c>
      <c r="R42" s="93">
        <f>SUM(O42:Q42)</f>
        <v>47</v>
      </c>
      <c r="S42" s="208">
        <v>5</v>
      </c>
      <c r="T42" s="81"/>
      <c r="U42" s="207"/>
      <c r="V42" s="82" t="s">
        <v>957</v>
      </c>
      <c r="W42" s="208" t="s">
        <v>97</v>
      </c>
      <c r="X42" s="208" t="s">
        <v>12</v>
      </c>
      <c r="Y42" s="83">
        <v>43.5</v>
      </c>
      <c r="Z42" s="208" t="s">
        <v>964</v>
      </c>
      <c r="AA42" s="208" t="s">
        <v>317</v>
      </c>
      <c r="AB42" s="208" t="s">
        <v>12</v>
      </c>
      <c r="AC42" s="208">
        <v>3.5</v>
      </c>
      <c r="AD42" s="82"/>
      <c r="AG42" s="83"/>
      <c r="AL42" s="82"/>
      <c r="AO42" s="83"/>
      <c r="AP42" s="82"/>
      <c r="AS42" s="83"/>
      <c r="AW42" s="83"/>
      <c r="BA42" s="84"/>
    </row>
    <row r="43" spans="1:53" s="190" customFormat="1" x14ac:dyDescent="0.15">
      <c r="A43" s="190">
        <v>2003</v>
      </c>
      <c r="B43" s="216">
        <v>37804</v>
      </c>
      <c r="C43" s="811" t="s">
        <v>965</v>
      </c>
      <c r="D43" s="811"/>
      <c r="E43" s="190">
        <v>14</v>
      </c>
      <c r="F43" s="217">
        <v>0</v>
      </c>
      <c r="G43" s="123"/>
      <c r="I43" s="190">
        <v>12</v>
      </c>
      <c r="J43" s="134">
        <v>17</v>
      </c>
      <c r="K43" s="92">
        <f t="shared" si="3"/>
        <v>0</v>
      </c>
      <c r="L43" s="92">
        <f t="shared" si="4"/>
        <v>0</v>
      </c>
      <c r="M43" s="92">
        <f t="shared" si="5"/>
        <v>70.588235294117652</v>
      </c>
      <c r="N43" s="125">
        <f t="shared" si="2"/>
        <v>70.588235294117652</v>
      </c>
      <c r="O43" s="91"/>
      <c r="P43" s="92"/>
      <c r="Q43" s="92">
        <v>47</v>
      </c>
      <c r="R43" s="93">
        <f t="shared" si="1"/>
        <v>47</v>
      </c>
      <c r="S43" s="190">
        <v>5</v>
      </c>
      <c r="T43" s="81"/>
      <c r="U43" s="188"/>
      <c r="V43" s="82" t="s">
        <v>957</v>
      </c>
      <c r="W43" s="190" t="s">
        <v>97</v>
      </c>
      <c r="X43" s="190" t="s">
        <v>12</v>
      </c>
      <c r="Y43" s="83">
        <v>43.5</v>
      </c>
      <c r="Z43" s="190" t="s">
        <v>964</v>
      </c>
      <c r="AA43" s="190" t="s">
        <v>317</v>
      </c>
      <c r="AB43" s="190" t="s">
        <v>12</v>
      </c>
      <c r="AC43" s="206">
        <v>3.5</v>
      </c>
      <c r="AD43" s="82"/>
      <c r="AG43" s="83"/>
      <c r="AL43" s="82"/>
      <c r="AO43" s="83"/>
      <c r="AP43" s="82"/>
      <c r="AS43" s="83"/>
      <c r="AW43" s="83"/>
      <c r="BA43" s="84"/>
    </row>
    <row r="44" spans="1:53" s="190" customFormat="1" x14ac:dyDescent="0.15">
      <c r="A44" s="190">
        <v>2003</v>
      </c>
      <c r="B44" s="216">
        <v>37818</v>
      </c>
      <c r="C44" s="811" t="s">
        <v>965</v>
      </c>
      <c r="D44" s="811"/>
      <c r="E44" s="190">
        <v>169</v>
      </c>
      <c r="F44" s="217">
        <v>0</v>
      </c>
      <c r="G44" s="123"/>
      <c r="I44" s="190">
        <v>11</v>
      </c>
      <c r="J44" s="134">
        <v>17</v>
      </c>
      <c r="K44" s="92">
        <f t="shared" si="3"/>
        <v>0</v>
      </c>
      <c r="L44" s="92">
        <f t="shared" si="4"/>
        <v>0</v>
      </c>
      <c r="M44" s="92">
        <f t="shared" si="5"/>
        <v>64.705882352941174</v>
      </c>
      <c r="N44" s="125">
        <f t="shared" si="2"/>
        <v>64.705882352941174</v>
      </c>
      <c r="O44" s="91"/>
      <c r="P44" s="92"/>
      <c r="Q44" s="92">
        <v>47</v>
      </c>
      <c r="R44" s="93">
        <f t="shared" si="1"/>
        <v>47</v>
      </c>
      <c r="S44" s="190">
        <v>5</v>
      </c>
      <c r="T44" s="81"/>
      <c r="U44" s="188"/>
      <c r="V44" s="82" t="s">
        <v>957</v>
      </c>
      <c r="W44" s="190" t="s">
        <v>97</v>
      </c>
      <c r="X44" s="190" t="s">
        <v>12</v>
      </c>
      <c r="Y44" s="83">
        <v>43.5</v>
      </c>
      <c r="Z44" s="190" t="s">
        <v>964</v>
      </c>
      <c r="AA44" s="190" t="s">
        <v>317</v>
      </c>
      <c r="AB44" s="190" t="s">
        <v>12</v>
      </c>
      <c r="AC44" s="206">
        <v>3.5</v>
      </c>
      <c r="AD44" s="82"/>
      <c r="AG44" s="83"/>
      <c r="AL44" s="82"/>
      <c r="AO44" s="83"/>
      <c r="AP44" s="82"/>
      <c r="AS44" s="83"/>
      <c r="AW44" s="83"/>
      <c r="BA44" s="84"/>
    </row>
    <row r="45" spans="1:53" s="190" customFormat="1" x14ac:dyDescent="0.15">
      <c r="A45" s="190">
        <v>2004</v>
      </c>
      <c r="B45" s="217"/>
      <c r="C45" s="811" t="s">
        <v>965</v>
      </c>
      <c r="D45" s="811"/>
      <c r="E45" s="190">
        <v>27</v>
      </c>
      <c r="F45" s="217"/>
      <c r="G45" s="123"/>
      <c r="I45" s="190">
        <v>11</v>
      </c>
      <c r="J45" s="134">
        <v>17</v>
      </c>
      <c r="K45" s="92">
        <f t="shared" si="3"/>
        <v>0</v>
      </c>
      <c r="L45" s="92">
        <f t="shared" si="4"/>
        <v>0</v>
      </c>
      <c r="M45" s="92">
        <f t="shared" si="5"/>
        <v>64.705882352941174</v>
      </c>
      <c r="N45" s="125">
        <f t="shared" si="2"/>
        <v>64.705882352941174</v>
      </c>
      <c r="O45" s="91"/>
      <c r="P45" s="92"/>
      <c r="Q45" s="92">
        <v>47</v>
      </c>
      <c r="R45" s="93">
        <f t="shared" si="1"/>
        <v>47</v>
      </c>
      <c r="S45" s="190">
        <v>5</v>
      </c>
      <c r="T45" s="81"/>
      <c r="V45" s="82" t="s">
        <v>957</v>
      </c>
      <c r="W45" s="190" t="s">
        <v>97</v>
      </c>
      <c r="X45" s="190" t="s">
        <v>12</v>
      </c>
      <c r="Y45" s="83">
        <v>43.5</v>
      </c>
      <c r="Z45" s="190" t="s">
        <v>964</v>
      </c>
      <c r="AA45" s="190" t="s">
        <v>317</v>
      </c>
      <c r="AB45" s="190" t="s">
        <v>12</v>
      </c>
      <c r="AC45" s="206">
        <v>3.5</v>
      </c>
      <c r="AD45" s="82"/>
      <c r="AG45" s="83"/>
      <c r="AL45" s="82"/>
      <c r="AO45" s="83"/>
      <c r="AP45" s="82"/>
      <c r="AS45" s="83"/>
      <c r="AW45" s="83"/>
      <c r="BA45" s="84"/>
    </row>
    <row r="46" spans="1:53" s="190" customFormat="1" x14ac:dyDescent="0.15">
      <c r="A46" s="190">
        <v>2004</v>
      </c>
      <c r="B46" s="216">
        <v>38014</v>
      </c>
      <c r="C46" s="811" t="s">
        <v>965</v>
      </c>
      <c r="D46" s="811"/>
      <c r="E46" s="190">
        <v>95</v>
      </c>
      <c r="F46" s="217">
        <v>0</v>
      </c>
      <c r="G46" s="123"/>
      <c r="I46" s="190">
        <v>10</v>
      </c>
      <c r="J46" s="134">
        <v>17</v>
      </c>
      <c r="K46" s="92">
        <f t="shared" si="3"/>
        <v>0</v>
      </c>
      <c r="L46" s="92">
        <f t="shared" si="4"/>
        <v>0</v>
      </c>
      <c r="M46" s="92">
        <f t="shared" si="5"/>
        <v>58.82352941176471</v>
      </c>
      <c r="N46" s="125">
        <f t="shared" si="2"/>
        <v>58.82352941176471</v>
      </c>
      <c r="O46" s="91"/>
      <c r="P46" s="92"/>
      <c r="Q46" s="92">
        <v>47</v>
      </c>
      <c r="R46" s="93">
        <f t="shared" si="1"/>
        <v>47</v>
      </c>
      <c r="S46" s="190">
        <v>5</v>
      </c>
      <c r="T46" s="81"/>
      <c r="V46" s="82" t="s">
        <v>957</v>
      </c>
      <c r="W46" s="190" t="s">
        <v>97</v>
      </c>
      <c r="X46" s="190" t="s">
        <v>12</v>
      </c>
      <c r="Y46" s="83">
        <v>43.5</v>
      </c>
      <c r="Z46" s="190" t="s">
        <v>964</v>
      </c>
      <c r="AA46" s="190" t="s">
        <v>317</v>
      </c>
      <c r="AB46" s="190" t="s">
        <v>12</v>
      </c>
      <c r="AC46" s="190">
        <v>3.5</v>
      </c>
      <c r="AD46" s="82"/>
      <c r="AG46" s="83"/>
      <c r="AL46" s="82"/>
      <c r="AO46" s="83"/>
      <c r="AP46" s="82"/>
      <c r="AS46" s="83"/>
      <c r="AW46" s="83"/>
      <c r="BA46" s="84"/>
    </row>
    <row r="47" spans="1:53" s="334" customFormat="1" x14ac:dyDescent="0.15">
      <c r="A47" s="334">
        <v>2004</v>
      </c>
      <c r="B47" s="355">
        <v>38109</v>
      </c>
      <c r="C47" s="812" t="s">
        <v>966</v>
      </c>
      <c r="D47" s="812"/>
      <c r="E47" s="334">
        <v>40</v>
      </c>
      <c r="F47" s="334">
        <v>2</v>
      </c>
      <c r="G47" s="419"/>
      <c r="I47" s="334">
        <v>10</v>
      </c>
      <c r="J47" s="435">
        <v>18</v>
      </c>
      <c r="K47" s="384">
        <f t="shared" si="3"/>
        <v>0</v>
      </c>
      <c r="L47" s="384">
        <f t="shared" si="4"/>
        <v>0</v>
      </c>
      <c r="M47" s="384">
        <f t="shared" si="5"/>
        <v>55.555555555555557</v>
      </c>
      <c r="N47" s="421">
        <f t="shared" si="2"/>
        <v>55.555555555555557</v>
      </c>
      <c r="O47" s="383"/>
      <c r="P47" s="384"/>
      <c r="Q47" s="384">
        <v>56.1</v>
      </c>
      <c r="R47" s="385">
        <f t="shared" si="1"/>
        <v>56.1</v>
      </c>
      <c r="S47" s="334">
        <v>3</v>
      </c>
      <c r="T47" s="357"/>
      <c r="U47" s="355">
        <v>38109</v>
      </c>
      <c r="V47" s="343" t="s">
        <v>957</v>
      </c>
      <c r="W47" s="334" t="s">
        <v>97</v>
      </c>
      <c r="X47" s="334" t="s">
        <v>12</v>
      </c>
      <c r="Y47" s="344">
        <v>43.5</v>
      </c>
      <c r="Z47" s="334" t="s">
        <v>964</v>
      </c>
      <c r="AA47" s="334" t="s">
        <v>317</v>
      </c>
      <c r="AB47" s="334" t="s">
        <v>12</v>
      </c>
      <c r="AC47" s="334">
        <v>3.5</v>
      </c>
      <c r="AD47" s="343" t="s">
        <v>956</v>
      </c>
      <c r="AE47" s="334" t="s">
        <v>886</v>
      </c>
      <c r="AF47" s="334" t="s">
        <v>12</v>
      </c>
      <c r="AG47" s="344">
        <v>9.1</v>
      </c>
      <c r="AL47" s="343"/>
      <c r="AO47" s="344"/>
      <c r="AP47" s="343"/>
      <c r="AS47" s="344"/>
      <c r="AW47" s="344"/>
      <c r="BA47" s="345"/>
    </row>
    <row r="48" spans="1:53" s="208" customFormat="1" x14ac:dyDescent="0.15">
      <c r="A48" s="208">
        <v>2004</v>
      </c>
      <c r="B48" s="207">
        <v>38149</v>
      </c>
      <c r="C48" s="811" t="s">
        <v>967</v>
      </c>
      <c r="D48" s="811"/>
      <c r="E48" s="208">
        <v>34</v>
      </c>
      <c r="F48" s="208">
        <v>4</v>
      </c>
      <c r="G48" s="123"/>
      <c r="I48" s="208">
        <v>9</v>
      </c>
      <c r="J48" s="134">
        <v>18</v>
      </c>
      <c r="K48" s="92">
        <f t="shared" si="3"/>
        <v>0</v>
      </c>
      <c r="L48" s="92">
        <f t="shared" si="4"/>
        <v>0</v>
      </c>
      <c r="M48" s="92">
        <f t="shared" si="5"/>
        <v>50</v>
      </c>
      <c r="N48" s="125">
        <f t="shared" si="2"/>
        <v>50</v>
      </c>
      <c r="O48" s="91"/>
      <c r="P48" s="92"/>
      <c r="Q48" s="92">
        <v>47</v>
      </c>
      <c r="R48" s="93">
        <f t="shared" si="1"/>
        <v>47</v>
      </c>
      <c r="S48" s="208">
        <v>5</v>
      </c>
      <c r="T48" s="81"/>
      <c r="U48" s="207"/>
      <c r="V48" s="82" t="s">
        <v>957</v>
      </c>
      <c r="W48" s="208" t="s">
        <v>97</v>
      </c>
      <c r="X48" s="208" t="s">
        <v>12</v>
      </c>
      <c r="Y48" s="83">
        <v>43.5</v>
      </c>
      <c r="Z48" s="208" t="s">
        <v>964</v>
      </c>
      <c r="AA48" s="208" t="s">
        <v>317</v>
      </c>
      <c r="AB48" s="208" t="s">
        <v>12</v>
      </c>
      <c r="AC48" s="208">
        <v>3.5</v>
      </c>
      <c r="AD48" s="82"/>
      <c r="AG48" s="83"/>
      <c r="AL48" s="82"/>
      <c r="AO48" s="83"/>
      <c r="AP48" s="82"/>
      <c r="AS48" s="83"/>
      <c r="AW48" s="83"/>
      <c r="BA48" s="84"/>
    </row>
    <row r="49" spans="1:53" s="208" customFormat="1" x14ac:dyDescent="0.15">
      <c r="A49" s="208">
        <v>2004</v>
      </c>
      <c r="B49" s="216">
        <v>38183</v>
      </c>
      <c r="C49" s="811" t="s">
        <v>967</v>
      </c>
      <c r="D49" s="811"/>
      <c r="E49" s="208">
        <v>132</v>
      </c>
      <c r="F49" s="217">
        <v>0</v>
      </c>
      <c r="G49" s="123"/>
      <c r="I49" s="208">
        <v>10</v>
      </c>
      <c r="J49" s="134">
        <v>18</v>
      </c>
      <c r="K49" s="92">
        <f t="shared" si="3"/>
        <v>0</v>
      </c>
      <c r="L49" s="92">
        <f t="shared" si="4"/>
        <v>0</v>
      </c>
      <c r="M49" s="92">
        <f t="shared" si="5"/>
        <v>55.555555555555557</v>
      </c>
      <c r="N49" s="125">
        <f t="shared" si="2"/>
        <v>55.555555555555557</v>
      </c>
      <c r="O49" s="91"/>
      <c r="P49" s="92"/>
      <c r="Q49" s="92">
        <v>47</v>
      </c>
      <c r="R49" s="93">
        <f>SUM(O49:Q49)</f>
        <v>47</v>
      </c>
      <c r="S49" s="208">
        <v>5</v>
      </c>
      <c r="T49" s="81"/>
      <c r="U49" s="149">
        <v>38183</v>
      </c>
      <c r="V49" s="82" t="s">
        <v>957</v>
      </c>
      <c r="W49" s="208" t="s">
        <v>97</v>
      </c>
      <c r="X49" s="208" t="s">
        <v>12</v>
      </c>
      <c r="Y49" s="83">
        <v>43.5</v>
      </c>
      <c r="Z49" s="208" t="s">
        <v>964</v>
      </c>
      <c r="AA49" s="208" t="s">
        <v>317</v>
      </c>
      <c r="AB49" s="208" t="s">
        <v>12</v>
      </c>
      <c r="AC49" s="208">
        <v>3.5</v>
      </c>
      <c r="AD49" s="82" t="s">
        <v>968</v>
      </c>
      <c r="AE49" s="208" t="s">
        <v>1050</v>
      </c>
      <c r="AF49" s="208" t="s">
        <v>12</v>
      </c>
      <c r="AG49" s="83">
        <v>0</v>
      </c>
      <c r="AL49" s="82"/>
      <c r="AO49" s="83"/>
      <c r="AP49" s="82"/>
      <c r="AS49" s="83"/>
      <c r="AW49" s="83"/>
      <c r="BA49" s="84"/>
    </row>
    <row r="50" spans="1:53" s="208" customFormat="1" x14ac:dyDescent="0.15">
      <c r="A50" s="208">
        <v>2004</v>
      </c>
      <c r="B50" s="216">
        <v>38315</v>
      </c>
      <c r="C50" s="811" t="s">
        <v>967</v>
      </c>
      <c r="D50" s="811"/>
      <c r="E50" s="208">
        <v>38</v>
      </c>
      <c r="F50" s="217">
        <v>0</v>
      </c>
      <c r="G50" s="123"/>
      <c r="I50" s="208">
        <v>9</v>
      </c>
      <c r="J50" s="134">
        <v>17</v>
      </c>
      <c r="K50" s="92">
        <f t="shared" si="3"/>
        <v>0</v>
      </c>
      <c r="L50" s="92">
        <f t="shared" si="4"/>
        <v>0</v>
      </c>
      <c r="M50" s="92">
        <f t="shared" si="5"/>
        <v>52.941176470588239</v>
      </c>
      <c r="N50" s="125">
        <f t="shared" si="2"/>
        <v>52.941176470588239</v>
      </c>
      <c r="O50" s="91"/>
      <c r="P50" s="92"/>
      <c r="Q50" s="92">
        <v>47</v>
      </c>
      <c r="R50" s="93">
        <f>SUM(O50:Q50)</f>
        <v>47</v>
      </c>
      <c r="S50" s="208">
        <v>5</v>
      </c>
      <c r="T50" s="81"/>
      <c r="U50" s="207"/>
      <c r="V50" s="82" t="s">
        <v>957</v>
      </c>
      <c r="W50" s="208" t="s">
        <v>97</v>
      </c>
      <c r="X50" s="208" t="s">
        <v>12</v>
      </c>
      <c r="Y50" s="83">
        <v>43.5</v>
      </c>
      <c r="Z50" s="208" t="s">
        <v>964</v>
      </c>
      <c r="AA50" s="208" t="s">
        <v>317</v>
      </c>
      <c r="AB50" s="208" t="s">
        <v>12</v>
      </c>
      <c r="AC50" s="208">
        <v>3.5</v>
      </c>
      <c r="AD50" s="82" t="s">
        <v>968</v>
      </c>
      <c r="AE50" s="208" t="s">
        <v>1050</v>
      </c>
      <c r="AF50" s="208" t="s">
        <v>12</v>
      </c>
      <c r="AG50" s="83">
        <v>0</v>
      </c>
      <c r="AL50" s="82"/>
      <c r="AO50" s="83"/>
      <c r="AP50" s="82"/>
      <c r="AS50" s="83"/>
      <c r="AW50" s="83"/>
      <c r="BA50" s="84"/>
    </row>
    <row r="51" spans="1:53" s="208" customFormat="1" x14ac:dyDescent="0.15">
      <c r="A51" s="208">
        <v>2005</v>
      </c>
      <c r="B51" s="218"/>
      <c r="C51" s="811" t="s">
        <v>967</v>
      </c>
      <c r="D51" s="811"/>
      <c r="E51" s="208">
        <v>4</v>
      </c>
      <c r="F51" s="217"/>
      <c r="G51" s="123"/>
      <c r="I51" s="208">
        <v>9</v>
      </c>
      <c r="J51" s="134">
        <v>17</v>
      </c>
      <c r="K51" s="92">
        <f t="shared" si="3"/>
        <v>0</v>
      </c>
      <c r="L51" s="92">
        <f t="shared" si="4"/>
        <v>0</v>
      </c>
      <c r="M51" s="92">
        <f t="shared" si="5"/>
        <v>52.941176470588239</v>
      </c>
      <c r="N51" s="125">
        <f t="shared" si="2"/>
        <v>52.941176470588239</v>
      </c>
      <c r="O51" s="91"/>
      <c r="P51" s="92"/>
      <c r="Q51" s="92">
        <v>47</v>
      </c>
      <c r="R51" s="93">
        <f>SUM(O51:Q51)</f>
        <v>47</v>
      </c>
      <c r="S51" s="208">
        <v>5</v>
      </c>
      <c r="T51" s="81"/>
      <c r="V51" s="82" t="s">
        <v>957</v>
      </c>
      <c r="W51" s="208" t="s">
        <v>97</v>
      </c>
      <c r="X51" s="208" t="s">
        <v>12</v>
      </c>
      <c r="Y51" s="83">
        <v>43.5</v>
      </c>
      <c r="Z51" s="208" t="s">
        <v>964</v>
      </c>
      <c r="AA51" s="208" t="s">
        <v>317</v>
      </c>
      <c r="AB51" s="208" t="s">
        <v>12</v>
      </c>
      <c r="AC51" s="208">
        <v>3.5</v>
      </c>
      <c r="AD51" s="82" t="s">
        <v>968</v>
      </c>
      <c r="AE51" s="208" t="s">
        <v>1050</v>
      </c>
      <c r="AF51" s="208" t="s">
        <v>12</v>
      </c>
      <c r="AG51" s="83">
        <v>0</v>
      </c>
      <c r="AL51" s="82"/>
      <c r="AO51" s="83"/>
      <c r="AP51" s="82"/>
      <c r="AS51" s="83"/>
      <c r="AW51" s="83"/>
      <c r="BA51" s="84"/>
    </row>
    <row r="52" spans="1:53" s="208" customFormat="1" x14ac:dyDescent="0.15">
      <c r="A52" s="208">
        <v>2005</v>
      </c>
      <c r="B52" s="216">
        <v>38357</v>
      </c>
      <c r="C52" s="811" t="s">
        <v>967</v>
      </c>
      <c r="D52" s="811"/>
      <c r="E52" s="208">
        <v>309</v>
      </c>
      <c r="F52" s="217">
        <v>0</v>
      </c>
      <c r="G52" s="123"/>
      <c r="I52" s="208">
        <v>8</v>
      </c>
      <c r="J52" s="134">
        <v>17</v>
      </c>
      <c r="K52" s="92">
        <f t="shared" si="3"/>
        <v>0</v>
      </c>
      <c r="L52" s="92">
        <f t="shared" si="4"/>
        <v>0</v>
      </c>
      <c r="M52" s="92">
        <f t="shared" si="5"/>
        <v>47.058823529411761</v>
      </c>
      <c r="N52" s="125">
        <f t="shared" si="2"/>
        <v>47.058823529411761</v>
      </c>
      <c r="O52" s="91"/>
      <c r="P52" s="92"/>
      <c r="Q52" s="92">
        <v>47</v>
      </c>
      <c r="R52" s="93">
        <f>SUM(O52:Q52)</f>
        <v>47</v>
      </c>
      <c r="S52" s="208">
        <v>5</v>
      </c>
      <c r="T52" s="81"/>
      <c r="V52" s="82" t="s">
        <v>957</v>
      </c>
      <c r="W52" s="208" t="s">
        <v>97</v>
      </c>
      <c r="X52" s="208" t="s">
        <v>12</v>
      </c>
      <c r="Y52" s="83">
        <v>43.5</v>
      </c>
      <c r="Z52" s="208" t="s">
        <v>964</v>
      </c>
      <c r="AA52" s="208" t="s">
        <v>317</v>
      </c>
      <c r="AB52" s="208" t="s">
        <v>12</v>
      </c>
      <c r="AC52" s="208">
        <v>3.5</v>
      </c>
      <c r="AD52" s="82" t="s">
        <v>968</v>
      </c>
      <c r="AE52" s="208" t="s">
        <v>1050</v>
      </c>
      <c r="AF52" s="208" t="s">
        <v>12</v>
      </c>
      <c r="AG52" s="83">
        <v>0</v>
      </c>
      <c r="AL52" s="82"/>
      <c r="AO52" s="83"/>
      <c r="AP52" s="82"/>
      <c r="AS52" s="83"/>
      <c r="AW52" s="83"/>
      <c r="BA52" s="84"/>
    </row>
    <row r="53" spans="1:53" s="334" customFormat="1" x14ac:dyDescent="0.15">
      <c r="A53" s="334">
        <v>2005</v>
      </c>
      <c r="B53" s="335">
        <v>38666</v>
      </c>
      <c r="C53" s="812" t="s">
        <v>970</v>
      </c>
      <c r="D53" s="812"/>
      <c r="E53" s="334">
        <f xml:space="preserve"> 365-E52-E51</f>
        <v>52</v>
      </c>
      <c r="F53" s="334">
        <v>1</v>
      </c>
      <c r="G53" s="419">
        <v>11</v>
      </c>
      <c r="J53" s="435">
        <v>18</v>
      </c>
      <c r="K53" s="384">
        <f t="shared" si="3"/>
        <v>61.111111111111114</v>
      </c>
      <c r="L53" s="384">
        <f t="shared" si="4"/>
        <v>0</v>
      </c>
      <c r="M53" s="384">
        <f t="shared" si="5"/>
        <v>0</v>
      </c>
      <c r="N53" s="421">
        <f t="shared" si="2"/>
        <v>61.111111111111114</v>
      </c>
      <c r="O53" s="383">
        <v>33.700000000000003</v>
      </c>
      <c r="P53" s="384"/>
      <c r="Q53" s="384"/>
      <c r="R53" s="385">
        <f t="shared" si="1"/>
        <v>33.700000000000003</v>
      </c>
      <c r="S53" s="334">
        <v>4</v>
      </c>
      <c r="T53" s="342">
        <v>38620</v>
      </c>
      <c r="U53" s="335">
        <v>38666</v>
      </c>
      <c r="V53" s="343" t="s">
        <v>969</v>
      </c>
      <c r="W53" s="334" t="s">
        <v>77</v>
      </c>
      <c r="X53" s="334" t="s">
        <v>11</v>
      </c>
      <c r="Y53" s="344">
        <v>33.700000000000003</v>
      </c>
      <c r="AD53" s="343"/>
      <c r="AG53" s="344"/>
      <c r="AL53" s="343"/>
      <c r="AO53" s="344"/>
      <c r="AP53" s="343"/>
      <c r="AS53" s="344"/>
      <c r="AW53" s="344"/>
      <c r="BA53" s="345"/>
    </row>
    <row r="54" spans="1:53" s="334" customFormat="1" x14ac:dyDescent="0.15">
      <c r="A54" s="334">
        <v>2006</v>
      </c>
      <c r="B54" s="358"/>
      <c r="C54" s="812" t="s">
        <v>970</v>
      </c>
      <c r="D54" s="812"/>
      <c r="E54" s="334">
        <v>45</v>
      </c>
      <c r="G54" s="419">
        <v>11</v>
      </c>
      <c r="J54" s="435">
        <v>18</v>
      </c>
      <c r="K54" s="384">
        <f t="shared" si="3"/>
        <v>61.111111111111114</v>
      </c>
      <c r="L54" s="384">
        <f t="shared" si="4"/>
        <v>0</v>
      </c>
      <c r="M54" s="384">
        <f t="shared" si="5"/>
        <v>0</v>
      </c>
      <c r="N54" s="421">
        <f t="shared" si="2"/>
        <v>61.111111111111114</v>
      </c>
      <c r="O54" s="383">
        <v>33.700000000000003</v>
      </c>
      <c r="P54" s="384"/>
      <c r="Q54" s="384"/>
      <c r="R54" s="385">
        <f t="shared" si="1"/>
        <v>33.700000000000003</v>
      </c>
      <c r="S54" s="334">
        <v>4</v>
      </c>
      <c r="T54" s="357"/>
      <c r="V54" s="343" t="s">
        <v>969</v>
      </c>
      <c r="W54" s="334" t="s">
        <v>77</v>
      </c>
      <c r="X54" s="334" t="s">
        <v>11</v>
      </c>
      <c r="Y54" s="344">
        <v>33.700000000000003</v>
      </c>
      <c r="AD54" s="343"/>
      <c r="AG54" s="344"/>
      <c r="AL54" s="343"/>
      <c r="AO54" s="344"/>
      <c r="AP54" s="343"/>
      <c r="AS54" s="344"/>
      <c r="AW54" s="344"/>
      <c r="BA54" s="345"/>
    </row>
    <row r="55" spans="1:53" s="334" customFormat="1" x14ac:dyDescent="0.15">
      <c r="A55" s="334">
        <v>2006</v>
      </c>
      <c r="B55" s="465">
        <v>38763</v>
      </c>
      <c r="C55" s="812" t="s">
        <v>970</v>
      </c>
      <c r="D55" s="812"/>
      <c r="E55" s="334">
        <v>79</v>
      </c>
      <c r="F55" s="451">
        <v>0</v>
      </c>
      <c r="G55" s="419">
        <v>12</v>
      </c>
      <c r="J55" s="435">
        <v>18</v>
      </c>
      <c r="K55" s="384">
        <f t="shared" si="3"/>
        <v>66.666666666666657</v>
      </c>
      <c r="L55" s="384">
        <f t="shared" si="4"/>
        <v>0</v>
      </c>
      <c r="M55" s="384">
        <f t="shared" si="5"/>
        <v>0</v>
      </c>
      <c r="N55" s="421">
        <f t="shared" si="2"/>
        <v>66.666666666666657</v>
      </c>
      <c r="O55" s="383">
        <v>33.700000000000003</v>
      </c>
      <c r="P55" s="384"/>
      <c r="Q55" s="384"/>
      <c r="R55" s="385">
        <f t="shared" si="1"/>
        <v>33.700000000000003</v>
      </c>
      <c r="S55" s="334">
        <v>4</v>
      </c>
      <c r="T55" s="357"/>
      <c r="V55" s="343" t="s">
        <v>969</v>
      </c>
      <c r="W55" s="334" t="s">
        <v>77</v>
      </c>
      <c r="X55" s="334" t="s">
        <v>11</v>
      </c>
      <c r="Y55" s="344">
        <v>33.700000000000003</v>
      </c>
      <c r="AD55" s="343"/>
      <c r="AG55" s="344"/>
      <c r="AL55" s="343"/>
      <c r="AO55" s="344"/>
      <c r="AP55" s="343"/>
      <c r="AS55" s="344"/>
      <c r="AW55" s="344"/>
      <c r="BA55" s="345"/>
    </row>
    <row r="56" spans="1:53" s="208" customFormat="1" x14ac:dyDescent="0.15">
      <c r="A56" s="208">
        <v>2006</v>
      </c>
      <c r="B56" s="133">
        <v>38842</v>
      </c>
      <c r="C56" s="811" t="s">
        <v>971</v>
      </c>
      <c r="D56" s="811"/>
      <c r="E56" s="208">
        <v>70</v>
      </c>
      <c r="F56" s="208">
        <v>7</v>
      </c>
      <c r="G56" s="123">
        <v>12</v>
      </c>
      <c r="I56" s="208">
        <v>3</v>
      </c>
      <c r="J56" s="134">
        <v>21</v>
      </c>
      <c r="K56" s="92">
        <f t="shared" si="3"/>
        <v>57.142857142857139</v>
      </c>
      <c r="L56" s="92">
        <f t="shared" si="4"/>
        <v>0</v>
      </c>
      <c r="M56" s="92">
        <f t="shared" si="5"/>
        <v>14.285714285714285</v>
      </c>
      <c r="N56" s="125">
        <f t="shared" si="2"/>
        <v>71.428571428571416</v>
      </c>
      <c r="O56" s="91">
        <v>41.1</v>
      </c>
      <c r="P56" s="92"/>
      <c r="Q56" s="92">
        <v>12.2</v>
      </c>
      <c r="R56" s="93">
        <f t="shared" si="1"/>
        <v>53.3</v>
      </c>
      <c r="S56" s="208">
        <v>2</v>
      </c>
      <c r="T56" s="81"/>
      <c r="U56" s="133">
        <v>38842</v>
      </c>
      <c r="V56" s="82" t="s">
        <v>969</v>
      </c>
      <c r="W56" s="208" t="s">
        <v>77</v>
      </c>
      <c r="X56" s="208" t="s">
        <v>11</v>
      </c>
      <c r="Y56" s="83">
        <v>33.700000000000003</v>
      </c>
      <c r="Z56" s="208" t="s">
        <v>972</v>
      </c>
      <c r="AA56" s="208" t="s">
        <v>973</v>
      </c>
      <c r="AB56" s="208" t="s">
        <v>12</v>
      </c>
      <c r="AC56" s="208">
        <v>12.2</v>
      </c>
      <c r="AD56" s="82" t="s">
        <v>974</v>
      </c>
      <c r="AE56" s="208" t="s">
        <v>339</v>
      </c>
      <c r="AF56" s="208" t="s">
        <v>11</v>
      </c>
      <c r="AG56" s="83">
        <v>7.4</v>
      </c>
      <c r="AL56" s="82"/>
      <c r="AO56" s="83"/>
      <c r="AP56" s="82"/>
      <c r="AS56" s="83"/>
      <c r="AW56" s="83"/>
      <c r="BA56" s="84"/>
    </row>
    <row r="57" spans="1:53" s="334" customFormat="1" x14ac:dyDescent="0.15">
      <c r="A57" s="334">
        <v>2006</v>
      </c>
      <c r="B57" s="335">
        <v>38912</v>
      </c>
      <c r="C57" s="812" t="s">
        <v>1175</v>
      </c>
      <c r="D57" s="812"/>
      <c r="E57" s="334">
        <v>70</v>
      </c>
      <c r="F57" s="334">
        <v>2</v>
      </c>
      <c r="G57" s="419">
        <v>15</v>
      </c>
      <c r="I57" s="334">
        <v>3</v>
      </c>
      <c r="J57" s="435">
        <v>22</v>
      </c>
      <c r="K57" s="384">
        <f t="shared" si="3"/>
        <v>68.181818181818173</v>
      </c>
      <c r="L57" s="384">
        <f t="shared" si="4"/>
        <v>0</v>
      </c>
      <c r="M57" s="384">
        <f t="shared" si="5"/>
        <v>13.636363636363635</v>
      </c>
      <c r="N57" s="421">
        <f t="shared" si="2"/>
        <v>81.818181818181813</v>
      </c>
      <c r="O57" s="383">
        <v>41.1</v>
      </c>
      <c r="P57" s="384"/>
      <c r="Q57" s="384">
        <v>12.2</v>
      </c>
      <c r="R57" s="385">
        <f t="shared" si="1"/>
        <v>53.3</v>
      </c>
      <c r="S57" s="334">
        <v>2</v>
      </c>
      <c r="T57" s="357"/>
      <c r="U57" s="335">
        <v>38912</v>
      </c>
      <c r="V57" s="343" t="s">
        <v>969</v>
      </c>
      <c r="W57" s="334" t="s">
        <v>77</v>
      </c>
      <c r="X57" s="334" t="s">
        <v>11</v>
      </c>
      <c r="Y57" s="344">
        <v>33.700000000000003</v>
      </c>
      <c r="Z57" s="334" t="s">
        <v>972</v>
      </c>
      <c r="AA57" s="334" t="s">
        <v>973</v>
      </c>
      <c r="AB57" s="334" t="s">
        <v>12</v>
      </c>
      <c r="AC57" s="334">
        <v>12.2</v>
      </c>
      <c r="AD57" s="343" t="s">
        <v>974</v>
      </c>
      <c r="AE57" s="334" t="s">
        <v>339</v>
      </c>
      <c r="AF57" s="334" t="s">
        <v>11</v>
      </c>
      <c r="AG57" s="344">
        <v>7.4</v>
      </c>
      <c r="AL57" s="343"/>
      <c r="AO57" s="344"/>
      <c r="AP57" s="343"/>
      <c r="AS57" s="344"/>
      <c r="AW57" s="344"/>
      <c r="BA57" s="345"/>
    </row>
    <row r="58" spans="1:53" s="334" customFormat="1" x14ac:dyDescent="0.15">
      <c r="A58" s="334">
        <v>2006</v>
      </c>
      <c r="B58" s="465">
        <v>38982</v>
      </c>
      <c r="C58" s="812" t="s">
        <v>1175</v>
      </c>
      <c r="D58" s="812"/>
      <c r="E58" s="334">
        <v>101</v>
      </c>
      <c r="F58" s="451">
        <v>0</v>
      </c>
      <c r="G58" s="419">
        <v>14</v>
      </c>
      <c r="I58" s="334">
        <v>3</v>
      </c>
      <c r="J58" s="435">
        <v>22</v>
      </c>
      <c r="K58" s="384">
        <f t="shared" si="3"/>
        <v>63.636363636363633</v>
      </c>
      <c r="L58" s="384">
        <f t="shared" si="4"/>
        <v>0</v>
      </c>
      <c r="M58" s="384">
        <f t="shared" si="5"/>
        <v>13.636363636363635</v>
      </c>
      <c r="N58" s="421">
        <f t="shared" si="2"/>
        <v>77.272727272727266</v>
      </c>
      <c r="O58" s="383">
        <v>41.1</v>
      </c>
      <c r="P58" s="384"/>
      <c r="Q58" s="384">
        <v>12.2</v>
      </c>
      <c r="R58" s="385">
        <f t="shared" si="1"/>
        <v>53.3</v>
      </c>
      <c r="S58" s="334">
        <v>2</v>
      </c>
      <c r="T58" s="357"/>
      <c r="V58" s="343" t="s">
        <v>969</v>
      </c>
      <c r="W58" s="334" t="s">
        <v>77</v>
      </c>
      <c r="X58" s="334" t="s">
        <v>11</v>
      </c>
      <c r="Y58" s="344">
        <v>33.700000000000003</v>
      </c>
      <c r="Z58" s="334" t="s">
        <v>972</v>
      </c>
      <c r="AA58" s="334" t="s">
        <v>973</v>
      </c>
      <c r="AB58" s="334" t="s">
        <v>12</v>
      </c>
      <c r="AC58" s="334">
        <v>12.2</v>
      </c>
      <c r="AD58" s="343" t="s">
        <v>974</v>
      </c>
      <c r="AE58" s="334" t="s">
        <v>339</v>
      </c>
      <c r="AF58" s="334" t="s">
        <v>11</v>
      </c>
      <c r="AG58" s="344">
        <v>7.4</v>
      </c>
      <c r="AL58" s="343"/>
      <c r="AO58" s="344"/>
      <c r="AP58" s="343"/>
      <c r="AS58" s="344"/>
      <c r="AW58" s="344"/>
      <c r="BA58" s="345"/>
    </row>
    <row r="59" spans="1:53" s="334" customFormat="1" x14ac:dyDescent="0.15">
      <c r="A59" s="334">
        <v>2007</v>
      </c>
      <c r="B59" s="466"/>
      <c r="C59" s="812" t="s">
        <v>1175</v>
      </c>
      <c r="D59" s="812"/>
      <c r="E59" s="334">
        <v>38</v>
      </c>
      <c r="F59" s="451"/>
      <c r="G59" s="419">
        <v>14</v>
      </c>
      <c r="I59" s="334">
        <v>3</v>
      </c>
      <c r="J59" s="435">
        <v>22</v>
      </c>
      <c r="K59" s="384">
        <f t="shared" si="3"/>
        <v>63.636363636363633</v>
      </c>
      <c r="L59" s="384">
        <f t="shared" si="4"/>
        <v>0</v>
      </c>
      <c r="M59" s="384">
        <f t="shared" si="5"/>
        <v>13.636363636363635</v>
      </c>
      <c r="N59" s="421">
        <f t="shared" si="2"/>
        <v>77.272727272727266</v>
      </c>
      <c r="O59" s="383">
        <v>41.1</v>
      </c>
      <c r="P59" s="384"/>
      <c r="Q59" s="384">
        <v>12.2</v>
      </c>
      <c r="R59" s="385">
        <f t="shared" si="1"/>
        <v>53.3</v>
      </c>
      <c r="S59" s="334">
        <v>2</v>
      </c>
      <c r="T59" s="357"/>
      <c r="V59" s="343" t="s">
        <v>969</v>
      </c>
      <c r="W59" s="334" t="s">
        <v>77</v>
      </c>
      <c r="X59" s="334" t="s">
        <v>11</v>
      </c>
      <c r="Y59" s="344">
        <v>33.700000000000003</v>
      </c>
      <c r="Z59" s="334" t="s">
        <v>972</v>
      </c>
      <c r="AA59" s="334" t="s">
        <v>973</v>
      </c>
      <c r="AB59" s="334" t="s">
        <v>12</v>
      </c>
      <c r="AC59" s="334">
        <v>12.2</v>
      </c>
      <c r="AD59" s="343" t="s">
        <v>974</v>
      </c>
      <c r="AE59" s="334" t="s">
        <v>339</v>
      </c>
      <c r="AF59" s="334" t="s">
        <v>11</v>
      </c>
      <c r="AG59" s="344">
        <v>7.4</v>
      </c>
      <c r="AL59" s="343"/>
      <c r="AO59" s="344"/>
      <c r="AP59" s="343"/>
      <c r="AS59" s="344"/>
      <c r="AW59" s="344"/>
      <c r="BA59" s="345"/>
    </row>
    <row r="60" spans="1:53" s="334" customFormat="1" x14ac:dyDescent="0.15">
      <c r="A60" s="334">
        <v>2007</v>
      </c>
      <c r="B60" s="465">
        <v>39121</v>
      </c>
      <c r="C60" s="812" t="s">
        <v>1175</v>
      </c>
      <c r="D60" s="812"/>
      <c r="E60" s="334">
        <v>47</v>
      </c>
      <c r="F60" s="451">
        <v>0</v>
      </c>
      <c r="G60" s="419">
        <v>14</v>
      </c>
      <c r="I60" s="334">
        <v>3</v>
      </c>
      <c r="J60" s="435">
        <v>23</v>
      </c>
      <c r="K60" s="384">
        <f>G60/J60*100</f>
        <v>60.869565217391312</v>
      </c>
      <c r="L60" s="384">
        <f>H60/J60*100</f>
        <v>0</v>
      </c>
      <c r="M60" s="384">
        <f>I60/J60*100</f>
        <v>13.043478260869565</v>
      </c>
      <c r="N60" s="421">
        <f>SUM(K60:M60)</f>
        <v>73.913043478260875</v>
      </c>
      <c r="O60" s="383">
        <v>41.1</v>
      </c>
      <c r="P60" s="384"/>
      <c r="Q60" s="384">
        <v>12.2</v>
      </c>
      <c r="R60" s="385">
        <f>SUM(O60:Q60)</f>
        <v>53.3</v>
      </c>
      <c r="S60" s="334">
        <v>2</v>
      </c>
      <c r="T60" s="357"/>
      <c r="V60" s="343" t="s">
        <v>969</v>
      </c>
      <c r="W60" s="334" t="s">
        <v>77</v>
      </c>
      <c r="X60" s="334" t="s">
        <v>11</v>
      </c>
      <c r="Y60" s="344">
        <v>33.700000000000003</v>
      </c>
      <c r="Z60" s="334" t="s">
        <v>972</v>
      </c>
      <c r="AA60" s="334" t="s">
        <v>973</v>
      </c>
      <c r="AB60" s="334" t="s">
        <v>12</v>
      </c>
      <c r="AC60" s="334">
        <v>12.2</v>
      </c>
      <c r="AD60" s="343" t="s">
        <v>974</v>
      </c>
      <c r="AE60" s="334" t="s">
        <v>339</v>
      </c>
      <c r="AF60" s="334" t="s">
        <v>11</v>
      </c>
      <c r="AG60" s="344">
        <v>7.4</v>
      </c>
      <c r="AL60" s="343"/>
      <c r="AO60" s="344"/>
      <c r="AP60" s="343"/>
      <c r="AS60" s="344"/>
      <c r="AW60" s="344"/>
      <c r="BA60" s="345"/>
    </row>
    <row r="61" spans="1:53" s="334" customFormat="1" x14ac:dyDescent="0.15">
      <c r="A61" s="334">
        <v>2007</v>
      </c>
      <c r="B61" s="465">
        <v>39168</v>
      </c>
      <c r="C61" s="812" t="s">
        <v>1175</v>
      </c>
      <c r="D61" s="812"/>
      <c r="E61" s="334">
        <v>17</v>
      </c>
      <c r="F61" s="451">
        <v>0</v>
      </c>
      <c r="G61" s="419">
        <v>15</v>
      </c>
      <c r="I61" s="334">
        <v>3</v>
      </c>
      <c r="J61" s="435">
        <v>24</v>
      </c>
      <c r="K61" s="384">
        <f t="shared" si="3"/>
        <v>62.5</v>
      </c>
      <c r="L61" s="384">
        <f t="shared" si="4"/>
        <v>0</v>
      </c>
      <c r="M61" s="384">
        <f t="shared" si="5"/>
        <v>12.5</v>
      </c>
      <c r="N61" s="421">
        <f t="shared" si="2"/>
        <v>75</v>
      </c>
      <c r="O61" s="383">
        <v>41.1</v>
      </c>
      <c r="P61" s="384"/>
      <c r="Q61" s="384">
        <v>12.2</v>
      </c>
      <c r="R61" s="385">
        <f t="shared" si="1"/>
        <v>53.3</v>
      </c>
      <c r="S61" s="334">
        <v>2</v>
      </c>
      <c r="T61" s="357"/>
      <c r="V61" s="343" t="s">
        <v>969</v>
      </c>
      <c r="W61" s="334" t="s">
        <v>77</v>
      </c>
      <c r="X61" s="334" t="s">
        <v>11</v>
      </c>
      <c r="Y61" s="344">
        <v>33.700000000000003</v>
      </c>
      <c r="Z61" s="334" t="s">
        <v>972</v>
      </c>
      <c r="AA61" s="334" t="s">
        <v>973</v>
      </c>
      <c r="AB61" s="334" t="s">
        <v>12</v>
      </c>
      <c r="AC61" s="334">
        <v>12.2</v>
      </c>
      <c r="AD61" s="343" t="s">
        <v>974</v>
      </c>
      <c r="AE61" s="334" t="s">
        <v>339</v>
      </c>
      <c r="AF61" s="334" t="s">
        <v>11</v>
      </c>
      <c r="AG61" s="344">
        <v>7.4</v>
      </c>
      <c r="AL61" s="343"/>
      <c r="AO61" s="344"/>
      <c r="AP61" s="343"/>
      <c r="AS61" s="344"/>
      <c r="AW61" s="344"/>
      <c r="BA61" s="345"/>
    </row>
    <row r="62" spans="1:53" s="334" customFormat="1" x14ac:dyDescent="0.15">
      <c r="A62" s="334">
        <v>2007</v>
      </c>
      <c r="B62" s="465">
        <v>39185</v>
      </c>
      <c r="C62" s="812" t="s">
        <v>1175</v>
      </c>
      <c r="D62" s="812"/>
      <c r="E62" s="334">
        <v>87</v>
      </c>
      <c r="F62" s="451">
        <v>0</v>
      </c>
      <c r="G62" s="419">
        <v>14</v>
      </c>
      <c r="I62" s="334">
        <v>3</v>
      </c>
      <c r="J62" s="435">
        <v>23</v>
      </c>
      <c r="K62" s="384">
        <f t="shared" si="3"/>
        <v>60.869565217391312</v>
      </c>
      <c r="L62" s="384">
        <f t="shared" si="4"/>
        <v>0</v>
      </c>
      <c r="M62" s="384">
        <f t="shared" si="5"/>
        <v>13.043478260869565</v>
      </c>
      <c r="N62" s="421">
        <f t="shared" si="2"/>
        <v>73.913043478260875</v>
      </c>
      <c r="O62" s="383">
        <v>41.1</v>
      </c>
      <c r="P62" s="384"/>
      <c r="Q62" s="384">
        <v>12.2</v>
      </c>
      <c r="R62" s="385">
        <f t="shared" si="1"/>
        <v>53.3</v>
      </c>
      <c r="S62" s="334">
        <v>2</v>
      </c>
      <c r="T62" s="357"/>
      <c r="V62" s="343" t="s">
        <v>969</v>
      </c>
      <c r="W62" s="334" t="s">
        <v>77</v>
      </c>
      <c r="X62" s="334" t="s">
        <v>11</v>
      </c>
      <c r="Y62" s="344">
        <v>33.700000000000003</v>
      </c>
      <c r="Z62" s="334" t="s">
        <v>972</v>
      </c>
      <c r="AA62" s="334" t="s">
        <v>973</v>
      </c>
      <c r="AB62" s="334" t="s">
        <v>12</v>
      </c>
      <c r="AC62" s="334">
        <v>12.2</v>
      </c>
      <c r="AD62" s="343" t="s">
        <v>974</v>
      </c>
      <c r="AE62" s="334" t="s">
        <v>339</v>
      </c>
      <c r="AF62" s="334" t="s">
        <v>11</v>
      </c>
      <c r="AG62" s="344">
        <v>7.4</v>
      </c>
      <c r="AL62" s="343"/>
      <c r="AO62" s="344"/>
      <c r="AP62" s="343"/>
      <c r="AS62" s="344"/>
      <c r="AW62" s="344"/>
      <c r="BA62" s="345"/>
    </row>
    <row r="63" spans="1:53" s="334" customFormat="1" x14ac:dyDescent="0.15">
      <c r="A63" s="334">
        <v>2007</v>
      </c>
      <c r="B63" s="465">
        <v>39272</v>
      </c>
      <c r="C63" s="812" t="s">
        <v>1175</v>
      </c>
      <c r="D63" s="812"/>
      <c r="E63" s="334">
        <v>14</v>
      </c>
      <c r="F63" s="451">
        <v>0</v>
      </c>
      <c r="G63" s="419">
        <v>14</v>
      </c>
      <c r="I63" s="334">
        <v>2</v>
      </c>
      <c r="J63" s="435">
        <v>21</v>
      </c>
      <c r="K63" s="384">
        <f t="shared" si="3"/>
        <v>66.666666666666657</v>
      </c>
      <c r="L63" s="384">
        <f t="shared" si="4"/>
        <v>0</v>
      </c>
      <c r="M63" s="384">
        <f t="shared" si="5"/>
        <v>9.5238095238095237</v>
      </c>
      <c r="N63" s="421">
        <f t="shared" si="2"/>
        <v>76.190476190476176</v>
      </c>
      <c r="O63" s="383">
        <v>41.1</v>
      </c>
      <c r="P63" s="384"/>
      <c r="Q63" s="384">
        <v>12.2</v>
      </c>
      <c r="R63" s="385">
        <f t="shared" si="1"/>
        <v>53.3</v>
      </c>
      <c r="S63" s="334">
        <v>2</v>
      </c>
      <c r="T63" s="357"/>
      <c r="V63" s="343" t="s">
        <v>969</v>
      </c>
      <c r="W63" s="334" t="s">
        <v>77</v>
      </c>
      <c r="X63" s="334" t="s">
        <v>11</v>
      </c>
      <c r="Y63" s="344">
        <v>33.700000000000003</v>
      </c>
      <c r="Z63" s="334" t="s">
        <v>972</v>
      </c>
      <c r="AA63" s="334" t="s">
        <v>973</v>
      </c>
      <c r="AB63" s="334" t="s">
        <v>12</v>
      </c>
      <c r="AC63" s="334">
        <v>12.2</v>
      </c>
      <c r="AD63" s="343" t="s">
        <v>974</v>
      </c>
      <c r="AE63" s="334" t="s">
        <v>339</v>
      </c>
      <c r="AF63" s="334" t="s">
        <v>11</v>
      </c>
      <c r="AG63" s="344">
        <v>7.4</v>
      </c>
      <c r="AL63" s="343"/>
      <c r="AO63" s="344"/>
      <c r="AP63" s="343"/>
      <c r="AS63" s="344"/>
      <c r="AW63" s="344"/>
      <c r="BA63" s="345"/>
    </row>
    <row r="64" spans="1:53" s="334" customFormat="1" x14ac:dyDescent="0.15">
      <c r="A64" s="334">
        <v>2007</v>
      </c>
      <c r="B64" s="465">
        <v>39286</v>
      </c>
      <c r="C64" s="812" t="s">
        <v>1175</v>
      </c>
      <c r="D64" s="812"/>
      <c r="E64" s="334">
        <v>8</v>
      </c>
      <c r="F64" s="451">
        <v>0</v>
      </c>
      <c r="G64" s="419">
        <v>15</v>
      </c>
      <c r="I64" s="334">
        <v>2</v>
      </c>
      <c r="J64" s="435">
        <v>22</v>
      </c>
      <c r="K64" s="384">
        <f t="shared" si="3"/>
        <v>68.181818181818173</v>
      </c>
      <c r="L64" s="384">
        <f t="shared" si="4"/>
        <v>0</v>
      </c>
      <c r="M64" s="384">
        <f t="shared" si="5"/>
        <v>9.0909090909090917</v>
      </c>
      <c r="N64" s="421">
        <f t="shared" si="2"/>
        <v>77.272727272727266</v>
      </c>
      <c r="O64" s="383">
        <v>41.1</v>
      </c>
      <c r="P64" s="384"/>
      <c r="Q64" s="384">
        <v>12.2</v>
      </c>
      <c r="R64" s="385">
        <f t="shared" si="1"/>
        <v>53.3</v>
      </c>
      <c r="S64" s="334">
        <v>2</v>
      </c>
      <c r="T64" s="357"/>
      <c r="V64" s="343" t="s">
        <v>969</v>
      </c>
      <c r="W64" s="334" t="s">
        <v>77</v>
      </c>
      <c r="X64" s="334" t="s">
        <v>11</v>
      </c>
      <c r="Y64" s="344">
        <v>33.700000000000003</v>
      </c>
      <c r="Z64" s="334" t="s">
        <v>972</v>
      </c>
      <c r="AA64" s="334" t="s">
        <v>973</v>
      </c>
      <c r="AB64" s="334" t="s">
        <v>12</v>
      </c>
      <c r="AC64" s="334">
        <v>12.2</v>
      </c>
      <c r="AD64" s="343" t="s">
        <v>974</v>
      </c>
      <c r="AE64" s="334" t="s">
        <v>339</v>
      </c>
      <c r="AF64" s="334" t="s">
        <v>11</v>
      </c>
      <c r="AG64" s="344">
        <v>7.4</v>
      </c>
      <c r="AL64" s="343"/>
      <c r="AO64" s="344"/>
      <c r="AP64" s="343"/>
      <c r="AS64" s="344"/>
      <c r="AW64" s="344"/>
      <c r="BA64" s="345"/>
    </row>
    <row r="65" spans="1:53" s="334" customFormat="1" x14ac:dyDescent="0.15">
      <c r="A65" s="334">
        <v>2007</v>
      </c>
      <c r="B65" s="465">
        <v>39294</v>
      </c>
      <c r="C65" s="812" t="s">
        <v>1175</v>
      </c>
      <c r="D65" s="812"/>
      <c r="E65" s="334">
        <v>13</v>
      </c>
      <c r="F65" s="451">
        <v>0</v>
      </c>
      <c r="G65" s="419">
        <v>16</v>
      </c>
      <c r="I65" s="334">
        <v>2</v>
      </c>
      <c r="J65" s="435">
        <v>23</v>
      </c>
      <c r="K65" s="384">
        <f t="shared" si="3"/>
        <v>69.565217391304344</v>
      </c>
      <c r="L65" s="384">
        <f t="shared" si="4"/>
        <v>0</v>
      </c>
      <c r="M65" s="384">
        <f t="shared" si="5"/>
        <v>8.695652173913043</v>
      </c>
      <c r="N65" s="421">
        <f t="shared" si="2"/>
        <v>78.260869565217391</v>
      </c>
      <c r="O65" s="383">
        <v>41.1</v>
      </c>
      <c r="P65" s="384"/>
      <c r="Q65" s="384">
        <v>12.2</v>
      </c>
      <c r="R65" s="385">
        <f t="shared" si="1"/>
        <v>53.3</v>
      </c>
      <c r="S65" s="334">
        <v>2</v>
      </c>
      <c r="T65" s="357"/>
      <c r="V65" s="343" t="s">
        <v>969</v>
      </c>
      <c r="W65" s="334" t="s">
        <v>77</v>
      </c>
      <c r="X65" s="334" t="s">
        <v>11</v>
      </c>
      <c r="Y65" s="344">
        <v>33.700000000000003</v>
      </c>
      <c r="Z65" s="334" t="s">
        <v>972</v>
      </c>
      <c r="AA65" s="334" t="s">
        <v>973</v>
      </c>
      <c r="AB65" s="334" t="s">
        <v>12</v>
      </c>
      <c r="AC65" s="334">
        <v>12.2</v>
      </c>
      <c r="AD65" s="343" t="s">
        <v>974</v>
      </c>
      <c r="AE65" s="334" t="s">
        <v>339</v>
      </c>
      <c r="AF65" s="334" t="s">
        <v>11</v>
      </c>
      <c r="AG65" s="344">
        <v>7.4</v>
      </c>
      <c r="AL65" s="343"/>
      <c r="AO65" s="344"/>
      <c r="AP65" s="343"/>
      <c r="AS65" s="344"/>
      <c r="AW65" s="344"/>
      <c r="BA65" s="345"/>
    </row>
    <row r="66" spans="1:53" s="208" customFormat="1" x14ac:dyDescent="0.15">
      <c r="A66" s="208">
        <v>2007</v>
      </c>
      <c r="B66" s="121">
        <v>39307</v>
      </c>
      <c r="C66" s="811" t="s">
        <v>1176</v>
      </c>
      <c r="D66" s="811"/>
      <c r="E66" s="208">
        <v>103</v>
      </c>
      <c r="F66" s="208">
        <v>4</v>
      </c>
      <c r="G66" s="123">
        <v>15</v>
      </c>
      <c r="J66" s="134">
        <v>23</v>
      </c>
      <c r="K66" s="92">
        <f t="shared" si="3"/>
        <v>65.217391304347828</v>
      </c>
      <c r="L66" s="92">
        <f t="shared" si="4"/>
        <v>0</v>
      </c>
      <c r="M66" s="92">
        <f t="shared" si="5"/>
        <v>0</v>
      </c>
      <c r="N66" s="125">
        <f t="shared" si="2"/>
        <v>65.217391304347828</v>
      </c>
      <c r="O66" s="91">
        <v>33.700000000000003</v>
      </c>
      <c r="P66" s="92"/>
      <c r="Q66" s="92"/>
      <c r="R66" s="93">
        <f t="shared" si="1"/>
        <v>33.700000000000003</v>
      </c>
      <c r="S66" s="208">
        <v>4</v>
      </c>
      <c r="T66" s="81"/>
      <c r="U66" s="121">
        <v>39307</v>
      </c>
      <c r="V66" s="82" t="s">
        <v>969</v>
      </c>
      <c r="W66" s="208" t="s">
        <v>77</v>
      </c>
      <c r="X66" s="208" t="s">
        <v>11</v>
      </c>
      <c r="Y66" s="83">
        <v>33.700000000000003</v>
      </c>
      <c r="Z66" s="82"/>
      <c r="AC66" s="83"/>
      <c r="AG66" s="83"/>
      <c r="AL66" s="82"/>
      <c r="AO66" s="83"/>
      <c r="AP66" s="82"/>
      <c r="AS66" s="83"/>
      <c r="AW66" s="83"/>
      <c r="BA66" s="84"/>
    </row>
    <row r="67" spans="1:53" s="334" customFormat="1" x14ac:dyDescent="0.15">
      <c r="A67" s="334">
        <v>2007</v>
      </c>
      <c r="B67" s="335">
        <v>39410</v>
      </c>
      <c r="C67" s="812" t="s">
        <v>975</v>
      </c>
      <c r="D67" s="812"/>
      <c r="E67" s="334">
        <v>38</v>
      </c>
      <c r="F67" s="334">
        <v>1</v>
      </c>
      <c r="G67" s="419">
        <v>10</v>
      </c>
      <c r="I67" s="334">
        <v>3</v>
      </c>
      <c r="J67" s="435">
        <v>19</v>
      </c>
      <c r="K67" s="384">
        <f t="shared" si="3"/>
        <v>52.631578947368418</v>
      </c>
      <c r="L67" s="384">
        <f t="shared" si="4"/>
        <v>0</v>
      </c>
      <c r="M67" s="384">
        <f t="shared" si="5"/>
        <v>15.789473684210526</v>
      </c>
      <c r="N67" s="421">
        <f t="shared" si="2"/>
        <v>68.421052631578945</v>
      </c>
      <c r="O67" s="383">
        <v>45.4</v>
      </c>
      <c r="P67" s="384"/>
      <c r="Q67" s="384">
        <v>6.7</v>
      </c>
      <c r="R67" s="385">
        <f t="shared" si="1"/>
        <v>52.1</v>
      </c>
      <c r="S67" s="334">
        <v>2</v>
      </c>
      <c r="T67" s="342">
        <v>39376</v>
      </c>
      <c r="U67" s="335">
        <v>39410</v>
      </c>
      <c r="V67" s="343" t="s">
        <v>976</v>
      </c>
      <c r="W67" s="334" t="s">
        <v>319</v>
      </c>
      <c r="X67" s="334" t="s">
        <v>11</v>
      </c>
      <c r="Y67" s="344">
        <v>45.4</v>
      </c>
      <c r="Z67" s="343" t="s">
        <v>956</v>
      </c>
      <c r="AA67" s="334" t="s">
        <v>886</v>
      </c>
      <c r="AB67" s="334" t="s">
        <v>12</v>
      </c>
      <c r="AC67" s="334">
        <v>6.7</v>
      </c>
      <c r="AD67" s="343"/>
      <c r="AG67" s="344"/>
      <c r="AL67" s="343"/>
      <c r="AO67" s="344"/>
      <c r="AP67" s="343"/>
      <c r="AS67" s="344"/>
      <c r="AW67" s="344"/>
      <c r="BA67" s="345"/>
    </row>
    <row r="68" spans="1:53" s="334" customFormat="1" x14ac:dyDescent="0.15">
      <c r="A68" s="334">
        <v>2008</v>
      </c>
      <c r="B68" s="358"/>
      <c r="C68" s="812" t="s">
        <v>975</v>
      </c>
      <c r="D68" s="812"/>
      <c r="E68" s="334">
        <v>0</v>
      </c>
      <c r="G68" s="419">
        <v>10</v>
      </c>
      <c r="I68" s="334">
        <v>3</v>
      </c>
      <c r="J68" s="435">
        <v>19</v>
      </c>
      <c r="K68" s="384">
        <f t="shared" si="3"/>
        <v>52.631578947368418</v>
      </c>
      <c r="L68" s="384">
        <f t="shared" si="4"/>
        <v>0</v>
      </c>
      <c r="M68" s="384">
        <f t="shared" si="5"/>
        <v>15.789473684210526</v>
      </c>
      <c r="N68" s="421">
        <f t="shared" si="2"/>
        <v>68.421052631578945</v>
      </c>
      <c r="O68" s="383">
        <v>45.4</v>
      </c>
      <c r="P68" s="384"/>
      <c r="Q68" s="384">
        <v>6.7</v>
      </c>
      <c r="R68" s="385">
        <f t="shared" si="1"/>
        <v>52.1</v>
      </c>
      <c r="S68" s="334">
        <v>2</v>
      </c>
      <c r="T68" s="357"/>
      <c r="V68" s="343" t="s">
        <v>976</v>
      </c>
      <c r="W68" s="334" t="s">
        <v>319</v>
      </c>
      <c r="X68" s="334" t="s">
        <v>11</v>
      </c>
      <c r="Y68" s="344">
        <v>45.4</v>
      </c>
      <c r="Z68" s="343" t="s">
        <v>956</v>
      </c>
      <c r="AA68" s="334" t="s">
        <v>886</v>
      </c>
      <c r="AB68" s="334" t="s">
        <v>12</v>
      </c>
      <c r="AC68" s="334">
        <v>6.7</v>
      </c>
      <c r="AD68" s="343"/>
      <c r="AG68" s="344"/>
      <c r="AL68" s="343"/>
      <c r="AO68" s="344"/>
      <c r="AP68" s="343"/>
      <c r="AS68" s="344"/>
      <c r="AW68" s="344"/>
      <c r="BA68" s="345"/>
    </row>
    <row r="69" spans="1:53" s="334" customFormat="1" x14ac:dyDescent="0.15">
      <c r="A69" s="334">
        <v>2008</v>
      </c>
      <c r="B69" s="358"/>
      <c r="C69" s="812" t="s">
        <v>975</v>
      </c>
      <c r="D69" s="812"/>
      <c r="E69" s="334">
        <v>366</v>
      </c>
      <c r="G69" s="419">
        <v>10</v>
      </c>
      <c r="I69" s="334">
        <v>3</v>
      </c>
      <c r="J69" s="435">
        <v>19</v>
      </c>
      <c r="K69" s="384">
        <f t="shared" si="3"/>
        <v>52.631578947368418</v>
      </c>
      <c r="L69" s="384">
        <f t="shared" si="4"/>
        <v>0</v>
      </c>
      <c r="M69" s="384">
        <f t="shared" si="5"/>
        <v>15.789473684210526</v>
      </c>
      <c r="N69" s="421">
        <f t="shared" si="2"/>
        <v>68.421052631578945</v>
      </c>
      <c r="O69" s="383">
        <v>45.4</v>
      </c>
      <c r="P69" s="384"/>
      <c r="Q69" s="384">
        <v>6.7</v>
      </c>
      <c r="R69" s="385">
        <f t="shared" si="1"/>
        <v>52.1</v>
      </c>
      <c r="S69" s="334">
        <v>2</v>
      </c>
      <c r="T69" s="357"/>
      <c r="V69" s="343" t="s">
        <v>976</v>
      </c>
      <c r="W69" s="334" t="s">
        <v>319</v>
      </c>
      <c r="X69" s="334" t="s">
        <v>11</v>
      </c>
      <c r="Y69" s="344">
        <v>45.4</v>
      </c>
      <c r="Z69" s="343" t="s">
        <v>956</v>
      </c>
      <c r="AA69" s="334" t="s">
        <v>886</v>
      </c>
      <c r="AB69" s="334" t="s">
        <v>12</v>
      </c>
      <c r="AC69" s="334">
        <v>6.7</v>
      </c>
      <c r="AD69" s="343"/>
      <c r="AG69" s="344"/>
      <c r="AL69" s="343"/>
      <c r="AO69" s="344"/>
      <c r="AP69" s="343"/>
      <c r="AS69" s="344"/>
      <c r="AW69" s="344"/>
      <c r="BA69" s="345"/>
    </row>
    <row r="70" spans="1:53" s="334" customFormat="1" x14ac:dyDescent="0.15">
      <c r="A70" s="334">
        <v>2009</v>
      </c>
      <c r="B70" s="358"/>
      <c r="C70" s="812" t="s">
        <v>975</v>
      </c>
      <c r="D70" s="812"/>
      <c r="E70" s="334">
        <v>14</v>
      </c>
      <c r="G70" s="419">
        <v>10</v>
      </c>
      <c r="I70" s="334">
        <v>3</v>
      </c>
      <c r="J70" s="435">
        <v>19</v>
      </c>
      <c r="K70" s="384">
        <f t="shared" si="3"/>
        <v>52.631578947368418</v>
      </c>
      <c r="L70" s="384">
        <f t="shared" si="4"/>
        <v>0</v>
      </c>
      <c r="M70" s="384">
        <f t="shared" si="5"/>
        <v>15.789473684210526</v>
      </c>
      <c r="N70" s="421">
        <f t="shared" si="2"/>
        <v>68.421052631578945</v>
      </c>
      <c r="O70" s="383">
        <v>45.4</v>
      </c>
      <c r="P70" s="384"/>
      <c r="Q70" s="384">
        <v>6.7</v>
      </c>
      <c r="R70" s="385">
        <f t="shared" si="1"/>
        <v>52.1</v>
      </c>
      <c r="S70" s="334">
        <v>2</v>
      </c>
      <c r="T70" s="357"/>
      <c r="V70" s="343" t="s">
        <v>976</v>
      </c>
      <c r="W70" s="334" t="s">
        <v>319</v>
      </c>
      <c r="X70" s="334" t="s">
        <v>11</v>
      </c>
      <c r="Y70" s="344">
        <v>45.4</v>
      </c>
      <c r="Z70" s="343" t="s">
        <v>956</v>
      </c>
      <c r="AA70" s="334" t="s">
        <v>886</v>
      </c>
      <c r="AB70" s="334" t="s">
        <v>12</v>
      </c>
      <c r="AC70" s="334">
        <v>6.7</v>
      </c>
      <c r="AD70" s="343"/>
      <c r="AG70" s="344"/>
      <c r="AL70" s="343"/>
      <c r="AO70" s="344"/>
      <c r="AP70" s="343"/>
      <c r="AS70" s="344"/>
      <c r="AW70" s="344"/>
      <c r="BA70" s="345"/>
    </row>
    <row r="71" spans="1:53" s="334" customFormat="1" x14ac:dyDescent="0.15">
      <c r="A71" s="334">
        <v>2009</v>
      </c>
      <c r="B71" s="465">
        <v>39828</v>
      </c>
      <c r="C71" s="812" t="s">
        <v>975</v>
      </c>
      <c r="D71" s="812"/>
      <c r="E71" s="334">
        <v>8</v>
      </c>
      <c r="F71" s="451">
        <v>0</v>
      </c>
      <c r="G71" s="419">
        <v>11</v>
      </c>
      <c r="I71" s="334">
        <v>3</v>
      </c>
      <c r="J71" s="435">
        <v>19</v>
      </c>
      <c r="K71" s="384">
        <f t="shared" si="3"/>
        <v>57.894736842105267</v>
      </c>
      <c r="L71" s="384">
        <f t="shared" si="4"/>
        <v>0</v>
      </c>
      <c r="M71" s="384">
        <f t="shared" si="5"/>
        <v>15.789473684210526</v>
      </c>
      <c r="N71" s="421">
        <f t="shared" si="2"/>
        <v>73.684210526315795</v>
      </c>
      <c r="O71" s="383">
        <v>45.4</v>
      </c>
      <c r="P71" s="384"/>
      <c r="Q71" s="384">
        <v>6.7</v>
      </c>
      <c r="R71" s="385">
        <f t="shared" si="1"/>
        <v>52.1</v>
      </c>
      <c r="S71" s="334">
        <v>2</v>
      </c>
      <c r="T71" s="357"/>
      <c r="V71" s="343" t="s">
        <v>976</v>
      </c>
      <c r="W71" s="334" t="s">
        <v>319</v>
      </c>
      <c r="X71" s="334" t="s">
        <v>11</v>
      </c>
      <c r="Y71" s="344">
        <v>45.4</v>
      </c>
      <c r="Z71" s="343" t="s">
        <v>956</v>
      </c>
      <c r="AA71" s="334" t="s">
        <v>886</v>
      </c>
      <c r="AB71" s="334" t="s">
        <v>12</v>
      </c>
      <c r="AC71" s="334">
        <v>6.7</v>
      </c>
      <c r="AD71" s="343"/>
      <c r="AG71" s="344"/>
      <c r="AL71" s="343"/>
      <c r="AO71" s="344"/>
      <c r="AP71" s="343"/>
      <c r="AS71" s="344"/>
      <c r="AW71" s="344"/>
      <c r="BA71" s="345"/>
    </row>
    <row r="72" spans="1:53" s="334" customFormat="1" x14ac:dyDescent="0.15">
      <c r="A72" s="334">
        <v>2009</v>
      </c>
      <c r="B72" s="465">
        <v>39836</v>
      </c>
      <c r="C72" s="812" t="s">
        <v>975</v>
      </c>
      <c r="D72" s="812"/>
      <c r="E72" s="334">
        <v>264</v>
      </c>
      <c r="F72" s="451">
        <v>0</v>
      </c>
      <c r="G72" s="419">
        <v>12</v>
      </c>
      <c r="I72" s="334">
        <v>3</v>
      </c>
      <c r="J72" s="435">
        <v>19</v>
      </c>
      <c r="K72" s="384">
        <f t="shared" si="3"/>
        <v>63.157894736842103</v>
      </c>
      <c r="L72" s="384">
        <f t="shared" si="4"/>
        <v>0</v>
      </c>
      <c r="M72" s="384">
        <f t="shared" si="5"/>
        <v>15.789473684210526</v>
      </c>
      <c r="N72" s="421">
        <f t="shared" si="2"/>
        <v>78.94736842105263</v>
      </c>
      <c r="O72" s="383">
        <v>45.4</v>
      </c>
      <c r="P72" s="384"/>
      <c r="Q72" s="384">
        <v>6.7</v>
      </c>
      <c r="R72" s="385">
        <f t="shared" si="1"/>
        <v>52.1</v>
      </c>
      <c r="S72" s="334">
        <v>2</v>
      </c>
      <c r="T72" s="357"/>
      <c r="V72" s="343" t="s">
        <v>976</v>
      </c>
      <c r="W72" s="334" t="s">
        <v>319</v>
      </c>
      <c r="X72" s="334" t="s">
        <v>11</v>
      </c>
      <c r="Y72" s="344">
        <v>45.4</v>
      </c>
      <c r="Z72" s="343" t="s">
        <v>956</v>
      </c>
      <c r="AA72" s="334" t="s">
        <v>886</v>
      </c>
      <c r="AB72" s="334" t="s">
        <v>12</v>
      </c>
      <c r="AC72" s="334">
        <v>6.7</v>
      </c>
      <c r="AD72" s="343"/>
      <c r="AG72" s="344"/>
      <c r="AL72" s="343"/>
      <c r="AO72" s="344"/>
      <c r="AP72" s="343"/>
      <c r="AS72" s="344"/>
      <c r="AW72" s="344"/>
      <c r="BA72" s="345"/>
    </row>
    <row r="73" spans="1:53" s="334" customFormat="1" x14ac:dyDescent="0.15">
      <c r="A73" s="334">
        <v>2009</v>
      </c>
      <c r="B73" s="465">
        <v>40100</v>
      </c>
      <c r="C73" s="812" t="s">
        <v>975</v>
      </c>
      <c r="D73" s="812"/>
      <c r="E73" s="334">
        <v>79</v>
      </c>
      <c r="F73" s="451">
        <v>0</v>
      </c>
      <c r="G73" s="419">
        <v>10</v>
      </c>
      <c r="I73" s="334">
        <v>3</v>
      </c>
      <c r="J73" s="435">
        <v>19</v>
      </c>
      <c r="K73" s="384">
        <f t="shared" si="3"/>
        <v>52.631578947368418</v>
      </c>
      <c r="L73" s="384">
        <f t="shared" si="4"/>
        <v>0</v>
      </c>
      <c r="M73" s="384">
        <f t="shared" si="5"/>
        <v>15.789473684210526</v>
      </c>
      <c r="N73" s="421">
        <f t="shared" si="2"/>
        <v>68.421052631578945</v>
      </c>
      <c r="O73" s="383">
        <v>45.4</v>
      </c>
      <c r="P73" s="384"/>
      <c r="Q73" s="384">
        <v>6.7</v>
      </c>
      <c r="R73" s="385">
        <f t="shared" si="1"/>
        <v>52.1</v>
      </c>
      <c r="S73" s="334">
        <v>2</v>
      </c>
      <c r="T73" s="357"/>
      <c r="V73" s="343" t="s">
        <v>976</v>
      </c>
      <c r="W73" s="334" t="s">
        <v>319</v>
      </c>
      <c r="X73" s="334" t="s">
        <v>11</v>
      </c>
      <c r="Y73" s="344">
        <v>45.4</v>
      </c>
      <c r="Z73" s="343" t="s">
        <v>956</v>
      </c>
      <c r="AA73" s="334" t="s">
        <v>886</v>
      </c>
      <c r="AB73" s="334" t="s">
        <v>12</v>
      </c>
      <c r="AC73" s="334">
        <v>6.7</v>
      </c>
      <c r="AD73" s="343"/>
      <c r="AG73" s="344"/>
      <c r="AL73" s="343"/>
      <c r="AO73" s="344"/>
      <c r="AP73" s="343"/>
      <c r="AS73" s="344"/>
      <c r="AW73" s="344"/>
      <c r="BA73" s="345"/>
    </row>
    <row r="74" spans="1:53" s="334" customFormat="1" x14ac:dyDescent="0.15">
      <c r="A74" s="334">
        <v>2010</v>
      </c>
      <c r="B74" s="358"/>
      <c r="C74" s="812" t="s">
        <v>975</v>
      </c>
      <c r="D74" s="812"/>
      <c r="E74" s="334">
        <v>0</v>
      </c>
      <c r="G74" s="419">
        <v>10</v>
      </c>
      <c r="I74" s="334">
        <v>3</v>
      </c>
      <c r="J74" s="435">
        <v>19</v>
      </c>
      <c r="K74" s="384">
        <f t="shared" si="3"/>
        <v>52.631578947368418</v>
      </c>
      <c r="L74" s="384">
        <f t="shared" si="4"/>
        <v>0</v>
      </c>
      <c r="M74" s="384">
        <f t="shared" si="5"/>
        <v>15.789473684210526</v>
      </c>
      <c r="N74" s="421">
        <f t="shared" si="2"/>
        <v>68.421052631578945</v>
      </c>
      <c r="O74" s="383">
        <v>45.4</v>
      </c>
      <c r="P74" s="384"/>
      <c r="Q74" s="384">
        <v>6.7</v>
      </c>
      <c r="R74" s="385">
        <f t="shared" si="1"/>
        <v>52.1</v>
      </c>
      <c r="S74" s="334">
        <v>2</v>
      </c>
      <c r="T74" s="357"/>
      <c r="V74" s="343" t="s">
        <v>976</v>
      </c>
      <c r="W74" s="334" t="s">
        <v>319</v>
      </c>
      <c r="X74" s="334" t="s">
        <v>11</v>
      </c>
      <c r="Y74" s="344">
        <v>45.4</v>
      </c>
      <c r="Z74" s="343" t="s">
        <v>956</v>
      </c>
      <c r="AA74" s="334" t="s">
        <v>886</v>
      </c>
      <c r="AB74" s="334" t="s">
        <v>12</v>
      </c>
      <c r="AC74" s="334">
        <v>6.7</v>
      </c>
      <c r="AD74" s="343"/>
      <c r="AG74" s="344"/>
      <c r="AL74" s="343"/>
      <c r="AO74" s="344"/>
      <c r="AP74" s="343"/>
      <c r="AS74" s="344"/>
      <c r="AW74" s="344"/>
      <c r="BA74" s="345"/>
    </row>
    <row r="75" spans="1:53" s="334" customFormat="1" x14ac:dyDescent="0.15">
      <c r="A75" s="334">
        <v>2010</v>
      </c>
      <c r="B75" s="358"/>
      <c r="C75" s="812" t="s">
        <v>975</v>
      </c>
      <c r="D75" s="812"/>
      <c r="E75" s="334">
        <v>365</v>
      </c>
      <c r="G75" s="419">
        <v>10</v>
      </c>
      <c r="I75" s="334">
        <v>3</v>
      </c>
      <c r="J75" s="435">
        <v>19</v>
      </c>
      <c r="K75" s="384">
        <f t="shared" si="3"/>
        <v>52.631578947368418</v>
      </c>
      <c r="L75" s="384">
        <f t="shared" si="4"/>
        <v>0</v>
      </c>
      <c r="M75" s="384">
        <f t="shared" si="5"/>
        <v>15.789473684210526</v>
      </c>
      <c r="N75" s="421">
        <f t="shared" si="2"/>
        <v>68.421052631578945</v>
      </c>
      <c r="O75" s="383">
        <v>45.4</v>
      </c>
      <c r="P75" s="384"/>
      <c r="Q75" s="384">
        <v>6.7</v>
      </c>
      <c r="R75" s="385">
        <f t="shared" si="1"/>
        <v>52.1</v>
      </c>
      <c r="S75" s="334">
        <v>2</v>
      </c>
      <c r="T75" s="357"/>
      <c r="V75" s="343" t="s">
        <v>976</v>
      </c>
      <c r="W75" s="334" t="s">
        <v>319</v>
      </c>
      <c r="X75" s="334" t="s">
        <v>11</v>
      </c>
      <c r="Y75" s="344">
        <v>45.4</v>
      </c>
      <c r="Z75" s="343" t="s">
        <v>956</v>
      </c>
      <c r="AA75" s="334" t="s">
        <v>886</v>
      </c>
      <c r="AB75" s="334" t="s">
        <v>12</v>
      </c>
      <c r="AC75" s="334">
        <v>6.7</v>
      </c>
      <c r="AD75" s="343"/>
      <c r="AG75" s="344"/>
      <c r="AL75" s="343"/>
      <c r="AO75" s="344"/>
      <c r="AP75" s="343"/>
      <c r="AS75" s="344"/>
      <c r="AW75" s="344"/>
      <c r="BA75" s="345"/>
    </row>
    <row r="76" spans="1:53" s="334" customFormat="1" x14ac:dyDescent="0.15">
      <c r="A76" s="334">
        <v>2011</v>
      </c>
      <c r="B76" s="358"/>
      <c r="C76" s="812" t="s">
        <v>975</v>
      </c>
      <c r="D76" s="812"/>
      <c r="E76" s="334">
        <v>310</v>
      </c>
      <c r="G76" s="419">
        <v>10</v>
      </c>
      <c r="I76" s="334">
        <v>3</v>
      </c>
      <c r="J76" s="435">
        <v>19</v>
      </c>
      <c r="K76" s="384">
        <f t="shared" ref="K76:K84" si="6">G76/J76*100</f>
        <v>52.631578947368418</v>
      </c>
      <c r="L76" s="384">
        <f t="shared" ref="L76:L84" si="7">H76/J76*100</f>
        <v>0</v>
      </c>
      <c r="M76" s="384">
        <f t="shared" ref="M76:M84" si="8">I76/J76*100</f>
        <v>15.789473684210526</v>
      </c>
      <c r="N76" s="421">
        <f t="shared" si="2"/>
        <v>68.421052631578945</v>
      </c>
      <c r="O76" s="383">
        <v>45.4</v>
      </c>
      <c r="P76" s="384"/>
      <c r="Q76" s="384">
        <v>6.7</v>
      </c>
      <c r="R76" s="385">
        <f t="shared" si="1"/>
        <v>52.1</v>
      </c>
      <c r="S76" s="334">
        <v>2</v>
      </c>
      <c r="T76" s="357"/>
      <c r="V76" s="343" t="s">
        <v>976</v>
      </c>
      <c r="W76" s="334" t="s">
        <v>319</v>
      </c>
      <c r="X76" s="334" t="s">
        <v>11</v>
      </c>
      <c r="Y76" s="344">
        <v>45.4</v>
      </c>
      <c r="Z76" s="343" t="s">
        <v>956</v>
      </c>
      <c r="AA76" s="334" t="s">
        <v>886</v>
      </c>
      <c r="AB76" s="334" t="s">
        <v>12</v>
      </c>
      <c r="AC76" s="334">
        <v>6.7</v>
      </c>
      <c r="AD76" s="343"/>
      <c r="AG76" s="344"/>
      <c r="AL76" s="343"/>
      <c r="AO76" s="344"/>
      <c r="AP76" s="343"/>
      <c r="AS76" s="344"/>
      <c r="AW76" s="344"/>
      <c r="BA76" s="345"/>
    </row>
    <row r="77" spans="1:53" s="334" customFormat="1" x14ac:dyDescent="0.15">
      <c r="A77" s="334">
        <v>2011</v>
      </c>
      <c r="B77" s="465">
        <v>40854</v>
      </c>
      <c r="C77" s="812" t="s">
        <v>975</v>
      </c>
      <c r="D77" s="812"/>
      <c r="E77" s="334">
        <v>11</v>
      </c>
      <c r="F77" s="451">
        <v>0</v>
      </c>
      <c r="G77" s="419">
        <v>8</v>
      </c>
      <c r="I77" s="334">
        <v>3</v>
      </c>
      <c r="J77" s="435">
        <v>17</v>
      </c>
      <c r="K77" s="384">
        <f t="shared" si="6"/>
        <v>47.058823529411761</v>
      </c>
      <c r="L77" s="384">
        <f t="shared" si="7"/>
        <v>0</v>
      </c>
      <c r="M77" s="384">
        <f t="shared" si="8"/>
        <v>17.647058823529413</v>
      </c>
      <c r="N77" s="421">
        <f t="shared" si="2"/>
        <v>64.705882352941174</v>
      </c>
      <c r="O77" s="383">
        <v>45.4</v>
      </c>
      <c r="P77" s="384"/>
      <c r="Q77" s="384">
        <v>6.7</v>
      </c>
      <c r="R77" s="385">
        <f t="shared" si="1"/>
        <v>52.1</v>
      </c>
      <c r="S77" s="334">
        <v>2</v>
      </c>
      <c r="T77" s="357"/>
      <c r="V77" s="343" t="s">
        <v>976</v>
      </c>
      <c r="W77" s="334" t="s">
        <v>319</v>
      </c>
      <c r="X77" s="334" t="s">
        <v>11</v>
      </c>
      <c r="Y77" s="344">
        <v>45.4</v>
      </c>
      <c r="Z77" s="343" t="s">
        <v>956</v>
      </c>
      <c r="AA77" s="334" t="s">
        <v>886</v>
      </c>
      <c r="AB77" s="334" t="s">
        <v>12</v>
      </c>
      <c r="AC77" s="334">
        <v>6.7</v>
      </c>
      <c r="AD77" s="343"/>
      <c r="AG77" s="344"/>
      <c r="AL77" s="343"/>
      <c r="AO77" s="344"/>
      <c r="AP77" s="343"/>
      <c r="AS77" s="344"/>
      <c r="AW77" s="344"/>
      <c r="BA77" s="345"/>
    </row>
    <row r="78" spans="1:53" s="208" customFormat="1" x14ac:dyDescent="0.15">
      <c r="A78" s="208">
        <v>2011</v>
      </c>
      <c r="B78" s="133">
        <v>40865</v>
      </c>
      <c r="C78" s="811" t="s">
        <v>977</v>
      </c>
      <c r="D78" s="811"/>
      <c r="E78" s="208">
        <f xml:space="preserve"> 365-E77-E76</f>
        <v>44</v>
      </c>
      <c r="F78" s="208">
        <v>1</v>
      </c>
      <c r="G78" s="123">
        <v>12</v>
      </c>
      <c r="I78" s="208">
        <v>3</v>
      </c>
      <c r="J78" s="134">
        <v>20</v>
      </c>
      <c r="K78" s="92">
        <f t="shared" si="6"/>
        <v>60</v>
      </c>
      <c r="L78" s="92">
        <f t="shared" si="7"/>
        <v>0</v>
      </c>
      <c r="M78" s="92">
        <f t="shared" si="8"/>
        <v>15</v>
      </c>
      <c r="N78" s="125">
        <f t="shared" si="2"/>
        <v>75</v>
      </c>
      <c r="O78" s="91">
        <v>45</v>
      </c>
      <c r="P78" s="92"/>
      <c r="Q78" s="92">
        <v>6.1</v>
      </c>
      <c r="R78" s="93">
        <f t="shared" si="1"/>
        <v>51.1</v>
      </c>
      <c r="S78" s="208">
        <v>2</v>
      </c>
      <c r="T78" s="95">
        <v>40825</v>
      </c>
      <c r="U78" s="133">
        <v>40865</v>
      </c>
      <c r="V78" s="82" t="s">
        <v>976</v>
      </c>
      <c r="W78" s="208" t="s">
        <v>319</v>
      </c>
      <c r="X78" s="208" t="s">
        <v>11</v>
      </c>
      <c r="Y78" s="83">
        <v>45</v>
      </c>
      <c r="Z78" s="82" t="s">
        <v>956</v>
      </c>
      <c r="AA78" s="208" t="s">
        <v>886</v>
      </c>
      <c r="AB78" s="208" t="s">
        <v>12</v>
      </c>
      <c r="AC78" s="208">
        <v>6.1</v>
      </c>
      <c r="AD78" s="82"/>
      <c r="AG78" s="83"/>
      <c r="AL78" s="82"/>
      <c r="AO78" s="83"/>
      <c r="AP78" s="82"/>
      <c r="AS78" s="83"/>
      <c r="AW78" s="83"/>
      <c r="BA78" s="84"/>
    </row>
    <row r="79" spans="1:53" s="208" customFormat="1" x14ac:dyDescent="0.15">
      <c r="A79" s="208">
        <v>2012</v>
      </c>
      <c r="B79" s="215"/>
      <c r="C79" s="811" t="s">
        <v>977</v>
      </c>
      <c r="D79" s="811"/>
      <c r="E79" s="208">
        <v>0</v>
      </c>
      <c r="G79" s="123">
        <v>12</v>
      </c>
      <c r="I79" s="208">
        <v>3</v>
      </c>
      <c r="J79" s="134">
        <v>20</v>
      </c>
      <c r="K79" s="92">
        <f t="shared" si="6"/>
        <v>60</v>
      </c>
      <c r="L79" s="92">
        <f t="shared" si="7"/>
        <v>0</v>
      </c>
      <c r="M79" s="92">
        <f t="shared" si="8"/>
        <v>15</v>
      </c>
      <c r="N79" s="125">
        <f t="shared" si="2"/>
        <v>75</v>
      </c>
      <c r="O79" s="91">
        <v>45</v>
      </c>
      <c r="P79" s="92"/>
      <c r="Q79" s="92">
        <v>6.1</v>
      </c>
      <c r="R79" s="93">
        <f t="shared" si="1"/>
        <v>51.1</v>
      </c>
      <c r="S79" s="208">
        <v>2</v>
      </c>
      <c r="T79" s="81"/>
      <c r="V79" s="82" t="s">
        <v>976</v>
      </c>
      <c r="W79" s="208" t="s">
        <v>319</v>
      </c>
      <c r="X79" s="208" t="s">
        <v>11</v>
      </c>
      <c r="Y79" s="83">
        <v>45</v>
      </c>
      <c r="Z79" s="208" t="s">
        <v>956</v>
      </c>
      <c r="AA79" s="208" t="s">
        <v>886</v>
      </c>
      <c r="AB79" s="208" t="s">
        <v>12</v>
      </c>
      <c r="AC79" s="208">
        <v>6.1</v>
      </c>
      <c r="AD79" s="82"/>
      <c r="AG79" s="83"/>
      <c r="AL79" s="82"/>
      <c r="AO79" s="83"/>
      <c r="AP79" s="82"/>
      <c r="AS79" s="83"/>
      <c r="AW79" s="83"/>
      <c r="BA79" s="84"/>
    </row>
    <row r="80" spans="1:53" s="208" customFormat="1" x14ac:dyDescent="0.15">
      <c r="A80" s="208">
        <v>2012</v>
      </c>
      <c r="B80" s="122"/>
      <c r="C80" s="811" t="s">
        <v>977</v>
      </c>
      <c r="D80" s="811"/>
      <c r="E80" s="208">
        <v>366</v>
      </c>
      <c r="G80" s="123">
        <v>12</v>
      </c>
      <c r="I80" s="208">
        <v>3</v>
      </c>
      <c r="J80" s="134">
        <v>20</v>
      </c>
      <c r="K80" s="92">
        <f t="shared" si="6"/>
        <v>60</v>
      </c>
      <c r="L80" s="92">
        <f t="shared" si="7"/>
        <v>0</v>
      </c>
      <c r="M80" s="92">
        <f t="shared" si="8"/>
        <v>15</v>
      </c>
      <c r="N80" s="125">
        <f t="shared" si="2"/>
        <v>75</v>
      </c>
      <c r="O80" s="91">
        <v>45</v>
      </c>
      <c r="P80" s="92"/>
      <c r="Q80" s="92">
        <v>6.1</v>
      </c>
      <c r="R80" s="93">
        <f t="shared" si="1"/>
        <v>51.1</v>
      </c>
      <c r="S80" s="208">
        <v>2</v>
      </c>
      <c r="T80" s="81"/>
      <c r="V80" s="82" t="s">
        <v>976</v>
      </c>
      <c r="W80" s="208" t="s">
        <v>319</v>
      </c>
      <c r="X80" s="208" t="s">
        <v>11</v>
      </c>
      <c r="Y80" s="83">
        <v>45</v>
      </c>
      <c r="Z80" s="208" t="s">
        <v>956</v>
      </c>
      <c r="AA80" s="208" t="s">
        <v>886</v>
      </c>
      <c r="AB80" s="208" t="s">
        <v>12</v>
      </c>
      <c r="AC80" s="208">
        <v>6.1</v>
      </c>
      <c r="AD80" s="82"/>
      <c r="AG80" s="83"/>
      <c r="AL80" s="82"/>
      <c r="AO80" s="83"/>
      <c r="AP80" s="82"/>
      <c r="AS80" s="83"/>
      <c r="AW80" s="83"/>
      <c r="BA80" s="84"/>
    </row>
    <row r="81" spans="1:53" s="317" customFormat="1" x14ac:dyDescent="0.15">
      <c r="A81" s="317">
        <v>2013</v>
      </c>
      <c r="B81" s="122"/>
      <c r="C81" s="811" t="s">
        <v>977</v>
      </c>
      <c r="D81" s="811"/>
      <c r="E81" s="317">
        <v>55</v>
      </c>
      <c r="G81" s="123">
        <v>12</v>
      </c>
      <c r="I81" s="317">
        <v>3</v>
      </c>
      <c r="J81" s="134">
        <v>20</v>
      </c>
      <c r="K81" s="92">
        <f t="shared" si="6"/>
        <v>60</v>
      </c>
      <c r="L81" s="92">
        <f t="shared" si="7"/>
        <v>0</v>
      </c>
      <c r="M81" s="92">
        <f t="shared" si="8"/>
        <v>15</v>
      </c>
      <c r="N81" s="125">
        <f>SUM(K81:M81)</f>
        <v>75</v>
      </c>
      <c r="O81" s="91">
        <v>45</v>
      </c>
      <c r="P81" s="92"/>
      <c r="Q81" s="92">
        <v>6.1</v>
      </c>
      <c r="R81" s="93">
        <f t="shared" ref="R81:R87" si="9">SUM(O81:Q81)</f>
        <v>51.1</v>
      </c>
      <c r="S81" s="317">
        <v>2</v>
      </c>
      <c r="T81" s="81"/>
      <c r="V81" s="82" t="s">
        <v>976</v>
      </c>
      <c r="W81" s="317" t="s">
        <v>319</v>
      </c>
      <c r="X81" s="317" t="s">
        <v>11</v>
      </c>
      <c r="Y81" s="83">
        <v>45</v>
      </c>
      <c r="Z81" s="317" t="s">
        <v>956</v>
      </c>
      <c r="AA81" s="317" t="s">
        <v>886</v>
      </c>
      <c r="AB81" s="317" t="s">
        <v>12</v>
      </c>
      <c r="AC81" s="317">
        <v>6.1</v>
      </c>
      <c r="AD81" s="82"/>
      <c r="AG81" s="83"/>
      <c r="AL81" s="82"/>
      <c r="AO81" s="83"/>
      <c r="AP81" s="82"/>
      <c r="AS81" s="83"/>
      <c r="AW81" s="83"/>
      <c r="BA81" s="84"/>
    </row>
    <row r="82" spans="1:53" s="663" customFormat="1" x14ac:dyDescent="0.15">
      <c r="A82" s="663">
        <v>2013</v>
      </c>
      <c r="B82" s="603">
        <v>41330</v>
      </c>
      <c r="C82" s="811" t="s">
        <v>977</v>
      </c>
      <c r="D82" s="811"/>
      <c r="E82" s="663">
        <v>58</v>
      </c>
      <c r="F82" s="604">
        <v>0</v>
      </c>
      <c r="G82" s="600">
        <v>11</v>
      </c>
      <c r="I82" s="663">
        <v>3</v>
      </c>
      <c r="J82" s="602">
        <v>20</v>
      </c>
      <c r="K82" s="597">
        <f t="shared" si="6"/>
        <v>55.000000000000007</v>
      </c>
      <c r="L82" s="597">
        <f t="shared" si="7"/>
        <v>0</v>
      </c>
      <c r="M82" s="597">
        <f t="shared" si="8"/>
        <v>15</v>
      </c>
      <c r="N82" s="601">
        <f>SUM(K82:M82)</f>
        <v>70</v>
      </c>
      <c r="O82" s="596">
        <v>45</v>
      </c>
      <c r="P82" s="597"/>
      <c r="Q82" s="597">
        <v>6.1</v>
      </c>
      <c r="R82" s="598">
        <f t="shared" si="9"/>
        <v>51.1</v>
      </c>
      <c r="S82" s="663">
        <v>2</v>
      </c>
      <c r="T82" s="577"/>
      <c r="V82" s="592" t="s">
        <v>976</v>
      </c>
      <c r="W82" s="663" t="s">
        <v>319</v>
      </c>
      <c r="X82" s="663" t="s">
        <v>11</v>
      </c>
      <c r="Y82" s="593">
        <v>45</v>
      </c>
      <c r="Z82" s="663" t="s">
        <v>956</v>
      </c>
      <c r="AA82" s="663" t="s">
        <v>886</v>
      </c>
      <c r="AB82" s="663" t="s">
        <v>12</v>
      </c>
      <c r="AC82" s="663">
        <v>6.1</v>
      </c>
      <c r="AD82" s="592"/>
      <c r="AG82" s="593"/>
      <c r="AL82" s="592"/>
      <c r="AO82" s="593"/>
      <c r="AP82" s="592"/>
      <c r="AS82" s="593"/>
      <c r="AW82" s="593"/>
      <c r="BA82" s="594"/>
    </row>
    <row r="83" spans="1:53" s="321" customFormat="1" x14ac:dyDescent="0.15">
      <c r="A83" s="321">
        <v>2013</v>
      </c>
      <c r="B83" s="149">
        <v>41388</v>
      </c>
      <c r="C83" s="811" t="s">
        <v>977</v>
      </c>
      <c r="D83" s="811"/>
      <c r="E83" s="321">
        <v>217</v>
      </c>
      <c r="F83" s="150">
        <v>0</v>
      </c>
      <c r="G83" s="123">
        <v>12</v>
      </c>
      <c r="I83" s="321">
        <v>3</v>
      </c>
      <c r="J83" s="134">
        <v>20</v>
      </c>
      <c r="K83" s="92">
        <f t="shared" si="6"/>
        <v>60</v>
      </c>
      <c r="L83" s="92">
        <f t="shared" si="7"/>
        <v>0</v>
      </c>
      <c r="M83" s="92">
        <f t="shared" si="8"/>
        <v>15</v>
      </c>
      <c r="N83" s="125">
        <f>SUM(K83:M83)</f>
        <v>75</v>
      </c>
      <c r="O83" s="91">
        <v>45</v>
      </c>
      <c r="P83" s="92"/>
      <c r="Q83" s="92">
        <v>6.1</v>
      </c>
      <c r="R83" s="93">
        <f t="shared" si="9"/>
        <v>51.1</v>
      </c>
      <c r="S83" s="321">
        <v>2</v>
      </c>
      <c r="T83" s="81"/>
      <c r="V83" s="82" t="s">
        <v>976</v>
      </c>
      <c r="W83" s="321" t="s">
        <v>319</v>
      </c>
      <c r="X83" s="321" t="s">
        <v>11</v>
      </c>
      <c r="Y83" s="83">
        <v>45</v>
      </c>
      <c r="Z83" s="321" t="s">
        <v>956</v>
      </c>
      <c r="AA83" s="321" t="s">
        <v>886</v>
      </c>
      <c r="AB83" s="321" t="s">
        <v>12</v>
      </c>
      <c r="AC83" s="321">
        <v>6.1</v>
      </c>
      <c r="AD83" s="82"/>
      <c r="AG83" s="83"/>
      <c r="AL83" s="82"/>
      <c r="AO83" s="83"/>
      <c r="AP83" s="82"/>
      <c r="AS83" s="83"/>
      <c r="AW83" s="83"/>
      <c r="BA83" s="84"/>
    </row>
    <row r="84" spans="1:53" s="317" customFormat="1" x14ac:dyDescent="0.15">
      <c r="A84" s="317">
        <v>2013</v>
      </c>
      <c r="B84" s="149">
        <v>41605</v>
      </c>
      <c r="C84" s="811" t="s">
        <v>977</v>
      </c>
      <c r="D84" s="811"/>
      <c r="E84" s="317">
        <f>365-E83-E82-E81</f>
        <v>35</v>
      </c>
      <c r="F84" s="150">
        <v>0</v>
      </c>
      <c r="G84" s="123">
        <v>11</v>
      </c>
      <c r="I84" s="317">
        <v>3</v>
      </c>
      <c r="J84" s="134">
        <v>19</v>
      </c>
      <c r="K84" s="92">
        <f t="shared" si="6"/>
        <v>57.894736842105267</v>
      </c>
      <c r="L84" s="92">
        <f t="shared" si="7"/>
        <v>0</v>
      </c>
      <c r="M84" s="92">
        <f t="shared" si="8"/>
        <v>15.789473684210526</v>
      </c>
      <c r="N84" s="125">
        <f t="shared" si="2"/>
        <v>73.684210526315795</v>
      </c>
      <c r="O84" s="91">
        <v>45</v>
      </c>
      <c r="P84" s="92"/>
      <c r="Q84" s="92">
        <v>6.1</v>
      </c>
      <c r="R84" s="93">
        <f t="shared" si="9"/>
        <v>51.1</v>
      </c>
      <c r="S84" s="321">
        <v>2</v>
      </c>
      <c r="T84" s="81"/>
      <c r="U84" s="321"/>
      <c r="V84" s="82" t="s">
        <v>976</v>
      </c>
      <c r="W84" s="317" t="s">
        <v>319</v>
      </c>
      <c r="X84" s="317" t="s">
        <v>11</v>
      </c>
      <c r="Y84" s="83">
        <v>45</v>
      </c>
      <c r="Z84" s="317" t="s">
        <v>956</v>
      </c>
      <c r="AA84" s="317" t="s">
        <v>886</v>
      </c>
      <c r="AB84" s="317" t="s">
        <v>12</v>
      </c>
      <c r="AC84" s="317">
        <v>6.1</v>
      </c>
      <c r="AD84" s="82"/>
      <c r="AG84" s="83"/>
      <c r="AL84" s="82"/>
      <c r="AO84" s="83"/>
      <c r="AP84" s="82"/>
      <c r="AS84" s="83"/>
      <c r="AW84" s="83"/>
      <c r="BA84" s="84"/>
    </row>
    <row r="85" spans="1:53" s="663" customFormat="1" x14ac:dyDescent="0.15">
      <c r="A85" s="663">
        <v>2014</v>
      </c>
      <c r="B85" s="603"/>
      <c r="C85" s="811" t="s">
        <v>977</v>
      </c>
      <c r="D85" s="811"/>
      <c r="E85" s="663">
        <v>167</v>
      </c>
      <c r="F85" s="604"/>
      <c r="G85" s="600">
        <v>11</v>
      </c>
      <c r="I85" s="663">
        <v>3</v>
      </c>
      <c r="J85" s="602">
        <v>19</v>
      </c>
      <c r="K85" s="597">
        <f>G85/J85*100</f>
        <v>57.894736842105267</v>
      </c>
      <c r="L85" s="597">
        <f>H85/J85*100</f>
        <v>0</v>
      </c>
      <c r="M85" s="597">
        <f>I85/J85*100</f>
        <v>15.789473684210526</v>
      </c>
      <c r="N85" s="601">
        <f>SUM(K85:M85)</f>
        <v>73.684210526315795</v>
      </c>
      <c r="O85" s="596">
        <v>45</v>
      </c>
      <c r="P85" s="597"/>
      <c r="Q85" s="597">
        <v>6.1</v>
      </c>
      <c r="R85" s="598">
        <f t="shared" si="9"/>
        <v>51.1</v>
      </c>
      <c r="S85" s="663">
        <v>2</v>
      </c>
      <c r="T85" s="577"/>
      <c r="V85" s="592" t="s">
        <v>976</v>
      </c>
      <c r="W85" s="663" t="s">
        <v>319</v>
      </c>
      <c r="X85" s="663" t="s">
        <v>11</v>
      </c>
      <c r="Y85" s="593">
        <v>45</v>
      </c>
      <c r="Z85" s="663" t="s">
        <v>956</v>
      </c>
      <c r="AA85" s="663" t="s">
        <v>886</v>
      </c>
      <c r="AB85" s="663" t="s">
        <v>12</v>
      </c>
      <c r="AC85" s="663">
        <v>6.1</v>
      </c>
      <c r="AD85" s="592"/>
      <c r="AG85" s="593"/>
      <c r="AL85" s="592"/>
      <c r="AO85" s="593"/>
      <c r="AP85" s="592"/>
      <c r="AS85" s="593"/>
      <c r="AW85" s="593"/>
      <c r="BA85" s="594"/>
    </row>
    <row r="86" spans="1:53" s="663" customFormat="1" x14ac:dyDescent="0.15">
      <c r="A86" s="663">
        <v>2014</v>
      </c>
      <c r="B86" s="603">
        <v>41807</v>
      </c>
      <c r="C86" s="811" t="s">
        <v>977</v>
      </c>
      <c r="D86" s="811"/>
      <c r="E86" s="663">
        <v>97</v>
      </c>
      <c r="F86" s="604">
        <v>0</v>
      </c>
      <c r="G86" s="600">
        <v>10</v>
      </c>
      <c r="I86" s="663">
        <v>3</v>
      </c>
      <c r="J86" s="602">
        <v>19</v>
      </c>
      <c r="K86" s="597">
        <f>G86/J86*100</f>
        <v>52.631578947368418</v>
      </c>
      <c r="L86" s="597">
        <f>H86/J86*100</f>
        <v>0</v>
      </c>
      <c r="M86" s="597">
        <f>I86/J86*100</f>
        <v>15.789473684210526</v>
      </c>
      <c r="N86" s="601">
        <f>SUM(K86:M86)</f>
        <v>68.421052631578945</v>
      </c>
      <c r="O86" s="596">
        <v>45</v>
      </c>
      <c r="P86" s="597"/>
      <c r="Q86" s="597">
        <v>6.1</v>
      </c>
      <c r="R86" s="598">
        <f t="shared" si="9"/>
        <v>51.1</v>
      </c>
      <c r="S86" s="663">
        <v>2</v>
      </c>
      <c r="T86" s="577"/>
      <c r="V86" s="592" t="s">
        <v>976</v>
      </c>
      <c r="W86" s="663" t="s">
        <v>319</v>
      </c>
      <c r="X86" s="663" t="s">
        <v>11</v>
      </c>
      <c r="Y86" s="593">
        <v>45</v>
      </c>
      <c r="Z86" s="663" t="s">
        <v>956</v>
      </c>
      <c r="AA86" s="663" t="s">
        <v>886</v>
      </c>
      <c r="AB86" s="663" t="s">
        <v>12</v>
      </c>
      <c r="AC86" s="663">
        <v>6.1</v>
      </c>
      <c r="AD86" s="592"/>
      <c r="AG86" s="593"/>
      <c r="AL86" s="592"/>
      <c r="AO86" s="593"/>
      <c r="AP86" s="592"/>
      <c r="AS86" s="593"/>
      <c r="AW86" s="593"/>
      <c r="BA86" s="594"/>
    </row>
    <row r="87" spans="1:53" s="664" customFormat="1" x14ac:dyDescent="0.15">
      <c r="A87" s="664">
        <v>2014</v>
      </c>
      <c r="B87" s="335">
        <v>41904</v>
      </c>
      <c r="C87" s="812" t="s">
        <v>1320</v>
      </c>
      <c r="D87" s="812"/>
      <c r="E87" s="664">
        <v>101</v>
      </c>
      <c r="F87" s="664">
        <v>2</v>
      </c>
      <c r="G87" s="649">
        <v>11</v>
      </c>
      <c r="I87" s="664">
        <v>3</v>
      </c>
      <c r="J87" s="651">
        <v>19</v>
      </c>
      <c r="K87" s="647">
        <f>G87/J87*100</f>
        <v>57.894736842105267</v>
      </c>
      <c r="L87" s="647">
        <f>H87/J87*100</f>
        <v>0</v>
      </c>
      <c r="M87" s="647">
        <f>I87/J87*100</f>
        <v>15.789473684210526</v>
      </c>
      <c r="N87" s="650">
        <f>SUM(K87:M87)</f>
        <v>73.684210526315795</v>
      </c>
      <c r="O87" s="646">
        <v>44</v>
      </c>
      <c r="P87" s="647"/>
      <c r="Q87" s="647">
        <v>7</v>
      </c>
      <c r="R87" s="648">
        <f t="shared" si="9"/>
        <v>51</v>
      </c>
      <c r="S87" s="664">
        <v>2</v>
      </c>
      <c r="T87" s="487"/>
      <c r="U87" s="335">
        <v>41904</v>
      </c>
      <c r="V87" s="641" t="s">
        <v>976</v>
      </c>
      <c r="W87" s="664" t="s">
        <v>319</v>
      </c>
      <c r="X87" s="664" t="s">
        <v>11</v>
      </c>
      <c r="Y87" s="642">
        <v>44</v>
      </c>
      <c r="Z87" s="641" t="s">
        <v>956</v>
      </c>
      <c r="AA87" s="664" t="s">
        <v>886</v>
      </c>
      <c r="AB87" s="664" t="s">
        <v>12</v>
      </c>
      <c r="AC87" s="664">
        <v>7</v>
      </c>
      <c r="AD87" s="641"/>
      <c r="AG87" s="642"/>
      <c r="AL87" s="641"/>
      <c r="AO87" s="642"/>
      <c r="AP87" s="641"/>
      <c r="AS87" s="642"/>
      <c r="AW87" s="642"/>
      <c r="BA87" s="643"/>
    </row>
    <row r="88" spans="1:53" s="752" customFormat="1" x14ac:dyDescent="0.15">
      <c r="A88" s="752">
        <v>2015</v>
      </c>
      <c r="B88" s="335"/>
      <c r="C88" s="812" t="s">
        <v>1320</v>
      </c>
      <c r="D88" s="812"/>
      <c r="E88" s="752">
        <v>166</v>
      </c>
      <c r="G88" s="649">
        <v>11</v>
      </c>
      <c r="I88" s="752">
        <v>3</v>
      </c>
      <c r="J88" s="651">
        <v>19</v>
      </c>
      <c r="K88" s="647">
        <f t="shared" ref="K88:K90" si="10">G88/J88*100</f>
        <v>57.894736842105267</v>
      </c>
      <c r="L88" s="647">
        <f t="shared" ref="L88:L90" si="11">H88/J88*100</f>
        <v>0</v>
      </c>
      <c r="M88" s="647">
        <f t="shared" ref="M88:M90" si="12">I88/J88*100</f>
        <v>15.789473684210526</v>
      </c>
      <c r="N88" s="650">
        <f t="shared" ref="N88:N90" si="13">SUM(K88:M88)</f>
        <v>73.684210526315795</v>
      </c>
      <c r="O88" s="646">
        <v>44</v>
      </c>
      <c r="P88" s="647"/>
      <c r="Q88" s="647">
        <v>7</v>
      </c>
      <c r="R88" s="648">
        <f t="shared" ref="R88:R89" si="14">SUM(O88:Q88)</f>
        <v>51</v>
      </c>
      <c r="S88" s="752">
        <v>2</v>
      </c>
      <c r="T88" s="487"/>
      <c r="U88" s="335"/>
      <c r="V88" s="641" t="s">
        <v>976</v>
      </c>
      <c r="W88" s="752" t="s">
        <v>319</v>
      </c>
      <c r="X88" s="752" t="s">
        <v>11</v>
      </c>
      <c r="Y88" s="642">
        <v>44</v>
      </c>
      <c r="Z88" s="641" t="s">
        <v>956</v>
      </c>
      <c r="AA88" s="752" t="s">
        <v>886</v>
      </c>
      <c r="AB88" s="752" t="s">
        <v>12</v>
      </c>
      <c r="AC88" s="752">
        <v>7</v>
      </c>
      <c r="AD88" s="641"/>
      <c r="AG88" s="642"/>
      <c r="AL88" s="641"/>
      <c r="AO88" s="642"/>
      <c r="AP88" s="641"/>
      <c r="AS88" s="642"/>
      <c r="AW88" s="642"/>
      <c r="BA88" s="643"/>
    </row>
    <row r="89" spans="1:53" s="752" customFormat="1" x14ac:dyDescent="0.15">
      <c r="A89" s="752">
        <v>2015</v>
      </c>
      <c r="B89" s="440">
        <v>42171</v>
      </c>
      <c r="C89" s="812" t="s">
        <v>1320</v>
      </c>
      <c r="D89" s="812"/>
      <c r="E89" s="752">
        <v>153</v>
      </c>
      <c r="F89" s="501">
        <v>0</v>
      </c>
      <c r="G89" s="649">
        <v>9</v>
      </c>
      <c r="I89" s="752">
        <v>3</v>
      </c>
      <c r="J89" s="651">
        <v>19</v>
      </c>
      <c r="K89" s="647">
        <f t="shared" si="10"/>
        <v>47.368421052631575</v>
      </c>
      <c r="L89" s="647">
        <f t="shared" si="11"/>
        <v>0</v>
      </c>
      <c r="M89" s="647">
        <f t="shared" si="12"/>
        <v>15.789473684210526</v>
      </c>
      <c r="N89" s="650">
        <f t="shared" si="13"/>
        <v>63.157894736842103</v>
      </c>
      <c r="O89" s="646">
        <v>44</v>
      </c>
      <c r="P89" s="647"/>
      <c r="Q89" s="647">
        <v>7</v>
      </c>
      <c r="R89" s="648">
        <f t="shared" si="14"/>
        <v>51</v>
      </c>
      <c r="S89" s="752">
        <v>2</v>
      </c>
      <c r="T89" s="487"/>
      <c r="U89" s="335"/>
      <c r="V89" s="641" t="s">
        <v>976</v>
      </c>
      <c r="W89" s="752" t="s">
        <v>319</v>
      </c>
      <c r="X89" s="752" t="s">
        <v>11</v>
      </c>
      <c r="Y89" s="642">
        <v>44</v>
      </c>
      <c r="Z89" s="641" t="s">
        <v>956</v>
      </c>
      <c r="AA89" s="752" t="s">
        <v>886</v>
      </c>
      <c r="AB89" s="752" t="s">
        <v>12</v>
      </c>
      <c r="AC89" s="752">
        <v>7</v>
      </c>
      <c r="AD89" s="641"/>
      <c r="AG89" s="642"/>
      <c r="AL89" s="641"/>
      <c r="AO89" s="642"/>
      <c r="AP89" s="641"/>
      <c r="AS89" s="642"/>
      <c r="AW89" s="642"/>
      <c r="BA89" s="643"/>
    </row>
    <row r="90" spans="1:53" s="751" customFormat="1" x14ac:dyDescent="0.15">
      <c r="A90" s="751">
        <v>2015</v>
      </c>
      <c r="B90" s="133">
        <v>42324</v>
      </c>
      <c r="C90" s="811" t="s">
        <v>1346</v>
      </c>
      <c r="D90" s="811"/>
      <c r="E90" s="751">
        <v>46</v>
      </c>
      <c r="F90" s="751">
        <v>1</v>
      </c>
      <c r="G90" s="600">
        <v>18</v>
      </c>
      <c r="J90" s="602">
        <v>24</v>
      </c>
      <c r="K90" s="597">
        <f t="shared" si="10"/>
        <v>75</v>
      </c>
      <c r="L90" s="597">
        <f t="shared" si="11"/>
        <v>0</v>
      </c>
      <c r="M90" s="597">
        <f t="shared" si="12"/>
        <v>0</v>
      </c>
      <c r="N90" s="601">
        <f t="shared" si="13"/>
        <v>75</v>
      </c>
      <c r="O90" s="596">
        <v>51.1</v>
      </c>
      <c r="P90" s="597"/>
      <c r="Q90" s="597"/>
      <c r="R90" s="598">
        <v>51.1</v>
      </c>
      <c r="S90" s="774">
        <v>1</v>
      </c>
      <c r="T90" s="599">
        <v>42302</v>
      </c>
      <c r="U90" s="133">
        <v>42324</v>
      </c>
      <c r="V90" s="592" t="s">
        <v>1347</v>
      </c>
      <c r="W90" s="751" t="s">
        <v>77</v>
      </c>
      <c r="X90" s="751" t="s">
        <v>11</v>
      </c>
      <c r="Y90" s="593">
        <v>51.1</v>
      </c>
      <c r="Z90" s="592"/>
      <c r="AD90" s="592"/>
      <c r="AG90" s="593"/>
      <c r="AL90" s="592"/>
      <c r="AO90" s="593"/>
      <c r="AP90" s="592"/>
      <c r="AS90" s="593"/>
      <c r="AW90" s="593"/>
      <c r="BA90" s="594"/>
    </row>
    <row r="91" spans="1:53" x14ac:dyDescent="0.15">
      <c r="L91" s="18"/>
    </row>
    <row r="92" spans="1:53" x14ac:dyDescent="0.15">
      <c r="B92" s="2"/>
      <c r="C92" s="2"/>
      <c r="D92" s="2"/>
      <c r="E92" s="2"/>
      <c r="F92" s="2"/>
      <c r="G92" s="2"/>
      <c r="H92" s="2"/>
      <c r="I92" s="2"/>
      <c r="J92" s="2"/>
      <c r="K92" s="2"/>
      <c r="L92" s="2"/>
      <c r="M92" s="2"/>
      <c r="N92" s="2"/>
    </row>
    <row r="93" spans="1:53" s="2" customFormat="1" ht="18" customHeight="1" x14ac:dyDescent="0.2">
      <c r="B93" s="22" t="s">
        <v>1284</v>
      </c>
    </row>
    <row r="94" spans="1:53" s="2" customFormat="1" ht="9" customHeight="1" x14ac:dyDescent="0.15"/>
    <row r="95" spans="1:53" s="364" customFormat="1" ht="9" customHeight="1" x14ac:dyDescent="0.15">
      <c r="A95" s="362"/>
      <c r="B95" s="363" t="s">
        <v>1235</v>
      </c>
      <c r="C95" s="363"/>
      <c r="D95" s="363"/>
      <c r="E95" s="363"/>
      <c r="F95" s="363"/>
      <c r="G95" s="363" t="s">
        <v>1236</v>
      </c>
      <c r="H95" s="363"/>
      <c r="I95" s="363"/>
      <c r="J95" s="363"/>
      <c r="K95" s="363"/>
      <c r="L95" s="363"/>
      <c r="M95" s="363"/>
      <c r="N95" s="363"/>
      <c r="R95" s="802" t="s">
        <v>1237</v>
      </c>
      <c r="S95" s="802"/>
      <c r="T95" s="802"/>
      <c r="U95" s="802"/>
      <c r="V95" s="802"/>
      <c r="W95" s="802"/>
      <c r="X95" s="365"/>
      <c r="Y95" s="365"/>
      <c r="AA95" s="365"/>
      <c r="AB95" s="365"/>
      <c r="AC95" s="365"/>
      <c r="AD95" s="365"/>
    </row>
    <row r="96" spans="1:53" s="369" customFormat="1" ht="9" customHeight="1" x14ac:dyDescent="0.15">
      <c r="A96" s="366"/>
      <c r="B96" s="367" t="s">
        <v>1239</v>
      </c>
      <c r="C96" s="368"/>
      <c r="D96" s="368"/>
      <c r="E96" s="368"/>
      <c r="F96" s="368"/>
      <c r="G96" s="367" t="s">
        <v>1238</v>
      </c>
      <c r="H96" s="368"/>
      <c r="I96" s="368"/>
      <c r="J96" s="368"/>
      <c r="K96" s="368"/>
      <c r="L96" s="368"/>
      <c r="M96" s="368"/>
      <c r="N96" s="368"/>
      <c r="R96" s="370" t="s">
        <v>1240</v>
      </c>
      <c r="S96" s="371"/>
      <c r="T96" s="372"/>
      <c r="U96" s="372"/>
      <c r="V96" s="372"/>
      <c r="W96" s="370" t="s">
        <v>1241</v>
      </c>
      <c r="X96" s="372"/>
      <c r="Y96" s="372"/>
      <c r="AA96" s="372"/>
      <c r="AB96" s="372"/>
      <c r="AC96" s="372"/>
      <c r="AD96" s="372"/>
    </row>
    <row r="97" spans="1:27" s="351" customFormat="1" ht="12" customHeight="1" x14ac:dyDescent="0.15">
      <c r="A97" s="373" t="s">
        <v>3</v>
      </c>
      <c r="B97" s="374" t="s">
        <v>8</v>
      </c>
      <c r="C97" s="374" t="s">
        <v>9</v>
      </c>
      <c r="D97" s="374" t="s">
        <v>10</v>
      </c>
      <c r="E97" s="375" t="s">
        <v>1215</v>
      </c>
      <c r="F97" s="374"/>
      <c r="G97" s="351" t="s">
        <v>3</v>
      </c>
      <c r="H97" s="803" t="s">
        <v>0</v>
      </c>
      <c r="I97" s="803"/>
      <c r="J97" s="803" t="s">
        <v>1</v>
      </c>
      <c r="K97" s="803"/>
      <c r="L97" s="803" t="s">
        <v>2</v>
      </c>
      <c r="M97" s="803"/>
      <c r="N97" s="804" t="s">
        <v>1215</v>
      </c>
      <c r="O97" s="804"/>
      <c r="P97" s="376"/>
      <c r="Q97" s="376"/>
      <c r="R97" s="377" t="s">
        <v>3</v>
      </c>
      <c r="S97" s="378" t="s">
        <v>136</v>
      </c>
      <c r="T97" s="376" t="s">
        <v>134</v>
      </c>
      <c r="U97" s="374" t="s">
        <v>135</v>
      </c>
      <c r="V97" s="376"/>
      <c r="W97" s="379" t="s">
        <v>26</v>
      </c>
    </row>
    <row r="98" spans="1:27" s="16" customFormat="1" ht="9" customHeight="1" x14ac:dyDescent="0.15">
      <c r="A98" s="44">
        <v>1990</v>
      </c>
      <c r="B98" s="196"/>
      <c r="C98" s="196"/>
      <c r="D98" s="196"/>
      <c r="E98" s="211"/>
      <c r="F98" s="196"/>
      <c r="G98" s="16">
        <v>1990</v>
      </c>
      <c r="H98" s="196"/>
      <c r="I98" s="196"/>
      <c r="J98" s="196"/>
      <c r="K98" s="196"/>
      <c r="L98" s="196"/>
      <c r="M98" s="196"/>
      <c r="N98" s="211"/>
      <c r="O98" s="211"/>
      <c r="P98" s="197"/>
      <c r="Q98" s="197"/>
      <c r="R98" s="203">
        <v>1990</v>
      </c>
      <c r="S98" s="197"/>
      <c r="T98" s="197"/>
      <c r="U98" s="196"/>
      <c r="V98" s="197"/>
      <c r="W98" s="198"/>
    </row>
    <row r="99" spans="1:27" ht="9" customHeight="1" x14ac:dyDescent="0.15">
      <c r="A99" s="1">
        <v>1991</v>
      </c>
      <c r="B99" s="8">
        <f xml:space="preserve"> (K7*($E7/9))</f>
        <v>13.043478260869565</v>
      </c>
      <c r="C99" s="8">
        <f xml:space="preserve"> (L7*($E7/9))</f>
        <v>53.666666666666671</v>
      </c>
      <c r="D99" s="8">
        <f xml:space="preserve"> (M7*($E7/9))</f>
        <v>0</v>
      </c>
      <c r="E99" s="52">
        <f>B99+C99+D99</f>
        <v>66.710144927536234</v>
      </c>
      <c r="G99" s="1">
        <v>1991</v>
      </c>
      <c r="H99" s="822">
        <f>(O7/$R7*100*($E7/9))</f>
        <v>36.363636363636367</v>
      </c>
      <c r="I99" s="822"/>
      <c r="J99" s="822">
        <f>(P7/$R7*100*($E7/9))</f>
        <v>63.636363636363647</v>
      </c>
      <c r="K99" s="822"/>
      <c r="L99" s="822">
        <f>(Q7/$R7*100*($E7/9))</f>
        <v>0</v>
      </c>
      <c r="M99" s="822"/>
      <c r="N99" s="832">
        <f t="shared" ref="N99:N120" si="15">H99+J99+L99</f>
        <v>100.00000000000001</v>
      </c>
      <c r="O99" s="832"/>
      <c r="P99" s="12"/>
      <c r="Q99" s="12"/>
      <c r="R99" s="1">
        <v>1991</v>
      </c>
      <c r="S99" s="8">
        <f xml:space="preserve"> (O7*($E7/9))</f>
        <v>9.6</v>
      </c>
      <c r="T99" s="8">
        <f xml:space="preserve"> (P7*($E7/9))</f>
        <v>16.8</v>
      </c>
      <c r="U99" s="8">
        <f xml:space="preserve"> (Q7*($E7/9))</f>
        <v>0</v>
      </c>
      <c r="V99" s="12"/>
      <c r="W99" s="7">
        <f>S99+T99+U99</f>
        <v>26.4</v>
      </c>
      <c r="X99" s="68"/>
      <c r="Y99" s="71" t="s">
        <v>1174</v>
      </c>
      <c r="Z99" s="68"/>
      <c r="AA99" s="68"/>
    </row>
    <row r="100" spans="1:27" ht="9" customHeight="1" x14ac:dyDescent="0.15">
      <c r="A100" s="1">
        <v>1992</v>
      </c>
      <c r="B100" s="8">
        <f xml:space="preserve"> (K8*($E8/366))+(K9*($E9/366))+(K10*($E10/366))</f>
        <v>23.110252466519107</v>
      </c>
      <c r="C100" s="8">
        <f xml:space="preserve"> (L8*($E8/366))+(L9*($E9/366))+(L10*($E10/366))</f>
        <v>34.634530314858182</v>
      </c>
      <c r="D100" s="8">
        <f xml:space="preserve"> (M8*($E8/366))+(M9*($E9/366))+(M10*($E10/366))</f>
        <v>0</v>
      </c>
      <c r="E100" s="52">
        <f t="shared" ref="E100:E120" si="16">B100+C100+D100</f>
        <v>57.744782781377289</v>
      </c>
      <c r="G100" s="1">
        <v>1992</v>
      </c>
      <c r="H100" s="822">
        <f>(O8/$R8*100*($E8/366))+(O10/$R10*100*($E10/366))</f>
        <v>41.541023953439691</v>
      </c>
      <c r="I100" s="822"/>
      <c r="J100" s="822">
        <f>(P8/$R8*100*($E8/366))+(P10/$R10*100*($E10/366))</f>
        <v>48.896134516505654</v>
      </c>
      <c r="K100" s="822"/>
      <c r="L100" s="822">
        <f>(Q8/$R8*100*($E8/366))+(Q10/$R10*100*($E10/366))</f>
        <v>0</v>
      </c>
      <c r="M100" s="822"/>
      <c r="N100" s="832">
        <f t="shared" si="15"/>
        <v>90.437158469945345</v>
      </c>
      <c r="O100" s="832"/>
      <c r="P100" s="12"/>
      <c r="Q100" s="12"/>
      <c r="R100" s="1">
        <v>1992</v>
      </c>
      <c r="S100" s="8">
        <f xml:space="preserve"> (O8*($E8/366))+(O9*($E9/366))+(O10*($E10/366))</f>
        <v>14.339344262295082</v>
      </c>
      <c r="T100" s="8">
        <f xml:space="preserve"> (P8*($E8/366))+(P9*($E9/366))+(P10*($E10/366))</f>
        <v>15.716393442622948</v>
      </c>
      <c r="U100" s="8">
        <f xml:space="preserve"> (Q8*($E8/366))+(Q9*($E9/366))+(Q10*($E10/366))</f>
        <v>0</v>
      </c>
      <c r="V100" s="12"/>
      <c r="W100" s="7">
        <f t="shared" ref="W100:W119" si="17">S100+T100+U100</f>
        <v>30.05573770491803</v>
      </c>
    </row>
    <row r="101" spans="1:27" ht="9" customHeight="1" x14ac:dyDescent="0.15">
      <c r="A101" s="1">
        <v>1993</v>
      </c>
      <c r="B101" s="8">
        <f xml:space="preserve"> (K11*($E11/365))+(K12*($E12/365))</f>
        <v>30.079307858687812</v>
      </c>
      <c r="C101" s="8">
        <f xml:space="preserve"> (L11*($E11/365))+(L12*($E12/365))</f>
        <v>19.944422700587086</v>
      </c>
      <c r="D101" s="8">
        <f xml:space="preserve"> (M11*($E11/365))+(M12*($E12/365))</f>
        <v>11.931506849315069</v>
      </c>
      <c r="E101" s="52">
        <f t="shared" si="16"/>
        <v>61.955237408589966</v>
      </c>
      <c r="G101" s="1">
        <v>1993</v>
      </c>
      <c r="H101" s="822">
        <f>(O11/$R11*100*($E11/365))+(O12/$R12*100*($E12/365))</f>
        <v>44.551839232320418</v>
      </c>
      <c r="I101" s="822"/>
      <c r="J101" s="822">
        <f>(P11/$R11*100*($E11/365))+(P12/$R12*100*($E12/365))</f>
        <v>37.091996384117934</v>
      </c>
      <c r="K101" s="822"/>
      <c r="L101" s="822">
        <f>(Q11/$R11*100*($E11/365))+(Q12/$R12*100*($E12/365))</f>
        <v>18.356164383561644</v>
      </c>
      <c r="M101" s="822"/>
      <c r="N101" s="832">
        <f t="shared" si="15"/>
        <v>100</v>
      </c>
      <c r="O101" s="832"/>
      <c r="P101" s="12"/>
      <c r="Q101" s="12"/>
      <c r="R101" s="1">
        <v>1993</v>
      </c>
      <c r="S101" s="8">
        <f xml:space="preserve"> (O11*($E11/365))+(O12*($E12/365))</f>
        <v>17.553424657534247</v>
      </c>
      <c r="T101" s="8">
        <f xml:space="preserve"> (P11*($E11/365))+(P12*($E12/365))</f>
        <v>14.614246575342465</v>
      </c>
      <c r="U101" s="8">
        <f xml:space="preserve"> (Q11*($E11/365))+(Q12*($E12/365))</f>
        <v>12.096712328767124</v>
      </c>
      <c r="V101" s="12"/>
      <c r="W101" s="7">
        <f t="shared" si="17"/>
        <v>44.264383561643839</v>
      </c>
    </row>
    <row r="102" spans="1:27" ht="9" customHeight="1" x14ac:dyDescent="0.15">
      <c r="A102" s="1">
        <v>1994</v>
      </c>
      <c r="B102" s="8">
        <f xml:space="preserve"> (K13*($E13/365))+(K14*($E14/365))</f>
        <v>0</v>
      </c>
      <c r="C102" s="8">
        <f xml:space="preserve"> (L13*($E13/365))+(L14*($E14/365))</f>
        <v>0</v>
      </c>
      <c r="D102" s="8">
        <f xml:space="preserve"> (M13*($E13/365))+(M14*($E14/365))</f>
        <v>65</v>
      </c>
      <c r="E102" s="52">
        <f t="shared" si="16"/>
        <v>65</v>
      </c>
      <c r="G102" s="1">
        <v>1994</v>
      </c>
      <c r="H102" s="822">
        <f>(O13/$R13*100*($E13/365))+(O14/$R14*100*($E14/365))</f>
        <v>0</v>
      </c>
      <c r="I102" s="822"/>
      <c r="J102" s="822">
        <f>(P13/$R13*100*($E13/365))+(P14/$R14*100*($E14/365))</f>
        <v>0</v>
      </c>
      <c r="K102" s="822"/>
      <c r="L102" s="822">
        <f>(Q13/$R13*100*($E13/365))+(Q14/$R14*100*($E14/365))</f>
        <v>100</v>
      </c>
      <c r="M102" s="822"/>
      <c r="N102" s="832">
        <f t="shared" si="15"/>
        <v>100</v>
      </c>
      <c r="O102" s="832"/>
      <c r="P102" s="12"/>
      <c r="Q102" s="12"/>
      <c r="R102" s="1">
        <v>1994</v>
      </c>
      <c r="S102" s="8">
        <f xml:space="preserve"> (O13*($E13/365))+(O14*($E14/365))</f>
        <v>0</v>
      </c>
      <c r="T102" s="8">
        <f xml:space="preserve"> (P13*($E13/365))+(P14*($E14/365))</f>
        <v>0</v>
      </c>
      <c r="U102" s="8">
        <f xml:space="preserve"> (Q13*($E13/365))+(Q14*($E14/365))</f>
        <v>65.900000000000006</v>
      </c>
      <c r="V102" s="12"/>
      <c r="W102" s="7">
        <f t="shared" si="17"/>
        <v>65.900000000000006</v>
      </c>
    </row>
    <row r="103" spans="1:27" ht="9" customHeight="1" x14ac:dyDescent="0.15">
      <c r="A103" s="1">
        <v>1995</v>
      </c>
      <c r="B103" s="8">
        <f xml:space="preserve"> (K15*($E15/365))+(K16*($E16/365))</f>
        <v>0</v>
      </c>
      <c r="C103" s="8">
        <f xml:space="preserve"> (L15*($E15/365))+(L16*($E16/365))</f>
        <v>0</v>
      </c>
      <c r="D103" s="8">
        <f xml:space="preserve"> (M15*($E15/365))+(M16*($E16/365))</f>
        <v>82.082191780821915</v>
      </c>
      <c r="E103" s="52">
        <f t="shared" si="16"/>
        <v>82.082191780821915</v>
      </c>
      <c r="G103" s="1">
        <v>1995</v>
      </c>
      <c r="H103" s="822">
        <f>(O15/$R15*100*($E15/365))+(O16/$R16*100*($E16/365))</f>
        <v>0</v>
      </c>
      <c r="I103" s="822"/>
      <c r="J103" s="822">
        <f>(P15/$R15*100*($E15/365))+(P16/$R16*100*($E16/365))</f>
        <v>0</v>
      </c>
      <c r="K103" s="822"/>
      <c r="L103" s="822">
        <f>(Q15/$R15*100*($E15/365))+(Q16/$R16*100*($E16/365))</f>
        <v>100</v>
      </c>
      <c r="M103" s="822"/>
      <c r="N103" s="832">
        <f t="shared" si="15"/>
        <v>100</v>
      </c>
      <c r="O103" s="832"/>
      <c r="P103" s="12"/>
      <c r="Q103" s="12"/>
      <c r="R103" s="1">
        <v>1995</v>
      </c>
      <c r="S103" s="8">
        <f xml:space="preserve"> (O15*($E15/365))+(O16*($E16/365))</f>
        <v>0</v>
      </c>
      <c r="T103" s="8">
        <f xml:space="preserve"> (P15*($E15/365))+(P16*($E16/365))</f>
        <v>0</v>
      </c>
      <c r="U103" s="8">
        <f xml:space="preserve"> (Q15*($E15/365))+(Q16*($E16/365))</f>
        <v>65.900000000000006</v>
      </c>
      <c r="V103" s="12"/>
      <c r="W103" s="7">
        <f t="shared" si="17"/>
        <v>65.900000000000006</v>
      </c>
    </row>
    <row r="104" spans="1:27" ht="9" customHeight="1" x14ac:dyDescent="0.15">
      <c r="A104" s="1">
        <v>1996</v>
      </c>
      <c r="B104" s="8">
        <f xml:space="preserve"> (K17*($E17/366))+(K18*($E18/366))+(K19*($E19/366))</f>
        <v>0</v>
      </c>
      <c r="C104" s="8">
        <f xml:space="preserve"> (L17*($E17/366))+(L18*($E18/366))+(L19*($E19/366))</f>
        <v>0</v>
      </c>
      <c r="D104" s="8">
        <f xml:space="preserve"> (M17*($E17/366))+(M18*($E18/366))+(M19*($E19/366))</f>
        <v>68.173302107728347</v>
      </c>
      <c r="E104" s="52">
        <f t="shared" si="16"/>
        <v>68.173302107728347</v>
      </c>
      <c r="G104" s="1">
        <v>1996</v>
      </c>
      <c r="H104" s="822">
        <f>(O17/$R17*100*($E17/366))+(O18/$R18*100*($E18/366))+(O19/$R19*100*($E19/366))</f>
        <v>0</v>
      </c>
      <c r="I104" s="822"/>
      <c r="J104" s="822">
        <f>(P17/$R17*100*($E17/366))+(P18/$R18*100*($E18/366))+(P19/$R19*100*($E19/366))</f>
        <v>0</v>
      </c>
      <c r="K104" s="822"/>
      <c r="L104" s="822">
        <f>(Q17/$R17*100*($E17/366))+(Q18/$R18*100*($E18/366))+(Q19/$R19*100*($E19/366))</f>
        <v>100.00000000000001</v>
      </c>
      <c r="M104" s="822"/>
      <c r="N104" s="832">
        <f t="shared" si="15"/>
        <v>100.00000000000001</v>
      </c>
      <c r="O104" s="832"/>
      <c r="P104" s="12"/>
      <c r="Q104" s="12"/>
      <c r="R104" s="1">
        <v>1996</v>
      </c>
      <c r="S104" s="8">
        <f xml:space="preserve"> (O17*($E17/366))+(O18*($E18/366))+(O19*($E19/366))</f>
        <v>0</v>
      </c>
      <c r="T104" s="8">
        <f xml:space="preserve"> (P17*($E17/366))+(P18*($E18/366))+(P19*($E19/366))</f>
        <v>0</v>
      </c>
      <c r="U104" s="8">
        <f xml:space="preserve"> (Q17*($E17/366))+(Q18*($E18/366))+(Q19*($E19/366))</f>
        <v>65.900000000000006</v>
      </c>
      <c r="V104" s="12"/>
      <c r="W104" s="7">
        <f t="shared" si="17"/>
        <v>65.900000000000006</v>
      </c>
    </row>
    <row r="105" spans="1:27" ht="9" customHeight="1" x14ac:dyDescent="0.15">
      <c r="A105" s="1">
        <v>1997</v>
      </c>
      <c r="B105" s="8">
        <f xml:space="preserve"> (K20*($E20/365))+(K21*($E21/365))+(K22*($E22/365))</f>
        <v>16.247766527695056</v>
      </c>
      <c r="C105" s="8">
        <f xml:space="preserve"> (L20*($E20/365))+(L21*($E21/365))+(L22*($E22/365))</f>
        <v>0</v>
      </c>
      <c r="D105" s="8">
        <f xml:space="preserve"> (M20*($E20/365))+(M21*($E21/365))+(M22*($E22/365))</f>
        <v>55.794280221100685</v>
      </c>
      <c r="E105" s="52">
        <f t="shared" si="16"/>
        <v>72.042046748795741</v>
      </c>
      <c r="G105" s="1">
        <v>1997</v>
      </c>
      <c r="H105" s="822">
        <f>(O20/$R20*100*($E20/365))+(O21/$R21*100*($E21/365))+(O22/$R22*100*($E22/365))</f>
        <v>16.986301369863014</v>
      </c>
      <c r="I105" s="822"/>
      <c r="J105" s="822">
        <f>(P20/$R20*100*($E20/365))+(P21/$R21*100*($E21/365))+(P22/$R22*100*($E22/365))</f>
        <v>0</v>
      </c>
      <c r="K105" s="822"/>
      <c r="L105" s="822">
        <f>(Q20/$R20*100*($E20/365))+(Q21/$R21*100*($E21/365))+(Q22/$R22*100*($E22/365))</f>
        <v>83.013698630136986</v>
      </c>
      <c r="M105" s="822"/>
      <c r="N105" s="832">
        <f t="shared" si="15"/>
        <v>100</v>
      </c>
      <c r="O105" s="832"/>
      <c r="P105" s="12"/>
      <c r="Q105" s="12"/>
      <c r="R105" s="1">
        <v>1997</v>
      </c>
      <c r="S105" s="8">
        <f xml:space="preserve"> (O20*($E20/365))+(O21*($E21/365))+(O22*($E22/365))</f>
        <v>9.6312328767123283</v>
      </c>
      <c r="T105" s="8">
        <f xml:space="preserve"> (P20*($E20/365))+(P21*($E21/365))+(P22*($E22/365))</f>
        <v>0</v>
      </c>
      <c r="U105" s="8">
        <f xml:space="preserve"> (Q20*($E20/365))+(Q21*($E21/365))+(Q22*($E22/365))</f>
        <v>54.706027397260279</v>
      </c>
      <c r="V105" s="12"/>
      <c r="W105" s="7">
        <f t="shared" si="17"/>
        <v>64.337260273972603</v>
      </c>
    </row>
    <row r="106" spans="1:27" ht="9" customHeight="1" x14ac:dyDescent="0.15">
      <c r="A106" s="1">
        <v>1998</v>
      </c>
      <c r="B106" s="8">
        <f xml:space="preserve"> (K23*($E23/365))+(K24*($E24/365))+(K25*($E25/365))</f>
        <v>96.014943960149452</v>
      </c>
      <c r="C106" s="8">
        <f xml:space="preserve"> (L23*($E23/365))+(L24*($E24/365))+(L25*($E25/365))</f>
        <v>0</v>
      </c>
      <c r="D106" s="8">
        <f xml:space="preserve"> (M23*($E23/365))+(M24*($E24/365))+(M25*($E25/365))</f>
        <v>0</v>
      </c>
      <c r="E106" s="52">
        <f t="shared" si="16"/>
        <v>96.014943960149452</v>
      </c>
      <c r="G106" s="1">
        <v>1998</v>
      </c>
      <c r="H106" s="822">
        <f>(O23/$R23*100*($E23/365))+(O24/$R24*100*($E24/365))+(O25/$R25*100*($E25/365))</f>
        <v>100</v>
      </c>
      <c r="I106" s="822"/>
      <c r="J106" s="822">
        <f>(P23/$R23*100*($E23/365))+(P24/$R24*100*($E24/365))+(P25/$R25*100*($E25/365))</f>
        <v>0</v>
      </c>
      <c r="K106" s="822"/>
      <c r="L106" s="822">
        <f>(Q23/$R23*100*($E23/365))+(Q24/$R24*100*($E24/365))+(Q25/$R25*100*($E25/365))</f>
        <v>0</v>
      </c>
      <c r="M106" s="822"/>
      <c r="N106" s="832">
        <f t="shared" si="15"/>
        <v>100</v>
      </c>
      <c r="O106" s="832"/>
      <c r="P106" s="12"/>
      <c r="Q106" s="12"/>
      <c r="R106" s="1">
        <v>1998</v>
      </c>
      <c r="S106" s="8">
        <f xml:space="preserve"> (O23*($E23/365))+(O24*($E24/365))+(O25*($E25/365))</f>
        <v>56.7</v>
      </c>
      <c r="T106" s="8">
        <f xml:space="preserve"> (P23*($E23/365))+(P24*($E24/365))+(P25*($E25/365))</f>
        <v>0</v>
      </c>
      <c r="U106" s="8">
        <f xml:space="preserve"> (Q23*($E23/365))+(Q24*($E24/365))+(Q25*($E25/365))</f>
        <v>0</v>
      </c>
      <c r="V106" s="12"/>
      <c r="W106" s="7">
        <f t="shared" si="17"/>
        <v>56.7</v>
      </c>
    </row>
    <row r="107" spans="1:27" ht="9" customHeight="1" x14ac:dyDescent="0.15">
      <c r="A107" s="1">
        <v>1999</v>
      </c>
      <c r="B107" s="8">
        <f xml:space="preserve"> (K26*($E26/365))+(K27*($E27/365))</f>
        <v>100</v>
      </c>
      <c r="C107" s="8">
        <f xml:space="preserve"> (L26*($E26/365))+(L27*($E27/365))</f>
        <v>0</v>
      </c>
      <c r="D107" s="8">
        <f xml:space="preserve"> (M26*($E26/365))+(M27*($E27/365))</f>
        <v>0</v>
      </c>
      <c r="E107" s="52">
        <f t="shared" si="16"/>
        <v>100</v>
      </c>
      <c r="G107" s="1">
        <v>1999</v>
      </c>
      <c r="H107" s="822">
        <f>(O26/$R26*100*($E26/365))+(O27/$R27*100*($E27/365))</f>
        <v>100</v>
      </c>
      <c r="I107" s="822"/>
      <c r="J107" s="822">
        <f>(P26/$R26*100*($E26/365))+(P27/$R27*100*($E27/365))</f>
        <v>0</v>
      </c>
      <c r="K107" s="822"/>
      <c r="L107" s="822">
        <f>(Q26/$R26*100*($E26/365))+(Q27/$R27*100*($E27/365))</f>
        <v>0</v>
      </c>
      <c r="M107" s="822"/>
      <c r="N107" s="832">
        <f t="shared" si="15"/>
        <v>100</v>
      </c>
      <c r="O107" s="832"/>
      <c r="P107" s="12"/>
      <c r="Q107" s="12"/>
      <c r="R107" s="1">
        <v>1999</v>
      </c>
      <c r="S107" s="8">
        <f xml:space="preserve"> (O26*($E26/365))+(O27*($E27/365))</f>
        <v>56.7</v>
      </c>
      <c r="T107" s="8">
        <f xml:space="preserve"> (P26*($E26/365))+(P27*($E27/365))</f>
        <v>0</v>
      </c>
      <c r="U107" s="8">
        <f xml:space="preserve"> (Q26*($E26/365))+(Q27*($E27/365))</f>
        <v>0</v>
      </c>
      <c r="V107" s="12"/>
      <c r="W107" s="7">
        <f t="shared" si="17"/>
        <v>56.7</v>
      </c>
    </row>
    <row r="108" spans="1:27" ht="9" customHeight="1" x14ac:dyDescent="0.15">
      <c r="A108" s="1">
        <v>2000</v>
      </c>
      <c r="B108" s="8">
        <f xml:space="preserve"> (K28*($E28/366))+(K29*($E29/366))+(K30*($E30/366))+(K31*($E31/366))</f>
        <v>89.502444636180613</v>
      </c>
      <c r="C108" s="8">
        <f xml:space="preserve"> (L28*($E28/366))+(L29*($E29/366))+(L30*($E30/366))+(L31*($E31/366))</f>
        <v>0</v>
      </c>
      <c r="D108" s="8">
        <f xml:space="preserve"> (M28*($E28/366))+(M29*($E29/366))+(M30*($E30/366))+(M31*($E31/366))</f>
        <v>0</v>
      </c>
      <c r="E108" s="52">
        <f t="shared" si="16"/>
        <v>89.502444636180613</v>
      </c>
      <c r="G108" s="1">
        <v>2000</v>
      </c>
      <c r="H108" s="822">
        <f>(O28/$R28*100*($E28/366))+(O29/$R29*100*($E29/366))+(O30/$R30*100*($E30/366))+(O31/$R31*100*($E31/366))</f>
        <v>100</v>
      </c>
      <c r="I108" s="822"/>
      <c r="J108" s="822">
        <f>(P28/$R28*100*($E28/366))+(P29/$R29*100*($E29/366))+(P30/$R30*100*($E30/366))+(P31/$R31*100*($E31/366))</f>
        <v>0</v>
      </c>
      <c r="K108" s="822"/>
      <c r="L108" s="822">
        <f>(Q28/$R28*100*($E28/366))+(Q29/$R29*100*($E29/366))+(Q30/$R30*100*($E30/366))+(Q31/$R31*100*($E31/366))</f>
        <v>0</v>
      </c>
      <c r="M108" s="822"/>
      <c r="N108" s="832">
        <f t="shared" si="15"/>
        <v>100</v>
      </c>
      <c r="O108" s="832"/>
      <c r="P108" s="12"/>
      <c r="Q108" s="12"/>
      <c r="R108" s="1">
        <v>2000</v>
      </c>
      <c r="S108" s="8">
        <f xml:space="preserve"> (O28*($E28/366))+(O29*($E29/366))+(O30*($E30/366))+(O31*($E31/366))</f>
        <v>50.093442622950825</v>
      </c>
      <c r="T108" s="8">
        <f xml:space="preserve"> (P28*($E28/366))+(P29*($E29/366))+(P30*($E30/366))+(P31*($E31/366))</f>
        <v>0</v>
      </c>
      <c r="U108" s="8">
        <f xml:space="preserve"> (Q28*($E28/366))+(Q29*($E29/366))+(Q30*($E30/366))+(Q31*($E31/366))</f>
        <v>0</v>
      </c>
      <c r="V108" s="12"/>
      <c r="W108" s="7">
        <f t="shared" si="17"/>
        <v>50.093442622950825</v>
      </c>
    </row>
    <row r="109" spans="1:27" ht="9" customHeight="1" x14ac:dyDescent="0.15">
      <c r="A109" s="1">
        <v>2001</v>
      </c>
      <c r="B109" s="8">
        <f xml:space="preserve"> (K32*($E32/365))+(K33*($E33/365))+(K34*($E34/365))+(K35*($E35/365))</f>
        <v>61.110310021629417</v>
      </c>
      <c r="C109" s="8">
        <f xml:space="preserve"> (L32*($E32/365))+(L33*($E33/365))+(L34*($E34/365))+(L35*($E35/365))</f>
        <v>0</v>
      </c>
      <c r="D109" s="8">
        <f xml:space="preserve"> (M32*($E32/365))+(M33*($E33/365))+(M34*($E34/365))+(M35*($E35/365))</f>
        <v>17.570776255707763</v>
      </c>
      <c r="E109" s="52">
        <f t="shared" si="16"/>
        <v>78.681086277337187</v>
      </c>
      <c r="G109" s="1">
        <v>2001</v>
      </c>
      <c r="H109" s="822">
        <f>(O32/$R32*100*($E32/365))+(O33/$R33*100*($E33/365))+(O34/$R34*100*($E34/365))+(O35/$R35*100*($E35/365))</f>
        <v>79.726027397260282</v>
      </c>
      <c r="I109" s="822"/>
      <c r="J109" s="822">
        <f>(P32/$R32*100*($E32/365))+(P33/$R33*100*($E33/365))+(P34/$R34*100*($E34/365))+(P35/$R35*100*($E35/365))</f>
        <v>0</v>
      </c>
      <c r="K109" s="822"/>
      <c r="L109" s="822">
        <f>(Q32/$R32*100*($E32/365))+(Q33/$R33*100*($E33/365))+(Q34/$R34*100*($E34/365))+(Q35/$R35*100*($E35/365))</f>
        <v>20.273972602739725</v>
      </c>
      <c r="M109" s="822"/>
      <c r="N109" s="832">
        <f t="shared" si="15"/>
        <v>100</v>
      </c>
      <c r="O109" s="832"/>
      <c r="P109" s="12"/>
      <c r="Q109" s="12"/>
      <c r="R109" s="1">
        <v>2001</v>
      </c>
      <c r="S109" s="8">
        <f xml:space="preserve"> (O32*($E32/365))+(O33*($E33/365))+(O34*($E34/365))+(O35*($E35/365))</f>
        <v>34.840273972602745</v>
      </c>
      <c r="T109" s="8">
        <f xml:space="preserve"> (P32*($E32/365))+(P33*($E33/365))+(P34*($E34/365))+(P35*($E35/365))</f>
        <v>0</v>
      </c>
      <c r="U109" s="8">
        <f xml:space="preserve"> (Q32*($E32/365))+(Q33*($E33/365))+(Q34*($E34/365))+(Q35*($E35/365))</f>
        <v>11.373698630136987</v>
      </c>
      <c r="V109" s="12"/>
      <c r="W109" s="7">
        <f t="shared" si="17"/>
        <v>46.21397260273973</v>
      </c>
    </row>
    <row r="110" spans="1:27" ht="9" customHeight="1" x14ac:dyDescent="0.15">
      <c r="A110" s="1">
        <v>2002</v>
      </c>
      <c r="B110" s="8">
        <f xml:space="preserve"> (K36*($E36/365))+(K37*($E37/365))</f>
        <v>0</v>
      </c>
      <c r="C110" s="8">
        <f xml:space="preserve"> (L36*($E36/365))+(L37*($E37/365))</f>
        <v>0</v>
      </c>
      <c r="D110" s="8">
        <f xml:space="preserve"> (M36*($E36/365))+(M37*($E37/365))</f>
        <v>86.666666666666671</v>
      </c>
      <c r="E110" s="52">
        <f t="shared" si="16"/>
        <v>86.666666666666671</v>
      </c>
      <c r="G110" s="1">
        <v>2002</v>
      </c>
      <c r="H110" s="822">
        <f>(O36/$R36*100*($E36/365))+(O37/$R37*100*($E37/365))</f>
        <v>0</v>
      </c>
      <c r="I110" s="822"/>
      <c r="J110" s="822">
        <f>(P36/$R36*100*($E36/365))+(P37/$R37*100*($E37/365))</f>
        <v>0</v>
      </c>
      <c r="K110" s="822"/>
      <c r="L110" s="822">
        <f>(Q36/$R36*100*($E36/365))+(Q37/$R37*100*($E37/365))</f>
        <v>100</v>
      </c>
      <c r="M110" s="822"/>
      <c r="N110" s="832">
        <f t="shared" si="15"/>
        <v>100</v>
      </c>
      <c r="O110" s="832"/>
      <c r="P110" s="12"/>
      <c r="Q110" s="12"/>
      <c r="R110" s="1">
        <v>2002</v>
      </c>
      <c r="S110" s="8">
        <f xml:space="preserve"> (O36*($E36/365))+(O37*($E37/365))</f>
        <v>0</v>
      </c>
      <c r="T110" s="8">
        <f xml:space="preserve"> (P36*($E36/365))+(P37*($E37/365))</f>
        <v>0</v>
      </c>
      <c r="U110" s="8">
        <f xml:space="preserve"> (Q36*($E36/365))+(Q37*($E37/365))</f>
        <v>56.1</v>
      </c>
      <c r="V110" s="12"/>
      <c r="W110" s="7">
        <f t="shared" si="17"/>
        <v>56.1</v>
      </c>
    </row>
    <row r="111" spans="1:27" ht="9" customHeight="1" x14ac:dyDescent="0.15">
      <c r="A111" s="1">
        <v>2003</v>
      </c>
      <c r="B111" s="8">
        <f xml:space="preserve"> (K38*($E38/365))+(K39*($E39/365))+(K40*($E40/365))+(K41*($E41/365))+(K42*($E42/365))+(K43*($E43/365))+(K44*($E44/365))</f>
        <v>0</v>
      </c>
      <c r="C111" s="8">
        <f xml:space="preserve"> (L38*($E38/365))+(L39*($E39/365))+(L40*($E40/365))+(L41*($E41/365))+(L42*($E42/365))+(L43*($E43/365))+(L44*($E44/365))</f>
        <v>0</v>
      </c>
      <c r="D111" s="8">
        <f xml:space="preserve"> (M38*($E38/365))+(M39*($E39/365))+(M40*($E40/365))+(M41*($E41/365))+(M42*($E42/365))+(M43*($E43/365))+(M44*($E44/365))</f>
        <v>69.462530217566467</v>
      </c>
      <c r="E111" s="52">
        <f t="shared" si="16"/>
        <v>69.462530217566467</v>
      </c>
      <c r="G111" s="1">
        <v>2003</v>
      </c>
      <c r="H111" s="822">
        <f>(O38/$R38*100*($E38/365))+(O39/$R39*100*($E39/365))+(O40/$R40*100*($E40/365))+(O41/$R41*100*($E41/365))+(O42/$R42*100*($E42/365))+(O43/$R43*100*($E43/365))+(O44/$R44*100*($E44/365))</f>
        <v>0</v>
      </c>
      <c r="I111" s="822"/>
      <c r="J111" s="822">
        <f>(P38/$R38*100*($E38/365))+(P39/$R39*100*($E39/365))+(P40/$R40*100*($E40/365))+(P41/$R41*100*($E41/365))+(P42/$R42*100*($E42/365))+(P43/$R43*100*($E43/365))+(P44/$R44*100*($E44/365))</f>
        <v>0</v>
      </c>
      <c r="K111" s="822"/>
      <c r="L111" s="822">
        <f>(Q38/$R38*100*($E38/365))+(Q39/$R39*100*($E39/365))+(Q40/$R40*100*($E40/365))+(Q41/$R41*100*($E41/365))+(Q42/$R42*100*($E42/365))+(Q43/$R43*100*($E43/365))+(Q44/$R44*100*($E44/365))</f>
        <v>100</v>
      </c>
      <c r="M111" s="822"/>
      <c r="N111" s="832">
        <f t="shared" si="15"/>
        <v>100</v>
      </c>
      <c r="O111" s="832"/>
      <c r="P111" s="12"/>
      <c r="Q111" s="12"/>
      <c r="R111" s="1">
        <v>2003</v>
      </c>
      <c r="S111" s="8">
        <f xml:space="preserve"> (O38*($E38/365))+(O39*($E39/365))+(O40*($E40/365))+(O41*($E41/365))+(O42*($E42/365))+(O43*($E43/365))+(O44*($E44/365))</f>
        <v>0</v>
      </c>
      <c r="T111" s="8">
        <f xml:space="preserve"> (P38*($E38/365))+(P39*($E39/365))+(P40*($E40/365))+(P41*($E41/365))+(P42*($E42/365))+(P43*($E43/365))+(P44*($E44/365))</f>
        <v>0</v>
      </c>
      <c r="U111" s="8">
        <f xml:space="preserve"> (Q38*($E38/365))+(Q39*($E39/365))+(Q40*($E40/365))+(Q41*($E41/365))+(Q42*($E42/365))+(Q43*($E43/365))+(Q44*($E44/365))</f>
        <v>48.52082191780822</v>
      </c>
      <c r="V111" s="12"/>
      <c r="W111" s="7">
        <f t="shared" si="17"/>
        <v>48.52082191780822</v>
      </c>
    </row>
    <row r="112" spans="1:27" ht="9" customHeight="1" x14ac:dyDescent="0.15">
      <c r="A112" s="1">
        <v>2004</v>
      </c>
      <c r="B112" s="8">
        <f xml:space="preserve"> (K45*($E45/366))+(K46*($E46/366))+(K47*($E47/366))+(K48*($E48/366))+(K49*($E49/366))+(K50*($E50/366))</f>
        <v>0</v>
      </c>
      <c r="C112" s="8">
        <f xml:space="preserve"> (L45*($E45/366))+(L46*($E46/366))+(L47*($E47/366))+(L48*($E48/366))+(L49*($E49/366))+(L50*($E50/366))</f>
        <v>0</v>
      </c>
      <c r="D112" s="8">
        <f xml:space="preserve"> (M45*($E45/366))+(M46*($E46/366))+(M47*($E47/366))+(M48*($E48/366))+(M49*($E49/366))+(M50*($E50/366))</f>
        <v>56.291296117718488</v>
      </c>
      <c r="E112" s="52">
        <f t="shared" si="16"/>
        <v>56.291296117718488</v>
      </c>
      <c r="G112" s="1">
        <v>2004</v>
      </c>
      <c r="H112" s="822">
        <f>(O45/$R45*100*($E45/366))+(O46/$R46*100*($E46/366))+(O47/$R47*100*($E47/366))+(O48/$R48*100*($E48/366))+(O49/$R49*100*($E49/366))+(O50/$R50*100*($E50/366))</f>
        <v>0</v>
      </c>
      <c r="I112" s="822"/>
      <c r="J112" s="822">
        <f>(P45/$R45*100*($E45/366))+(P46/$R46*100*($E46/366))+(P47/$R47*100*($E47/366))+(P48/$R48*100*($E48/366))+(P49/$R49*100*($E49/366))+(P50/$R50*100*($E50/366))</f>
        <v>0</v>
      </c>
      <c r="K112" s="822"/>
      <c r="L112" s="822">
        <f>(Q45/$R45*100*($E45/366))+(Q46/$R46*100*($E46/366))+(Q47/$R47*100*($E47/366))+(Q48/$R48*100*($E48/366))+(Q49/$R49*100*($E49/366))+(Q50/$R50*100*($E50/366))</f>
        <v>100</v>
      </c>
      <c r="M112" s="822"/>
      <c r="N112" s="832">
        <f t="shared" si="15"/>
        <v>100</v>
      </c>
      <c r="O112" s="832"/>
      <c r="P112" s="12"/>
      <c r="Q112" s="12"/>
      <c r="R112" s="1">
        <v>2004</v>
      </c>
      <c r="S112" s="8">
        <f xml:space="preserve"> (O45*($E45/366))+(O46*($E46/366))+(O47*($E47/366))+(O48*($E48/366))+(O49*($E49/366))+(O50*($E50/366))</f>
        <v>0</v>
      </c>
      <c r="T112" s="8">
        <f xml:space="preserve"> (P45*($E45/366))+(P46*($E46/366))+(P47*($E47/366))+(P48*($E48/366))+(P49*($E49/366))+(P50*($E50/366))</f>
        <v>0</v>
      </c>
      <c r="U112" s="8">
        <f xml:space="preserve"> (Q45*($E45/366))+(Q46*($E46/366))+(Q47*($E47/366))+(Q48*($E48/366))+(Q49*($E49/366))+(Q50*($E50/366))</f>
        <v>47.994535519125684</v>
      </c>
      <c r="V112" s="12"/>
      <c r="W112" s="7">
        <f t="shared" si="17"/>
        <v>47.994535519125684</v>
      </c>
    </row>
    <row r="113" spans="1:23" ht="9" customHeight="1" x14ac:dyDescent="0.15">
      <c r="A113" s="1">
        <v>2005</v>
      </c>
      <c r="B113" s="8">
        <f xml:space="preserve"> (K51*($E51/365))+(K52*($E52/365))+(K53*($E53/365))</f>
        <v>8.7062404870624057</v>
      </c>
      <c r="C113" s="8">
        <f xml:space="preserve"> (L51*($E51/365))+(L52*($E52/365))+(L53*($E53/365))</f>
        <v>0</v>
      </c>
      <c r="D113" s="8">
        <f xml:space="preserve"> (M51*($E51/365))+(M52*($E52/365))+(M53*($E53/365))</f>
        <v>40.419016921837226</v>
      </c>
      <c r="E113" s="52">
        <f t="shared" si="16"/>
        <v>49.125257408899628</v>
      </c>
      <c r="G113" s="1">
        <v>2005</v>
      </c>
      <c r="H113" s="822">
        <f>(O51/$R51*100*($E51/365))+(O52/$R52*100*($E52/365))+(O53/$R53*100*($E53/365))</f>
        <v>14.246575342465754</v>
      </c>
      <c r="I113" s="822"/>
      <c r="J113" s="822">
        <f>(P51/$R51*100*($E51/365))+(P52/$R52*100*($E52/365))+(P53/$R53*100*($E53/365))</f>
        <v>0</v>
      </c>
      <c r="K113" s="822"/>
      <c r="L113" s="822">
        <f>(Q51/$R51*100*($E51/365))+(Q52/$R52*100*($E52/365))+(Q53/$R53*100*($E53/365))</f>
        <v>85.753424657534239</v>
      </c>
      <c r="M113" s="822"/>
      <c r="N113" s="832">
        <f t="shared" si="15"/>
        <v>100</v>
      </c>
      <c r="O113" s="832"/>
      <c r="P113" s="12"/>
      <c r="Q113" s="12"/>
      <c r="R113" s="1">
        <v>2005</v>
      </c>
      <c r="S113" s="8">
        <f xml:space="preserve"> (O51*($E51/365))+(O52*($E52/365))+(O53*($E53/365))</f>
        <v>4.8010958904109593</v>
      </c>
      <c r="T113" s="8">
        <f xml:space="preserve"> (P51*($E51/365))+(P52*($E52/365))+(P53*($E53/365))</f>
        <v>0</v>
      </c>
      <c r="U113" s="8">
        <f xml:space="preserve"> (Q51*($E51/365))+(Q52*($E52/365))+(Q53*($E53/365))</f>
        <v>40.304109589041097</v>
      </c>
      <c r="V113" s="12"/>
      <c r="W113" s="7">
        <f t="shared" si="17"/>
        <v>45.105205479452053</v>
      </c>
    </row>
    <row r="114" spans="1:23" ht="9" customHeight="1" x14ac:dyDescent="0.15">
      <c r="A114" s="1">
        <v>2006</v>
      </c>
      <c r="B114" s="8">
        <f xml:space="preserve"> (K54*($E54/365))+(K55*($E55/365)) +(K56*($E56/365))+(K57*($E57/365))+(K58*($E58/365))</f>
        <v>63.607305936073054</v>
      </c>
      <c r="C114" s="8">
        <f xml:space="preserve"> (L54*($E54/365))+(L55*($E55/365)) +(L56*($E56/365))+(L57*($E57/365))+(L58*($E58/365))</f>
        <v>0</v>
      </c>
      <c r="D114" s="8">
        <f xml:space="preserve"> (M54*($E54/365))+(M55*($E55/365)) +(M56*($E56/365))+(M57*($E57/365))+(M58*($E58/365))</f>
        <v>9.1282689912826882</v>
      </c>
      <c r="E114" s="52">
        <f t="shared" si="16"/>
        <v>72.735574927355742</v>
      </c>
      <c r="G114" s="1">
        <v>2006</v>
      </c>
      <c r="H114" s="822">
        <f>(O54/$R54*100*($E54/365))+(O55/$R55*100*($E55/365))+(O56/$R56*100*($E56/365))+(O57/$R57*100*($E57/365))+(O58/$R58*100*($E58/365))</f>
        <v>84.886787118661502</v>
      </c>
      <c r="I114" s="822"/>
      <c r="J114" s="822">
        <f>(P54/$R54*100*($E54/365))+(P55/$R55*100*($E55/365))+(P56/$R56*100*($E56/365))+(P57/$R57*100*($E57/365))+(P58/$R58*100*($E58/365))</f>
        <v>0</v>
      </c>
      <c r="K114" s="822"/>
      <c r="L114" s="822">
        <f>(Q54/$R54*100*($E54/365))+(Q55/$R55*100*($E55/365))+(Q56/$R56*100*($E56/365))+(Q57/$R57*100*($E57/365))+(Q58/$R58*100*($E58/365))</f>
        <v>15.113212881338505</v>
      </c>
      <c r="M114" s="822"/>
      <c r="N114" s="832">
        <f t="shared" si="15"/>
        <v>100</v>
      </c>
      <c r="O114" s="832"/>
      <c r="P114" s="12"/>
      <c r="Q114" s="12"/>
      <c r="R114" s="1">
        <v>2006</v>
      </c>
      <c r="S114" s="8">
        <f xml:space="preserve"> (O54*($E54/365))+(O55*($E55/365)) +(O56*($E56/365))+(O57*($E57/365))+(O58*($E58/365))</f>
        <v>38.586027397260274</v>
      </c>
      <c r="T114" s="8">
        <f xml:space="preserve"> (P54*($E54/365))+(P55*($E55/365)) +(P56*($E56/365))+(P57*($E57/365))+(P58*($E58/365))</f>
        <v>0</v>
      </c>
      <c r="U114" s="8">
        <f xml:space="preserve"> (Q54*($E54/365))+(Q55*($E55/365)) +(Q56*($E56/365))+(Q57*($E57/365))+(Q58*($E58/365))</f>
        <v>8.0553424657534229</v>
      </c>
      <c r="V114" s="12"/>
      <c r="W114" s="7">
        <f t="shared" si="17"/>
        <v>46.641369863013693</v>
      </c>
    </row>
    <row r="115" spans="1:23" ht="9" customHeight="1" x14ac:dyDescent="0.15">
      <c r="A115" s="1">
        <v>2007</v>
      </c>
      <c r="B115" s="8">
        <f xml:space="preserve"> (K59*($E59/365))+(K60*($E60/365))+(K61*($E61/365))+(K62*($E62/365)) +(K63*($E63/365))+(K64*($E64/365))+(K65*($E65/365))+(K66*($E66/365))+(K67*($E67/365))</f>
        <v>62.295152237081957</v>
      </c>
      <c r="C115" s="8">
        <f xml:space="preserve"> (L59*($E59/365))+(L60*($E60/365))+(L61*($E61/365))+(L62*($E62/365)) +(L63*($E63/365))+(L64*($E64/365))+(L65*($E65/365))+(L66*($E66/365))+(L67*($E67/365))</f>
        <v>0</v>
      </c>
      <c r="D115" s="8">
        <f xml:space="preserve"> (M59*($E59/365))+(M60*($E60/365))+(M61*($E61/365))+(M62*($E62/365)) +(M63*($E63/365))+(M64*($E64/365))+(M65*($E65/365))+(M66*($E66/365))+(M67*($E67/365))</f>
        <v>9.308525998520043</v>
      </c>
      <c r="E115" s="52">
        <f t="shared" si="16"/>
        <v>71.603678235602004</v>
      </c>
      <c r="G115" s="1">
        <v>2007</v>
      </c>
      <c r="H115" s="822">
        <f>(O59/$R59*100*($E59/365))+(O60/$R60*100*($E60/365))+(O61/$R61*100*($E61/365))+(O62/$R62*100*($E62/365))+(O63/$R63*100*($E63/365))+(O64/$R64*100*($E64/365))+(O65/$R65*100*($E65/365))+(O66/$R66*100*($E66/365))+(O67/$R67*100*($E67/365))</f>
        <v>84.614027050370836</v>
      </c>
      <c r="I115" s="822"/>
      <c r="J115" s="822">
        <f>(P59/$R59*100*($E59/365))+(P60/$R60*100*($E60/365))+(P61/$R61*100*($E61/365))+(P62/$R62*100*($E62/365))+(P63/$R63*100*($E63/365))+(P64/$R64*100*($E64/365))+(P65/$R65*100*($E65/365))+(P66/$R66*100*($E66/365))+(P67/$R67*100*($E67/365))</f>
        <v>0</v>
      </c>
      <c r="K115" s="822"/>
      <c r="L115" s="822">
        <f>(Q59/$R59*100*($E59/365))+(Q60/$R60*100*($E60/365))+(Q61/$R61*100*($E61/365))+(Q62/$R62*100*($E62/365))+(Q63/$R63*100*($E63/365))+(Q64/$R64*100*($E64/365))+(Q65/$R65*100*($E65/365))+(Q66/$R66*100*($E66/365))+(Q67/$R67*100*($E67/365))</f>
        <v>15.385972949629156</v>
      </c>
      <c r="M115" s="822"/>
      <c r="N115" s="832">
        <f t="shared" si="15"/>
        <v>100</v>
      </c>
      <c r="O115" s="832"/>
      <c r="P115" s="12"/>
      <c r="Q115" s="12"/>
      <c r="R115" s="1">
        <v>2007</v>
      </c>
      <c r="S115" s="8">
        <f xml:space="preserve"> (O59*($E59/365))+(O60*($E60/365))+(O61*($E61/365))+(O62*($E62/365)) +(O63*($E63/365))+(O64*($E64/365))+(O65*($E65/365))+(O66*($E66/365))+(O67*($E67/365))</f>
        <v>39.459452054794518</v>
      </c>
      <c r="T115" s="8">
        <f xml:space="preserve"> (P59*($E59/365))+(P60*($E60/365))+(P61*($E61/365))+(P62*($E62/365)) +(P63*($E63/365))+(P64*($E64/365))+(P65*($E65/365))+(P66*($E66/365))+(P67*($E67/365))</f>
        <v>0</v>
      </c>
      <c r="U115" s="8">
        <f xml:space="preserve"> (Q59*($E59/365))+(Q60*($E60/365))+(Q61*($E61/365))+(Q62*($E62/365)) +(Q63*($E63/365))+(Q64*($E64/365))+(Q65*($E65/365))+(Q66*($E66/365))+(Q67*($E67/365))</f>
        <v>8.1846575342465755</v>
      </c>
      <c r="V115" s="12"/>
      <c r="W115" s="7">
        <f t="shared" si="17"/>
        <v>47.644109589041093</v>
      </c>
    </row>
    <row r="116" spans="1:23" ht="9" customHeight="1" x14ac:dyDescent="0.15">
      <c r="A116" s="1">
        <v>2008</v>
      </c>
      <c r="B116" s="8">
        <f xml:space="preserve"> (K68*($E68/366))+(K69*($E69/366))</f>
        <v>52.631578947368418</v>
      </c>
      <c r="C116" s="8">
        <f xml:space="preserve"> (L68*($E68/366))+(L69*($E69/366))</f>
        <v>0</v>
      </c>
      <c r="D116" s="8">
        <f xml:space="preserve"> (M68*($E68/366))+(M69*($E69/366))</f>
        <v>15.789473684210526</v>
      </c>
      <c r="E116" s="52">
        <f t="shared" si="16"/>
        <v>68.421052631578945</v>
      </c>
      <c r="G116" s="1">
        <v>2008</v>
      </c>
      <c r="H116" s="822">
        <f>(O68/$R68*100*($E68/366))+(O69/$R69*100*($E69/366))</f>
        <v>87.140115163147797</v>
      </c>
      <c r="I116" s="822"/>
      <c r="J116" s="822">
        <f>(P68/$R68*100*($E68/366))+(P69/$R69*100*($E69/366))</f>
        <v>0</v>
      </c>
      <c r="K116" s="822"/>
      <c r="L116" s="822">
        <f>(Q68/$R68*100*($E68/366))+(Q69/$R69*100*($E69/366))</f>
        <v>12.859884836852206</v>
      </c>
      <c r="M116" s="822"/>
      <c r="N116" s="832">
        <f t="shared" si="15"/>
        <v>100</v>
      </c>
      <c r="O116" s="832"/>
      <c r="P116" s="12"/>
      <c r="Q116" s="12"/>
      <c r="R116" s="1">
        <v>2008</v>
      </c>
      <c r="S116" s="8">
        <f xml:space="preserve"> (O68*($E68/366))+(O69*($E69/366))</f>
        <v>45.4</v>
      </c>
      <c r="T116" s="8">
        <f xml:space="preserve"> (P68*($E68/366))+(P69*($E69/366))</f>
        <v>0</v>
      </c>
      <c r="U116" s="8">
        <f xml:space="preserve"> (Q68*($E68/366))+(Q69*($E69/366))</f>
        <v>6.7</v>
      </c>
      <c r="V116" s="12"/>
      <c r="W116" s="7">
        <f t="shared" si="17"/>
        <v>52.1</v>
      </c>
    </row>
    <row r="117" spans="1:23" ht="9" customHeight="1" x14ac:dyDescent="0.15">
      <c r="A117" s="1">
        <v>2009</v>
      </c>
      <c r="B117" s="8">
        <f xml:space="preserve"> (K70*($E70/365))+(K71*($E71/365))+(K72*($E72/365))+(K73*($E73/365))</f>
        <v>60.360490266762795</v>
      </c>
      <c r="C117" s="8">
        <f xml:space="preserve"> (L70*($E70/365))+(L71*($E71/365))+(L72*($E72/365))+(L73*($E73/365))</f>
        <v>0</v>
      </c>
      <c r="D117" s="8">
        <f xml:space="preserve"> (M70*($E70/365))+(M71*($E71/365))+(M72*($E72/365))+(M73*($E73/365))</f>
        <v>15.789473684210526</v>
      </c>
      <c r="E117" s="52">
        <f t="shared" si="16"/>
        <v>76.149963950973316</v>
      </c>
      <c r="G117" s="1">
        <v>2009</v>
      </c>
      <c r="H117" s="822">
        <f>(O70/$R70*100*($E70/365))+(O71/$R71*100*($E71/365))+(O72/$R72*100*($E72/365))+(O73/$R73*100*($E73/365))</f>
        <v>87.140115163147797</v>
      </c>
      <c r="I117" s="822"/>
      <c r="J117" s="822">
        <f>(P70/$R70*100*($E70/365))+(P71/$R71*100*($E71/365))+(P72/$R72*100*($E72/365))+(P73/$R73*100*($E73/365))</f>
        <v>0</v>
      </c>
      <c r="K117" s="822"/>
      <c r="L117" s="822">
        <f>(Q70/$R70*100*($E70/365))+(Q71/$R71*100*($E71/365))+(Q72/$R72*100*($E72/365))+(Q73/$R73*100*($E73/365))</f>
        <v>12.859884836852208</v>
      </c>
      <c r="M117" s="822"/>
      <c r="N117" s="832">
        <f t="shared" si="15"/>
        <v>100</v>
      </c>
      <c r="O117" s="832"/>
      <c r="P117" s="12"/>
      <c r="Q117" s="12"/>
      <c r="R117" s="1">
        <v>2009</v>
      </c>
      <c r="S117" s="8">
        <f xml:space="preserve"> (O70*($E70/365))+(O71*($E71/365))+(O72*($E72/365))+(O73*($E73/365))</f>
        <v>45.400000000000006</v>
      </c>
      <c r="T117" s="8">
        <f xml:space="preserve"> (P70*($E70/365))+(P71*($E71/365))+(P72*($E72/365))+(P73*($E73/365))</f>
        <v>0</v>
      </c>
      <c r="U117" s="8">
        <f xml:space="preserve"> (Q70*($E70/365))+(Q71*($E71/365))+(Q72*($E72/365))+(Q73*($E73/365))</f>
        <v>6.7</v>
      </c>
      <c r="V117" s="12"/>
      <c r="W117" s="7">
        <f t="shared" si="17"/>
        <v>52.100000000000009</v>
      </c>
    </row>
    <row r="118" spans="1:23" ht="9" customHeight="1" x14ac:dyDescent="0.15">
      <c r="A118" s="1">
        <v>2010</v>
      </c>
      <c r="B118" s="8">
        <f xml:space="preserve"> (K74*($E74/365)) +(K75*($E75/365))</f>
        <v>52.631578947368418</v>
      </c>
      <c r="C118" s="8">
        <f xml:space="preserve"> (L74*($E74/365)) +(L75*($E75/365))</f>
        <v>0</v>
      </c>
      <c r="D118" s="8">
        <f xml:space="preserve"> (M74*($E74/365)) +(M75*($E75/365))</f>
        <v>15.789473684210526</v>
      </c>
      <c r="E118" s="52">
        <f t="shared" si="16"/>
        <v>68.421052631578945</v>
      </c>
      <c r="G118" s="1">
        <v>2010</v>
      </c>
      <c r="H118" s="822">
        <f>(O74/$R74*100*($E74/365))+(O75/$R75*100*($E75/365))</f>
        <v>87.140115163147797</v>
      </c>
      <c r="I118" s="822"/>
      <c r="J118" s="822">
        <f>(P74/$R74*100*($E74/365))+(P75/$R75*100*($E75/365))</f>
        <v>0</v>
      </c>
      <c r="K118" s="822"/>
      <c r="L118" s="822">
        <f>(Q74/$R74*100*($E74/365))+(Q75/$R75*100*($E75/365))</f>
        <v>12.859884836852206</v>
      </c>
      <c r="M118" s="822"/>
      <c r="N118" s="832">
        <f t="shared" si="15"/>
        <v>100</v>
      </c>
      <c r="O118" s="832"/>
      <c r="P118" s="12"/>
      <c r="Q118" s="12"/>
      <c r="R118" s="1">
        <v>2010</v>
      </c>
      <c r="S118" s="8">
        <f xml:space="preserve"> (O74*($E74/365)) +(O75*($E75/365))</f>
        <v>45.4</v>
      </c>
      <c r="T118" s="8">
        <f xml:space="preserve"> (P74*($E74/365)) +(P75*($E75/365))</f>
        <v>0</v>
      </c>
      <c r="U118" s="8">
        <f xml:space="preserve"> (Q74*($E74/365)) +(Q75*($E75/365))</f>
        <v>6.7</v>
      </c>
      <c r="V118" s="12"/>
      <c r="W118" s="7">
        <f t="shared" si="17"/>
        <v>52.1</v>
      </c>
    </row>
    <row r="119" spans="1:23" ht="9" customHeight="1" x14ac:dyDescent="0.15">
      <c r="A119" s="1">
        <v>2011</v>
      </c>
      <c r="B119" s="8">
        <f xml:space="preserve"> (K76*($E76/365)) +(K77*($E77/365))+(K78*($E78/365))</f>
        <v>53.3518809109801</v>
      </c>
      <c r="C119" s="8">
        <f xml:space="preserve"> (L76*($E76/365)) +(L77*($E77/365))+(L78*($E78/365))</f>
        <v>0</v>
      </c>
      <c r="D119" s="8">
        <f xml:space="preserve"> (M76*($E76/365)) +(M77*($E77/365))+(M78*($E78/365))</f>
        <v>15.750286271682429</v>
      </c>
      <c r="E119" s="52">
        <f t="shared" si="16"/>
        <v>69.102167182662527</v>
      </c>
      <c r="G119" s="1">
        <v>2011</v>
      </c>
      <c r="H119" s="822">
        <f>(O76/$R76*100*($E76/365))+(O77/$R77*100*($E77/365))+(O78/$R78*100*($E78/365))</f>
        <v>87.251321504041485</v>
      </c>
      <c r="I119" s="822"/>
      <c r="J119" s="822">
        <f>(P76/$R76*100*($E76/365))+(P77/$R77*100*($E77/365))+(P78/$R78*100*($E78/365))</f>
        <v>0</v>
      </c>
      <c r="K119" s="822"/>
      <c r="L119" s="822">
        <f>(Q76/$R76*100*($E76/365))+(Q77/$R77*100*($E77/365))+(Q78/$R78*100*($E78/365))</f>
        <v>12.748678495958526</v>
      </c>
      <c r="M119" s="822"/>
      <c r="N119" s="832">
        <f t="shared" si="15"/>
        <v>100.00000000000001</v>
      </c>
      <c r="O119" s="832"/>
      <c r="P119" s="12"/>
      <c r="Q119" s="12"/>
      <c r="R119" s="1">
        <v>2011</v>
      </c>
      <c r="S119" s="8">
        <f xml:space="preserve"> (O76*($E76/365)) +(O77*($E77/365))+(O78*($E78/365))</f>
        <v>45.351780821917806</v>
      </c>
      <c r="T119" s="8">
        <f xml:space="preserve"> (P76*($E76/365)) +(P77*($E77/365))+(P78*($E78/365))</f>
        <v>0</v>
      </c>
      <c r="U119" s="8">
        <f xml:space="preserve"> (Q76*($E76/365)) +(Q77*($E77/365))+(Q78*($E78/365))</f>
        <v>6.627671232876712</v>
      </c>
      <c r="V119" s="12"/>
      <c r="W119" s="7">
        <f t="shared" si="17"/>
        <v>51.979452054794521</v>
      </c>
    </row>
    <row r="120" spans="1:23" ht="9" customHeight="1" x14ac:dyDescent="0.15">
      <c r="A120" s="1">
        <v>2012</v>
      </c>
      <c r="B120" s="8">
        <f xml:space="preserve"> (K79*($E79/366)) +(K80*($E80/366))</f>
        <v>60</v>
      </c>
      <c r="C120" s="8">
        <f xml:space="preserve"> (L79*($E79/366)) +(L80*($E80/366))</f>
        <v>0</v>
      </c>
      <c r="D120" s="8">
        <f xml:space="preserve"> (M79*($E79/366)) +(M80*($E80/366))</f>
        <v>15</v>
      </c>
      <c r="E120" s="52">
        <f t="shared" si="16"/>
        <v>75</v>
      </c>
      <c r="G120" s="1">
        <v>2012</v>
      </c>
      <c r="H120" s="822">
        <f>(O79/$R79*100*($E79/366))+(O80/$R80*100*($E80/366))</f>
        <v>88.06262230919765</v>
      </c>
      <c r="I120" s="822"/>
      <c r="J120" s="822">
        <f>(P79/$R79*100*($E79/366))+(P80/$R80*100*($E80/366))</f>
        <v>0</v>
      </c>
      <c r="K120" s="822"/>
      <c r="L120" s="822">
        <f>(Q79/$R79*100*($E79/366))+(Q80/$R80*100*($E80/366))</f>
        <v>11.937377690802348</v>
      </c>
      <c r="M120" s="822"/>
      <c r="N120" s="832">
        <f t="shared" si="15"/>
        <v>100</v>
      </c>
      <c r="O120" s="832"/>
      <c r="P120" s="12"/>
      <c r="Q120" s="12"/>
      <c r="R120" s="1">
        <v>2012</v>
      </c>
      <c r="S120" s="8">
        <f xml:space="preserve"> (O79*($E79/366)) +(O80*($E80/366))</f>
        <v>45</v>
      </c>
      <c r="T120" s="8">
        <f xml:space="preserve"> (P79*($E79/366)) +(P80*($E80/366))</f>
        <v>0</v>
      </c>
      <c r="U120" s="8">
        <f xml:space="preserve"> (Q79*($E79/366)) +(Q80*($E80/366))</f>
        <v>6.1</v>
      </c>
      <c r="V120" s="12"/>
      <c r="W120" s="7">
        <f>S120+T120+U120</f>
        <v>51.1</v>
      </c>
    </row>
    <row r="121" spans="1:23" ht="9" customHeight="1" x14ac:dyDescent="0.15">
      <c r="A121" s="1">
        <v>2013</v>
      </c>
      <c r="B121" s="8">
        <f xml:space="preserve"> (K81*($E81/365))+(K82*($E82/365))+(K83*($E83/365)) +(K84*($E84/365))</f>
        <v>59.003604902667632</v>
      </c>
      <c r="C121" s="8">
        <f xml:space="preserve"> (L81*($E81/365)) +(L82*($E82/365))+(L83*($E83/365)) +(L84*($E84/365))</f>
        <v>0</v>
      </c>
      <c r="D121" s="8">
        <f xml:space="preserve"> (M81*($E81/365)) +(M82*($E82/365))+(M83*($E83/365)) +(M84*($E84/365))</f>
        <v>15.075702956020187</v>
      </c>
      <c r="E121" s="52">
        <f>B121+C121+D121</f>
        <v>74.079307858687827</v>
      </c>
      <c r="G121" s="1">
        <v>2013</v>
      </c>
      <c r="H121" s="822">
        <f>(O81/$R81*100*($E81/365))+(O82/$R82*100*($E82/365))+(O83/$R83*100*($E83/365))+(O84/$R84*100*($E84/365))</f>
        <v>88.06262230919765</v>
      </c>
      <c r="I121" s="822"/>
      <c r="J121" s="822">
        <f>(P81/$R81*100*($E81/365))+(P82/$R82*100*($E82/365))+(P83/$R83*100*($E83/365))+(P84/$R84*100*($E84/365))</f>
        <v>0</v>
      </c>
      <c r="K121" s="822"/>
      <c r="L121" s="822">
        <f>(Q81/$R81*100*($E81/365))+(Q82/$R82*100*($E82/365))+(Q83/$R83*100*($E83/365))+(Q84/$R84*100*($E84/365))</f>
        <v>11.937377690802348</v>
      </c>
      <c r="M121" s="822"/>
      <c r="N121" s="832">
        <f>H121+J121+L121</f>
        <v>100</v>
      </c>
      <c r="O121" s="832"/>
      <c r="R121" s="1">
        <v>2013</v>
      </c>
      <c r="S121" s="8">
        <f xml:space="preserve"> (O81*($E81/365))+(O82*($E82/365)) +(O83*($E83/365)) +(O84*($E84/365))</f>
        <v>45</v>
      </c>
      <c r="T121" s="8">
        <f xml:space="preserve"> (P81*($E81/365)) +(P82*($E82/365))+(P83*($E83/365)) +(P84*($E84/365))</f>
        <v>0</v>
      </c>
      <c r="U121" s="8">
        <f xml:space="preserve"> (Q81*($E81/365)) +(Q82*($E82/365))+(Q83*($E83/365)) +(Q84*($E84/365))</f>
        <v>6.1</v>
      </c>
      <c r="V121" s="12"/>
      <c r="W121" s="7">
        <f>S121+T121+U121</f>
        <v>51.1</v>
      </c>
    </row>
    <row r="122" spans="1:23" ht="9" customHeight="1" x14ac:dyDescent="0.15">
      <c r="A122" s="1">
        <v>2014</v>
      </c>
      <c r="B122" s="8">
        <f xml:space="preserve"> (K85*($E85/365))+(K86*($E86/365)) +(K87*($E87/365))</f>
        <v>56.49603460706561</v>
      </c>
      <c r="C122" s="8">
        <f xml:space="preserve"> (L85*($E85/365))+(L86*($E86/365)) +(L87*($E87/365))</f>
        <v>0</v>
      </c>
      <c r="D122" s="8">
        <f xml:space="preserve"> (M85*($E85/365))+(M86*($E86/365)) +(M87*($E87/365))</f>
        <v>15.789473684210527</v>
      </c>
      <c r="E122" s="52">
        <f>B122+C122+D122</f>
        <v>72.28550829127613</v>
      </c>
      <c r="G122" s="1">
        <v>2014</v>
      </c>
      <c r="H122" s="822">
        <f>(O85/$R85*100*($E85/365))+(O86/$R86*100*($E86/365))+(O87/$R87*100*($E87/365))</f>
        <v>87.567829533765092</v>
      </c>
      <c r="I122" s="822"/>
      <c r="J122" s="822">
        <f>(P85/$R85*100*($E85/365))+(P86/$R86*100*($E86/365))+(P87/$R87*100*($E87/365))</f>
        <v>0</v>
      </c>
      <c r="K122" s="822"/>
      <c r="L122" s="822">
        <f>(Q85/$R85*100*($E85/365))+(Q86/$R86*100*($E86/365))+(Q87/$R87*100*($E87/365))</f>
        <v>12.432170466234908</v>
      </c>
      <c r="M122" s="822"/>
      <c r="N122" s="832">
        <f>H122+J122+L122</f>
        <v>100</v>
      </c>
      <c r="O122" s="832"/>
      <c r="R122" s="1">
        <v>2014</v>
      </c>
      <c r="S122" s="8">
        <f>(O85*($E85/365)) +(O86*($E86/365))+(O87*($E87/365))</f>
        <v>44.723287671232875</v>
      </c>
      <c r="T122" s="8">
        <f>(P85*($E85/365)) +(P86*($E86/365))+ (P87*($E87/365))</f>
        <v>0</v>
      </c>
      <c r="U122" s="8">
        <f>(Q85*($E85/365)) +(Q86*($E86/365))+ (Q87*($E87/365))</f>
        <v>6.34904109589041</v>
      </c>
      <c r="V122" s="12"/>
      <c r="W122" s="7">
        <f>S122+T122+U122</f>
        <v>51.072328767123281</v>
      </c>
    </row>
    <row r="123" spans="1:23" s="754" customFormat="1" ht="9" customHeight="1" x14ac:dyDescent="0.15">
      <c r="A123" s="754">
        <v>2015</v>
      </c>
      <c r="B123" s="749">
        <f xml:space="preserve"> (K88*($E88/365))+(K89*($E89/365)) +(K90*($E90/365))</f>
        <v>55.638067772170153</v>
      </c>
      <c r="C123" s="749">
        <f xml:space="preserve"> (L88*($E88/365))+(L89*($E89/365)) +(L90*($E90/365))</f>
        <v>0</v>
      </c>
      <c r="D123" s="749">
        <f xml:space="preserve"> (M88*($E88/365))+(M89*($E89/365)) +(M90*($E90/365))</f>
        <v>13.799567411679885</v>
      </c>
      <c r="E123" s="52">
        <f>B123+C123+D123</f>
        <v>69.437635183850034</v>
      </c>
      <c r="G123" s="754">
        <v>2015</v>
      </c>
      <c r="H123" s="822">
        <f>(O88/$R88*100*($E88/365))+(O89/$R89*100*($E89/365))+(O90/$R90*100*($E90/365))</f>
        <v>88.004297609454753</v>
      </c>
      <c r="I123" s="822"/>
      <c r="J123" s="822">
        <f>(P88/$R88*100*($E88/365))+(P89/$R89*100*($E89/365))+(P90/$R90*100*($E90/365))</f>
        <v>0</v>
      </c>
      <c r="K123" s="822"/>
      <c r="L123" s="822">
        <f>(Q88/$R88*100*($E88/365))+(Q89/$R89*100*($E89/365))+(Q90/$R90*100*($E90/365))</f>
        <v>11.995702390545262</v>
      </c>
      <c r="M123" s="822"/>
      <c r="N123" s="832">
        <f>H123+J123+L123</f>
        <v>100.00000000000001</v>
      </c>
      <c r="O123" s="832"/>
      <c r="R123" s="754">
        <v>2015</v>
      </c>
      <c r="S123" s="749">
        <f>(O88*($E88/365)) +(O89*($E89/365))+(O90*($E90/365))</f>
        <v>44.894794520547947</v>
      </c>
      <c r="T123" s="749">
        <f>(P88*($E88/365)) +(P89*($E89/365))+ (P90*($E90/365))</f>
        <v>0</v>
      </c>
      <c r="U123" s="749">
        <f>(Q88*($E88/365)) +(Q89*($E89/365))+ (Q90*($E90/365))</f>
        <v>6.117808219178082</v>
      </c>
      <c r="V123" s="12"/>
      <c r="W123" s="753">
        <f>S123+T123+U123</f>
        <v>51.012602739726027</v>
      </c>
    </row>
    <row r="124" spans="1:23" s="754" customFormat="1" ht="9" customHeight="1" x14ac:dyDescent="0.15">
      <c r="B124" s="749"/>
      <c r="C124" s="749"/>
      <c r="D124" s="749"/>
      <c r="E124" s="52"/>
      <c r="H124" s="822"/>
      <c r="I124" s="822"/>
      <c r="J124" s="822"/>
      <c r="K124" s="822"/>
      <c r="L124" s="822"/>
      <c r="M124" s="822"/>
      <c r="N124" s="832"/>
      <c r="O124" s="832"/>
      <c r="S124" s="749"/>
      <c r="T124" s="749"/>
      <c r="U124" s="749"/>
      <c r="V124" s="12"/>
      <c r="W124" s="753"/>
    </row>
    <row r="125" spans="1:23" s="754" customFormat="1" ht="9" customHeight="1" x14ac:dyDescent="0.15"/>
    <row r="126" spans="1:23" s="754" customFormat="1" ht="9" customHeight="1" x14ac:dyDescent="0.15">
      <c r="B126" s="749"/>
      <c r="C126" s="749"/>
      <c r="D126" s="749"/>
      <c r="E126" s="52"/>
      <c r="H126" s="822"/>
      <c r="I126" s="822"/>
      <c r="J126" s="822"/>
      <c r="K126" s="822"/>
      <c r="L126" s="822"/>
      <c r="M126" s="822"/>
      <c r="N126" s="832"/>
      <c r="O126" s="832"/>
      <c r="S126" s="749"/>
      <c r="T126" s="749"/>
      <c r="U126" s="749"/>
      <c r="V126" s="12"/>
      <c r="W126" s="753"/>
    </row>
  </sheetData>
  <mergeCells count="220">
    <mergeCell ref="H126:I126"/>
    <mergeCell ref="J126:K126"/>
    <mergeCell ref="L126:M126"/>
    <mergeCell ref="N126:O126"/>
    <mergeCell ref="H124:I124"/>
    <mergeCell ref="J124:K124"/>
    <mergeCell ref="L124:M124"/>
    <mergeCell ref="N124:O124"/>
    <mergeCell ref="H123:I123"/>
    <mergeCell ref="J123:K123"/>
    <mergeCell ref="L123:M123"/>
    <mergeCell ref="N123:O123"/>
    <mergeCell ref="H121:I121"/>
    <mergeCell ref="J121:K121"/>
    <mergeCell ref="L121:M121"/>
    <mergeCell ref="C68:D68"/>
    <mergeCell ref="C69:D69"/>
    <mergeCell ref="C65:D65"/>
    <mergeCell ref="N121:O121"/>
    <mergeCell ref="C84:D84"/>
    <mergeCell ref="N99:O99"/>
    <mergeCell ref="L116:M116"/>
    <mergeCell ref="C67:D67"/>
    <mergeCell ref="C66:D66"/>
    <mergeCell ref="L104:M104"/>
    <mergeCell ref="C79:D79"/>
    <mergeCell ref="C75:D75"/>
    <mergeCell ref="C76:D76"/>
    <mergeCell ref="C77:D77"/>
    <mergeCell ref="C80:D80"/>
    <mergeCell ref="L102:M102"/>
    <mergeCell ref="J102:K102"/>
    <mergeCell ref="J120:K120"/>
    <mergeCell ref="N119:O119"/>
    <mergeCell ref="N116:O116"/>
    <mergeCell ref="N117:O117"/>
    <mergeCell ref="C36:D36"/>
    <mergeCell ref="C11:D11"/>
    <mergeCell ref="C13:D13"/>
    <mergeCell ref="C30:D30"/>
    <mergeCell ref="G3:M3"/>
    <mergeCell ref="AT4:AW4"/>
    <mergeCell ref="AX4:BA4"/>
    <mergeCell ref="C78:D78"/>
    <mergeCell ref="C61:D61"/>
    <mergeCell ref="C59:D59"/>
    <mergeCell ref="C63:D63"/>
    <mergeCell ref="C64:D64"/>
    <mergeCell ref="F4:F5"/>
    <mergeCell ref="G4:J4"/>
    <mergeCell ref="C33:D33"/>
    <mergeCell ref="C34:D34"/>
    <mergeCell ref="AL4:AO4"/>
    <mergeCell ref="AP4:AS4"/>
    <mergeCell ref="S4:S5"/>
    <mergeCell ref="T4:T5"/>
    <mergeCell ref="U4:U5"/>
    <mergeCell ref="V4:Y4"/>
    <mergeCell ref="O3:Q3"/>
    <mergeCell ref="C22:D22"/>
    <mergeCell ref="A4:A5"/>
    <mergeCell ref="B4:B5"/>
    <mergeCell ref="C4:D5"/>
    <mergeCell ref="C6:D6"/>
    <mergeCell ref="E4:E5"/>
    <mergeCell ref="C14:D14"/>
    <mergeCell ref="C15:D15"/>
    <mergeCell ref="C16:D16"/>
    <mergeCell ref="C17:D17"/>
    <mergeCell ref="C7:D7"/>
    <mergeCell ref="C8:D8"/>
    <mergeCell ref="C23:D23"/>
    <mergeCell ref="C25:D25"/>
    <mergeCell ref="C26:D26"/>
    <mergeCell ref="C29:D29"/>
    <mergeCell ref="C35:D35"/>
    <mergeCell ref="AH4:AK4"/>
    <mergeCell ref="K4:N4"/>
    <mergeCell ref="O4:R4"/>
    <mergeCell ref="Z4:AC4"/>
    <mergeCell ref="AD4:AG4"/>
    <mergeCell ref="C9:D9"/>
    <mergeCell ref="C10:D10"/>
    <mergeCell ref="C12:D12"/>
    <mergeCell ref="C28:D28"/>
    <mergeCell ref="C18:D18"/>
    <mergeCell ref="C21:D21"/>
    <mergeCell ref="C24:D24"/>
    <mergeCell ref="C31:D31"/>
    <mergeCell ref="C32:D32"/>
    <mergeCell ref="C53:D53"/>
    <mergeCell ref="C54:D54"/>
    <mergeCell ref="C60:D60"/>
    <mergeCell ref="C57:D57"/>
    <mergeCell ref="C58:D58"/>
    <mergeCell ref="C52:D52"/>
    <mergeCell ref="C51:D51"/>
    <mergeCell ref="C37:D37"/>
    <mergeCell ref="C38:D38"/>
    <mergeCell ref="C43:D43"/>
    <mergeCell ref="C44:D44"/>
    <mergeCell ref="C46:D46"/>
    <mergeCell ref="C42:D42"/>
    <mergeCell ref="C47:D47"/>
    <mergeCell ref="C45:D45"/>
    <mergeCell ref="C50:D50"/>
    <mergeCell ref="C48:D48"/>
    <mergeCell ref="C49:D49"/>
    <mergeCell ref="C39:D39"/>
    <mergeCell ref="C40:D40"/>
    <mergeCell ref="C41:D41"/>
    <mergeCell ref="C55:D55"/>
    <mergeCell ref="C62:D62"/>
    <mergeCell ref="C56:D56"/>
    <mergeCell ref="C70:D70"/>
    <mergeCell ref="C71:D71"/>
    <mergeCell ref="C72:D72"/>
    <mergeCell ref="C73:D73"/>
    <mergeCell ref="C74:D74"/>
    <mergeCell ref="L100:M100"/>
    <mergeCell ref="L101:M101"/>
    <mergeCell ref="C81:D81"/>
    <mergeCell ref="C82:D82"/>
    <mergeCell ref="C87:D87"/>
    <mergeCell ref="C86:D86"/>
    <mergeCell ref="C85:D85"/>
    <mergeCell ref="C83:D83"/>
    <mergeCell ref="H99:I99"/>
    <mergeCell ref="H100:I100"/>
    <mergeCell ref="H101:I101"/>
    <mergeCell ref="C88:D88"/>
    <mergeCell ref="C89:D89"/>
    <mergeCell ref="C90:D90"/>
    <mergeCell ref="R95:W95"/>
    <mergeCell ref="H97:I97"/>
    <mergeCell ref="J97:K97"/>
    <mergeCell ref="L97:M97"/>
    <mergeCell ref="N97:O97"/>
    <mergeCell ref="L99:M99"/>
    <mergeCell ref="L110:M110"/>
    <mergeCell ref="N100:O100"/>
    <mergeCell ref="N101:O101"/>
    <mergeCell ref="N105:O105"/>
    <mergeCell ref="N102:O102"/>
    <mergeCell ref="N109:O109"/>
    <mergeCell ref="N106:O106"/>
    <mergeCell ref="N107:O107"/>
    <mergeCell ref="N103:O103"/>
    <mergeCell ref="N104:O104"/>
    <mergeCell ref="L103:M103"/>
    <mergeCell ref="J99:K99"/>
    <mergeCell ref="J100:K100"/>
    <mergeCell ref="L106:M106"/>
    <mergeCell ref="L107:M107"/>
    <mergeCell ref="L108:M108"/>
    <mergeCell ref="J101:K101"/>
    <mergeCell ref="J103:K103"/>
    <mergeCell ref="J115:K115"/>
    <mergeCell ref="L119:M119"/>
    <mergeCell ref="J104:K104"/>
    <mergeCell ref="L105:M105"/>
    <mergeCell ref="L109:M109"/>
    <mergeCell ref="J118:K118"/>
    <mergeCell ref="J119:K119"/>
    <mergeCell ref="L111:M111"/>
    <mergeCell ref="L118:M118"/>
    <mergeCell ref="J111:K111"/>
    <mergeCell ref="L114:M114"/>
    <mergeCell ref="J109:K109"/>
    <mergeCell ref="J105:K105"/>
    <mergeCell ref="J106:K106"/>
    <mergeCell ref="J107:K107"/>
    <mergeCell ref="N113:O113"/>
    <mergeCell ref="H108:I108"/>
    <mergeCell ref="H109:I109"/>
    <mergeCell ref="H110:I110"/>
    <mergeCell ref="H111:I111"/>
    <mergeCell ref="H112:I112"/>
    <mergeCell ref="N108:O108"/>
    <mergeCell ref="N118:O118"/>
    <mergeCell ref="N114:O114"/>
    <mergeCell ref="N115:O115"/>
    <mergeCell ref="H115:I115"/>
    <mergeCell ref="H116:I116"/>
    <mergeCell ref="J116:K116"/>
    <mergeCell ref="L115:M115"/>
    <mergeCell ref="L117:M117"/>
    <mergeCell ref="J114:K114"/>
    <mergeCell ref="J110:K110"/>
    <mergeCell ref="J108:K108"/>
    <mergeCell ref="N111:O111"/>
    <mergeCell ref="L113:M113"/>
    <mergeCell ref="H113:I113"/>
    <mergeCell ref="H114:I114"/>
    <mergeCell ref="J117:K117"/>
    <mergeCell ref="L112:M112"/>
    <mergeCell ref="N122:O122"/>
    <mergeCell ref="V9:AC9"/>
    <mergeCell ref="C20:D20"/>
    <mergeCell ref="L120:M120"/>
    <mergeCell ref="C19:D19"/>
    <mergeCell ref="C27:D27"/>
    <mergeCell ref="N120:O120"/>
    <mergeCell ref="H102:I102"/>
    <mergeCell ref="H103:I103"/>
    <mergeCell ref="H117:I117"/>
    <mergeCell ref="H122:I122"/>
    <mergeCell ref="J122:K122"/>
    <mergeCell ref="L122:M122"/>
    <mergeCell ref="H104:I104"/>
    <mergeCell ref="H105:I105"/>
    <mergeCell ref="H106:I106"/>
    <mergeCell ref="H107:I107"/>
    <mergeCell ref="H120:I120"/>
    <mergeCell ref="J112:K112"/>
    <mergeCell ref="J113:K113"/>
    <mergeCell ref="N110:O110"/>
    <mergeCell ref="H118:I118"/>
    <mergeCell ref="H119:I119"/>
    <mergeCell ref="N112:O112"/>
  </mergeCells>
  <pageMargins left="0.78740157499999996" right="0.78740157499999996" top="0.984251969" bottom="0.984251969" header="0.4921259845" footer="0.4921259845"/>
  <pageSetup paperSize="9" scale="46" orientation="landscape" r:id="rId1"/>
  <headerFooter alignWithMargins="0"/>
  <ignoredErrors>
    <ignoredError sqref="R9" formulaRange="1"/>
  </ignoredErrors>
  <drawing r:id="rId2"/>
  <legacyDrawing r:id="rId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54"/>
  <sheetViews>
    <sheetView zoomScale="120" zoomScaleNormal="120" workbookViewId="0">
      <pane xSplit="1" ySplit="5" topLeftCell="B70" activePane="bottomRight" state="frozen"/>
      <selection pane="topRight" activeCell="B1" sqref="B1"/>
      <selection pane="bottomLeft" activeCell="A6" sqref="A6"/>
      <selection pane="bottomRight" activeCell="W153" sqref="W153"/>
    </sheetView>
  </sheetViews>
  <sheetFormatPr baseColWidth="10" defaultColWidth="10.7109375" defaultRowHeight="9" x14ac:dyDescent="0.15"/>
  <cols>
    <col min="1" max="1" width="5.85546875" style="1" customWidth="1"/>
    <col min="2" max="6" width="7.85546875" style="1" customWidth="1"/>
    <col min="7" max="18" width="4.42578125" style="1" customWidth="1"/>
    <col min="19" max="21" width="7.85546875" style="1" customWidth="1"/>
    <col min="22" max="53" width="5.7109375" style="1" customWidth="1"/>
    <col min="54" max="16384" width="10.7109375" style="1"/>
  </cols>
  <sheetData>
    <row r="1" spans="1:53" s="2" customFormat="1" ht="15" customHeight="1" x14ac:dyDescent="0.2">
      <c r="B1" s="22" t="s">
        <v>14</v>
      </c>
    </row>
    <row r="2" spans="1:53" s="2" customFormat="1" ht="15" customHeight="1" x14ac:dyDescent="0.2">
      <c r="B2" s="22" t="s">
        <v>66</v>
      </c>
    </row>
    <row r="3" spans="1:53" s="2" customFormat="1" x14ac:dyDescent="0.15">
      <c r="G3" s="814"/>
      <c r="H3" s="814"/>
      <c r="I3" s="814"/>
      <c r="J3" s="814"/>
      <c r="K3" s="814"/>
      <c r="L3" s="814"/>
      <c r="M3" s="814"/>
      <c r="O3" s="814"/>
      <c r="P3" s="814"/>
      <c r="Q3" s="814"/>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1" t="s">
        <v>23</v>
      </c>
      <c r="AU5" s="351" t="s">
        <v>24</v>
      </c>
      <c r="AV5" s="351" t="s">
        <v>25</v>
      </c>
      <c r="AW5" s="353" t="s">
        <v>1217</v>
      </c>
      <c r="AX5" s="351" t="s">
        <v>23</v>
      </c>
      <c r="AY5" s="351" t="s">
        <v>24</v>
      </c>
      <c r="AZ5" s="351" t="s">
        <v>25</v>
      </c>
      <c r="BA5" s="354" t="s">
        <v>1217</v>
      </c>
    </row>
    <row r="6" spans="1:53" s="208" customFormat="1" x14ac:dyDescent="0.15">
      <c r="A6" s="102">
        <v>1976</v>
      </c>
      <c r="B6" s="207"/>
      <c r="C6" s="826" t="s">
        <v>1283</v>
      </c>
      <c r="D6" s="826"/>
      <c r="E6" s="208">
        <v>204</v>
      </c>
      <c r="G6" s="123"/>
      <c r="J6" s="134"/>
      <c r="K6" s="92"/>
      <c r="L6" s="92"/>
      <c r="M6" s="92"/>
      <c r="N6" s="125"/>
      <c r="O6" s="91"/>
      <c r="P6" s="92"/>
      <c r="Q6" s="92"/>
      <c r="R6" s="93"/>
      <c r="T6" s="81"/>
      <c r="V6" s="82"/>
      <c r="Y6" s="83"/>
      <c r="AD6" s="82"/>
      <c r="AG6" s="83"/>
      <c r="AL6" s="82"/>
      <c r="AO6" s="83"/>
      <c r="AP6" s="82"/>
      <c r="AS6" s="83"/>
      <c r="AW6" s="83"/>
      <c r="BA6" s="84"/>
    </row>
    <row r="7" spans="1:53" s="334" customFormat="1" x14ac:dyDescent="0.15">
      <c r="A7" s="386">
        <v>1976</v>
      </c>
      <c r="B7" s="355">
        <v>27964</v>
      </c>
      <c r="C7" s="812" t="s">
        <v>620</v>
      </c>
      <c r="D7" s="812"/>
      <c r="E7" s="334">
        <f>366-E6</f>
        <v>162</v>
      </c>
      <c r="F7" s="334" t="s">
        <v>348</v>
      </c>
      <c r="G7" s="419"/>
      <c r="I7" s="334">
        <v>12</v>
      </c>
      <c r="J7" s="435">
        <v>17</v>
      </c>
      <c r="K7" s="384">
        <f>G7/$J7*100</f>
        <v>0</v>
      </c>
      <c r="L7" s="384">
        <f t="shared" ref="L7:M22" si="0">H7/$J7*100</f>
        <v>0</v>
      </c>
      <c r="M7" s="384">
        <f t="shared" si="0"/>
        <v>70.588235294117652</v>
      </c>
      <c r="N7" s="421">
        <f>K7+L7+M7</f>
        <v>70.588235294117652</v>
      </c>
      <c r="O7" s="383"/>
      <c r="P7" s="384"/>
      <c r="Q7" s="384">
        <v>40.700000000000003</v>
      </c>
      <c r="R7" s="385">
        <f>O7+P7+Q7</f>
        <v>40.700000000000003</v>
      </c>
      <c r="S7" s="334">
        <v>4</v>
      </c>
      <c r="T7" s="342">
        <v>27875</v>
      </c>
      <c r="U7" s="355">
        <v>27964</v>
      </c>
      <c r="V7" s="343" t="s">
        <v>96</v>
      </c>
      <c r="W7" s="334" t="s">
        <v>20</v>
      </c>
      <c r="X7" s="334" t="s">
        <v>12</v>
      </c>
      <c r="Y7" s="344">
        <v>40.700000000000003</v>
      </c>
      <c r="AD7" s="343"/>
      <c r="AG7" s="344"/>
      <c r="AL7" s="343"/>
      <c r="AO7" s="344"/>
      <c r="AP7" s="343"/>
      <c r="AS7" s="344"/>
      <c r="AW7" s="344"/>
      <c r="BA7" s="345"/>
    </row>
    <row r="8" spans="1:53" s="334" customFormat="1" x14ac:dyDescent="0.15">
      <c r="A8" s="386">
        <v>1977</v>
      </c>
      <c r="B8" s="355"/>
      <c r="C8" s="812" t="s">
        <v>620</v>
      </c>
      <c r="D8" s="812"/>
      <c r="E8" s="334">
        <v>0</v>
      </c>
      <c r="G8" s="419"/>
      <c r="I8" s="334">
        <v>12</v>
      </c>
      <c r="J8" s="435">
        <v>17</v>
      </c>
      <c r="K8" s="384">
        <f t="shared" ref="K8:M71" si="1">G8/$J8*100</f>
        <v>0</v>
      </c>
      <c r="L8" s="384">
        <f t="shared" si="0"/>
        <v>0</v>
      </c>
      <c r="M8" s="384">
        <f t="shared" si="0"/>
        <v>70.588235294117652</v>
      </c>
      <c r="N8" s="421">
        <f t="shared" ref="N8:N71" si="2">K8+L8+M8</f>
        <v>70.588235294117652</v>
      </c>
      <c r="O8" s="383"/>
      <c r="P8" s="384"/>
      <c r="Q8" s="384">
        <v>40.700000000000003</v>
      </c>
      <c r="R8" s="385">
        <f t="shared" ref="R8:R71" si="3">O8+P8+Q8</f>
        <v>40.700000000000003</v>
      </c>
      <c r="S8" s="334">
        <v>4</v>
      </c>
      <c r="T8" s="357"/>
      <c r="V8" s="343" t="s">
        <v>96</v>
      </c>
      <c r="W8" s="334" t="s">
        <v>20</v>
      </c>
      <c r="X8" s="334" t="s">
        <v>12</v>
      </c>
      <c r="Y8" s="344">
        <v>40.700000000000003</v>
      </c>
      <c r="AD8" s="343"/>
      <c r="AG8" s="344"/>
      <c r="AL8" s="343"/>
      <c r="AO8" s="344"/>
      <c r="AP8" s="343"/>
      <c r="AS8" s="344"/>
      <c r="AW8" s="344"/>
      <c r="BA8" s="345"/>
    </row>
    <row r="9" spans="1:53" s="334" customFormat="1" x14ac:dyDescent="0.15">
      <c r="A9" s="386">
        <v>1977</v>
      </c>
      <c r="B9" s="355"/>
      <c r="C9" s="812" t="s">
        <v>620</v>
      </c>
      <c r="D9" s="812"/>
      <c r="E9" s="334">
        <v>365</v>
      </c>
      <c r="G9" s="419"/>
      <c r="I9" s="334">
        <v>12</v>
      </c>
      <c r="J9" s="435">
        <v>17</v>
      </c>
      <c r="K9" s="384">
        <f t="shared" si="1"/>
        <v>0</v>
      </c>
      <c r="L9" s="384">
        <f t="shared" si="0"/>
        <v>0</v>
      </c>
      <c r="M9" s="384">
        <f t="shared" si="0"/>
        <v>70.588235294117652</v>
      </c>
      <c r="N9" s="421">
        <f t="shared" si="2"/>
        <v>70.588235294117652</v>
      </c>
      <c r="O9" s="383"/>
      <c r="P9" s="384"/>
      <c r="Q9" s="384">
        <v>40.700000000000003</v>
      </c>
      <c r="R9" s="385">
        <f t="shared" si="3"/>
        <v>40.700000000000003</v>
      </c>
      <c r="S9" s="334">
        <v>4</v>
      </c>
      <c r="T9" s="357"/>
      <c r="V9" s="343" t="s">
        <v>96</v>
      </c>
      <c r="W9" s="334" t="s">
        <v>20</v>
      </c>
      <c r="X9" s="334" t="s">
        <v>12</v>
      </c>
      <c r="Y9" s="344">
        <v>40.700000000000003</v>
      </c>
      <c r="AD9" s="343"/>
      <c r="AG9" s="344"/>
      <c r="AL9" s="343"/>
      <c r="AO9" s="344"/>
      <c r="AP9" s="343"/>
      <c r="AS9" s="344"/>
      <c r="AW9" s="344"/>
      <c r="BA9" s="345"/>
    </row>
    <row r="10" spans="1:53" s="334" customFormat="1" x14ac:dyDescent="0.15">
      <c r="A10" s="386">
        <v>1978</v>
      </c>
      <c r="B10" s="355"/>
      <c r="C10" s="812" t="s">
        <v>620</v>
      </c>
      <c r="D10" s="812"/>
      <c r="E10" s="334">
        <v>29</v>
      </c>
      <c r="G10" s="419"/>
      <c r="I10" s="334">
        <v>12</v>
      </c>
      <c r="J10" s="435">
        <v>17</v>
      </c>
      <c r="K10" s="384">
        <f t="shared" si="1"/>
        <v>0</v>
      </c>
      <c r="L10" s="384">
        <f t="shared" si="0"/>
        <v>0</v>
      </c>
      <c r="M10" s="384">
        <f t="shared" si="0"/>
        <v>70.588235294117652</v>
      </c>
      <c r="N10" s="421">
        <f t="shared" si="2"/>
        <v>70.588235294117652</v>
      </c>
      <c r="O10" s="383"/>
      <c r="P10" s="384"/>
      <c r="Q10" s="384">
        <v>40.700000000000003</v>
      </c>
      <c r="R10" s="385">
        <f t="shared" si="3"/>
        <v>40.700000000000003</v>
      </c>
      <c r="S10" s="334">
        <v>4</v>
      </c>
      <c r="T10" s="357"/>
      <c r="V10" s="343" t="s">
        <v>96</v>
      </c>
      <c r="W10" s="334" t="s">
        <v>20</v>
      </c>
      <c r="X10" s="334" t="s">
        <v>12</v>
      </c>
      <c r="Y10" s="344">
        <v>40.700000000000003</v>
      </c>
      <c r="AD10" s="343"/>
      <c r="AG10" s="344"/>
      <c r="AL10" s="343"/>
      <c r="AO10" s="344"/>
      <c r="AP10" s="343"/>
      <c r="AS10" s="344"/>
      <c r="AW10" s="344"/>
      <c r="BA10" s="345"/>
    </row>
    <row r="11" spans="1:53" s="208" customFormat="1" x14ac:dyDescent="0.15">
      <c r="A11" s="102">
        <v>1978</v>
      </c>
      <c r="B11" s="207">
        <v>28520</v>
      </c>
      <c r="C11" s="811" t="s">
        <v>621</v>
      </c>
      <c r="D11" s="811"/>
      <c r="E11" s="208">
        <v>211</v>
      </c>
      <c r="F11" s="208">
        <v>5</v>
      </c>
      <c r="G11" s="123">
        <v>3</v>
      </c>
      <c r="I11" s="208">
        <v>8</v>
      </c>
      <c r="J11" s="134">
        <v>16</v>
      </c>
      <c r="K11" s="92">
        <f t="shared" si="1"/>
        <v>18.75</v>
      </c>
      <c r="L11" s="92">
        <f t="shared" si="0"/>
        <v>0</v>
      </c>
      <c r="M11" s="92">
        <f t="shared" si="0"/>
        <v>50</v>
      </c>
      <c r="N11" s="125">
        <f t="shared" si="2"/>
        <v>68.75</v>
      </c>
      <c r="O11" s="91">
        <v>16</v>
      </c>
      <c r="P11" s="92"/>
      <c r="Q11" s="92">
        <v>40.700000000000003</v>
      </c>
      <c r="R11" s="93">
        <f t="shared" si="3"/>
        <v>56.7</v>
      </c>
      <c r="S11" s="208">
        <v>2</v>
      </c>
      <c r="T11" s="81"/>
      <c r="U11" s="207">
        <v>28520</v>
      </c>
      <c r="V11" s="82" t="s">
        <v>96</v>
      </c>
      <c r="W11" s="208" t="s">
        <v>20</v>
      </c>
      <c r="X11" s="208" t="s">
        <v>12</v>
      </c>
      <c r="Y11" s="83">
        <v>40.700000000000003</v>
      </c>
      <c r="Z11" s="208" t="s">
        <v>492</v>
      </c>
      <c r="AA11" s="208" t="s">
        <v>17</v>
      </c>
      <c r="AB11" s="208" t="s">
        <v>11</v>
      </c>
      <c r="AC11" s="208">
        <v>16</v>
      </c>
      <c r="AD11" s="82"/>
      <c r="AG11" s="83"/>
      <c r="AL11" s="82"/>
      <c r="AO11" s="83"/>
      <c r="AP11" s="82"/>
      <c r="AS11" s="83"/>
      <c r="AW11" s="83"/>
      <c r="BA11" s="84"/>
    </row>
    <row r="12" spans="1:53" s="334" customFormat="1" x14ac:dyDescent="0.15">
      <c r="A12" s="386">
        <v>1978</v>
      </c>
      <c r="B12" s="355">
        <v>28731</v>
      </c>
      <c r="C12" s="812" t="s">
        <v>853</v>
      </c>
      <c r="D12" s="812"/>
      <c r="E12" s="334">
        <v>85</v>
      </c>
      <c r="F12" s="334">
        <v>4</v>
      </c>
      <c r="G12" s="419">
        <v>0</v>
      </c>
      <c r="H12" s="334">
        <v>0</v>
      </c>
      <c r="I12" s="334">
        <v>0</v>
      </c>
      <c r="J12" s="435">
        <v>15</v>
      </c>
      <c r="K12" s="384">
        <f t="shared" si="1"/>
        <v>0</v>
      </c>
      <c r="L12" s="384">
        <f t="shared" si="0"/>
        <v>0</v>
      </c>
      <c r="M12" s="384">
        <f t="shared" si="0"/>
        <v>0</v>
      </c>
      <c r="N12" s="421">
        <f t="shared" si="2"/>
        <v>0</v>
      </c>
      <c r="O12" s="383">
        <v>0</v>
      </c>
      <c r="P12" s="384">
        <v>0</v>
      </c>
      <c r="Q12" s="384">
        <v>0</v>
      </c>
      <c r="R12" s="385">
        <f t="shared" si="3"/>
        <v>0</v>
      </c>
      <c r="S12" s="334">
        <v>6</v>
      </c>
      <c r="T12" s="357"/>
      <c r="U12" s="355">
        <v>28731</v>
      </c>
      <c r="V12" s="438" t="s">
        <v>816</v>
      </c>
      <c r="Y12" s="344"/>
      <c r="AD12" s="343"/>
      <c r="AG12" s="344"/>
      <c r="AL12" s="343"/>
      <c r="AO12" s="344"/>
      <c r="AP12" s="343"/>
      <c r="AS12" s="344"/>
      <c r="AW12" s="344"/>
      <c r="BA12" s="345"/>
    </row>
    <row r="13" spans="1:53" s="208" customFormat="1" x14ac:dyDescent="0.15">
      <c r="A13" s="102">
        <v>1978</v>
      </c>
      <c r="B13" s="207">
        <v>28816</v>
      </c>
      <c r="C13" s="811" t="s">
        <v>839</v>
      </c>
      <c r="D13" s="811"/>
      <c r="E13" s="208">
        <f>365-E10-E11-E12</f>
        <v>40</v>
      </c>
      <c r="F13" s="208">
        <v>5</v>
      </c>
      <c r="G13" s="123">
        <v>0</v>
      </c>
      <c r="H13" s="208">
        <v>0</v>
      </c>
      <c r="I13" s="208">
        <v>0</v>
      </c>
      <c r="J13" s="134">
        <v>16</v>
      </c>
      <c r="K13" s="92">
        <f t="shared" si="1"/>
        <v>0</v>
      </c>
      <c r="L13" s="92">
        <f t="shared" si="0"/>
        <v>0</v>
      </c>
      <c r="M13" s="92">
        <f t="shared" si="0"/>
        <v>0</v>
      </c>
      <c r="N13" s="125">
        <f t="shared" si="2"/>
        <v>0</v>
      </c>
      <c r="O13" s="91">
        <v>0</v>
      </c>
      <c r="P13" s="92">
        <v>0</v>
      </c>
      <c r="Q13" s="92">
        <v>0</v>
      </c>
      <c r="R13" s="93">
        <f t="shared" si="3"/>
        <v>0</v>
      </c>
      <c r="S13" s="208">
        <v>6</v>
      </c>
      <c r="T13" s="81"/>
      <c r="U13" s="207">
        <v>28816</v>
      </c>
      <c r="V13" s="214" t="s">
        <v>816</v>
      </c>
      <c r="Y13" s="83"/>
      <c r="AD13" s="82"/>
      <c r="AG13" s="83"/>
      <c r="AL13" s="82"/>
      <c r="AO13" s="83"/>
      <c r="AP13" s="82"/>
      <c r="AS13" s="83"/>
      <c r="AW13" s="83"/>
      <c r="BA13" s="84"/>
    </row>
    <row r="14" spans="1:53" s="208" customFormat="1" x14ac:dyDescent="0.15">
      <c r="A14" s="102">
        <v>1979</v>
      </c>
      <c r="B14" s="207"/>
      <c r="C14" s="811" t="s">
        <v>839</v>
      </c>
      <c r="D14" s="811"/>
      <c r="E14" s="208">
        <v>212</v>
      </c>
      <c r="G14" s="123">
        <v>0</v>
      </c>
      <c r="H14" s="208">
        <v>0</v>
      </c>
      <c r="I14" s="208">
        <v>0</v>
      </c>
      <c r="J14" s="134">
        <v>16</v>
      </c>
      <c r="K14" s="92">
        <f t="shared" si="1"/>
        <v>0</v>
      </c>
      <c r="L14" s="92">
        <f t="shared" si="0"/>
        <v>0</v>
      </c>
      <c r="M14" s="92">
        <f t="shared" si="0"/>
        <v>0</v>
      </c>
      <c r="N14" s="125">
        <f t="shared" si="2"/>
        <v>0</v>
      </c>
      <c r="O14" s="91">
        <v>0</v>
      </c>
      <c r="P14" s="92">
        <v>0</v>
      </c>
      <c r="Q14" s="92">
        <v>0</v>
      </c>
      <c r="R14" s="93">
        <f t="shared" si="3"/>
        <v>0</v>
      </c>
      <c r="S14" s="208">
        <v>6</v>
      </c>
      <c r="T14" s="81"/>
      <c r="V14" s="214" t="s">
        <v>816</v>
      </c>
      <c r="Y14" s="83"/>
      <c r="AD14" s="82"/>
      <c r="AG14" s="83"/>
      <c r="AL14" s="82"/>
      <c r="AO14" s="83"/>
      <c r="AP14" s="82"/>
      <c r="AS14" s="83"/>
      <c r="AW14" s="83"/>
      <c r="BA14" s="84"/>
    </row>
    <row r="15" spans="1:53" s="334" customFormat="1" x14ac:dyDescent="0.15">
      <c r="A15" s="386">
        <v>1979</v>
      </c>
      <c r="B15" s="355">
        <v>29068</v>
      </c>
      <c r="C15" s="812" t="s">
        <v>840</v>
      </c>
      <c r="D15" s="812"/>
      <c r="E15" s="334">
        <f>365-E14</f>
        <v>153</v>
      </c>
      <c r="F15" s="334">
        <v>5</v>
      </c>
      <c r="G15" s="419">
        <v>0</v>
      </c>
      <c r="H15" s="334">
        <v>0</v>
      </c>
      <c r="I15" s="334">
        <v>0</v>
      </c>
      <c r="J15" s="435">
        <v>17</v>
      </c>
      <c r="K15" s="384">
        <f t="shared" si="1"/>
        <v>0</v>
      </c>
      <c r="L15" s="384">
        <f t="shared" si="0"/>
        <v>0</v>
      </c>
      <c r="M15" s="384">
        <f t="shared" si="0"/>
        <v>0</v>
      </c>
      <c r="N15" s="421">
        <f t="shared" si="2"/>
        <v>0</v>
      </c>
      <c r="O15" s="383">
        <v>0</v>
      </c>
      <c r="P15" s="384">
        <v>0</v>
      </c>
      <c r="Q15" s="384">
        <v>0</v>
      </c>
      <c r="R15" s="385">
        <f t="shared" si="3"/>
        <v>0</v>
      </c>
      <c r="S15" s="334">
        <v>6</v>
      </c>
      <c r="T15" s="342">
        <v>29133</v>
      </c>
      <c r="U15" s="355">
        <v>29068</v>
      </c>
      <c r="V15" s="438" t="s">
        <v>816</v>
      </c>
      <c r="Y15" s="344"/>
      <c r="AD15" s="343"/>
      <c r="AG15" s="344"/>
      <c r="AL15" s="343"/>
      <c r="AO15" s="344"/>
      <c r="AP15" s="343"/>
      <c r="AS15" s="344"/>
      <c r="AW15" s="344"/>
      <c r="BA15" s="345"/>
    </row>
    <row r="16" spans="1:53" s="334" customFormat="1" x14ac:dyDescent="0.15">
      <c r="A16" s="386">
        <v>1980</v>
      </c>
      <c r="B16" s="355"/>
      <c r="C16" s="812" t="s">
        <v>840</v>
      </c>
      <c r="D16" s="812"/>
      <c r="E16" s="334">
        <v>2</v>
      </c>
      <c r="G16" s="419">
        <v>0</v>
      </c>
      <c r="H16" s="334">
        <v>0</v>
      </c>
      <c r="I16" s="334">
        <v>0</v>
      </c>
      <c r="J16" s="435">
        <v>17</v>
      </c>
      <c r="K16" s="384">
        <f t="shared" si="1"/>
        <v>0</v>
      </c>
      <c r="L16" s="384">
        <f t="shared" si="0"/>
        <v>0</v>
      </c>
      <c r="M16" s="384">
        <f t="shared" si="0"/>
        <v>0</v>
      </c>
      <c r="N16" s="421">
        <f t="shared" si="2"/>
        <v>0</v>
      </c>
      <c r="O16" s="383">
        <v>0</v>
      </c>
      <c r="P16" s="384">
        <v>0</v>
      </c>
      <c r="Q16" s="384">
        <v>0</v>
      </c>
      <c r="R16" s="385">
        <f t="shared" si="3"/>
        <v>0</v>
      </c>
      <c r="S16" s="334">
        <v>6</v>
      </c>
      <c r="T16" s="357"/>
      <c r="V16" s="438" t="s">
        <v>816</v>
      </c>
      <c r="Y16" s="344"/>
      <c r="AD16" s="343"/>
      <c r="AG16" s="344"/>
      <c r="AL16" s="343"/>
      <c r="AO16" s="344"/>
      <c r="AP16" s="343"/>
      <c r="AS16" s="344"/>
      <c r="AW16" s="344"/>
      <c r="BA16" s="345"/>
    </row>
    <row r="17" spans="1:53" s="208" customFormat="1" x14ac:dyDescent="0.15">
      <c r="A17" s="102">
        <v>1980</v>
      </c>
      <c r="B17" s="207">
        <v>29223</v>
      </c>
      <c r="C17" s="811" t="s">
        <v>841</v>
      </c>
      <c r="D17" s="811"/>
      <c r="E17" s="208">
        <f>366-E16</f>
        <v>364</v>
      </c>
      <c r="F17" s="208">
        <v>1</v>
      </c>
      <c r="G17" s="123">
        <v>13</v>
      </c>
      <c r="J17" s="134">
        <v>15</v>
      </c>
      <c r="K17" s="92">
        <f t="shared" si="1"/>
        <v>86.666666666666671</v>
      </c>
      <c r="L17" s="92">
        <f t="shared" si="0"/>
        <v>0</v>
      </c>
      <c r="M17" s="92">
        <f t="shared" si="0"/>
        <v>0</v>
      </c>
      <c r="N17" s="125">
        <f t="shared" si="2"/>
        <v>86.666666666666671</v>
      </c>
      <c r="O17" s="91">
        <v>52.6</v>
      </c>
      <c r="P17" s="92"/>
      <c r="Q17" s="92"/>
      <c r="R17" s="93">
        <f t="shared" si="3"/>
        <v>52.6</v>
      </c>
      <c r="S17" s="208">
        <v>1</v>
      </c>
      <c r="T17" s="95">
        <v>29499</v>
      </c>
      <c r="U17" s="207">
        <v>29223</v>
      </c>
      <c r="V17" s="82" t="s">
        <v>490</v>
      </c>
      <c r="W17" s="208" t="s">
        <v>22</v>
      </c>
      <c r="X17" s="208" t="s">
        <v>11</v>
      </c>
      <c r="Y17" s="83">
        <v>52.6</v>
      </c>
      <c r="Z17" s="208" t="s">
        <v>492</v>
      </c>
      <c r="AA17" s="208" t="s">
        <v>17</v>
      </c>
      <c r="AB17" s="208" t="s">
        <v>11</v>
      </c>
      <c r="AC17" s="150">
        <v>52.6</v>
      </c>
      <c r="AD17" s="82" t="s">
        <v>491</v>
      </c>
      <c r="AE17" s="208" t="s">
        <v>340</v>
      </c>
      <c r="AF17" s="208" t="s">
        <v>11</v>
      </c>
      <c r="AG17" s="223">
        <v>52.6</v>
      </c>
      <c r="AL17" s="82"/>
      <c r="AO17" s="83"/>
      <c r="AP17" s="82"/>
      <c r="AS17" s="83"/>
      <c r="AW17" s="83"/>
      <c r="BA17" s="84"/>
    </row>
    <row r="18" spans="1:53" s="208" customFormat="1" x14ac:dyDescent="0.15">
      <c r="A18" s="102">
        <v>1981</v>
      </c>
      <c r="B18" s="207"/>
      <c r="C18" s="811" t="s">
        <v>841</v>
      </c>
      <c r="D18" s="811"/>
      <c r="E18" s="208">
        <v>8</v>
      </c>
      <c r="G18" s="123">
        <v>13</v>
      </c>
      <c r="J18" s="134">
        <v>15</v>
      </c>
      <c r="K18" s="92">
        <f t="shared" si="1"/>
        <v>86.666666666666671</v>
      </c>
      <c r="L18" s="92">
        <f t="shared" si="0"/>
        <v>0</v>
      </c>
      <c r="M18" s="92">
        <f t="shared" si="0"/>
        <v>0</v>
      </c>
      <c r="N18" s="125">
        <f t="shared" si="2"/>
        <v>86.666666666666671</v>
      </c>
      <c r="O18" s="91">
        <v>52.6</v>
      </c>
      <c r="P18" s="92"/>
      <c r="Q18" s="92"/>
      <c r="R18" s="93">
        <f t="shared" si="3"/>
        <v>52.6</v>
      </c>
      <c r="S18" s="208">
        <v>1</v>
      </c>
      <c r="T18" s="81"/>
      <c r="V18" s="82" t="s">
        <v>490</v>
      </c>
      <c r="W18" s="208" t="s">
        <v>22</v>
      </c>
      <c r="X18" s="208" t="s">
        <v>11</v>
      </c>
      <c r="Y18" s="83">
        <v>52.6</v>
      </c>
      <c r="Z18" s="208" t="s">
        <v>492</v>
      </c>
      <c r="AA18" s="208" t="s">
        <v>17</v>
      </c>
      <c r="AB18" s="208" t="s">
        <v>11</v>
      </c>
      <c r="AC18" s="150">
        <v>52.6</v>
      </c>
      <c r="AD18" s="82" t="s">
        <v>491</v>
      </c>
      <c r="AE18" s="208" t="s">
        <v>340</v>
      </c>
      <c r="AF18" s="208" t="s">
        <v>11</v>
      </c>
      <c r="AG18" s="223">
        <v>52.6</v>
      </c>
      <c r="AL18" s="82"/>
      <c r="AO18" s="83"/>
      <c r="AP18" s="82"/>
      <c r="AS18" s="83"/>
      <c r="AW18" s="83"/>
      <c r="BA18" s="84"/>
    </row>
    <row r="19" spans="1:53" s="334" customFormat="1" x14ac:dyDescent="0.15">
      <c r="A19" s="386">
        <v>1981</v>
      </c>
      <c r="B19" s="355">
        <v>29595</v>
      </c>
      <c r="C19" s="812" t="s">
        <v>842</v>
      </c>
      <c r="D19" s="812"/>
      <c r="E19" s="334">
        <v>238</v>
      </c>
      <c r="F19" s="334" t="s">
        <v>348</v>
      </c>
      <c r="G19" s="419">
        <v>15</v>
      </c>
      <c r="J19" s="435">
        <v>18</v>
      </c>
      <c r="K19" s="384">
        <f t="shared" si="1"/>
        <v>83.333333333333343</v>
      </c>
      <c r="L19" s="384">
        <f t="shared" si="0"/>
        <v>0</v>
      </c>
      <c r="M19" s="384">
        <f t="shared" si="0"/>
        <v>0</v>
      </c>
      <c r="N19" s="421">
        <f t="shared" si="2"/>
        <v>83.333333333333343</v>
      </c>
      <c r="O19" s="383">
        <v>52.6</v>
      </c>
      <c r="P19" s="384"/>
      <c r="Q19" s="384"/>
      <c r="R19" s="385">
        <f t="shared" si="3"/>
        <v>52.6</v>
      </c>
      <c r="S19" s="334">
        <v>1</v>
      </c>
      <c r="T19" s="357"/>
      <c r="U19" s="355">
        <v>29595</v>
      </c>
      <c r="V19" s="343" t="s">
        <v>490</v>
      </c>
      <c r="W19" s="334" t="s">
        <v>22</v>
      </c>
      <c r="X19" s="334" t="s">
        <v>11</v>
      </c>
      <c r="Y19" s="344">
        <v>52.6</v>
      </c>
      <c r="Z19" s="334" t="s">
        <v>492</v>
      </c>
      <c r="AA19" s="334" t="s">
        <v>17</v>
      </c>
      <c r="AB19" s="334" t="s">
        <v>11</v>
      </c>
      <c r="AC19" s="441">
        <v>52.6</v>
      </c>
      <c r="AD19" s="343" t="s">
        <v>491</v>
      </c>
      <c r="AE19" s="334" t="s">
        <v>340</v>
      </c>
      <c r="AF19" s="334" t="s">
        <v>11</v>
      </c>
      <c r="AG19" s="455">
        <v>52.6</v>
      </c>
      <c r="AL19" s="343"/>
      <c r="AO19" s="344"/>
      <c r="AP19" s="343"/>
      <c r="AS19" s="344"/>
      <c r="AW19" s="344"/>
      <c r="BA19" s="345"/>
    </row>
    <row r="20" spans="1:53" s="208" customFormat="1" x14ac:dyDescent="0.15">
      <c r="A20" s="102">
        <v>1981</v>
      </c>
      <c r="B20" s="207">
        <v>29833</v>
      </c>
      <c r="C20" s="811" t="s">
        <v>843</v>
      </c>
      <c r="D20" s="811"/>
      <c r="E20" s="208">
        <f>365-E19-E18</f>
        <v>119</v>
      </c>
      <c r="F20" s="208">
        <v>2</v>
      </c>
      <c r="G20" s="123">
        <v>14</v>
      </c>
      <c r="J20" s="134">
        <v>15</v>
      </c>
      <c r="K20" s="92">
        <f t="shared" si="1"/>
        <v>93.333333333333329</v>
      </c>
      <c r="L20" s="92">
        <f t="shared" si="0"/>
        <v>0</v>
      </c>
      <c r="M20" s="92">
        <f t="shared" si="0"/>
        <v>0</v>
      </c>
      <c r="N20" s="125">
        <f t="shared" si="2"/>
        <v>93.333333333333329</v>
      </c>
      <c r="O20" s="91">
        <v>52.6</v>
      </c>
      <c r="P20" s="92"/>
      <c r="Q20" s="92"/>
      <c r="R20" s="93">
        <f t="shared" si="3"/>
        <v>52.6</v>
      </c>
      <c r="S20" s="208">
        <v>1</v>
      </c>
      <c r="T20" s="81"/>
      <c r="U20" s="207">
        <v>29833</v>
      </c>
      <c r="V20" s="82" t="s">
        <v>490</v>
      </c>
      <c r="W20" s="208" t="s">
        <v>22</v>
      </c>
      <c r="X20" s="208" t="s">
        <v>11</v>
      </c>
      <c r="Y20" s="83">
        <v>52.6</v>
      </c>
      <c r="Z20" s="208" t="s">
        <v>492</v>
      </c>
      <c r="AA20" s="208" t="s">
        <v>17</v>
      </c>
      <c r="AB20" s="208" t="s">
        <v>11</v>
      </c>
      <c r="AC20" s="150">
        <v>52.6</v>
      </c>
      <c r="AD20" s="82" t="s">
        <v>491</v>
      </c>
      <c r="AE20" s="208" t="s">
        <v>340</v>
      </c>
      <c r="AF20" s="208" t="s">
        <v>11</v>
      </c>
      <c r="AG20" s="223">
        <v>52.6</v>
      </c>
      <c r="AL20" s="82"/>
      <c r="AO20" s="83"/>
      <c r="AP20" s="82"/>
      <c r="AS20" s="83"/>
      <c r="AW20" s="83"/>
      <c r="BA20" s="84"/>
    </row>
    <row r="21" spans="1:53" s="208" customFormat="1" x14ac:dyDescent="0.15">
      <c r="A21" s="102">
        <v>1982</v>
      </c>
      <c r="B21" s="207"/>
      <c r="C21" s="811" t="s">
        <v>843</v>
      </c>
      <c r="D21" s="811"/>
      <c r="E21" s="208">
        <v>0</v>
      </c>
      <c r="G21" s="123">
        <v>14</v>
      </c>
      <c r="J21" s="134">
        <v>15</v>
      </c>
      <c r="K21" s="92">
        <f t="shared" si="1"/>
        <v>93.333333333333329</v>
      </c>
      <c r="L21" s="92">
        <f t="shared" si="0"/>
        <v>0</v>
      </c>
      <c r="M21" s="92">
        <f t="shared" si="0"/>
        <v>0</v>
      </c>
      <c r="N21" s="125">
        <f t="shared" si="2"/>
        <v>93.333333333333329</v>
      </c>
      <c r="O21" s="91">
        <v>52.6</v>
      </c>
      <c r="P21" s="92"/>
      <c r="Q21" s="92"/>
      <c r="R21" s="93">
        <f t="shared" si="3"/>
        <v>52.6</v>
      </c>
      <c r="S21" s="208">
        <v>1</v>
      </c>
      <c r="T21" s="81"/>
      <c r="V21" s="82" t="s">
        <v>490</v>
      </c>
      <c r="W21" s="208" t="s">
        <v>22</v>
      </c>
      <c r="X21" s="208" t="s">
        <v>11</v>
      </c>
      <c r="Y21" s="83">
        <v>52.6</v>
      </c>
      <c r="Z21" s="208" t="s">
        <v>492</v>
      </c>
      <c r="AA21" s="208" t="s">
        <v>17</v>
      </c>
      <c r="AB21" s="208" t="s">
        <v>11</v>
      </c>
      <c r="AC21" s="150">
        <v>52.6</v>
      </c>
      <c r="AD21" s="82" t="s">
        <v>491</v>
      </c>
      <c r="AE21" s="208" t="s">
        <v>340</v>
      </c>
      <c r="AF21" s="208" t="s">
        <v>11</v>
      </c>
      <c r="AG21" s="223">
        <v>52.6</v>
      </c>
      <c r="AL21" s="82"/>
      <c r="AO21" s="83"/>
      <c r="AP21" s="82"/>
      <c r="AS21" s="83"/>
      <c r="AW21" s="83"/>
      <c r="BA21" s="84"/>
    </row>
    <row r="22" spans="1:53" s="208" customFormat="1" x14ac:dyDescent="0.15">
      <c r="A22" s="102">
        <v>1982</v>
      </c>
      <c r="B22" s="207"/>
      <c r="C22" s="811" t="s">
        <v>843</v>
      </c>
      <c r="D22" s="811"/>
      <c r="E22" s="208">
        <v>365</v>
      </c>
      <c r="G22" s="123">
        <v>14</v>
      </c>
      <c r="J22" s="134">
        <v>15</v>
      </c>
      <c r="K22" s="92">
        <f t="shared" si="1"/>
        <v>93.333333333333329</v>
      </c>
      <c r="L22" s="92">
        <f t="shared" si="0"/>
        <v>0</v>
      </c>
      <c r="M22" s="92">
        <f t="shared" si="0"/>
        <v>0</v>
      </c>
      <c r="N22" s="125">
        <f t="shared" si="2"/>
        <v>93.333333333333329</v>
      </c>
      <c r="O22" s="91">
        <v>52.6</v>
      </c>
      <c r="P22" s="92"/>
      <c r="Q22" s="92"/>
      <c r="R22" s="93">
        <f t="shared" si="3"/>
        <v>52.6</v>
      </c>
      <c r="S22" s="208">
        <v>1</v>
      </c>
      <c r="T22" s="81"/>
      <c r="V22" s="82" t="s">
        <v>490</v>
      </c>
      <c r="W22" s="208" t="s">
        <v>22</v>
      </c>
      <c r="X22" s="208" t="s">
        <v>11</v>
      </c>
      <c r="Y22" s="83">
        <v>52.6</v>
      </c>
      <c r="Z22" s="208" t="s">
        <v>492</v>
      </c>
      <c r="AA22" s="208" t="s">
        <v>17</v>
      </c>
      <c r="AB22" s="208" t="s">
        <v>11</v>
      </c>
      <c r="AC22" s="150">
        <v>52.6</v>
      </c>
      <c r="AD22" s="82" t="s">
        <v>491</v>
      </c>
      <c r="AE22" s="208" t="s">
        <v>340</v>
      </c>
      <c r="AF22" s="208" t="s">
        <v>11</v>
      </c>
      <c r="AG22" s="223">
        <v>52.6</v>
      </c>
      <c r="AL22" s="82"/>
      <c r="AO22" s="83"/>
      <c r="AP22" s="82"/>
      <c r="AS22" s="83"/>
      <c r="AW22" s="83"/>
      <c r="BA22" s="84"/>
    </row>
    <row r="23" spans="1:53" s="208" customFormat="1" x14ac:dyDescent="0.15">
      <c r="A23" s="102">
        <v>1983</v>
      </c>
      <c r="B23" s="207"/>
      <c r="C23" s="811" t="s">
        <v>843</v>
      </c>
      <c r="D23" s="811"/>
      <c r="E23" s="208">
        <v>159</v>
      </c>
      <c r="G23" s="123">
        <v>14</v>
      </c>
      <c r="J23" s="134">
        <v>15</v>
      </c>
      <c r="K23" s="92">
        <f t="shared" si="1"/>
        <v>93.333333333333329</v>
      </c>
      <c r="L23" s="92">
        <f t="shared" si="1"/>
        <v>0</v>
      </c>
      <c r="M23" s="92">
        <f t="shared" si="1"/>
        <v>0</v>
      </c>
      <c r="N23" s="125">
        <f t="shared" si="2"/>
        <v>93.333333333333329</v>
      </c>
      <c r="O23" s="91">
        <v>52.6</v>
      </c>
      <c r="P23" s="92"/>
      <c r="Q23" s="92"/>
      <c r="R23" s="93">
        <f t="shared" si="3"/>
        <v>52.6</v>
      </c>
      <c r="S23" s="208">
        <v>1</v>
      </c>
      <c r="T23" s="81"/>
      <c r="V23" s="82" t="s">
        <v>490</v>
      </c>
      <c r="W23" s="208" t="s">
        <v>22</v>
      </c>
      <c r="X23" s="208" t="s">
        <v>11</v>
      </c>
      <c r="Y23" s="83">
        <v>52.6</v>
      </c>
      <c r="Z23" s="208" t="s">
        <v>492</v>
      </c>
      <c r="AA23" s="208" t="s">
        <v>17</v>
      </c>
      <c r="AB23" s="208" t="s">
        <v>11</v>
      </c>
      <c r="AC23" s="150">
        <v>52.6</v>
      </c>
      <c r="AD23" s="82" t="s">
        <v>491</v>
      </c>
      <c r="AE23" s="208" t="s">
        <v>340</v>
      </c>
      <c r="AF23" s="208" t="s">
        <v>11</v>
      </c>
      <c r="AG23" s="223">
        <v>52.6</v>
      </c>
      <c r="AL23" s="82"/>
      <c r="AO23" s="83"/>
      <c r="AP23" s="82"/>
      <c r="AS23" s="83"/>
      <c r="AW23" s="83"/>
      <c r="BA23" s="84"/>
    </row>
    <row r="24" spans="1:53" s="334" customFormat="1" x14ac:dyDescent="0.15">
      <c r="A24" s="386">
        <v>1983</v>
      </c>
      <c r="B24" s="355">
        <v>30476</v>
      </c>
      <c r="C24" s="812" t="s">
        <v>622</v>
      </c>
      <c r="D24" s="812"/>
      <c r="E24" s="334">
        <f>365-E23</f>
        <v>206</v>
      </c>
      <c r="F24" s="334">
        <v>2</v>
      </c>
      <c r="G24" s="419">
        <v>6</v>
      </c>
      <c r="I24" s="334">
        <v>9</v>
      </c>
      <c r="J24" s="435">
        <v>17</v>
      </c>
      <c r="K24" s="384">
        <f t="shared" si="1"/>
        <v>35.294117647058826</v>
      </c>
      <c r="L24" s="384">
        <f t="shared" si="1"/>
        <v>0</v>
      </c>
      <c r="M24" s="384">
        <f t="shared" si="1"/>
        <v>52.941176470588239</v>
      </c>
      <c r="N24" s="421">
        <f t="shared" si="2"/>
        <v>88.235294117647072</v>
      </c>
      <c r="O24" s="383">
        <v>30</v>
      </c>
      <c r="P24" s="384"/>
      <c r="Q24" s="384">
        <v>40.4</v>
      </c>
      <c r="R24" s="385">
        <f t="shared" si="3"/>
        <v>70.400000000000006</v>
      </c>
      <c r="S24" s="334">
        <v>2</v>
      </c>
      <c r="T24" s="342">
        <v>30431</v>
      </c>
      <c r="U24" s="355">
        <v>30568</v>
      </c>
      <c r="V24" s="343" t="s">
        <v>96</v>
      </c>
      <c r="W24" s="334" t="s">
        <v>20</v>
      </c>
      <c r="X24" s="334" t="s">
        <v>12</v>
      </c>
      <c r="Y24" s="344">
        <v>40.4</v>
      </c>
      <c r="Z24" s="334" t="s">
        <v>490</v>
      </c>
      <c r="AA24" s="334" t="s">
        <v>22</v>
      </c>
      <c r="AB24" s="334" t="s">
        <v>11</v>
      </c>
      <c r="AC24" s="334">
        <v>30</v>
      </c>
      <c r="AD24" s="343"/>
      <c r="AG24" s="344"/>
      <c r="AL24" s="343"/>
      <c r="AO24" s="344"/>
      <c r="AP24" s="343"/>
      <c r="AS24" s="344"/>
      <c r="AW24" s="344"/>
      <c r="BA24" s="345"/>
    </row>
    <row r="25" spans="1:53" s="334" customFormat="1" x14ac:dyDescent="0.15">
      <c r="A25" s="386">
        <v>1984</v>
      </c>
      <c r="B25" s="355"/>
      <c r="C25" s="812" t="s">
        <v>622</v>
      </c>
      <c r="D25" s="812"/>
      <c r="E25" s="334">
        <v>0</v>
      </c>
      <c r="G25" s="419">
        <v>6</v>
      </c>
      <c r="I25" s="334">
        <v>9</v>
      </c>
      <c r="J25" s="435">
        <v>17</v>
      </c>
      <c r="K25" s="384">
        <f t="shared" si="1"/>
        <v>35.294117647058826</v>
      </c>
      <c r="L25" s="384">
        <f t="shared" si="1"/>
        <v>0</v>
      </c>
      <c r="M25" s="384">
        <f t="shared" si="1"/>
        <v>52.941176470588239</v>
      </c>
      <c r="N25" s="421">
        <f t="shared" si="2"/>
        <v>88.235294117647072</v>
      </c>
      <c r="O25" s="383">
        <v>30</v>
      </c>
      <c r="P25" s="384"/>
      <c r="Q25" s="384">
        <v>40.4</v>
      </c>
      <c r="R25" s="385">
        <f t="shared" si="3"/>
        <v>70.400000000000006</v>
      </c>
      <c r="S25" s="334">
        <v>2</v>
      </c>
      <c r="T25" s="357"/>
      <c r="V25" s="343" t="s">
        <v>96</v>
      </c>
      <c r="W25" s="334" t="s">
        <v>20</v>
      </c>
      <c r="X25" s="334" t="s">
        <v>12</v>
      </c>
      <c r="Y25" s="344">
        <v>40.4</v>
      </c>
      <c r="Z25" s="334" t="s">
        <v>490</v>
      </c>
      <c r="AA25" s="334" t="s">
        <v>22</v>
      </c>
      <c r="AB25" s="334" t="s">
        <v>11</v>
      </c>
      <c r="AC25" s="334">
        <v>30</v>
      </c>
      <c r="AD25" s="343"/>
      <c r="AG25" s="344"/>
      <c r="AL25" s="343"/>
      <c r="AO25" s="344"/>
      <c r="AP25" s="343"/>
      <c r="AS25" s="344"/>
      <c r="AW25" s="344"/>
      <c r="BA25" s="345"/>
    </row>
    <row r="26" spans="1:53" s="334" customFormat="1" x14ac:dyDescent="0.15">
      <c r="A26" s="386">
        <v>1984</v>
      </c>
      <c r="B26" s="355"/>
      <c r="C26" s="812" t="s">
        <v>622</v>
      </c>
      <c r="D26" s="812"/>
      <c r="E26" s="334">
        <v>366</v>
      </c>
      <c r="G26" s="419">
        <v>6</v>
      </c>
      <c r="I26" s="334">
        <v>9</v>
      </c>
      <c r="J26" s="435">
        <v>17</v>
      </c>
      <c r="K26" s="384">
        <f t="shared" si="1"/>
        <v>35.294117647058826</v>
      </c>
      <c r="L26" s="384">
        <f t="shared" si="1"/>
        <v>0</v>
      </c>
      <c r="M26" s="384">
        <f t="shared" si="1"/>
        <v>52.941176470588239</v>
      </c>
      <c r="N26" s="421">
        <f t="shared" si="2"/>
        <v>88.235294117647072</v>
      </c>
      <c r="O26" s="383">
        <v>30</v>
      </c>
      <c r="P26" s="384"/>
      <c r="Q26" s="384">
        <v>40.4</v>
      </c>
      <c r="R26" s="385">
        <f t="shared" si="3"/>
        <v>70.400000000000006</v>
      </c>
      <c r="S26" s="334">
        <v>2</v>
      </c>
      <c r="T26" s="357"/>
      <c r="V26" s="343" t="s">
        <v>96</v>
      </c>
      <c r="W26" s="334" t="s">
        <v>20</v>
      </c>
      <c r="X26" s="334" t="s">
        <v>12</v>
      </c>
      <c r="Y26" s="344">
        <v>40.4</v>
      </c>
      <c r="Z26" s="334" t="s">
        <v>490</v>
      </c>
      <c r="AA26" s="334" t="s">
        <v>22</v>
      </c>
      <c r="AB26" s="334" t="s">
        <v>11</v>
      </c>
      <c r="AC26" s="334">
        <v>30</v>
      </c>
      <c r="AD26" s="343"/>
      <c r="AG26" s="344"/>
      <c r="AL26" s="343"/>
      <c r="AO26" s="344"/>
      <c r="AP26" s="343"/>
      <c r="AS26" s="344"/>
      <c r="AW26" s="344"/>
      <c r="BA26" s="345"/>
    </row>
    <row r="27" spans="1:53" s="334" customFormat="1" x14ac:dyDescent="0.15">
      <c r="A27" s="386">
        <v>1985</v>
      </c>
      <c r="B27" s="355"/>
      <c r="C27" s="812" t="s">
        <v>622</v>
      </c>
      <c r="D27" s="812"/>
      <c r="E27" s="334">
        <v>309</v>
      </c>
      <c r="G27" s="419">
        <v>6</v>
      </c>
      <c r="I27" s="334">
        <v>9</v>
      </c>
      <c r="J27" s="435">
        <v>17</v>
      </c>
      <c r="K27" s="384">
        <f t="shared" si="1"/>
        <v>35.294117647058826</v>
      </c>
      <c r="L27" s="384">
        <f t="shared" si="1"/>
        <v>0</v>
      </c>
      <c r="M27" s="384">
        <f t="shared" si="1"/>
        <v>52.941176470588239</v>
      </c>
      <c r="N27" s="421">
        <f t="shared" si="2"/>
        <v>88.235294117647072</v>
      </c>
      <c r="O27" s="383">
        <v>30</v>
      </c>
      <c r="P27" s="384"/>
      <c r="Q27" s="384">
        <v>40.4</v>
      </c>
      <c r="R27" s="385">
        <f t="shared" si="3"/>
        <v>70.400000000000006</v>
      </c>
      <c r="S27" s="334">
        <v>2</v>
      </c>
      <c r="T27" s="357"/>
      <c r="V27" s="343" t="s">
        <v>96</v>
      </c>
      <c r="W27" s="334" t="s">
        <v>20</v>
      </c>
      <c r="X27" s="334" t="s">
        <v>12</v>
      </c>
      <c r="Y27" s="344">
        <v>40.4</v>
      </c>
      <c r="Z27" s="334" t="s">
        <v>490</v>
      </c>
      <c r="AA27" s="334" t="s">
        <v>22</v>
      </c>
      <c r="AB27" s="334" t="s">
        <v>11</v>
      </c>
      <c r="AC27" s="334">
        <v>30</v>
      </c>
      <c r="AD27" s="343"/>
      <c r="AG27" s="344"/>
      <c r="AL27" s="343"/>
      <c r="AO27" s="344"/>
      <c r="AP27" s="343"/>
      <c r="AS27" s="344"/>
      <c r="AW27" s="344"/>
      <c r="BA27" s="345"/>
    </row>
    <row r="28" spans="1:53" s="208" customFormat="1" x14ac:dyDescent="0.15">
      <c r="A28" s="102">
        <v>1985</v>
      </c>
      <c r="B28" s="207">
        <v>31357</v>
      </c>
      <c r="C28" s="811" t="s">
        <v>844</v>
      </c>
      <c r="D28" s="811"/>
      <c r="E28" s="208">
        <f>365-E27</f>
        <v>56</v>
      </c>
      <c r="F28" s="208">
        <v>4</v>
      </c>
      <c r="G28" s="123">
        <v>12</v>
      </c>
      <c r="J28" s="134">
        <v>14</v>
      </c>
      <c r="K28" s="92">
        <f t="shared" si="1"/>
        <v>85.714285714285708</v>
      </c>
      <c r="L28" s="92">
        <f t="shared" si="1"/>
        <v>0</v>
      </c>
      <c r="M28" s="92">
        <f t="shared" si="1"/>
        <v>0</v>
      </c>
      <c r="N28" s="125">
        <f t="shared" si="2"/>
        <v>85.714285714285708</v>
      </c>
      <c r="O28" s="91">
        <v>35.200000000000003</v>
      </c>
      <c r="P28" s="92"/>
      <c r="Q28" s="92"/>
      <c r="R28" s="93">
        <f t="shared" si="3"/>
        <v>35.200000000000003</v>
      </c>
      <c r="S28" s="208">
        <v>4</v>
      </c>
      <c r="T28" s="95">
        <v>31326</v>
      </c>
      <c r="U28" s="207">
        <v>31357</v>
      </c>
      <c r="V28" s="82" t="s">
        <v>490</v>
      </c>
      <c r="W28" s="208" t="s">
        <v>22</v>
      </c>
      <c r="X28" s="208" t="s">
        <v>11</v>
      </c>
      <c r="Y28" s="83">
        <v>35.200000000000003</v>
      </c>
      <c r="AD28" s="82"/>
      <c r="AG28" s="83"/>
      <c r="AL28" s="82"/>
      <c r="AO28" s="83"/>
      <c r="AP28" s="82"/>
      <c r="AS28" s="83"/>
      <c r="AW28" s="83"/>
      <c r="BA28" s="84"/>
    </row>
    <row r="29" spans="1:53" s="208" customFormat="1" x14ac:dyDescent="0.15">
      <c r="A29" s="102">
        <v>1986</v>
      </c>
      <c r="B29" s="207"/>
      <c r="C29" s="811" t="s">
        <v>844</v>
      </c>
      <c r="D29" s="811"/>
      <c r="E29" s="208">
        <v>0</v>
      </c>
      <c r="G29" s="123">
        <v>12</v>
      </c>
      <c r="J29" s="134">
        <v>14</v>
      </c>
      <c r="K29" s="92">
        <f t="shared" si="1"/>
        <v>85.714285714285708</v>
      </c>
      <c r="L29" s="92">
        <f t="shared" si="1"/>
        <v>0</v>
      </c>
      <c r="M29" s="92">
        <f t="shared" si="1"/>
        <v>0</v>
      </c>
      <c r="N29" s="125">
        <f t="shared" si="2"/>
        <v>85.714285714285708</v>
      </c>
      <c r="O29" s="91">
        <v>35.200000000000003</v>
      </c>
      <c r="P29" s="92"/>
      <c r="Q29" s="92"/>
      <c r="R29" s="93">
        <f t="shared" si="3"/>
        <v>35.200000000000003</v>
      </c>
      <c r="S29" s="208">
        <v>4</v>
      </c>
      <c r="T29" s="81"/>
      <c r="V29" s="82" t="s">
        <v>490</v>
      </c>
      <c r="W29" s="208" t="s">
        <v>22</v>
      </c>
      <c r="X29" s="208" t="s">
        <v>11</v>
      </c>
      <c r="Y29" s="83">
        <v>35.200000000000003</v>
      </c>
      <c r="AD29" s="82"/>
      <c r="AG29" s="83"/>
      <c r="AL29" s="82"/>
      <c r="AO29" s="83"/>
      <c r="AP29" s="82"/>
      <c r="AS29" s="83"/>
      <c r="AW29" s="83"/>
      <c r="BA29" s="84"/>
    </row>
    <row r="30" spans="1:53" s="208" customFormat="1" x14ac:dyDescent="0.15">
      <c r="A30" s="102">
        <v>1986</v>
      </c>
      <c r="B30" s="207"/>
      <c r="C30" s="811" t="s">
        <v>844</v>
      </c>
      <c r="D30" s="811"/>
      <c r="E30" s="208">
        <v>365</v>
      </c>
      <c r="G30" s="123">
        <v>12</v>
      </c>
      <c r="J30" s="134">
        <v>14</v>
      </c>
      <c r="K30" s="92">
        <f t="shared" si="1"/>
        <v>85.714285714285708</v>
      </c>
      <c r="L30" s="92">
        <f t="shared" si="1"/>
        <v>0</v>
      </c>
      <c r="M30" s="92">
        <f t="shared" si="1"/>
        <v>0</v>
      </c>
      <c r="N30" s="125">
        <f t="shared" si="2"/>
        <v>85.714285714285708</v>
      </c>
      <c r="O30" s="91">
        <v>35.200000000000003</v>
      </c>
      <c r="P30" s="92"/>
      <c r="Q30" s="92"/>
      <c r="R30" s="93">
        <f t="shared" si="3"/>
        <v>35.200000000000003</v>
      </c>
      <c r="S30" s="208">
        <v>4</v>
      </c>
      <c r="T30" s="81"/>
      <c r="V30" s="82" t="s">
        <v>490</v>
      </c>
      <c r="W30" s="208" t="s">
        <v>22</v>
      </c>
      <c r="X30" s="208" t="s">
        <v>11</v>
      </c>
      <c r="Y30" s="83">
        <v>35.200000000000003</v>
      </c>
      <c r="AD30" s="82"/>
      <c r="AG30" s="83"/>
      <c r="AL30" s="82"/>
      <c r="AO30" s="83"/>
      <c r="AP30" s="82"/>
      <c r="AS30" s="83"/>
      <c r="AW30" s="83"/>
      <c r="BA30" s="84"/>
    </row>
    <row r="31" spans="1:53" s="208" customFormat="1" x14ac:dyDescent="0.15">
      <c r="A31" s="102">
        <v>1987</v>
      </c>
      <c r="B31" s="207"/>
      <c r="C31" s="811" t="s">
        <v>844</v>
      </c>
      <c r="D31" s="811"/>
      <c r="E31" s="208">
        <v>228</v>
      </c>
      <c r="G31" s="123">
        <v>12</v>
      </c>
      <c r="J31" s="134">
        <v>14</v>
      </c>
      <c r="K31" s="92">
        <f t="shared" si="1"/>
        <v>85.714285714285708</v>
      </c>
      <c r="L31" s="92">
        <f t="shared" si="1"/>
        <v>0</v>
      </c>
      <c r="M31" s="92">
        <f t="shared" si="1"/>
        <v>0</v>
      </c>
      <c r="N31" s="125">
        <f t="shared" si="2"/>
        <v>85.714285714285708</v>
      </c>
      <c r="O31" s="91">
        <v>35.200000000000003</v>
      </c>
      <c r="P31" s="92"/>
      <c r="Q31" s="92"/>
      <c r="R31" s="93">
        <f t="shared" si="3"/>
        <v>35.200000000000003</v>
      </c>
      <c r="S31" s="208">
        <v>4</v>
      </c>
      <c r="T31" s="81"/>
      <c r="V31" s="82" t="s">
        <v>490</v>
      </c>
      <c r="W31" s="208" t="s">
        <v>22</v>
      </c>
      <c r="X31" s="208" t="s">
        <v>11</v>
      </c>
      <c r="Y31" s="83">
        <v>35.200000000000003</v>
      </c>
      <c r="AD31" s="82"/>
      <c r="AG31" s="83"/>
      <c r="AL31" s="82"/>
      <c r="AO31" s="83"/>
      <c r="AP31" s="82"/>
      <c r="AS31" s="83"/>
      <c r="AW31" s="83"/>
      <c r="BA31" s="84"/>
    </row>
    <row r="32" spans="1:53" s="334" customFormat="1" x14ac:dyDescent="0.15">
      <c r="A32" s="386">
        <v>1987</v>
      </c>
      <c r="B32" s="355">
        <v>32006</v>
      </c>
      <c r="C32" s="812" t="s">
        <v>845</v>
      </c>
      <c r="D32" s="812"/>
      <c r="E32" s="334">
        <f>365-E31</f>
        <v>137</v>
      </c>
      <c r="F32" s="334">
        <v>5</v>
      </c>
      <c r="G32" s="419">
        <v>16</v>
      </c>
      <c r="J32" s="435">
        <v>18</v>
      </c>
      <c r="K32" s="384">
        <f t="shared" si="1"/>
        <v>88.888888888888886</v>
      </c>
      <c r="L32" s="384">
        <f t="shared" si="1"/>
        <v>0</v>
      </c>
      <c r="M32" s="384">
        <f t="shared" si="1"/>
        <v>0</v>
      </c>
      <c r="N32" s="421">
        <f t="shared" si="2"/>
        <v>88.888888888888886</v>
      </c>
      <c r="O32" s="383">
        <v>59.2</v>
      </c>
      <c r="P32" s="384"/>
      <c r="Q32" s="384"/>
      <c r="R32" s="385">
        <f t="shared" si="3"/>
        <v>59.2</v>
      </c>
      <c r="S32" s="334">
        <v>1</v>
      </c>
      <c r="T32" s="342">
        <v>31977</v>
      </c>
      <c r="U32" s="355">
        <v>32006</v>
      </c>
      <c r="V32" s="343" t="s">
        <v>490</v>
      </c>
      <c r="W32" s="334" t="s">
        <v>22</v>
      </c>
      <c r="X32" s="334" t="s">
        <v>11</v>
      </c>
      <c r="Y32" s="344">
        <v>59.2</v>
      </c>
      <c r="AD32" s="343"/>
      <c r="AG32" s="344"/>
      <c r="AL32" s="343"/>
      <c r="AO32" s="344"/>
      <c r="AP32" s="343"/>
      <c r="AS32" s="344"/>
      <c r="AW32" s="344"/>
      <c r="BA32" s="345"/>
    </row>
    <row r="33" spans="1:53" s="334" customFormat="1" x14ac:dyDescent="0.15">
      <c r="A33" s="386">
        <v>1988</v>
      </c>
      <c r="C33" s="812" t="s">
        <v>845</v>
      </c>
      <c r="D33" s="812"/>
      <c r="E33" s="334">
        <v>0</v>
      </c>
      <c r="G33" s="419">
        <v>16</v>
      </c>
      <c r="J33" s="435">
        <v>18</v>
      </c>
      <c r="K33" s="384">
        <f t="shared" si="1"/>
        <v>88.888888888888886</v>
      </c>
      <c r="L33" s="384">
        <f t="shared" si="1"/>
        <v>0</v>
      </c>
      <c r="M33" s="384">
        <f t="shared" si="1"/>
        <v>0</v>
      </c>
      <c r="N33" s="421">
        <f t="shared" si="2"/>
        <v>88.888888888888886</v>
      </c>
      <c r="O33" s="383">
        <v>59.2</v>
      </c>
      <c r="P33" s="384"/>
      <c r="Q33" s="384"/>
      <c r="R33" s="385">
        <f t="shared" si="3"/>
        <v>59.2</v>
      </c>
      <c r="S33" s="334">
        <v>1</v>
      </c>
      <c r="T33" s="357"/>
      <c r="V33" s="343" t="s">
        <v>490</v>
      </c>
      <c r="W33" s="334" t="s">
        <v>22</v>
      </c>
      <c r="X33" s="334" t="s">
        <v>11</v>
      </c>
      <c r="Y33" s="344">
        <v>59.2</v>
      </c>
      <c r="AD33" s="343"/>
      <c r="AG33" s="344"/>
      <c r="AL33" s="343"/>
      <c r="AO33" s="344"/>
      <c r="AP33" s="343"/>
      <c r="AS33" s="344"/>
      <c r="AW33" s="344"/>
      <c r="BA33" s="345"/>
    </row>
    <row r="34" spans="1:53" s="334" customFormat="1" x14ac:dyDescent="0.15">
      <c r="A34" s="386">
        <v>1988</v>
      </c>
      <c r="C34" s="812" t="s">
        <v>845</v>
      </c>
      <c r="D34" s="812"/>
      <c r="E34" s="334">
        <v>366</v>
      </c>
      <c r="G34" s="419">
        <v>16</v>
      </c>
      <c r="J34" s="435">
        <v>18</v>
      </c>
      <c r="K34" s="384">
        <f t="shared" si="1"/>
        <v>88.888888888888886</v>
      </c>
      <c r="L34" s="384">
        <f t="shared" si="1"/>
        <v>0</v>
      </c>
      <c r="M34" s="384">
        <f t="shared" si="1"/>
        <v>0</v>
      </c>
      <c r="N34" s="421">
        <f t="shared" si="2"/>
        <v>88.888888888888886</v>
      </c>
      <c r="O34" s="383">
        <v>59.2</v>
      </c>
      <c r="P34" s="384"/>
      <c r="Q34" s="384"/>
      <c r="R34" s="385">
        <f t="shared" si="3"/>
        <v>59.2</v>
      </c>
      <c r="S34" s="334">
        <v>1</v>
      </c>
      <c r="T34" s="357"/>
      <c r="V34" s="343" t="s">
        <v>490</v>
      </c>
      <c r="W34" s="334" t="s">
        <v>22</v>
      </c>
      <c r="X34" s="334" t="s">
        <v>11</v>
      </c>
      <c r="Y34" s="344">
        <v>59.2</v>
      </c>
      <c r="AD34" s="343"/>
      <c r="AG34" s="344"/>
      <c r="AL34" s="343"/>
      <c r="AO34" s="344"/>
      <c r="AP34" s="343"/>
      <c r="AS34" s="344"/>
      <c r="AW34" s="344"/>
      <c r="BA34" s="345"/>
    </row>
    <row r="35" spans="1:53" s="334" customFormat="1" x14ac:dyDescent="0.15">
      <c r="A35" s="386">
        <v>1989</v>
      </c>
      <c r="C35" s="812" t="s">
        <v>845</v>
      </c>
      <c r="D35" s="812"/>
      <c r="E35" s="334">
        <v>0</v>
      </c>
      <c r="G35" s="419">
        <v>16</v>
      </c>
      <c r="J35" s="435">
        <v>18</v>
      </c>
      <c r="K35" s="384">
        <f t="shared" si="1"/>
        <v>88.888888888888886</v>
      </c>
      <c r="L35" s="384">
        <f t="shared" si="1"/>
        <v>0</v>
      </c>
      <c r="M35" s="384">
        <f t="shared" si="1"/>
        <v>0</v>
      </c>
      <c r="N35" s="421">
        <f t="shared" si="2"/>
        <v>88.888888888888886</v>
      </c>
      <c r="O35" s="383">
        <v>59.2</v>
      </c>
      <c r="P35" s="384"/>
      <c r="Q35" s="384"/>
      <c r="R35" s="385">
        <f t="shared" si="3"/>
        <v>59.2</v>
      </c>
      <c r="S35" s="334">
        <v>1</v>
      </c>
      <c r="T35" s="357"/>
      <c r="V35" s="343" t="s">
        <v>490</v>
      </c>
      <c r="W35" s="334" t="s">
        <v>22</v>
      </c>
      <c r="X35" s="334" t="s">
        <v>11</v>
      </c>
      <c r="Y35" s="344">
        <v>59.2</v>
      </c>
      <c r="AD35" s="343"/>
      <c r="AG35" s="344"/>
      <c r="AL35" s="343"/>
      <c r="AO35" s="344"/>
      <c r="AP35" s="343"/>
      <c r="AS35" s="344"/>
      <c r="AW35" s="344"/>
      <c r="BA35" s="345"/>
    </row>
    <row r="36" spans="1:53" s="104" customFormat="1" x14ac:dyDescent="0.15">
      <c r="A36" s="201">
        <v>1989</v>
      </c>
      <c r="C36" s="818" t="s">
        <v>845</v>
      </c>
      <c r="D36" s="818"/>
      <c r="E36" s="104">
        <f>365-E35</f>
        <v>365</v>
      </c>
      <c r="G36" s="447">
        <v>16</v>
      </c>
      <c r="J36" s="448">
        <v>18</v>
      </c>
      <c r="K36" s="404">
        <f t="shared" si="1"/>
        <v>88.888888888888886</v>
      </c>
      <c r="L36" s="404">
        <f t="shared" si="1"/>
        <v>0</v>
      </c>
      <c r="M36" s="404">
        <f t="shared" si="1"/>
        <v>0</v>
      </c>
      <c r="N36" s="426">
        <f t="shared" si="2"/>
        <v>88.888888888888886</v>
      </c>
      <c r="O36" s="403">
        <v>59.2</v>
      </c>
      <c r="P36" s="404"/>
      <c r="Q36" s="404"/>
      <c r="R36" s="405">
        <f t="shared" si="3"/>
        <v>59.2</v>
      </c>
      <c r="S36" s="104">
        <v>1</v>
      </c>
      <c r="T36" s="458"/>
      <c r="V36" s="105" t="s">
        <v>490</v>
      </c>
      <c r="W36" s="104" t="s">
        <v>22</v>
      </c>
      <c r="X36" s="104" t="s">
        <v>11</v>
      </c>
      <c r="Y36" s="106">
        <v>59.2</v>
      </c>
      <c r="AD36" s="105"/>
      <c r="AG36" s="106"/>
      <c r="AL36" s="105"/>
      <c r="AO36" s="106"/>
      <c r="AP36" s="105"/>
      <c r="AS36" s="106"/>
      <c r="AW36" s="106"/>
      <c r="BA36" s="107"/>
    </row>
    <row r="37" spans="1:53" s="334" customFormat="1" x14ac:dyDescent="0.15">
      <c r="A37" s="334">
        <v>1990</v>
      </c>
      <c r="C37" s="812" t="s">
        <v>845</v>
      </c>
      <c r="D37" s="812"/>
      <c r="E37" s="334">
        <v>0</v>
      </c>
      <c r="G37" s="419">
        <v>16</v>
      </c>
      <c r="J37" s="435">
        <v>18</v>
      </c>
      <c r="K37" s="383">
        <f t="shared" si="1"/>
        <v>88.888888888888886</v>
      </c>
      <c r="L37" s="384">
        <f t="shared" si="1"/>
        <v>0</v>
      </c>
      <c r="M37" s="384">
        <f t="shared" si="1"/>
        <v>0</v>
      </c>
      <c r="N37" s="385">
        <f t="shared" si="2"/>
        <v>88.888888888888886</v>
      </c>
      <c r="O37" s="383">
        <v>59.2</v>
      </c>
      <c r="P37" s="384"/>
      <c r="Q37" s="384"/>
      <c r="R37" s="385">
        <f t="shared" si="3"/>
        <v>59.2</v>
      </c>
      <c r="S37" s="334">
        <v>1</v>
      </c>
      <c r="T37" s="357"/>
      <c r="V37" s="343" t="s">
        <v>490</v>
      </c>
      <c r="W37" s="334" t="s">
        <v>22</v>
      </c>
      <c r="X37" s="334" t="s">
        <v>11</v>
      </c>
      <c r="Y37" s="344">
        <v>59.2</v>
      </c>
      <c r="AD37" s="343"/>
      <c r="AG37" s="344"/>
      <c r="AL37" s="343"/>
      <c r="AO37" s="344"/>
      <c r="AP37" s="343"/>
      <c r="AS37" s="344"/>
      <c r="AW37" s="344"/>
      <c r="BA37" s="345"/>
    </row>
    <row r="38" spans="1:53" s="334" customFormat="1" x14ac:dyDescent="0.15">
      <c r="A38" s="334">
        <v>1990</v>
      </c>
      <c r="C38" s="812" t="s">
        <v>845</v>
      </c>
      <c r="D38" s="812"/>
      <c r="E38" s="334">
        <f>365-E37</f>
        <v>365</v>
      </c>
      <c r="G38" s="419">
        <v>16</v>
      </c>
      <c r="J38" s="435">
        <v>18</v>
      </c>
      <c r="K38" s="384">
        <f t="shared" si="1"/>
        <v>88.888888888888886</v>
      </c>
      <c r="L38" s="384">
        <f t="shared" si="1"/>
        <v>0</v>
      </c>
      <c r="M38" s="384">
        <f t="shared" si="1"/>
        <v>0</v>
      </c>
      <c r="N38" s="421">
        <f t="shared" si="2"/>
        <v>88.888888888888886</v>
      </c>
      <c r="O38" s="383">
        <v>59.2</v>
      </c>
      <c r="P38" s="384"/>
      <c r="Q38" s="384"/>
      <c r="R38" s="385">
        <f t="shared" si="3"/>
        <v>59.2</v>
      </c>
      <c r="S38" s="334">
        <v>1</v>
      </c>
      <c r="T38" s="357"/>
      <c r="V38" s="343" t="s">
        <v>490</v>
      </c>
      <c r="W38" s="334" t="s">
        <v>22</v>
      </c>
      <c r="X38" s="334" t="s">
        <v>11</v>
      </c>
      <c r="Y38" s="344">
        <v>59.2</v>
      </c>
      <c r="AD38" s="343"/>
      <c r="AG38" s="344"/>
      <c r="AL38" s="343"/>
      <c r="AO38" s="344"/>
      <c r="AP38" s="343"/>
      <c r="AS38" s="344"/>
      <c r="AW38" s="344"/>
      <c r="BA38" s="345"/>
    </row>
    <row r="39" spans="1:53" s="334" customFormat="1" x14ac:dyDescent="0.15">
      <c r="A39" s="334">
        <v>1991</v>
      </c>
      <c r="C39" s="812" t="s">
        <v>845</v>
      </c>
      <c r="D39" s="812"/>
      <c r="E39" s="334">
        <v>303</v>
      </c>
      <c r="G39" s="419">
        <v>16</v>
      </c>
      <c r="J39" s="435">
        <v>18</v>
      </c>
      <c r="K39" s="384">
        <f t="shared" si="1"/>
        <v>88.888888888888886</v>
      </c>
      <c r="L39" s="384">
        <f t="shared" si="1"/>
        <v>0</v>
      </c>
      <c r="M39" s="384">
        <f t="shared" si="1"/>
        <v>0</v>
      </c>
      <c r="N39" s="421">
        <f t="shared" si="2"/>
        <v>88.888888888888886</v>
      </c>
      <c r="O39" s="383">
        <v>59.2</v>
      </c>
      <c r="P39" s="384"/>
      <c r="Q39" s="384"/>
      <c r="R39" s="385">
        <f t="shared" si="3"/>
        <v>59.2</v>
      </c>
      <c r="S39" s="334">
        <v>1</v>
      </c>
      <c r="T39" s="357"/>
      <c r="V39" s="343" t="s">
        <v>490</v>
      </c>
      <c r="W39" s="334" t="s">
        <v>22</v>
      </c>
      <c r="X39" s="334" t="s">
        <v>11</v>
      </c>
      <c r="Y39" s="344">
        <v>59.2</v>
      </c>
      <c r="AD39" s="343"/>
      <c r="AG39" s="344"/>
      <c r="AL39" s="343"/>
      <c r="AO39" s="344"/>
      <c r="AP39" s="343"/>
      <c r="AS39" s="344"/>
      <c r="AW39" s="344"/>
      <c r="BA39" s="345"/>
    </row>
    <row r="40" spans="1:53" s="208" customFormat="1" x14ac:dyDescent="0.15">
      <c r="A40" s="208">
        <v>1991</v>
      </c>
      <c r="B40" s="207">
        <v>33542</v>
      </c>
      <c r="C40" s="811" t="s">
        <v>846</v>
      </c>
      <c r="D40" s="811"/>
      <c r="E40" s="208">
        <f>365-E39</f>
        <v>62</v>
      </c>
      <c r="F40" s="208">
        <v>1</v>
      </c>
      <c r="G40" s="123">
        <v>17</v>
      </c>
      <c r="J40" s="134">
        <v>19</v>
      </c>
      <c r="K40" s="92">
        <f t="shared" si="1"/>
        <v>89.473684210526315</v>
      </c>
      <c r="L40" s="92">
        <f t="shared" si="1"/>
        <v>0</v>
      </c>
      <c r="M40" s="92">
        <f t="shared" si="1"/>
        <v>0</v>
      </c>
      <c r="N40" s="125">
        <f t="shared" si="2"/>
        <v>89.473684210526315</v>
      </c>
      <c r="O40" s="91">
        <v>58.4</v>
      </c>
      <c r="P40" s="92"/>
      <c r="Q40" s="92"/>
      <c r="R40" s="93">
        <f t="shared" si="3"/>
        <v>58.4</v>
      </c>
      <c r="S40" s="208">
        <v>1</v>
      </c>
      <c r="T40" s="95">
        <v>33517</v>
      </c>
      <c r="U40" s="207">
        <v>33542</v>
      </c>
      <c r="V40" s="82" t="s">
        <v>490</v>
      </c>
      <c r="W40" s="208" t="s">
        <v>22</v>
      </c>
      <c r="X40" s="208" t="s">
        <v>11</v>
      </c>
      <c r="Y40" s="83">
        <v>58.4</v>
      </c>
      <c r="AD40" s="82"/>
      <c r="AG40" s="83"/>
      <c r="AL40" s="82"/>
      <c r="AO40" s="83"/>
      <c r="AP40" s="82"/>
      <c r="AS40" s="83"/>
      <c r="AW40" s="83"/>
      <c r="BA40" s="84"/>
    </row>
    <row r="41" spans="1:53" s="208" customFormat="1" x14ac:dyDescent="0.15">
      <c r="A41" s="208">
        <v>1992</v>
      </c>
      <c r="C41" s="811" t="s">
        <v>846</v>
      </c>
      <c r="D41" s="811"/>
      <c r="E41" s="208">
        <v>0</v>
      </c>
      <c r="G41" s="123">
        <v>17</v>
      </c>
      <c r="J41" s="134">
        <v>19</v>
      </c>
      <c r="K41" s="92">
        <f t="shared" si="1"/>
        <v>89.473684210526315</v>
      </c>
      <c r="L41" s="92">
        <f t="shared" si="1"/>
        <v>0</v>
      </c>
      <c r="M41" s="92">
        <f t="shared" si="1"/>
        <v>0</v>
      </c>
      <c r="N41" s="125">
        <f t="shared" si="2"/>
        <v>89.473684210526315</v>
      </c>
      <c r="O41" s="91">
        <v>58.4</v>
      </c>
      <c r="P41" s="92"/>
      <c r="Q41" s="92"/>
      <c r="R41" s="93">
        <f t="shared" si="3"/>
        <v>58.4</v>
      </c>
      <c r="S41" s="208">
        <v>1</v>
      </c>
      <c r="T41" s="81"/>
      <c r="V41" s="82" t="s">
        <v>490</v>
      </c>
      <c r="W41" s="208" t="s">
        <v>22</v>
      </c>
      <c r="X41" s="208" t="s">
        <v>11</v>
      </c>
      <c r="Y41" s="83">
        <v>58.4</v>
      </c>
      <c r="AD41" s="82"/>
      <c r="AG41" s="83"/>
      <c r="AL41" s="82"/>
      <c r="AO41" s="83"/>
      <c r="AP41" s="82"/>
      <c r="AS41" s="83"/>
      <c r="AW41" s="83"/>
      <c r="BA41" s="84"/>
    </row>
    <row r="42" spans="1:53" s="208" customFormat="1" x14ac:dyDescent="0.15">
      <c r="A42" s="208">
        <v>1992</v>
      </c>
      <c r="C42" s="811" t="s">
        <v>846</v>
      </c>
      <c r="D42" s="811"/>
      <c r="E42" s="208">
        <v>366</v>
      </c>
      <c r="G42" s="123">
        <v>17</v>
      </c>
      <c r="J42" s="134">
        <v>19</v>
      </c>
      <c r="K42" s="92">
        <f t="shared" si="1"/>
        <v>89.473684210526315</v>
      </c>
      <c r="L42" s="92">
        <f t="shared" si="1"/>
        <v>0</v>
      </c>
      <c r="M42" s="92">
        <f t="shared" si="1"/>
        <v>0</v>
      </c>
      <c r="N42" s="125">
        <f t="shared" si="2"/>
        <v>89.473684210526315</v>
      </c>
      <c r="O42" s="91">
        <v>58.4</v>
      </c>
      <c r="P42" s="92"/>
      <c r="Q42" s="92"/>
      <c r="R42" s="93">
        <f t="shared" si="3"/>
        <v>58.4</v>
      </c>
      <c r="S42" s="208">
        <v>1</v>
      </c>
      <c r="T42" s="81"/>
      <c r="V42" s="82" t="s">
        <v>490</v>
      </c>
      <c r="W42" s="208" t="s">
        <v>22</v>
      </c>
      <c r="X42" s="208" t="s">
        <v>11</v>
      </c>
      <c r="Y42" s="83">
        <v>58.4</v>
      </c>
      <c r="AD42" s="82"/>
      <c r="AG42" s="83"/>
      <c r="AL42" s="82"/>
      <c r="AO42" s="83"/>
      <c r="AP42" s="82"/>
      <c r="AS42" s="83"/>
      <c r="AW42" s="83"/>
      <c r="BA42" s="84"/>
    </row>
    <row r="43" spans="1:53" s="208" customFormat="1" x14ac:dyDescent="0.15">
      <c r="A43" s="208">
        <v>1993</v>
      </c>
      <c r="C43" s="811" t="s">
        <v>846</v>
      </c>
      <c r="D43" s="811"/>
      <c r="E43" s="208">
        <v>0</v>
      </c>
      <c r="G43" s="123">
        <v>17</v>
      </c>
      <c r="J43" s="134">
        <v>19</v>
      </c>
      <c r="K43" s="92">
        <f t="shared" si="1"/>
        <v>89.473684210526315</v>
      </c>
      <c r="L43" s="92">
        <f t="shared" si="1"/>
        <v>0</v>
      </c>
      <c r="M43" s="92">
        <f t="shared" si="1"/>
        <v>0</v>
      </c>
      <c r="N43" s="125">
        <f t="shared" si="2"/>
        <v>89.473684210526315</v>
      </c>
      <c r="O43" s="91">
        <v>58.4</v>
      </c>
      <c r="P43" s="92"/>
      <c r="Q43" s="92"/>
      <c r="R43" s="93">
        <f t="shared" si="3"/>
        <v>58.4</v>
      </c>
      <c r="S43" s="208">
        <v>1</v>
      </c>
      <c r="T43" s="81"/>
      <c r="V43" s="82" t="s">
        <v>490</v>
      </c>
      <c r="W43" s="208" t="s">
        <v>22</v>
      </c>
      <c r="X43" s="208" t="s">
        <v>11</v>
      </c>
      <c r="Y43" s="83">
        <v>58.4</v>
      </c>
      <c r="AD43" s="82"/>
      <c r="AG43" s="83"/>
      <c r="AL43" s="82"/>
      <c r="AO43" s="83"/>
      <c r="AP43" s="82"/>
      <c r="AS43" s="83"/>
      <c r="AW43" s="83"/>
      <c r="BA43" s="84"/>
    </row>
    <row r="44" spans="1:53" s="208" customFormat="1" x14ac:dyDescent="0.15">
      <c r="A44" s="208">
        <v>1993</v>
      </c>
      <c r="C44" s="811" t="s">
        <v>846</v>
      </c>
      <c r="D44" s="811"/>
      <c r="E44" s="208">
        <f>365-E43</f>
        <v>365</v>
      </c>
      <c r="G44" s="123">
        <v>17</v>
      </c>
      <c r="J44" s="134">
        <v>19</v>
      </c>
      <c r="K44" s="92">
        <f t="shared" si="1"/>
        <v>89.473684210526315</v>
      </c>
      <c r="L44" s="92">
        <f t="shared" si="1"/>
        <v>0</v>
      </c>
      <c r="M44" s="92">
        <f t="shared" si="1"/>
        <v>0</v>
      </c>
      <c r="N44" s="125">
        <f t="shared" si="2"/>
        <v>89.473684210526315</v>
      </c>
      <c r="O44" s="91">
        <v>58.4</v>
      </c>
      <c r="P44" s="92"/>
      <c r="Q44" s="92"/>
      <c r="R44" s="93">
        <f t="shared" si="3"/>
        <v>58.4</v>
      </c>
      <c r="S44" s="208">
        <v>1</v>
      </c>
      <c r="T44" s="81"/>
      <c r="V44" s="82" t="s">
        <v>490</v>
      </c>
      <c r="W44" s="208" t="s">
        <v>22</v>
      </c>
      <c r="X44" s="208" t="s">
        <v>11</v>
      </c>
      <c r="Y44" s="83">
        <v>58.4</v>
      </c>
      <c r="AD44" s="82"/>
      <c r="AG44" s="83"/>
      <c r="AL44" s="82"/>
      <c r="AO44" s="83"/>
      <c r="AP44" s="82"/>
      <c r="AS44" s="83"/>
      <c r="AW44" s="83"/>
      <c r="BA44" s="84"/>
    </row>
    <row r="45" spans="1:53" s="208" customFormat="1" x14ac:dyDescent="0.15">
      <c r="A45" s="208">
        <v>1994</v>
      </c>
      <c r="C45" s="811" t="s">
        <v>846</v>
      </c>
      <c r="D45" s="811"/>
      <c r="E45" s="208">
        <v>0</v>
      </c>
      <c r="G45" s="123">
        <v>17</v>
      </c>
      <c r="J45" s="134">
        <v>19</v>
      </c>
      <c r="K45" s="92">
        <f t="shared" si="1"/>
        <v>89.473684210526315</v>
      </c>
      <c r="L45" s="92">
        <f t="shared" si="1"/>
        <v>0</v>
      </c>
      <c r="M45" s="92">
        <f t="shared" si="1"/>
        <v>0</v>
      </c>
      <c r="N45" s="125">
        <f t="shared" si="2"/>
        <v>89.473684210526315</v>
      </c>
      <c r="O45" s="91">
        <v>58.4</v>
      </c>
      <c r="P45" s="92"/>
      <c r="Q45" s="92"/>
      <c r="R45" s="93">
        <f t="shared" si="3"/>
        <v>58.4</v>
      </c>
      <c r="S45" s="208">
        <v>1</v>
      </c>
      <c r="T45" s="81"/>
      <c r="V45" s="82" t="s">
        <v>490</v>
      </c>
      <c r="W45" s="208" t="s">
        <v>22</v>
      </c>
      <c r="X45" s="208" t="s">
        <v>11</v>
      </c>
      <c r="Y45" s="83">
        <v>58.4</v>
      </c>
      <c r="AD45" s="82"/>
      <c r="AG45" s="83"/>
      <c r="AL45" s="82"/>
      <c r="AO45" s="83"/>
      <c r="AP45" s="82"/>
      <c r="AS45" s="83"/>
      <c r="AW45" s="83"/>
      <c r="BA45" s="84"/>
    </row>
    <row r="46" spans="1:53" s="208" customFormat="1" x14ac:dyDescent="0.15">
      <c r="A46" s="208">
        <v>1994</v>
      </c>
      <c r="C46" s="811" t="s">
        <v>846</v>
      </c>
      <c r="D46" s="811"/>
      <c r="E46" s="208">
        <f>365-E45</f>
        <v>365</v>
      </c>
      <c r="G46" s="123">
        <v>17</v>
      </c>
      <c r="J46" s="134">
        <v>19</v>
      </c>
      <c r="K46" s="92">
        <f t="shared" si="1"/>
        <v>89.473684210526315</v>
      </c>
      <c r="L46" s="92">
        <f t="shared" si="1"/>
        <v>0</v>
      </c>
      <c r="M46" s="92">
        <f t="shared" si="1"/>
        <v>0</v>
      </c>
      <c r="N46" s="125">
        <f t="shared" si="2"/>
        <v>89.473684210526315</v>
      </c>
      <c r="O46" s="91">
        <v>58.4</v>
      </c>
      <c r="P46" s="92"/>
      <c r="Q46" s="92"/>
      <c r="R46" s="93">
        <f t="shared" si="3"/>
        <v>58.4</v>
      </c>
      <c r="S46" s="208">
        <v>1</v>
      </c>
      <c r="T46" s="81"/>
      <c r="V46" s="82" t="s">
        <v>490</v>
      </c>
      <c r="W46" s="208" t="s">
        <v>22</v>
      </c>
      <c r="X46" s="208" t="s">
        <v>11</v>
      </c>
      <c r="Y46" s="83">
        <v>58.4</v>
      </c>
      <c r="AD46" s="82"/>
      <c r="AG46" s="83"/>
      <c r="AL46" s="82"/>
      <c r="AO46" s="83"/>
      <c r="AP46" s="82"/>
      <c r="AS46" s="83"/>
      <c r="AW46" s="83"/>
      <c r="BA46" s="84"/>
    </row>
    <row r="47" spans="1:53" s="208" customFormat="1" x14ac:dyDescent="0.15">
      <c r="A47" s="208">
        <v>1995</v>
      </c>
      <c r="C47" s="811" t="s">
        <v>846</v>
      </c>
      <c r="D47" s="811"/>
      <c r="E47" s="208">
        <v>300</v>
      </c>
      <c r="G47" s="123">
        <v>16</v>
      </c>
      <c r="J47" s="134">
        <v>18</v>
      </c>
      <c r="K47" s="92">
        <f t="shared" si="1"/>
        <v>88.888888888888886</v>
      </c>
      <c r="L47" s="92">
        <f t="shared" si="1"/>
        <v>0</v>
      </c>
      <c r="M47" s="92">
        <f t="shared" si="1"/>
        <v>0</v>
      </c>
      <c r="N47" s="125">
        <f t="shared" si="2"/>
        <v>88.888888888888886</v>
      </c>
      <c r="O47" s="91">
        <v>58.4</v>
      </c>
      <c r="P47" s="92"/>
      <c r="Q47" s="92"/>
      <c r="R47" s="93">
        <f t="shared" si="3"/>
        <v>58.4</v>
      </c>
      <c r="S47" s="208">
        <v>1</v>
      </c>
      <c r="T47" s="81"/>
      <c r="V47" s="82" t="s">
        <v>490</v>
      </c>
      <c r="W47" s="208" t="s">
        <v>22</v>
      </c>
      <c r="X47" s="208" t="s">
        <v>11</v>
      </c>
      <c r="Y47" s="83">
        <v>58.4</v>
      </c>
      <c r="AD47" s="82"/>
      <c r="AG47" s="83"/>
      <c r="AL47" s="82"/>
      <c r="AO47" s="83"/>
      <c r="AP47" s="82"/>
      <c r="AS47" s="83"/>
      <c r="AW47" s="83"/>
      <c r="BA47" s="84"/>
    </row>
    <row r="48" spans="1:53" s="334" customFormat="1" x14ac:dyDescent="0.15">
      <c r="A48" s="334">
        <v>1995</v>
      </c>
      <c r="B48" s="355">
        <v>35000</v>
      </c>
      <c r="C48" s="812" t="s">
        <v>847</v>
      </c>
      <c r="D48" s="812"/>
      <c r="E48" s="334">
        <f>365-E47</f>
        <v>65</v>
      </c>
      <c r="F48" s="334">
        <v>1</v>
      </c>
      <c r="G48" s="419"/>
      <c r="I48" s="334">
        <v>14</v>
      </c>
      <c r="J48" s="435">
        <v>18</v>
      </c>
      <c r="K48" s="384">
        <f t="shared" si="1"/>
        <v>0</v>
      </c>
      <c r="L48" s="384">
        <f t="shared" si="1"/>
        <v>0</v>
      </c>
      <c r="M48" s="384">
        <f t="shared" si="1"/>
        <v>77.777777777777786</v>
      </c>
      <c r="N48" s="421">
        <f t="shared" si="2"/>
        <v>77.777777777777786</v>
      </c>
      <c r="O48" s="383"/>
      <c r="P48" s="384"/>
      <c r="Q48" s="384">
        <v>48.7</v>
      </c>
      <c r="R48" s="385">
        <f t="shared" si="3"/>
        <v>48.7</v>
      </c>
      <c r="S48" s="334">
        <v>4</v>
      </c>
      <c r="T48" s="342">
        <v>34973</v>
      </c>
      <c r="U48" s="355">
        <v>35000</v>
      </c>
      <c r="V48" s="343" t="s">
        <v>96</v>
      </c>
      <c r="W48" s="334" t="s">
        <v>20</v>
      </c>
      <c r="X48" s="334" t="s">
        <v>12</v>
      </c>
      <c r="Y48" s="344">
        <v>48.7</v>
      </c>
      <c r="AD48" s="343"/>
      <c r="AG48" s="344"/>
      <c r="AL48" s="343"/>
      <c r="AO48" s="344"/>
      <c r="AP48" s="343"/>
      <c r="AS48" s="344"/>
      <c r="AW48" s="344"/>
      <c r="BA48" s="345"/>
    </row>
    <row r="49" spans="1:53" s="334" customFormat="1" x14ac:dyDescent="0.15">
      <c r="A49" s="334">
        <v>1996</v>
      </c>
      <c r="C49" s="812" t="s">
        <v>847</v>
      </c>
      <c r="D49" s="812"/>
      <c r="E49" s="334">
        <v>0</v>
      </c>
      <c r="G49" s="419"/>
      <c r="I49" s="334">
        <v>14</v>
      </c>
      <c r="J49" s="435">
        <v>18</v>
      </c>
      <c r="K49" s="384">
        <f t="shared" si="1"/>
        <v>0</v>
      </c>
      <c r="L49" s="384">
        <f t="shared" si="1"/>
        <v>0</v>
      </c>
      <c r="M49" s="384">
        <f t="shared" si="1"/>
        <v>77.777777777777786</v>
      </c>
      <c r="N49" s="421">
        <f t="shared" si="2"/>
        <v>77.777777777777786</v>
      </c>
      <c r="O49" s="383"/>
      <c r="P49" s="384"/>
      <c r="Q49" s="384">
        <v>48.7</v>
      </c>
      <c r="R49" s="385">
        <f t="shared" si="3"/>
        <v>48.7</v>
      </c>
      <c r="S49" s="334">
        <v>4</v>
      </c>
      <c r="T49" s="357"/>
      <c r="V49" s="343" t="s">
        <v>96</v>
      </c>
      <c r="W49" s="334" t="s">
        <v>20</v>
      </c>
      <c r="X49" s="334" t="s">
        <v>12</v>
      </c>
      <c r="Y49" s="344">
        <v>48.7</v>
      </c>
      <c r="AD49" s="343"/>
      <c r="AG49" s="344"/>
      <c r="AL49" s="343"/>
      <c r="AO49" s="344"/>
      <c r="AP49" s="343"/>
      <c r="AS49" s="344"/>
      <c r="AW49" s="344"/>
      <c r="BA49" s="345"/>
    </row>
    <row r="50" spans="1:53" s="334" customFormat="1" x14ac:dyDescent="0.15">
      <c r="A50" s="334">
        <v>1996</v>
      </c>
      <c r="C50" s="812" t="s">
        <v>847</v>
      </c>
      <c r="D50" s="812"/>
      <c r="E50" s="334">
        <v>366</v>
      </c>
      <c r="G50" s="419"/>
      <c r="I50" s="334">
        <v>14</v>
      </c>
      <c r="J50" s="435">
        <v>18</v>
      </c>
      <c r="K50" s="384">
        <f t="shared" si="1"/>
        <v>0</v>
      </c>
      <c r="L50" s="384">
        <f t="shared" si="1"/>
        <v>0</v>
      </c>
      <c r="M50" s="384">
        <f t="shared" si="1"/>
        <v>77.777777777777786</v>
      </c>
      <c r="N50" s="421">
        <f t="shared" si="2"/>
        <v>77.777777777777786</v>
      </c>
      <c r="O50" s="383"/>
      <c r="P50" s="384"/>
      <c r="Q50" s="384">
        <v>48.7</v>
      </c>
      <c r="R50" s="385">
        <f t="shared" si="3"/>
        <v>48.7</v>
      </c>
      <c r="S50" s="334">
        <v>4</v>
      </c>
      <c r="T50" s="357"/>
      <c r="V50" s="343" t="s">
        <v>96</v>
      </c>
      <c r="W50" s="334" t="s">
        <v>20</v>
      </c>
      <c r="X50" s="334" t="s">
        <v>12</v>
      </c>
      <c r="Y50" s="344">
        <v>48.7</v>
      </c>
      <c r="AD50" s="343"/>
      <c r="AG50" s="344"/>
      <c r="AL50" s="343"/>
      <c r="AO50" s="344"/>
      <c r="AP50" s="343"/>
      <c r="AS50" s="344"/>
      <c r="AW50" s="344"/>
      <c r="BA50" s="345"/>
    </row>
    <row r="51" spans="1:53" s="334" customFormat="1" x14ac:dyDescent="0.15">
      <c r="A51" s="334">
        <v>1997</v>
      </c>
      <c r="C51" s="812" t="s">
        <v>847</v>
      </c>
      <c r="D51" s="812"/>
      <c r="E51" s="334">
        <v>328</v>
      </c>
      <c r="G51" s="419"/>
      <c r="I51" s="334">
        <v>13</v>
      </c>
      <c r="J51" s="435">
        <v>17</v>
      </c>
      <c r="K51" s="384">
        <f t="shared" si="1"/>
        <v>0</v>
      </c>
      <c r="L51" s="384">
        <f t="shared" si="1"/>
        <v>0</v>
      </c>
      <c r="M51" s="384">
        <f t="shared" si="1"/>
        <v>76.470588235294116</v>
      </c>
      <c r="N51" s="421">
        <f t="shared" si="2"/>
        <v>76.470588235294116</v>
      </c>
      <c r="O51" s="383"/>
      <c r="P51" s="384"/>
      <c r="Q51" s="384">
        <v>48.7</v>
      </c>
      <c r="R51" s="385">
        <f t="shared" si="3"/>
        <v>48.7</v>
      </c>
      <c r="S51" s="334">
        <v>4</v>
      </c>
      <c r="T51" s="357"/>
      <c r="V51" s="343" t="s">
        <v>96</v>
      </c>
      <c r="W51" s="334" t="s">
        <v>20</v>
      </c>
      <c r="X51" s="334" t="s">
        <v>12</v>
      </c>
      <c r="Y51" s="344">
        <v>48.7</v>
      </c>
      <c r="AD51" s="343"/>
      <c r="AG51" s="344"/>
      <c r="AL51" s="343"/>
      <c r="AO51" s="344"/>
      <c r="AP51" s="343"/>
      <c r="AS51" s="344"/>
      <c r="AW51" s="344"/>
      <c r="BA51" s="345"/>
    </row>
    <row r="52" spans="1:53" s="334" customFormat="1" x14ac:dyDescent="0.15">
      <c r="A52" s="334">
        <v>1997</v>
      </c>
      <c r="B52" s="445">
        <v>35759</v>
      </c>
      <c r="C52" s="812" t="s">
        <v>847</v>
      </c>
      <c r="D52" s="812"/>
      <c r="E52" s="334">
        <f>365-E51</f>
        <v>37</v>
      </c>
      <c r="F52" s="441">
        <v>0</v>
      </c>
      <c r="G52" s="419"/>
      <c r="I52" s="334">
        <v>14</v>
      </c>
      <c r="J52" s="435">
        <v>17</v>
      </c>
      <c r="K52" s="384">
        <f t="shared" si="1"/>
        <v>0</v>
      </c>
      <c r="L52" s="384">
        <f t="shared" si="1"/>
        <v>0</v>
      </c>
      <c r="M52" s="384">
        <f t="shared" si="1"/>
        <v>82.35294117647058</v>
      </c>
      <c r="N52" s="421">
        <f t="shared" si="2"/>
        <v>82.35294117647058</v>
      </c>
      <c r="O52" s="383"/>
      <c r="P52" s="384"/>
      <c r="Q52" s="384">
        <v>48.7</v>
      </c>
      <c r="R52" s="385">
        <f t="shared" si="3"/>
        <v>48.7</v>
      </c>
      <c r="S52" s="334">
        <v>4</v>
      </c>
      <c r="T52" s="357"/>
      <c r="U52" s="355"/>
      <c r="V52" s="343" t="s">
        <v>96</v>
      </c>
      <c r="W52" s="334" t="s">
        <v>20</v>
      </c>
      <c r="X52" s="334" t="s">
        <v>12</v>
      </c>
      <c r="Y52" s="344">
        <v>48.7</v>
      </c>
      <c r="AD52" s="343"/>
      <c r="AG52" s="344"/>
      <c r="AL52" s="343"/>
      <c r="AO52" s="344"/>
      <c r="AP52" s="343"/>
      <c r="AS52" s="344"/>
      <c r="AW52" s="344"/>
      <c r="BA52" s="345"/>
    </row>
    <row r="53" spans="1:53" s="334" customFormat="1" x14ac:dyDescent="0.15">
      <c r="A53" s="334">
        <v>1998</v>
      </c>
      <c r="C53" s="812" t="s">
        <v>847</v>
      </c>
      <c r="D53" s="812"/>
      <c r="E53" s="334">
        <v>0</v>
      </c>
      <c r="G53" s="419"/>
      <c r="I53" s="334">
        <v>14</v>
      </c>
      <c r="J53" s="435">
        <v>17</v>
      </c>
      <c r="K53" s="384">
        <f t="shared" si="1"/>
        <v>0</v>
      </c>
      <c r="L53" s="384">
        <f t="shared" si="1"/>
        <v>0</v>
      </c>
      <c r="M53" s="384">
        <f t="shared" si="1"/>
        <v>82.35294117647058</v>
      </c>
      <c r="N53" s="421">
        <f t="shared" si="2"/>
        <v>82.35294117647058</v>
      </c>
      <c r="O53" s="383"/>
      <c r="P53" s="384"/>
      <c r="Q53" s="384">
        <v>48.7</v>
      </c>
      <c r="R53" s="385">
        <f t="shared" si="3"/>
        <v>48.7</v>
      </c>
      <c r="S53" s="334">
        <v>4</v>
      </c>
      <c r="T53" s="357"/>
      <c r="V53" s="343" t="s">
        <v>96</v>
      </c>
      <c r="W53" s="334" t="s">
        <v>20</v>
      </c>
      <c r="X53" s="334" t="s">
        <v>12</v>
      </c>
      <c r="Y53" s="344">
        <v>48.7</v>
      </c>
      <c r="AD53" s="343"/>
      <c r="AG53" s="344"/>
      <c r="AL53" s="343"/>
      <c r="AO53" s="344"/>
      <c r="AP53" s="343"/>
      <c r="AS53" s="344"/>
      <c r="AW53" s="344"/>
      <c r="BA53" s="345"/>
    </row>
    <row r="54" spans="1:53" s="334" customFormat="1" x14ac:dyDescent="0.15">
      <c r="A54" s="334">
        <v>1998</v>
      </c>
      <c r="C54" s="812" t="s">
        <v>847</v>
      </c>
      <c r="D54" s="812"/>
      <c r="E54" s="334">
        <f>365-E53</f>
        <v>365</v>
      </c>
      <c r="G54" s="419"/>
      <c r="I54" s="334">
        <v>14</v>
      </c>
      <c r="J54" s="435">
        <v>17</v>
      </c>
      <c r="K54" s="384">
        <f t="shared" si="1"/>
        <v>0</v>
      </c>
      <c r="L54" s="384">
        <f t="shared" si="1"/>
        <v>0</v>
      </c>
      <c r="M54" s="384">
        <f t="shared" si="1"/>
        <v>82.35294117647058</v>
      </c>
      <c r="N54" s="421">
        <f t="shared" si="2"/>
        <v>82.35294117647058</v>
      </c>
      <c r="O54" s="383"/>
      <c r="P54" s="384"/>
      <c r="Q54" s="384">
        <v>48.7</v>
      </c>
      <c r="R54" s="385">
        <f t="shared" si="3"/>
        <v>48.7</v>
      </c>
      <c r="S54" s="334">
        <v>4</v>
      </c>
      <c r="T54" s="357"/>
      <c r="V54" s="343" t="s">
        <v>96</v>
      </c>
      <c r="W54" s="334" t="s">
        <v>20</v>
      </c>
      <c r="X54" s="334" t="s">
        <v>12</v>
      </c>
      <c r="Y54" s="344">
        <v>48.7</v>
      </c>
      <c r="AD54" s="343"/>
      <c r="AG54" s="344"/>
      <c r="AL54" s="343"/>
      <c r="AO54" s="344"/>
      <c r="AP54" s="343"/>
      <c r="AS54" s="344"/>
      <c r="AW54" s="344"/>
      <c r="BA54" s="345"/>
    </row>
    <row r="55" spans="1:53" s="334" customFormat="1" x14ac:dyDescent="0.15">
      <c r="A55" s="334">
        <v>1999</v>
      </c>
      <c r="C55" s="812" t="s">
        <v>847</v>
      </c>
      <c r="D55" s="812"/>
      <c r="E55" s="334">
        <v>293</v>
      </c>
      <c r="G55" s="419"/>
      <c r="I55" s="334">
        <v>14</v>
      </c>
      <c r="J55" s="435">
        <v>17</v>
      </c>
      <c r="K55" s="384">
        <f t="shared" si="1"/>
        <v>0</v>
      </c>
      <c r="L55" s="384">
        <f t="shared" si="1"/>
        <v>0</v>
      </c>
      <c r="M55" s="384">
        <f t="shared" si="1"/>
        <v>82.35294117647058</v>
      </c>
      <c r="N55" s="421">
        <f t="shared" si="2"/>
        <v>82.35294117647058</v>
      </c>
      <c r="O55" s="383"/>
      <c r="P55" s="384"/>
      <c r="Q55" s="384">
        <v>48.7</v>
      </c>
      <c r="R55" s="385">
        <f t="shared" si="3"/>
        <v>48.7</v>
      </c>
      <c r="S55" s="334">
        <v>4</v>
      </c>
      <c r="T55" s="357"/>
      <c r="V55" s="343" t="s">
        <v>96</v>
      </c>
      <c r="W55" s="334" t="s">
        <v>20</v>
      </c>
      <c r="X55" s="334" t="s">
        <v>12</v>
      </c>
      <c r="Y55" s="344">
        <v>48.7</v>
      </c>
      <c r="AD55" s="343"/>
      <c r="AG55" s="344"/>
      <c r="AL55" s="343"/>
      <c r="AO55" s="344"/>
      <c r="AP55" s="343"/>
      <c r="AS55" s="344"/>
      <c r="AW55" s="344"/>
      <c r="BA55" s="345"/>
    </row>
    <row r="56" spans="1:53" s="208" customFormat="1" x14ac:dyDescent="0.15">
      <c r="A56" s="208">
        <v>1999</v>
      </c>
      <c r="B56" s="207">
        <v>36454</v>
      </c>
      <c r="C56" s="811" t="s">
        <v>848</v>
      </c>
      <c r="D56" s="811"/>
      <c r="E56" s="208">
        <f>365-E55</f>
        <v>72</v>
      </c>
      <c r="F56" s="208">
        <v>1</v>
      </c>
      <c r="G56" s="123"/>
      <c r="I56" s="208">
        <v>18</v>
      </c>
      <c r="J56" s="134">
        <v>19</v>
      </c>
      <c r="K56" s="92">
        <f t="shared" si="1"/>
        <v>0</v>
      </c>
      <c r="L56" s="92">
        <f t="shared" si="1"/>
        <v>0</v>
      </c>
      <c r="M56" s="92">
        <f t="shared" si="1"/>
        <v>94.73684210526315</v>
      </c>
      <c r="N56" s="125">
        <f t="shared" si="2"/>
        <v>94.73684210526315</v>
      </c>
      <c r="O56" s="91"/>
      <c r="P56" s="92"/>
      <c r="Q56" s="92">
        <v>50</v>
      </c>
      <c r="R56" s="93">
        <f t="shared" si="3"/>
        <v>50</v>
      </c>
      <c r="S56" s="208">
        <v>4</v>
      </c>
      <c r="T56" s="95">
        <v>36443</v>
      </c>
      <c r="U56" s="207">
        <v>36454</v>
      </c>
      <c r="V56" s="82" t="s">
        <v>96</v>
      </c>
      <c r="W56" s="208" t="s">
        <v>20</v>
      </c>
      <c r="X56" s="208" t="s">
        <v>12</v>
      </c>
      <c r="Y56" s="83">
        <v>50</v>
      </c>
      <c r="AD56" s="82"/>
      <c r="AG56" s="83"/>
      <c r="AL56" s="82"/>
      <c r="AO56" s="83"/>
      <c r="AP56" s="82"/>
      <c r="AS56" s="83"/>
      <c r="AW56" s="83"/>
      <c r="BA56" s="84"/>
    </row>
    <row r="57" spans="1:53" s="208" customFormat="1" x14ac:dyDescent="0.15">
      <c r="A57" s="208">
        <v>2000</v>
      </c>
      <c r="C57" s="811" t="s">
        <v>848</v>
      </c>
      <c r="D57" s="811"/>
      <c r="E57" s="208">
        <v>273</v>
      </c>
      <c r="G57" s="123"/>
      <c r="I57" s="208">
        <v>14</v>
      </c>
      <c r="J57" s="134">
        <v>19</v>
      </c>
      <c r="K57" s="92">
        <f t="shared" si="1"/>
        <v>0</v>
      </c>
      <c r="L57" s="92">
        <f t="shared" si="1"/>
        <v>0</v>
      </c>
      <c r="M57" s="92">
        <f t="shared" si="1"/>
        <v>73.68421052631578</v>
      </c>
      <c r="N57" s="125">
        <f t="shared" si="2"/>
        <v>73.68421052631578</v>
      </c>
      <c r="O57" s="91"/>
      <c r="P57" s="92"/>
      <c r="Q57" s="92">
        <v>50</v>
      </c>
      <c r="R57" s="93">
        <f t="shared" si="3"/>
        <v>50</v>
      </c>
      <c r="S57" s="208">
        <v>4</v>
      </c>
      <c r="T57" s="81"/>
      <c r="V57" s="82" t="s">
        <v>96</v>
      </c>
      <c r="W57" s="208" t="s">
        <v>20</v>
      </c>
      <c r="X57" s="208" t="s">
        <v>12</v>
      </c>
      <c r="Y57" s="83">
        <v>50</v>
      </c>
      <c r="AD57" s="82"/>
      <c r="AG57" s="83"/>
      <c r="AL57" s="82"/>
      <c r="AO57" s="83"/>
      <c r="AP57" s="82"/>
      <c r="AS57" s="83"/>
      <c r="AW57" s="83"/>
      <c r="BA57" s="84"/>
    </row>
    <row r="58" spans="1:53" s="208" customFormat="1" x14ac:dyDescent="0.15">
      <c r="A58" s="208">
        <v>2000</v>
      </c>
      <c r="B58" s="149">
        <v>36799</v>
      </c>
      <c r="C58" s="811" t="s">
        <v>848</v>
      </c>
      <c r="D58" s="811"/>
      <c r="E58" s="208">
        <f>366-E57</f>
        <v>93</v>
      </c>
      <c r="F58" s="150">
        <v>0</v>
      </c>
      <c r="G58" s="123"/>
      <c r="I58" s="208">
        <v>11</v>
      </c>
      <c r="J58" s="134">
        <v>19</v>
      </c>
      <c r="K58" s="92">
        <f t="shared" si="1"/>
        <v>0</v>
      </c>
      <c r="L58" s="92">
        <f t="shared" si="1"/>
        <v>0</v>
      </c>
      <c r="M58" s="92">
        <f t="shared" si="1"/>
        <v>57.894736842105267</v>
      </c>
      <c r="N58" s="125">
        <f t="shared" si="2"/>
        <v>57.894736842105267</v>
      </c>
      <c r="O58" s="91"/>
      <c r="P58" s="92"/>
      <c r="Q58" s="92">
        <v>50</v>
      </c>
      <c r="R58" s="93">
        <f t="shared" si="3"/>
        <v>50</v>
      </c>
      <c r="S58" s="208">
        <v>4</v>
      </c>
      <c r="T58" s="81"/>
      <c r="V58" s="82" t="s">
        <v>96</v>
      </c>
      <c r="W58" s="208" t="s">
        <v>20</v>
      </c>
      <c r="X58" s="208" t="s">
        <v>12</v>
      </c>
      <c r="Y58" s="83">
        <v>50</v>
      </c>
      <c r="AD58" s="82"/>
      <c r="AG58" s="83"/>
      <c r="AL58" s="82"/>
      <c r="AO58" s="83"/>
      <c r="AP58" s="82"/>
      <c r="AS58" s="83"/>
      <c r="AW58" s="83"/>
      <c r="BA58" s="84"/>
    </row>
    <row r="59" spans="1:53" s="208" customFormat="1" x14ac:dyDescent="0.15">
      <c r="A59" s="208">
        <v>2001</v>
      </c>
      <c r="C59" s="811" t="s">
        <v>848</v>
      </c>
      <c r="D59" s="811"/>
      <c r="E59" s="208">
        <v>0</v>
      </c>
      <c r="G59" s="123"/>
      <c r="I59" s="208">
        <v>11</v>
      </c>
      <c r="J59" s="134">
        <v>19</v>
      </c>
      <c r="K59" s="92">
        <f t="shared" si="1"/>
        <v>0</v>
      </c>
      <c r="L59" s="92">
        <f t="shared" si="1"/>
        <v>0</v>
      </c>
      <c r="M59" s="92">
        <f t="shared" si="1"/>
        <v>57.894736842105267</v>
      </c>
      <c r="N59" s="125">
        <f t="shared" si="2"/>
        <v>57.894736842105267</v>
      </c>
      <c r="O59" s="91"/>
      <c r="P59" s="92"/>
      <c r="Q59" s="92">
        <v>50</v>
      </c>
      <c r="R59" s="93">
        <f t="shared" si="3"/>
        <v>50</v>
      </c>
      <c r="S59" s="208">
        <v>4</v>
      </c>
      <c r="T59" s="81"/>
      <c r="V59" s="82" t="s">
        <v>96</v>
      </c>
      <c r="W59" s="208" t="s">
        <v>20</v>
      </c>
      <c r="X59" s="208" t="s">
        <v>12</v>
      </c>
      <c r="Y59" s="83">
        <v>50</v>
      </c>
      <c r="AD59" s="82"/>
      <c r="AG59" s="83"/>
      <c r="AL59" s="82"/>
      <c r="AO59" s="83"/>
      <c r="AP59" s="82"/>
      <c r="AS59" s="83"/>
      <c r="AW59" s="83"/>
      <c r="BA59" s="84"/>
    </row>
    <row r="60" spans="1:53" s="208" customFormat="1" x14ac:dyDescent="0.15">
      <c r="A60" s="208">
        <v>2001</v>
      </c>
      <c r="C60" s="811" t="s">
        <v>848</v>
      </c>
      <c r="D60" s="811"/>
      <c r="E60" s="208">
        <f>365-E59</f>
        <v>365</v>
      </c>
      <c r="G60" s="123"/>
      <c r="I60" s="208">
        <v>11</v>
      </c>
      <c r="J60" s="134">
        <v>19</v>
      </c>
      <c r="K60" s="92">
        <f t="shared" si="1"/>
        <v>0</v>
      </c>
      <c r="L60" s="92">
        <f t="shared" si="1"/>
        <v>0</v>
      </c>
      <c r="M60" s="92">
        <f t="shared" si="1"/>
        <v>57.894736842105267</v>
      </c>
      <c r="N60" s="125">
        <f t="shared" si="2"/>
        <v>57.894736842105267</v>
      </c>
      <c r="O60" s="91"/>
      <c r="P60" s="92"/>
      <c r="Q60" s="92">
        <v>50</v>
      </c>
      <c r="R60" s="93">
        <f t="shared" si="3"/>
        <v>50</v>
      </c>
      <c r="S60" s="208">
        <v>4</v>
      </c>
      <c r="T60" s="81"/>
      <c r="V60" s="82" t="s">
        <v>96</v>
      </c>
      <c r="W60" s="208" t="s">
        <v>20</v>
      </c>
      <c r="X60" s="208" t="s">
        <v>12</v>
      </c>
      <c r="Y60" s="83">
        <v>50</v>
      </c>
      <c r="AD60" s="82"/>
      <c r="AG60" s="83"/>
      <c r="AL60" s="82"/>
      <c r="AO60" s="83"/>
      <c r="AP60" s="82"/>
      <c r="AS60" s="83"/>
      <c r="AW60" s="83"/>
      <c r="BA60" s="84"/>
    </row>
    <row r="61" spans="1:53" s="208" customFormat="1" x14ac:dyDescent="0.15">
      <c r="A61" s="208">
        <v>2002</v>
      </c>
      <c r="C61" s="811" t="s">
        <v>848</v>
      </c>
      <c r="D61" s="811"/>
      <c r="E61" s="208">
        <v>97</v>
      </c>
      <c r="G61" s="123"/>
      <c r="I61" s="208">
        <v>11</v>
      </c>
      <c r="J61" s="134">
        <v>19</v>
      </c>
      <c r="K61" s="92">
        <f t="shared" si="1"/>
        <v>0</v>
      </c>
      <c r="L61" s="92">
        <f t="shared" si="1"/>
        <v>0</v>
      </c>
      <c r="M61" s="92">
        <f t="shared" si="1"/>
        <v>57.894736842105267</v>
      </c>
      <c r="N61" s="125">
        <f t="shared" si="2"/>
        <v>57.894736842105267</v>
      </c>
      <c r="O61" s="91"/>
      <c r="P61" s="92"/>
      <c r="Q61" s="92">
        <v>50</v>
      </c>
      <c r="R61" s="93">
        <f t="shared" si="3"/>
        <v>50</v>
      </c>
      <c r="S61" s="208">
        <v>4</v>
      </c>
      <c r="T61" s="81"/>
      <c r="V61" s="82" t="s">
        <v>96</v>
      </c>
      <c r="W61" s="208" t="s">
        <v>20</v>
      </c>
      <c r="X61" s="208" t="s">
        <v>12</v>
      </c>
      <c r="Y61" s="83">
        <v>50</v>
      </c>
      <c r="AD61" s="82"/>
      <c r="AG61" s="83"/>
      <c r="AL61" s="82"/>
      <c r="AO61" s="83"/>
      <c r="AP61" s="82"/>
      <c r="AS61" s="83"/>
      <c r="AW61" s="83"/>
      <c r="BA61" s="84"/>
    </row>
    <row r="62" spans="1:53" s="334" customFormat="1" x14ac:dyDescent="0.15">
      <c r="A62" s="334">
        <v>2002</v>
      </c>
      <c r="B62" s="355">
        <v>37354</v>
      </c>
      <c r="C62" s="812" t="s">
        <v>849</v>
      </c>
      <c r="D62" s="812"/>
      <c r="E62" s="334">
        <f>365-E61</f>
        <v>268</v>
      </c>
      <c r="F62" s="334">
        <v>1</v>
      </c>
      <c r="G62" s="419">
        <v>17</v>
      </c>
      <c r="J62" s="435">
        <v>18</v>
      </c>
      <c r="K62" s="384">
        <f t="shared" si="1"/>
        <v>94.444444444444443</v>
      </c>
      <c r="L62" s="384">
        <f t="shared" si="1"/>
        <v>0</v>
      </c>
      <c r="M62" s="384">
        <f t="shared" si="1"/>
        <v>0</v>
      </c>
      <c r="N62" s="421">
        <f t="shared" si="2"/>
        <v>94.444444444444443</v>
      </c>
      <c r="O62" s="383">
        <v>51.8</v>
      </c>
      <c r="P62" s="384"/>
      <c r="Q62" s="384"/>
      <c r="R62" s="385">
        <f t="shared" si="3"/>
        <v>51.8</v>
      </c>
      <c r="S62" s="334">
        <v>2</v>
      </c>
      <c r="T62" s="342">
        <v>37332</v>
      </c>
      <c r="U62" s="355">
        <v>37354</v>
      </c>
      <c r="V62" s="343" t="s">
        <v>490</v>
      </c>
      <c r="W62" s="334" t="s">
        <v>22</v>
      </c>
      <c r="X62" s="334" t="s">
        <v>11</v>
      </c>
      <c r="Y62" s="344">
        <v>45.7</v>
      </c>
      <c r="Z62" s="334" t="s">
        <v>492</v>
      </c>
      <c r="AA62" s="334" t="s">
        <v>17</v>
      </c>
      <c r="AB62" s="334" t="s">
        <v>11</v>
      </c>
      <c r="AC62" s="334">
        <v>6.1</v>
      </c>
      <c r="AD62" s="343"/>
      <c r="AG62" s="344"/>
      <c r="AL62" s="343"/>
      <c r="AO62" s="344"/>
      <c r="AP62" s="343"/>
      <c r="AS62" s="344"/>
      <c r="AW62" s="344"/>
      <c r="BA62" s="345"/>
    </row>
    <row r="63" spans="1:53" s="334" customFormat="1" x14ac:dyDescent="0.15">
      <c r="A63" s="334">
        <v>2003</v>
      </c>
      <c r="C63" s="812" t="s">
        <v>849</v>
      </c>
      <c r="D63" s="812"/>
      <c r="E63" s="334">
        <v>0</v>
      </c>
      <c r="G63" s="419">
        <v>17</v>
      </c>
      <c r="J63" s="435">
        <v>18</v>
      </c>
      <c r="K63" s="384">
        <f t="shared" si="1"/>
        <v>94.444444444444443</v>
      </c>
      <c r="L63" s="384">
        <f t="shared" si="1"/>
        <v>0</v>
      </c>
      <c r="M63" s="384">
        <f t="shared" si="1"/>
        <v>0</v>
      </c>
      <c r="N63" s="421">
        <f t="shared" si="2"/>
        <v>94.444444444444443</v>
      </c>
      <c r="O63" s="383">
        <v>51.8</v>
      </c>
      <c r="P63" s="384"/>
      <c r="Q63" s="384"/>
      <c r="R63" s="385">
        <f t="shared" si="3"/>
        <v>51.8</v>
      </c>
      <c r="S63" s="334">
        <v>2</v>
      </c>
      <c r="T63" s="357"/>
      <c r="V63" s="343" t="s">
        <v>490</v>
      </c>
      <c r="W63" s="334" t="s">
        <v>22</v>
      </c>
      <c r="X63" s="334" t="s">
        <v>11</v>
      </c>
      <c r="Y63" s="344">
        <v>45.7</v>
      </c>
      <c r="Z63" s="334" t="s">
        <v>492</v>
      </c>
      <c r="AA63" s="334" t="s">
        <v>17</v>
      </c>
      <c r="AB63" s="334" t="s">
        <v>11</v>
      </c>
      <c r="AC63" s="334">
        <v>6.1</v>
      </c>
      <c r="AD63" s="343"/>
      <c r="AG63" s="344"/>
      <c r="AL63" s="343"/>
      <c r="AO63" s="344"/>
      <c r="AP63" s="343"/>
      <c r="AS63" s="344"/>
      <c r="AW63" s="344"/>
      <c r="BA63" s="345"/>
    </row>
    <row r="64" spans="1:53" s="334" customFormat="1" x14ac:dyDescent="0.15">
      <c r="A64" s="334">
        <v>2003</v>
      </c>
      <c r="C64" s="812" t="s">
        <v>849</v>
      </c>
      <c r="D64" s="812"/>
      <c r="E64" s="334">
        <f>365-E63</f>
        <v>365</v>
      </c>
      <c r="G64" s="419">
        <v>17</v>
      </c>
      <c r="J64" s="435">
        <v>18</v>
      </c>
      <c r="K64" s="384">
        <f t="shared" si="1"/>
        <v>94.444444444444443</v>
      </c>
      <c r="L64" s="384">
        <f t="shared" si="1"/>
        <v>0</v>
      </c>
      <c r="M64" s="384">
        <f t="shared" si="1"/>
        <v>0</v>
      </c>
      <c r="N64" s="421">
        <f t="shared" si="2"/>
        <v>94.444444444444443</v>
      </c>
      <c r="O64" s="383">
        <v>51.8</v>
      </c>
      <c r="P64" s="384"/>
      <c r="Q64" s="384"/>
      <c r="R64" s="385">
        <f t="shared" si="3"/>
        <v>51.8</v>
      </c>
      <c r="S64" s="334">
        <v>2</v>
      </c>
      <c r="T64" s="357"/>
      <c r="V64" s="343" t="s">
        <v>490</v>
      </c>
      <c r="W64" s="334" t="s">
        <v>22</v>
      </c>
      <c r="X64" s="334" t="s">
        <v>11</v>
      </c>
      <c r="Y64" s="344">
        <v>45.7</v>
      </c>
      <c r="Z64" s="334" t="s">
        <v>492</v>
      </c>
      <c r="AA64" s="334" t="s">
        <v>17</v>
      </c>
      <c r="AB64" s="334" t="s">
        <v>11</v>
      </c>
      <c r="AC64" s="334">
        <v>6.1</v>
      </c>
      <c r="AD64" s="343"/>
      <c r="AG64" s="344"/>
      <c r="AL64" s="343"/>
      <c r="AO64" s="344"/>
      <c r="AP64" s="343"/>
      <c r="AS64" s="344"/>
      <c r="AW64" s="344"/>
      <c r="BA64" s="345"/>
    </row>
    <row r="65" spans="1:53" s="334" customFormat="1" x14ac:dyDescent="0.15">
      <c r="A65" s="334">
        <v>2004</v>
      </c>
      <c r="C65" s="812" t="s">
        <v>849</v>
      </c>
      <c r="D65" s="812"/>
      <c r="E65" s="334">
        <v>204</v>
      </c>
      <c r="G65" s="419">
        <v>17</v>
      </c>
      <c r="J65" s="435">
        <v>18</v>
      </c>
      <c r="K65" s="384">
        <f t="shared" si="1"/>
        <v>94.444444444444443</v>
      </c>
      <c r="L65" s="384">
        <f t="shared" si="1"/>
        <v>0</v>
      </c>
      <c r="M65" s="384">
        <f t="shared" si="1"/>
        <v>0</v>
      </c>
      <c r="N65" s="421">
        <f t="shared" si="2"/>
        <v>94.444444444444443</v>
      </c>
      <c r="O65" s="383">
        <v>51.8</v>
      </c>
      <c r="P65" s="384"/>
      <c r="Q65" s="384"/>
      <c r="R65" s="385">
        <f t="shared" si="3"/>
        <v>51.8</v>
      </c>
      <c r="S65" s="334">
        <v>2</v>
      </c>
      <c r="T65" s="357"/>
      <c r="V65" s="343" t="s">
        <v>490</v>
      </c>
      <c r="W65" s="334" t="s">
        <v>22</v>
      </c>
      <c r="X65" s="334" t="s">
        <v>11</v>
      </c>
      <c r="Y65" s="344">
        <v>45.7</v>
      </c>
      <c r="Z65" s="334" t="s">
        <v>492</v>
      </c>
      <c r="AA65" s="334" t="s">
        <v>17</v>
      </c>
      <c r="AB65" s="334" t="s">
        <v>11</v>
      </c>
      <c r="AC65" s="334">
        <v>6.1</v>
      </c>
      <c r="AD65" s="343"/>
      <c r="AG65" s="344"/>
      <c r="AL65" s="343"/>
      <c r="AO65" s="344"/>
      <c r="AP65" s="343"/>
      <c r="AS65" s="344"/>
      <c r="AW65" s="344"/>
      <c r="BA65" s="345"/>
    </row>
    <row r="66" spans="1:53" s="208" customFormat="1" x14ac:dyDescent="0.15">
      <c r="A66" s="208">
        <v>2004</v>
      </c>
      <c r="B66" s="207">
        <v>38191</v>
      </c>
      <c r="C66" s="811" t="s">
        <v>850</v>
      </c>
      <c r="D66" s="811"/>
      <c r="E66" s="208">
        <f>366-E65</f>
        <v>162</v>
      </c>
      <c r="F66" s="208">
        <v>2</v>
      </c>
      <c r="G66" s="123">
        <v>19</v>
      </c>
      <c r="J66" s="134">
        <v>20</v>
      </c>
      <c r="K66" s="92">
        <f t="shared" si="1"/>
        <v>95</v>
      </c>
      <c r="L66" s="92">
        <f t="shared" si="1"/>
        <v>0</v>
      </c>
      <c r="M66" s="92">
        <f t="shared" si="1"/>
        <v>0</v>
      </c>
      <c r="N66" s="125">
        <f t="shared" si="2"/>
        <v>95</v>
      </c>
      <c r="O66" s="91">
        <v>51.8</v>
      </c>
      <c r="P66" s="92"/>
      <c r="Q66" s="92"/>
      <c r="R66" s="93">
        <f t="shared" si="3"/>
        <v>51.8</v>
      </c>
      <c r="S66" s="208">
        <v>2</v>
      </c>
      <c r="T66" s="81"/>
      <c r="U66" s="207">
        <v>38191</v>
      </c>
      <c r="V66" s="82" t="s">
        <v>490</v>
      </c>
      <c r="W66" s="208" t="s">
        <v>22</v>
      </c>
      <c r="X66" s="208" t="s">
        <v>11</v>
      </c>
      <c r="Y66" s="83">
        <v>45.7</v>
      </c>
      <c r="Z66" s="208" t="s">
        <v>492</v>
      </c>
      <c r="AA66" s="208" t="s">
        <v>17</v>
      </c>
      <c r="AB66" s="208" t="s">
        <v>11</v>
      </c>
      <c r="AC66" s="208">
        <v>6.1</v>
      </c>
      <c r="AD66" s="82"/>
      <c r="AG66" s="83"/>
      <c r="AL66" s="82"/>
      <c r="AO66" s="83"/>
      <c r="AP66" s="82"/>
      <c r="AS66" s="83"/>
      <c r="AW66" s="83"/>
      <c r="BA66" s="84"/>
    </row>
    <row r="67" spans="1:53" s="208" customFormat="1" x14ac:dyDescent="0.15">
      <c r="A67" s="208">
        <v>2005</v>
      </c>
      <c r="C67" s="811" t="s">
        <v>850</v>
      </c>
      <c r="D67" s="811"/>
      <c r="E67" s="208">
        <v>70</v>
      </c>
      <c r="G67" s="123">
        <v>19</v>
      </c>
      <c r="J67" s="134">
        <v>20</v>
      </c>
      <c r="K67" s="92">
        <f t="shared" si="1"/>
        <v>95</v>
      </c>
      <c r="L67" s="92">
        <f t="shared" si="1"/>
        <v>0</v>
      </c>
      <c r="M67" s="92">
        <f t="shared" si="1"/>
        <v>0</v>
      </c>
      <c r="N67" s="125">
        <f t="shared" si="2"/>
        <v>95</v>
      </c>
      <c r="O67" s="91">
        <v>51.8</v>
      </c>
      <c r="P67" s="92"/>
      <c r="Q67" s="92"/>
      <c r="R67" s="93">
        <f t="shared" si="3"/>
        <v>51.8</v>
      </c>
      <c r="S67" s="208">
        <v>2</v>
      </c>
      <c r="T67" s="81"/>
      <c r="V67" s="82" t="s">
        <v>490</v>
      </c>
      <c r="W67" s="208" t="s">
        <v>22</v>
      </c>
      <c r="X67" s="208" t="s">
        <v>11</v>
      </c>
      <c r="Y67" s="83">
        <v>45.7</v>
      </c>
      <c r="Z67" s="208" t="s">
        <v>492</v>
      </c>
      <c r="AA67" s="208" t="s">
        <v>17</v>
      </c>
      <c r="AB67" s="208" t="s">
        <v>11</v>
      </c>
      <c r="AC67" s="208">
        <v>6.1</v>
      </c>
      <c r="AD67" s="82"/>
      <c r="AG67" s="83"/>
      <c r="AL67" s="82"/>
      <c r="AO67" s="83"/>
      <c r="AP67" s="82"/>
      <c r="AS67" s="83"/>
      <c r="AW67" s="83"/>
      <c r="BA67" s="84"/>
    </row>
    <row r="68" spans="1:53" s="334" customFormat="1" x14ac:dyDescent="0.15">
      <c r="A68" s="334">
        <v>2005</v>
      </c>
      <c r="B68" s="355">
        <v>38423</v>
      </c>
      <c r="C68" s="812" t="s">
        <v>851</v>
      </c>
      <c r="D68" s="812"/>
      <c r="E68" s="334">
        <f>365-E67</f>
        <v>295</v>
      </c>
      <c r="F68" s="334">
        <v>6</v>
      </c>
      <c r="G68" s="419"/>
      <c r="I68" s="334">
        <v>9</v>
      </c>
      <c r="J68" s="435">
        <v>17</v>
      </c>
      <c r="K68" s="384">
        <f t="shared" si="1"/>
        <v>0</v>
      </c>
      <c r="L68" s="384">
        <f t="shared" si="1"/>
        <v>0</v>
      </c>
      <c r="M68" s="384">
        <f t="shared" si="1"/>
        <v>52.941176470588239</v>
      </c>
      <c r="N68" s="421">
        <f t="shared" si="2"/>
        <v>52.941176470588239</v>
      </c>
      <c r="O68" s="383"/>
      <c r="P68" s="384"/>
      <c r="Q68" s="384">
        <v>52.6</v>
      </c>
      <c r="R68" s="385">
        <f t="shared" si="3"/>
        <v>52.6</v>
      </c>
      <c r="S68" s="334">
        <v>1</v>
      </c>
      <c r="T68" s="342">
        <v>38403</v>
      </c>
      <c r="U68" s="355">
        <v>38423</v>
      </c>
      <c r="V68" s="343" t="s">
        <v>96</v>
      </c>
      <c r="W68" s="334" t="s">
        <v>20</v>
      </c>
      <c r="X68" s="334" t="s">
        <v>12</v>
      </c>
      <c r="Y68" s="344">
        <v>52.6</v>
      </c>
      <c r="AD68" s="343"/>
      <c r="AG68" s="344"/>
      <c r="AL68" s="343"/>
      <c r="AO68" s="344"/>
      <c r="AP68" s="343"/>
      <c r="AS68" s="344"/>
      <c r="AW68" s="344"/>
      <c r="BA68" s="345"/>
    </row>
    <row r="69" spans="1:53" s="334" customFormat="1" x14ac:dyDescent="0.15">
      <c r="A69" s="334">
        <v>2006</v>
      </c>
      <c r="C69" s="812" t="s">
        <v>851</v>
      </c>
      <c r="D69" s="812"/>
      <c r="E69" s="334">
        <v>183</v>
      </c>
      <c r="G69" s="419"/>
      <c r="I69" s="334">
        <v>9</v>
      </c>
      <c r="J69" s="435">
        <v>17</v>
      </c>
      <c r="K69" s="384">
        <f t="shared" si="1"/>
        <v>0</v>
      </c>
      <c r="L69" s="384">
        <f t="shared" si="1"/>
        <v>0</v>
      </c>
      <c r="M69" s="384">
        <f t="shared" si="1"/>
        <v>52.941176470588239</v>
      </c>
      <c r="N69" s="421">
        <f t="shared" si="2"/>
        <v>52.941176470588239</v>
      </c>
      <c r="O69" s="383"/>
      <c r="P69" s="384"/>
      <c r="Q69" s="384">
        <v>52.6</v>
      </c>
      <c r="R69" s="385">
        <f t="shared" si="3"/>
        <v>52.6</v>
      </c>
      <c r="S69" s="334">
        <v>1</v>
      </c>
      <c r="T69" s="357"/>
      <c r="V69" s="343" t="s">
        <v>96</v>
      </c>
      <c r="W69" s="334" t="s">
        <v>20</v>
      </c>
      <c r="X69" s="334" t="s">
        <v>12</v>
      </c>
      <c r="Y69" s="344">
        <v>52.6</v>
      </c>
      <c r="AD69" s="343"/>
      <c r="AG69" s="344"/>
      <c r="AL69" s="343"/>
      <c r="AO69" s="344"/>
      <c r="AP69" s="343"/>
      <c r="AS69" s="344"/>
      <c r="AW69" s="344"/>
      <c r="BA69" s="345"/>
    </row>
    <row r="70" spans="1:53" s="334" customFormat="1" x14ac:dyDescent="0.15">
      <c r="A70" s="334">
        <v>2006</v>
      </c>
      <c r="B70" s="445">
        <v>38901</v>
      </c>
      <c r="C70" s="812" t="s">
        <v>851</v>
      </c>
      <c r="D70" s="812"/>
      <c r="E70" s="334">
        <f>365-E69</f>
        <v>182</v>
      </c>
      <c r="F70" s="441">
        <v>0</v>
      </c>
      <c r="G70" s="419"/>
      <c r="I70" s="334">
        <v>10</v>
      </c>
      <c r="J70" s="435">
        <v>17</v>
      </c>
      <c r="K70" s="384">
        <f t="shared" si="1"/>
        <v>0</v>
      </c>
      <c r="L70" s="384">
        <f t="shared" si="1"/>
        <v>0</v>
      </c>
      <c r="M70" s="384">
        <f t="shared" si="1"/>
        <v>58.82352941176471</v>
      </c>
      <c r="N70" s="421">
        <f t="shared" si="2"/>
        <v>58.82352941176471</v>
      </c>
      <c r="O70" s="383"/>
      <c r="P70" s="384"/>
      <c r="Q70" s="384">
        <v>52.6</v>
      </c>
      <c r="R70" s="385">
        <f t="shared" si="3"/>
        <v>52.6</v>
      </c>
      <c r="S70" s="334">
        <v>1</v>
      </c>
      <c r="T70" s="357"/>
      <c r="V70" s="343" t="s">
        <v>96</v>
      </c>
      <c r="W70" s="334" t="s">
        <v>20</v>
      </c>
      <c r="X70" s="334" t="s">
        <v>12</v>
      </c>
      <c r="Y70" s="344">
        <v>52.6</v>
      </c>
      <c r="AD70" s="343"/>
      <c r="AG70" s="344"/>
      <c r="AL70" s="343"/>
      <c r="AO70" s="344"/>
      <c r="AP70" s="343"/>
      <c r="AS70" s="344"/>
      <c r="AW70" s="344"/>
      <c r="BA70" s="345"/>
    </row>
    <row r="71" spans="1:53" s="334" customFormat="1" x14ac:dyDescent="0.15">
      <c r="A71" s="334">
        <v>2007</v>
      </c>
      <c r="B71" s="441"/>
      <c r="C71" s="812" t="s">
        <v>851</v>
      </c>
      <c r="D71" s="812"/>
      <c r="E71" s="334">
        <v>136</v>
      </c>
      <c r="F71" s="441"/>
      <c r="G71" s="419"/>
      <c r="I71" s="334">
        <v>10</v>
      </c>
      <c r="J71" s="435">
        <v>17</v>
      </c>
      <c r="K71" s="384">
        <f t="shared" si="1"/>
        <v>0</v>
      </c>
      <c r="L71" s="384">
        <f t="shared" si="1"/>
        <v>0</v>
      </c>
      <c r="M71" s="384">
        <f t="shared" si="1"/>
        <v>58.82352941176471</v>
      </c>
      <c r="N71" s="421">
        <f t="shared" si="2"/>
        <v>58.82352941176471</v>
      </c>
      <c r="O71" s="383"/>
      <c r="P71" s="384"/>
      <c r="Q71" s="384">
        <v>52.6</v>
      </c>
      <c r="R71" s="385">
        <f t="shared" si="3"/>
        <v>52.6</v>
      </c>
      <c r="S71" s="334">
        <v>1</v>
      </c>
      <c r="T71" s="357"/>
      <c r="V71" s="343" t="s">
        <v>96</v>
      </c>
      <c r="W71" s="334" t="s">
        <v>20</v>
      </c>
      <c r="X71" s="334" t="s">
        <v>12</v>
      </c>
      <c r="Y71" s="344">
        <v>52.6</v>
      </c>
      <c r="AD71" s="343"/>
      <c r="AG71" s="344"/>
      <c r="AL71" s="343"/>
      <c r="AO71" s="344"/>
      <c r="AP71" s="343"/>
      <c r="AS71" s="344"/>
      <c r="AW71" s="344"/>
      <c r="BA71" s="345"/>
    </row>
    <row r="72" spans="1:53" s="334" customFormat="1" x14ac:dyDescent="0.15">
      <c r="A72" s="334">
        <v>2007</v>
      </c>
      <c r="B72" s="445">
        <v>39219</v>
      </c>
      <c r="C72" s="812" t="s">
        <v>851</v>
      </c>
      <c r="D72" s="812"/>
      <c r="E72" s="334">
        <f>365-E71</f>
        <v>229</v>
      </c>
      <c r="F72" s="441">
        <v>0</v>
      </c>
      <c r="G72" s="419"/>
      <c r="I72" s="334">
        <v>9</v>
      </c>
      <c r="J72" s="435">
        <v>17</v>
      </c>
      <c r="K72" s="384">
        <f t="shared" ref="K72:M83" si="4">G72/$J72*100</f>
        <v>0</v>
      </c>
      <c r="L72" s="384">
        <f t="shared" si="4"/>
        <v>0</v>
      </c>
      <c r="M72" s="384">
        <f t="shared" si="4"/>
        <v>52.941176470588239</v>
      </c>
      <c r="N72" s="421">
        <f t="shared" ref="N72:N83" si="5">K72+L72+M72</f>
        <v>52.941176470588239</v>
      </c>
      <c r="O72" s="383"/>
      <c r="P72" s="384"/>
      <c r="Q72" s="384">
        <v>52.6</v>
      </c>
      <c r="R72" s="385">
        <f t="shared" ref="R72:R85" si="6">O72+P72+Q72</f>
        <v>52.6</v>
      </c>
      <c r="S72" s="334">
        <v>1</v>
      </c>
      <c r="T72" s="357"/>
      <c r="V72" s="343" t="s">
        <v>96</v>
      </c>
      <c r="W72" s="334" t="s">
        <v>20</v>
      </c>
      <c r="X72" s="334" t="s">
        <v>12</v>
      </c>
      <c r="Y72" s="344">
        <v>52.6</v>
      </c>
      <c r="AD72" s="343"/>
      <c r="AG72" s="344"/>
      <c r="AL72" s="343"/>
      <c r="AO72" s="344"/>
      <c r="AP72" s="343"/>
      <c r="AS72" s="344"/>
      <c r="AW72" s="344"/>
      <c r="BA72" s="345"/>
    </row>
    <row r="73" spans="1:53" s="334" customFormat="1" x14ac:dyDescent="0.15">
      <c r="A73" s="334">
        <v>2008</v>
      </c>
      <c r="C73" s="812" t="s">
        <v>851</v>
      </c>
      <c r="D73" s="812"/>
      <c r="E73" s="334">
        <v>29</v>
      </c>
      <c r="G73" s="419"/>
      <c r="I73" s="334">
        <v>9</v>
      </c>
      <c r="J73" s="435">
        <v>17</v>
      </c>
      <c r="K73" s="384">
        <f t="shared" si="4"/>
        <v>0</v>
      </c>
      <c r="L73" s="384">
        <f t="shared" si="4"/>
        <v>0</v>
      </c>
      <c r="M73" s="384">
        <f t="shared" si="4"/>
        <v>52.941176470588239</v>
      </c>
      <c r="N73" s="421">
        <f t="shared" si="5"/>
        <v>52.941176470588239</v>
      </c>
      <c r="O73" s="383"/>
      <c r="P73" s="384"/>
      <c r="Q73" s="384">
        <v>52.6</v>
      </c>
      <c r="R73" s="385">
        <f t="shared" si="6"/>
        <v>52.6</v>
      </c>
      <c r="S73" s="334">
        <v>1</v>
      </c>
      <c r="T73" s="357"/>
      <c r="V73" s="343" t="s">
        <v>96</v>
      </c>
      <c r="W73" s="334" t="s">
        <v>20</v>
      </c>
      <c r="X73" s="334" t="s">
        <v>12</v>
      </c>
      <c r="Y73" s="344">
        <v>52.6</v>
      </c>
      <c r="AD73" s="343"/>
      <c r="AG73" s="344"/>
      <c r="AL73" s="343"/>
      <c r="AO73" s="344"/>
      <c r="AP73" s="343"/>
      <c r="AS73" s="344"/>
      <c r="AW73" s="344"/>
      <c r="BA73" s="345"/>
    </row>
    <row r="74" spans="1:53" s="334" customFormat="1" x14ac:dyDescent="0.15">
      <c r="A74" s="334">
        <v>2008</v>
      </c>
      <c r="B74" s="445">
        <v>39477</v>
      </c>
      <c r="C74" s="812" t="s">
        <v>851</v>
      </c>
      <c r="D74" s="812"/>
      <c r="E74" s="334">
        <f>366-E73</f>
        <v>337</v>
      </c>
      <c r="F74" s="441">
        <v>0</v>
      </c>
      <c r="G74" s="419"/>
      <c r="I74" s="334">
        <v>10</v>
      </c>
      <c r="J74" s="435">
        <v>17</v>
      </c>
      <c r="K74" s="384">
        <f t="shared" si="4"/>
        <v>0</v>
      </c>
      <c r="L74" s="384">
        <f t="shared" si="4"/>
        <v>0</v>
      </c>
      <c r="M74" s="384">
        <f t="shared" si="4"/>
        <v>58.82352941176471</v>
      </c>
      <c r="N74" s="421">
        <f t="shared" si="5"/>
        <v>58.82352941176471</v>
      </c>
      <c r="O74" s="383"/>
      <c r="P74" s="384"/>
      <c r="Q74" s="384">
        <v>52.6</v>
      </c>
      <c r="R74" s="385">
        <f t="shared" si="6"/>
        <v>52.6</v>
      </c>
      <c r="S74" s="334">
        <v>1</v>
      </c>
      <c r="T74" s="357"/>
      <c r="V74" s="343" t="s">
        <v>96</v>
      </c>
      <c r="W74" s="334" t="s">
        <v>20</v>
      </c>
      <c r="X74" s="334" t="s">
        <v>12</v>
      </c>
      <c r="Y74" s="344">
        <v>52.6</v>
      </c>
      <c r="AD74" s="343"/>
      <c r="AG74" s="344"/>
      <c r="AL74" s="343"/>
      <c r="AO74" s="344"/>
      <c r="AP74" s="343"/>
      <c r="AS74" s="344"/>
      <c r="AW74" s="344"/>
      <c r="BA74" s="345"/>
    </row>
    <row r="75" spans="1:53" s="334" customFormat="1" x14ac:dyDescent="0.15">
      <c r="A75" s="334">
        <v>2009</v>
      </c>
      <c r="C75" s="812" t="s">
        <v>851</v>
      </c>
      <c r="D75" s="812"/>
      <c r="E75" s="334">
        <v>298</v>
      </c>
      <c r="G75" s="419"/>
      <c r="I75" s="334">
        <v>10</v>
      </c>
      <c r="J75" s="435">
        <v>17</v>
      </c>
      <c r="K75" s="384">
        <f t="shared" si="4"/>
        <v>0</v>
      </c>
      <c r="L75" s="384">
        <f t="shared" si="4"/>
        <v>0</v>
      </c>
      <c r="M75" s="384">
        <f t="shared" si="4"/>
        <v>58.82352941176471</v>
      </c>
      <c r="N75" s="421">
        <f t="shared" si="5"/>
        <v>58.82352941176471</v>
      </c>
      <c r="O75" s="383"/>
      <c r="P75" s="384"/>
      <c r="Q75" s="384">
        <v>52.6</v>
      </c>
      <c r="R75" s="385">
        <f t="shared" si="6"/>
        <v>52.6</v>
      </c>
      <c r="S75" s="334">
        <v>1</v>
      </c>
      <c r="T75" s="357"/>
      <c r="V75" s="343" t="s">
        <v>96</v>
      </c>
      <c r="W75" s="334" t="s">
        <v>20</v>
      </c>
      <c r="X75" s="334" t="s">
        <v>12</v>
      </c>
      <c r="Y75" s="344">
        <v>52.6</v>
      </c>
      <c r="AD75" s="343"/>
      <c r="AG75" s="344"/>
      <c r="AL75" s="343"/>
      <c r="AO75" s="344"/>
      <c r="AP75" s="343"/>
      <c r="AS75" s="344"/>
      <c r="AW75" s="344"/>
      <c r="BA75" s="345"/>
    </row>
    <row r="76" spans="1:53" s="208" customFormat="1" x14ac:dyDescent="0.15">
      <c r="A76" s="208">
        <v>2009</v>
      </c>
      <c r="B76" s="207">
        <v>40112</v>
      </c>
      <c r="C76" s="811" t="s">
        <v>852</v>
      </c>
      <c r="D76" s="811"/>
      <c r="E76" s="208">
        <v>67</v>
      </c>
      <c r="F76" s="208">
        <v>1</v>
      </c>
      <c r="G76" s="123"/>
      <c r="I76" s="208">
        <v>10</v>
      </c>
      <c r="J76" s="134">
        <v>17</v>
      </c>
      <c r="K76" s="92">
        <f t="shared" si="4"/>
        <v>0</v>
      </c>
      <c r="L76" s="92">
        <f t="shared" si="4"/>
        <v>0</v>
      </c>
      <c r="M76" s="92">
        <f t="shared" si="4"/>
        <v>58.82352941176471</v>
      </c>
      <c r="N76" s="125">
        <f t="shared" si="5"/>
        <v>58.82352941176471</v>
      </c>
      <c r="O76" s="91"/>
      <c r="P76" s="92"/>
      <c r="Q76" s="92">
        <v>42.2</v>
      </c>
      <c r="R76" s="93">
        <f t="shared" si="6"/>
        <v>42.2</v>
      </c>
      <c r="S76" s="208">
        <v>4</v>
      </c>
      <c r="T76" s="95">
        <v>40083</v>
      </c>
      <c r="U76" s="207">
        <v>40112</v>
      </c>
      <c r="V76" s="82" t="s">
        <v>96</v>
      </c>
      <c r="W76" s="208" t="s">
        <v>20</v>
      </c>
      <c r="X76" s="208" t="s">
        <v>12</v>
      </c>
      <c r="Y76" s="83">
        <v>42.2</v>
      </c>
      <c r="AD76" s="82"/>
      <c r="AG76" s="83"/>
      <c r="AL76" s="82"/>
      <c r="AO76" s="83"/>
      <c r="AP76" s="82"/>
      <c r="AS76" s="83"/>
      <c r="AW76" s="83"/>
      <c r="BA76" s="84"/>
    </row>
    <row r="77" spans="1:53" s="208" customFormat="1" x14ac:dyDescent="0.15">
      <c r="A77" s="208">
        <v>2010</v>
      </c>
      <c r="C77" s="811" t="s">
        <v>852</v>
      </c>
      <c r="D77" s="811"/>
      <c r="E77" s="208">
        <v>0</v>
      </c>
      <c r="G77" s="123"/>
      <c r="I77" s="208">
        <v>10</v>
      </c>
      <c r="J77" s="134">
        <v>17</v>
      </c>
      <c r="K77" s="92">
        <f t="shared" si="4"/>
        <v>0</v>
      </c>
      <c r="L77" s="92">
        <f t="shared" si="4"/>
        <v>0</v>
      </c>
      <c r="M77" s="92">
        <f t="shared" si="4"/>
        <v>58.82352941176471</v>
      </c>
      <c r="N77" s="125">
        <f t="shared" si="5"/>
        <v>58.82352941176471</v>
      </c>
      <c r="O77" s="91"/>
      <c r="P77" s="92"/>
      <c r="Q77" s="92">
        <v>42.2</v>
      </c>
      <c r="R77" s="93">
        <f t="shared" si="6"/>
        <v>42.2</v>
      </c>
      <c r="S77" s="208">
        <v>4</v>
      </c>
      <c r="T77" s="81"/>
      <c r="V77" s="82" t="s">
        <v>96</v>
      </c>
      <c r="W77" s="208" t="s">
        <v>20</v>
      </c>
      <c r="X77" s="208" t="s">
        <v>12</v>
      </c>
      <c r="Y77" s="83">
        <v>42.2</v>
      </c>
      <c r="AD77" s="82"/>
      <c r="AG77" s="83"/>
      <c r="AL77" s="82"/>
      <c r="AO77" s="83"/>
      <c r="AP77" s="82"/>
      <c r="AS77" s="83"/>
      <c r="AW77" s="83"/>
      <c r="BA77" s="84"/>
    </row>
    <row r="78" spans="1:53" s="208" customFormat="1" x14ac:dyDescent="0.15">
      <c r="A78" s="208">
        <v>2010</v>
      </c>
      <c r="C78" s="811" t="s">
        <v>852</v>
      </c>
      <c r="D78" s="811"/>
      <c r="E78" s="208">
        <v>365</v>
      </c>
      <c r="G78" s="123"/>
      <c r="I78" s="208">
        <v>10</v>
      </c>
      <c r="J78" s="134">
        <v>17</v>
      </c>
      <c r="K78" s="92">
        <f t="shared" si="4"/>
        <v>0</v>
      </c>
      <c r="L78" s="92">
        <f t="shared" si="4"/>
        <v>0</v>
      </c>
      <c r="M78" s="92">
        <f t="shared" si="4"/>
        <v>58.82352941176471</v>
      </c>
      <c r="N78" s="125">
        <f t="shared" si="5"/>
        <v>58.82352941176471</v>
      </c>
      <c r="O78" s="91"/>
      <c r="P78" s="92"/>
      <c r="Q78" s="92">
        <v>42.2</v>
      </c>
      <c r="R78" s="93">
        <f t="shared" si="6"/>
        <v>42.2</v>
      </c>
      <c r="S78" s="208">
        <v>4</v>
      </c>
      <c r="T78" s="81"/>
      <c r="V78" s="82" t="s">
        <v>96</v>
      </c>
      <c r="W78" s="208" t="s">
        <v>20</v>
      </c>
      <c r="X78" s="208" t="s">
        <v>12</v>
      </c>
      <c r="Y78" s="83">
        <v>42.2</v>
      </c>
      <c r="AD78" s="82"/>
      <c r="AG78" s="83"/>
      <c r="AL78" s="82"/>
      <c r="AO78" s="83"/>
      <c r="AP78" s="82"/>
      <c r="AS78" s="83"/>
      <c r="AW78" s="83"/>
      <c r="BA78" s="84"/>
    </row>
    <row r="79" spans="1:53" s="208" customFormat="1" x14ac:dyDescent="0.15">
      <c r="A79" s="208">
        <v>2011</v>
      </c>
      <c r="B79" s="207"/>
      <c r="C79" s="811" t="s">
        <v>852</v>
      </c>
      <c r="D79" s="811"/>
      <c r="E79" s="208">
        <v>171</v>
      </c>
      <c r="G79" s="123"/>
      <c r="I79" s="208">
        <v>10</v>
      </c>
      <c r="J79" s="134">
        <v>17</v>
      </c>
      <c r="K79" s="92">
        <f t="shared" si="4"/>
        <v>0</v>
      </c>
      <c r="L79" s="92">
        <f t="shared" si="4"/>
        <v>0</v>
      </c>
      <c r="M79" s="92">
        <f t="shared" si="4"/>
        <v>58.82352941176471</v>
      </c>
      <c r="N79" s="125">
        <f t="shared" si="5"/>
        <v>58.82352941176471</v>
      </c>
      <c r="O79" s="91"/>
      <c r="P79" s="92"/>
      <c r="Q79" s="92">
        <v>42.2</v>
      </c>
      <c r="R79" s="93">
        <f t="shared" si="6"/>
        <v>42.2</v>
      </c>
      <c r="S79" s="208">
        <v>4</v>
      </c>
      <c r="T79" s="81"/>
      <c r="V79" s="82" t="s">
        <v>96</v>
      </c>
      <c r="W79" s="208" t="s">
        <v>20</v>
      </c>
      <c r="X79" s="208" t="s">
        <v>12</v>
      </c>
      <c r="Y79" s="83">
        <v>42.2</v>
      </c>
      <c r="AD79" s="82"/>
      <c r="AG79" s="83"/>
      <c r="AL79" s="82"/>
      <c r="AO79" s="83"/>
      <c r="AP79" s="82"/>
      <c r="AS79" s="83"/>
      <c r="AW79" s="83"/>
      <c r="BA79" s="84"/>
    </row>
    <row r="80" spans="1:53" s="334" customFormat="1" x14ac:dyDescent="0.15">
      <c r="A80" s="334">
        <v>2011</v>
      </c>
      <c r="B80" s="355">
        <v>40715</v>
      </c>
      <c r="C80" s="844" t="s">
        <v>1289</v>
      </c>
      <c r="D80" s="844"/>
      <c r="E80" s="334">
        <v>194</v>
      </c>
      <c r="F80" s="334">
        <v>1</v>
      </c>
      <c r="G80" s="419">
        <v>8</v>
      </c>
      <c r="J80" s="435">
        <v>12</v>
      </c>
      <c r="K80" s="384">
        <f t="shared" si="4"/>
        <v>66.666666666666657</v>
      </c>
      <c r="L80" s="384">
        <f t="shared" si="4"/>
        <v>0</v>
      </c>
      <c r="M80" s="384">
        <f t="shared" si="4"/>
        <v>0</v>
      </c>
      <c r="N80" s="421">
        <f t="shared" si="5"/>
        <v>66.666666666666657</v>
      </c>
      <c r="O80" s="383">
        <v>57.39</v>
      </c>
      <c r="P80" s="384"/>
      <c r="Q80" s="384"/>
      <c r="R80" s="385">
        <f t="shared" si="6"/>
        <v>57.39</v>
      </c>
      <c r="S80" s="334">
        <v>2</v>
      </c>
      <c r="T80" s="342">
        <v>40699</v>
      </c>
      <c r="U80" s="355">
        <v>40715</v>
      </c>
      <c r="V80" s="343" t="s">
        <v>938</v>
      </c>
      <c r="W80" s="334" t="s">
        <v>22</v>
      </c>
      <c r="X80" s="334" t="s">
        <v>11</v>
      </c>
      <c r="Y80" s="344">
        <v>47</v>
      </c>
      <c r="Z80" s="334" t="s">
        <v>492</v>
      </c>
      <c r="AA80" s="334" t="s">
        <v>17</v>
      </c>
      <c r="AB80" s="334" t="s">
        <v>11</v>
      </c>
      <c r="AC80" s="334">
        <v>10.4</v>
      </c>
      <c r="AD80" s="343"/>
      <c r="AG80" s="344"/>
      <c r="AL80" s="343"/>
      <c r="AO80" s="344"/>
      <c r="AP80" s="343"/>
      <c r="AS80" s="344"/>
      <c r="AW80" s="344"/>
      <c r="BA80" s="345"/>
    </row>
    <row r="81" spans="1:53" s="334" customFormat="1" x14ac:dyDescent="0.15">
      <c r="A81" s="334">
        <v>2012</v>
      </c>
      <c r="B81" s="467"/>
      <c r="C81" s="844" t="s">
        <v>1289</v>
      </c>
      <c r="D81" s="844"/>
      <c r="E81" s="334">
        <v>0</v>
      </c>
      <c r="G81" s="419">
        <v>8</v>
      </c>
      <c r="J81" s="435">
        <v>12</v>
      </c>
      <c r="K81" s="384">
        <f t="shared" si="4"/>
        <v>66.666666666666657</v>
      </c>
      <c r="L81" s="384">
        <f t="shared" si="4"/>
        <v>0</v>
      </c>
      <c r="M81" s="384">
        <f t="shared" si="4"/>
        <v>0</v>
      </c>
      <c r="N81" s="421">
        <f t="shared" si="5"/>
        <v>66.666666666666657</v>
      </c>
      <c r="O81" s="383">
        <v>57.39</v>
      </c>
      <c r="P81" s="384"/>
      <c r="Q81" s="384"/>
      <c r="R81" s="385">
        <f t="shared" si="6"/>
        <v>57.39</v>
      </c>
      <c r="S81" s="334">
        <v>2</v>
      </c>
      <c r="T81" s="357"/>
      <c r="V81" s="343" t="s">
        <v>938</v>
      </c>
      <c r="W81" s="334" t="s">
        <v>22</v>
      </c>
      <c r="X81" s="334" t="s">
        <v>11</v>
      </c>
      <c r="Y81" s="344">
        <v>47</v>
      </c>
      <c r="Z81" s="334" t="s">
        <v>492</v>
      </c>
      <c r="AA81" s="334" t="s">
        <v>17</v>
      </c>
      <c r="AB81" s="334" t="s">
        <v>11</v>
      </c>
      <c r="AC81" s="334">
        <v>10.4</v>
      </c>
      <c r="AD81" s="343"/>
      <c r="AG81" s="344"/>
      <c r="AL81" s="343"/>
      <c r="AO81" s="344"/>
      <c r="AP81" s="343"/>
      <c r="AS81" s="344"/>
      <c r="AW81" s="344"/>
      <c r="BA81" s="345"/>
    </row>
    <row r="82" spans="1:53" s="334" customFormat="1" x14ac:dyDescent="0.15">
      <c r="A82" s="334">
        <v>2012</v>
      </c>
      <c r="C82" s="844" t="s">
        <v>1289</v>
      </c>
      <c r="D82" s="844"/>
      <c r="E82" s="334">
        <v>366</v>
      </c>
      <c r="G82" s="419">
        <v>8</v>
      </c>
      <c r="J82" s="435">
        <v>12</v>
      </c>
      <c r="K82" s="384">
        <f t="shared" si="4"/>
        <v>66.666666666666657</v>
      </c>
      <c r="L82" s="384">
        <f t="shared" si="4"/>
        <v>0</v>
      </c>
      <c r="M82" s="384">
        <f t="shared" si="4"/>
        <v>0</v>
      </c>
      <c r="N82" s="421">
        <f t="shared" si="5"/>
        <v>66.666666666666657</v>
      </c>
      <c r="O82" s="383">
        <v>57.39</v>
      </c>
      <c r="P82" s="384"/>
      <c r="Q82" s="384"/>
      <c r="R82" s="385">
        <f t="shared" si="6"/>
        <v>57.39</v>
      </c>
      <c r="S82" s="334">
        <v>2</v>
      </c>
      <c r="T82" s="357"/>
      <c r="V82" s="343" t="s">
        <v>938</v>
      </c>
      <c r="W82" s="334" t="s">
        <v>22</v>
      </c>
      <c r="X82" s="334" t="s">
        <v>11</v>
      </c>
      <c r="Y82" s="344">
        <v>47</v>
      </c>
      <c r="Z82" s="334" t="s">
        <v>492</v>
      </c>
      <c r="AA82" s="334" t="s">
        <v>17</v>
      </c>
      <c r="AB82" s="334" t="s">
        <v>11</v>
      </c>
      <c r="AC82" s="334">
        <v>10.4</v>
      </c>
      <c r="AD82" s="343"/>
      <c r="AG82" s="344"/>
      <c r="AL82" s="343"/>
      <c r="AO82" s="344"/>
      <c r="AP82" s="343"/>
      <c r="AS82" s="344"/>
      <c r="AW82" s="344"/>
      <c r="BA82" s="345"/>
    </row>
    <row r="83" spans="1:53" s="334" customFormat="1" x14ac:dyDescent="0.15">
      <c r="A83" s="334">
        <v>2013</v>
      </c>
      <c r="C83" s="844" t="s">
        <v>1289</v>
      </c>
      <c r="D83" s="844"/>
      <c r="E83" s="334">
        <v>102</v>
      </c>
      <c r="G83" s="419">
        <v>8</v>
      </c>
      <c r="J83" s="435">
        <v>12</v>
      </c>
      <c r="K83" s="384">
        <f t="shared" si="4"/>
        <v>66.666666666666657</v>
      </c>
      <c r="L83" s="384">
        <f t="shared" si="4"/>
        <v>0</v>
      </c>
      <c r="M83" s="384">
        <f t="shared" si="4"/>
        <v>0</v>
      </c>
      <c r="N83" s="421">
        <f t="shared" si="5"/>
        <v>66.666666666666657</v>
      </c>
      <c r="O83" s="383">
        <v>57.39</v>
      </c>
      <c r="P83" s="384"/>
      <c r="Q83" s="384"/>
      <c r="R83" s="385">
        <f t="shared" si="6"/>
        <v>57.39</v>
      </c>
      <c r="S83" s="334">
        <v>2</v>
      </c>
      <c r="T83" s="357"/>
      <c r="V83" s="343" t="s">
        <v>938</v>
      </c>
      <c r="W83" s="334" t="s">
        <v>22</v>
      </c>
      <c r="X83" s="334" t="s">
        <v>11</v>
      </c>
      <c r="Y83" s="344">
        <v>47</v>
      </c>
      <c r="Z83" s="334" t="s">
        <v>492</v>
      </c>
      <c r="AA83" s="334" t="s">
        <v>17</v>
      </c>
      <c r="AB83" s="334" t="s">
        <v>11</v>
      </c>
      <c r="AC83" s="334">
        <v>10.4</v>
      </c>
      <c r="AD83" s="343"/>
      <c r="AG83" s="344"/>
      <c r="AL83" s="343"/>
      <c r="AO83" s="344"/>
      <c r="AP83" s="343"/>
      <c r="AS83" s="344"/>
      <c r="AW83" s="344"/>
      <c r="BA83" s="345"/>
    </row>
    <row r="84" spans="1:53" s="334" customFormat="1" x14ac:dyDescent="0.15">
      <c r="A84" s="334">
        <v>2013</v>
      </c>
      <c r="B84" s="445">
        <v>41377</v>
      </c>
      <c r="C84" s="844" t="s">
        <v>1289</v>
      </c>
      <c r="D84" s="844"/>
      <c r="E84" s="334">
        <v>102</v>
      </c>
      <c r="F84" s="441">
        <v>0</v>
      </c>
      <c r="G84" s="419">
        <v>9</v>
      </c>
      <c r="J84" s="435">
        <v>13</v>
      </c>
      <c r="K84" s="384">
        <f t="shared" ref="K84:M85" si="7">G84/$J84*100</f>
        <v>69.230769230769226</v>
      </c>
      <c r="L84" s="384">
        <f t="shared" si="7"/>
        <v>0</v>
      </c>
      <c r="M84" s="384">
        <f t="shared" si="7"/>
        <v>0</v>
      </c>
      <c r="N84" s="421">
        <f t="shared" ref="N84:N90" si="8">K84+L84+M84</f>
        <v>69.230769230769226</v>
      </c>
      <c r="O84" s="383">
        <v>57.39</v>
      </c>
      <c r="P84" s="384"/>
      <c r="Q84" s="384"/>
      <c r="R84" s="385">
        <f t="shared" si="6"/>
        <v>57.39</v>
      </c>
      <c r="S84" s="334">
        <v>2</v>
      </c>
      <c r="T84" s="357"/>
      <c r="V84" s="343" t="s">
        <v>938</v>
      </c>
      <c r="W84" s="334" t="s">
        <v>22</v>
      </c>
      <c r="X84" s="334" t="s">
        <v>11</v>
      </c>
      <c r="Y84" s="344">
        <v>47</v>
      </c>
      <c r="Z84" s="334" t="s">
        <v>492</v>
      </c>
      <c r="AA84" s="334" t="s">
        <v>17</v>
      </c>
      <c r="AB84" s="334" t="s">
        <v>11</v>
      </c>
      <c r="AC84" s="334">
        <v>10.4</v>
      </c>
      <c r="AD84" s="343"/>
      <c r="AG84" s="344"/>
      <c r="AL84" s="343"/>
      <c r="AO84" s="344"/>
      <c r="AP84" s="343"/>
      <c r="AS84" s="344"/>
      <c r="AW84" s="344"/>
      <c r="BA84" s="345"/>
    </row>
    <row r="85" spans="1:53" s="334" customFormat="1" x14ac:dyDescent="0.15">
      <c r="A85" s="334">
        <v>2013</v>
      </c>
      <c r="B85" s="445" t="s">
        <v>1267</v>
      </c>
      <c r="C85" s="844" t="s">
        <v>1289</v>
      </c>
      <c r="D85" s="844"/>
      <c r="E85" s="334">
        <f>365-E84-E83</f>
        <v>161</v>
      </c>
      <c r="F85" s="441">
        <v>0</v>
      </c>
      <c r="G85" s="419">
        <v>12</v>
      </c>
      <c r="J85" s="435">
        <v>15</v>
      </c>
      <c r="K85" s="384">
        <f t="shared" si="7"/>
        <v>80</v>
      </c>
      <c r="L85" s="384">
        <f t="shared" si="7"/>
        <v>0</v>
      </c>
      <c r="M85" s="384">
        <f t="shared" si="7"/>
        <v>0</v>
      </c>
      <c r="N85" s="421">
        <f t="shared" si="8"/>
        <v>80</v>
      </c>
      <c r="O85" s="383">
        <v>57.39</v>
      </c>
      <c r="P85" s="384"/>
      <c r="Q85" s="384"/>
      <c r="R85" s="385">
        <f t="shared" si="6"/>
        <v>57.39</v>
      </c>
      <c r="S85" s="334">
        <v>2</v>
      </c>
      <c r="T85" s="357"/>
      <c r="V85" s="343" t="s">
        <v>938</v>
      </c>
      <c r="W85" s="334" t="s">
        <v>22</v>
      </c>
      <c r="X85" s="334" t="s">
        <v>11</v>
      </c>
      <c r="Y85" s="344">
        <v>47</v>
      </c>
      <c r="Z85" s="334" t="s">
        <v>492</v>
      </c>
      <c r="AA85" s="334" t="s">
        <v>17</v>
      </c>
      <c r="AB85" s="334" t="s">
        <v>11</v>
      </c>
      <c r="AC85" s="334">
        <v>10.4</v>
      </c>
      <c r="AD85" s="343"/>
      <c r="AG85" s="344"/>
      <c r="AL85" s="343"/>
      <c r="AO85" s="344"/>
      <c r="AP85" s="343"/>
      <c r="AS85" s="344"/>
      <c r="AW85" s="344"/>
      <c r="BA85" s="345"/>
    </row>
    <row r="86" spans="1:53" s="664" customFormat="1" x14ac:dyDescent="0.15">
      <c r="A86" s="664">
        <v>2014</v>
      </c>
      <c r="B86" s="502"/>
      <c r="C86" s="844" t="s">
        <v>1289</v>
      </c>
      <c r="D86" s="844"/>
      <c r="E86" s="664">
        <v>322</v>
      </c>
      <c r="F86" s="501"/>
      <c r="G86" s="649">
        <v>12</v>
      </c>
      <c r="J86" s="651">
        <v>15</v>
      </c>
      <c r="K86" s="647">
        <f t="shared" ref="K86:M89" si="9">G86/$J86*100</f>
        <v>80</v>
      </c>
      <c r="L86" s="647">
        <f t="shared" si="9"/>
        <v>0</v>
      </c>
      <c r="M86" s="647">
        <f t="shared" si="9"/>
        <v>0</v>
      </c>
      <c r="N86" s="650">
        <f t="shared" si="8"/>
        <v>80</v>
      </c>
      <c r="O86" s="646">
        <v>57.39</v>
      </c>
      <c r="P86" s="647"/>
      <c r="Q86" s="647"/>
      <c r="R86" s="648">
        <f>O86+P86+Q86</f>
        <v>57.39</v>
      </c>
      <c r="S86" s="664">
        <v>2</v>
      </c>
      <c r="T86" s="645"/>
      <c r="V86" s="641" t="s">
        <v>938</v>
      </c>
      <c r="W86" s="664" t="s">
        <v>22</v>
      </c>
      <c r="X86" s="664" t="s">
        <v>11</v>
      </c>
      <c r="Y86" s="642">
        <v>47</v>
      </c>
      <c r="Z86" s="664" t="s">
        <v>492</v>
      </c>
      <c r="AA86" s="664" t="s">
        <v>17</v>
      </c>
      <c r="AB86" s="664" t="s">
        <v>11</v>
      </c>
      <c r="AC86" s="664">
        <v>10.4</v>
      </c>
      <c r="AD86" s="641"/>
      <c r="AG86" s="642"/>
      <c r="AL86" s="641"/>
      <c r="AO86" s="642"/>
      <c r="AP86" s="641"/>
      <c r="AS86" s="642"/>
      <c r="AW86" s="642"/>
      <c r="BA86" s="643"/>
    </row>
    <row r="87" spans="1:53" s="664" customFormat="1" x14ac:dyDescent="0.15">
      <c r="A87" s="664">
        <v>2014</v>
      </c>
      <c r="B87" s="502">
        <v>41962</v>
      </c>
      <c r="C87" s="844" t="s">
        <v>1289</v>
      </c>
      <c r="D87" s="844"/>
      <c r="E87" s="664">
        <v>43</v>
      </c>
      <c r="F87" s="501">
        <v>0</v>
      </c>
      <c r="G87" s="649">
        <v>11</v>
      </c>
      <c r="J87" s="651">
        <v>15</v>
      </c>
      <c r="K87" s="647">
        <f t="shared" si="9"/>
        <v>73.333333333333329</v>
      </c>
      <c r="L87" s="647">
        <f t="shared" si="9"/>
        <v>0</v>
      </c>
      <c r="M87" s="647">
        <f t="shared" si="9"/>
        <v>0</v>
      </c>
      <c r="N87" s="650">
        <f t="shared" si="8"/>
        <v>73.333333333333329</v>
      </c>
      <c r="O87" s="646">
        <v>57.39</v>
      </c>
      <c r="P87" s="647"/>
      <c r="Q87" s="647"/>
      <c r="R87" s="648">
        <f>O87+P87+Q87</f>
        <v>57.39</v>
      </c>
      <c r="S87" s="664">
        <v>2</v>
      </c>
      <c r="T87" s="645"/>
      <c r="V87" s="641" t="s">
        <v>938</v>
      </c>
      <c r="W87" s="664" t="s">
        <v>22</v>
      </c>
      <c r="X87" s="664" t="s">
        <v>11</v>
      </c>
      <c r="Y87" s="642">
        <v>47</v>
      </c>
      <c r="Z87" s="664" t="s">
        <v>492</v>
      </c>
      <c r="AA87" s="664" t="s">
        <v>17</v>
      </c>
      <c r="AB87" s="664" t="s">
        <v>11</v>
      </c>
      <c r="AC87" s="664">
        <v>10.4</v>
      </c>
      <c r="AD87" s="641"/>
      <c r="AG87" s="642"/>
      <c r="AL87" s="641"/>
      <c r="AO87" s="642"/>
      <c r="AP87" s="641"/>
      <c r="AS87" s="642"/>
      <c r="AW87" s="642"/>
      <c r="BA87" s="643"/>
    </row>
    <row r="88" spans="1:53" s="752" customFormat="1" x14ac:dyDescent="0.15">
      <c r="A88" s="752">
        <v>2015</v>
      </c>
      <c r="B88" s="502"/>
      <c r="C88" s="844" t="s">
        <v>1289</v>
      </c>
      <c r="D88" s="844"/>
      <c r="E88" s="752">
        <v>302</v>
      </c>
      <c r="F88" s="501"/>
      <c r="G88" s="649">
        <v>11</v>
      </c>
      <c r="J88" s="651">
        <v>15</v>
      </c>
      <c r="K88" s="647">
        <f t="shared" si="9"/>
        <v>73.333333333333329</v>
      </c>
      <c r="L88" s="647">
        <f t="shared" si="9"/>
        <v>0</v>
      </c>
      <c r="M88" s="647">
        <f t="shared" si="9"/>
        <v>0</v>
      </c>
      <c r="N88" s="650">
        <f t="shared" si="8"/>
        <v>73.333333333333329</v>
      </c>
      <c r="O88" s="646">
        <v>57.39</v>
      </c>
      <c r="P88" s="647"/>
      <c r="Q88" s="647"/>
      <c r="R88" s="648">
        <f>O88+P88+Q88</f>
        <v>57.39</v>
      </c>
      <c r="S88" s="752">
        <v>2</v>
      </c>
      <c r="T88" s="645"/>
      <c r="V88" s="641" t="s">
        <v>938</v>
      </c>
      <c r="W88" s="752" t="s">
        <v>22</v>
      </c>
      <c r="X88" s="752" t="s">
        <v>11</v>
      </c>
      <c r="Y88" s="642">
        <v>47</v>
      </c>
      <c r="Z88" s="752" t="s">
        <v>492</v>
      </c>
      <c r="AA88" s="752" t="s">
        <v>17</v>
      </c>
      <c r="AB88" s="752" t="s">
        <v>11</v>
      </c>
      <c r="AC88" s="752">
        <v>10.4</v>
      </c>
      <c r="AD88" s="641"/>
      <c r="AG88" s="642"/>
      <c r="AL88" s="641"/>
      <c r="AO88" s="642"/>
      <c r="AP88" s="641"/>
      <c r="AS88" s="642"/>
      <c r="AW88" s="642"/>
      <c r="BA88" s="643"/>
    </row>
    <row r="89" spans="1:53" s="751" customFormat="1" x14ac:dyDescent="0.15">
      <c r="A89" s="751">
        <v>2015</v>
      </c>
      <c r="B89" s="747">
        <v>42307</v>
      </c>
      <c r="C89" s="811" t="s">
        <v>1348</v>
      </c>
      <c r="D89" s="811"/>
      <c r="E89" s="751">
        <v>27</v>
      </c>
      <c r="F89" s="751">
        <v>1</v>
      </c>
      <c r="G89" s="600">
        <v>14</v>
      </c>
      <c r="J89" s="602">
        <v>17</v>
      </c>
      <c r="K89" s="597">
        <f t="shared" si="9"/>
        <v>82.35294117647058</v>
      </c>
      <c r="L89" s="597">
        <f t="shared" si="9"/>
        <v>0</v>
      </c>
      <c r="M89" s="597">
        <f t="shared" si="9"/>
        <v>0</v>
      </c>
      <c r="N89" s="601">
        <f t="shared" si="8"/>
        <v>82.35294117647058</v>
      </c>
      <c r="O89" s="596">
        <v>46.5</v>
      </c>
      <c r="P89" s="597"/>
      <c r="Q89" s="597"/>
      <c r="R89" s="598">
        <f>O89+P89+Q89</f>
        <v>46.5</v>
      </c>
      <c r="S89" s="751">
        <v>5</v>
      </c>
      <c r="T89" s="599">
        <v>42281</v>
      </c>
      <c r="U89" s="747">
        <v>42307</v>
      </c>
      <c r="V89" s="592" t="s">
        <v>938</v>
      </c>
      <c r="W89" s="751" t="s">
        <v>22</v>
      </c>
      <c r="X89" s="751" t="s">
        <v>11</v>
      </c>
      <c r="Y89" s="593">
        <v>38.700000000000003</v>
      </c>
      <c r="Z89" s="751" t="s">
        <v>492</v>
      </c>
      <c r="AA89" s="751" t="s">
        <v>17</v>
      </c>
      <c r="AB89" s="751" t="s">
        <v>11</v>
      </c>
      <c r="AC89" s="751">
        <v>7.8</v>
      </c>
      <c r="AD89" s="592"/>
      <c r="AG89" s="593"/>
      <c r="AL89" s="592"/>
      <c r="AO89" s="593"/>
      <c r="AP89" s="592"/>
      <c r="AS89" s="593"/>
      <c r="AW89" s="593"/>
      <c r="BA89" s="594"/>
    </row>
    <row r="90" spans="1:53" s="752" customFormat="1" x14ac:dyDescent="0.15">
      <c r="A90" s="752">
        <v>2015</v>
      </c>
      <c r="B90" s="748">
        <v>42334</v>
      </c>
      <c r="C90" s="844" t="s">
        <v>1349</v>
      </c>
      <c r="D90" s="844"/>
      <c r="E90" s="752">
        <v>36</v>
      </c>
      <c r="F90" s="752">
        <v>5</v>
      </c>
      <c r="G90" s="649"/>
      <c r="I90" s="752">
        <v>11</v>
      </c>
      <c r="J90" s="651">
        <v>18</v>
      </c>
      <c r="K90" s="647">
        <f t="shared" ref="K90" si="10">G90/$J90*100</f>
        <v>0</v>
      </c>
      <c r="L90" s="647">
        <f t="shared" ref="L90" si="11">H90/$J90*100</f>
        <v>0</v>
      </c>
      <c r="M90" s="647">
        <f>I90/$J90*100</f>
        <v>61.111111111111114</v>
      </c>
      <c r="N90" s="650">
        <f t="shared" si="8"/>
        <v>61.111111111111114</v>
      </c>
      <c r="O90" s="646">
        <v>37.299999999999997</v>
      </c>
      <c r="P90" s="647"/>
      <c r="Q90" s="647"/>
      <c r="R90" s="648">
        <f>O90+P90+Q90</f>
        <v>37.299999999999997</v>
      </c>
      <c r="S90" s="752">
        <v>4</v>
      </c>
      <c r="T90" s="487"/>
      <c r="U90" s="748">
        <v>42334</v>
      </c>
      <c r="V90" s="641" t="s">
        <v>96</v>
      </c>
      <c r="W90" s="752" t="s">
        <v>20</v>
      </c>
      <c r="X90" s="752" t="s">
        <v>12</v>
      </c>
      <c r="Y90" s="642">
        <v>37.299999999999997</v>
      </c>
      <c r="AD90" s="641"/>
      <c r="AG90" s="642"/>
      <c r="AL90" s="641"/>
      <c r="AO90" s="642"/>
      <c r="AP90" s="641"/>
      <c r="AS90" s="642"/>
      <c r="AW90" s="642"/>
      <c r="BA90" s="643"/>
    </row>
    <row r="91" spans="1:53" x14ac:dyDescent="0.15">
      <c r="K91" s="18"/>
    </row>
    <row r="92" spans="1:53" x14ac:dyDescent="0.15">
      <c r="K92" s="18"/>
    </row>
    <row r="93" spans="1:53" s="2" customFormat="1" ht="18" customHeight="1" x14ac:dyDescent="0.2">
      <c r="B93" s="22" t="s">
        <v>1284</v>
      </c>
      <c r="H93" s="6"/>
    </row>
    <row r="94" spans="1:53" s="2" customFormat="1" ht="9" customHeight="1" x14ac:dyDescent="0.15">
      <c r="H94" s="6"/>
    </row>
    <row r="95" spans="1:53" s="364" customFormat="1" ht="9" customHeight="1" x14ac:dyDescent="0.15">
      <c r="A95" s="362"/>
      <c r="B95" s="363" t="s">
        <v>1235</v>
      </c>
      <c r="C95" s="363"/>
      <c r="D95" s="363"/>
      <c r="E95" s="363"/>
      <c r="F95" s="363"/>
      <c r="G95" s="363" t="s">
        <v>1236</v>
      </c>
      <c r="H95" s="363"/>
      <c r="I95" s="363"/>
      <c r="J95" s="363"/>
      <c r="K95" s="363"/>
      <c r="L95" s="363"/>
      <c r="M95" s="363"/>
      <c r="N95" s="363"/>
      <c r="R95" s="802" t="s">
        <v>1237</v>
      </c>
      <c r="S95" s="802"/>
      <c r="T95" s="802"/>
      <c r="U95" s="802"/>
      <c r="V95" s="802"/>
      <c r="W95" s="802"/>
      <c r="X95" s="365"/>
      <c r="Y95" s="365"/>
      <c r="AA95" s="365"/>
      <c r="AB95" s="365"/>
      <c r="AC95" s="365"/>
      <c r="AD95" s="365"/>
    </row>
    <row r="96" spans="1:53" s="369" customFormat="1" ht="9" customHeight="1" x14ac:dyDescent="0.15">
      <c r="A96" s="366"/>
      <c r="B96" s="367" t="s">
        <v>1239</v>
      </c>
      <c r="C96" s="368"/>
      <c r="D96" s="368"/>
      <c r="E96" s="368"/>
      <c r="F96" s="368"/>
      <c r="G96" s="367" t="s">
        <v>1238</v>
      </c>
      <c r="H96" s="368"/>
      <c r="I96" s="368"/>
      <c r="J96" s="368"/>
      <c r="K96" s="368"/>
      <c r="L96" s="368"/>
      <c r="M96" s="368"/>
      <c r="N96" s="368"/>
      <c r="R96" s="370" t="s">
        <v>1240</v>
      </c>
      <c r="S96" s="371"/>
      <c r="T96" s="372"/>
      <c r="U96" s="372"/>
      <c r="V96" s="372"/>
      <c r="W96" s="370" t="s">
        <v>1241</v>
      </c>
      <c r="X96" s="372"/>
      <c r="Y96" s="372"/>
      <c r="AA96" s="372"/>
      <c r="AB96" s="372"/>
      <c r="AC96" s="372"/>
      <c r="AD96" s="372"/>
    </row>
    <row r="97" spans="1:23" s="351" customFormat="1" ht="12" customHeight="1" x14ac:dyDescent="0.15">
      <c r="A97" s="373" t="s">
        <v>3</v>
      </c>
      <c r="B97" s="374" t="s">
        <v>8</v>
      </c>
      <c r="C97" s="374" t="s">
        <v>9</v>
      </c>
      <c r="D97" s="374" t="s">
        <v>10</v>
      </c>
      <c r="E97" s="375" t="s">
        <v>1215</v>
      </c>
      <c r="F97" s="374"/>
      <c r="G97" s="351" t="s">
        <v>3</v>
      </c>
      <c r="H97" s="803" t="s">
        <v>0</v>
      </c>
      <c r="I97" s="803"/>
      <c r="J97" s="803" t="s">
        <v>1</v>
      </c>
      <c r="K97" s="803"/>
      <c r="L97" s="803" t="s">
        <v>2</v>
      </c>
      <c r="M97" s="803"/>
      <c r="N97" s="804" t="s">
        <v>1215</v>
      </c>
      <c r="O97" s="804"/>
      <c r="P97" s="376"/>
      <c r="Q97" s="376"/>
      <c r="R97" s="377" t="s">
        <v>3</v>
      </c>
      <c r="S97" s="378" t="s">
        <v>136</v>
      </c>
      <c r="T97" s="376" t="s">
        <v>134</v>
      </c>
      <c r="U97" s="374" t="s">
        <v>135</v>
      </c>
      <c r="V97" s="376"/>
      <c r="W97" s="379" t="s">
        <v>26</v>
      </c>
    </row>
    <row r="98" spans="1:23" s="16" customFormat="1" ht="9" customHeight="1" x14ac:dyDescent="0.15">
      <c r="A98" s="1">
        <v>1960</v>
      </c>
      <c r="B98" s="196"/>
      <c r="C98" s="196"/>
      <c r="D98" s="196"/>
      <c r="E98" s="232"/>
      <c r="F98" s="196"/>
      <c r="G98" s="1">
        <v>1960</v>
      </c>
      <c r="H98" s="196"/>
      <c r="I98" s="196"/>
      <c r="J98" s="196"/>
      <c r="K98" s="196"/>
      <c r="L98" s="196"/>
      <c r="M98" s="196"/>
      <c r="N98" s="232"/>
      <c r="O98" s="232"/>
      <c r="P98" s="197"/>
      <c r="Q98" s="197"/>
      <c r="R98" s="1">
        <v>1960</v>
      </c>
      <c r="S98" s="54"/>
      <c r="T98" s="197"/>
      <c r="U98" s="196"/>
      <c r="V98" s="197"/>
      <c r="W98" s="198"/>
    </row>
    <row r="99" spans="1:23" s="16" customFormat="1" ht="9" customHeight="1" x14ac:dyDescent="0.15">
      <c r="A99" s="1">
        <v>1961</v>
      </c>
      <c r="B99" s="196"/>
      <c r="C99" s="196"/>
      <c r="D99" s="196"/>
      <c r="E99" s="232"/>
      <c r="F99" s="196"/>
      <c r="G99" s="1">
        <v>1961</v>
      </c>
      <c r="H99" s="196"/>
      <c r="I99" s="196"/>
      <c r="J99" s="196"/>
      <c r="K99" s="196"/>
      <c r="L99" s="196"/>
      <c r="M99" s="196"/>
      <c r="N99" s="232"/>
      <c r="O99" s="232"/>
      <c r="P99" s="197"/>
      <c r="Q99" s="197"/>
      <c r="R99" s="1">
        <v>1961</v>
      </c>
      <c r="S99" s="54"/>
      <c r="T99" s="197"/>
      <c r="U99" s="196"/>
      <c r="V99" s="197"/>
      <c r="W99" s="198"/>
    </row>
    <row r="100" spans="1:23" s="16" customFormat="1" ht="9" customHeight="1" x14ac:dyDescent="0.15">
      <c r="A100" s="1">
        <v>1962</v>
      </c>
      <c r="B100" s="196"/>
      <c r="C100" s="196"/>
      <c r="D100" s="196"/>
      <c r="E100" s="232"/>
      <c r="F100" s="196"/>
      <c r="G100" s="1">
        <v>1962</v>
      </c>
      <c r="H100" s="196"/>
      <c r="I100" s="196"/>
      <c r="J100" s="196"/>
      <c r="K100" s="196"/>
      <c r="L100" s="196"/>
      <c r="M100" s="196"/>
      <c r="N100" s="232"/>
      <c r="O100" s="232"/>
      <c r="P100" s="197"/>
      <c r="Q100" s="197"/>
      <c r="R100" s="1">
        <v>1962</v>
      </c>
      <c r="S100" s="54"/>
      <c r="T100" s="197"/>
      <c r="U100" s="196"/>
      <c r="V100" s="197"/>
      <c r="W100" s="198"/>
    </row>
    <row r="101" spans="1:23" s="16" customFormat="1" ht="9" customHeight="1" x14ac:dyDescent="0.15">
      <c r="A101" s="1">
        <v>1963</v>
      </c>
      <c r="B101" s="196"/>
      <c r="C101" s="196"/>
      <c r="D101" s="196"/>
      <c r="E101" s="232"/>
      <c r="F101" s="196"/>
      <c r="G101" s="1">
        <v>1963</v>
      </c>
      <c r="H101" s="196"/>
      <c r="I101" s="196"/>
      <c r="J101" s="196"/>
      <c r="K101" s="196"/>
      <c r="L101" s="196"/>
      <c r="M101" s="196"/>
      <c r="N101" s="232"/>
      <c r="O101" s="232"/>
      <c r="P101" s="197"/>
      <c r="Q101" s="197"/>
      <c r="R101" s="1">
        <v>1963</v>
      </c>
      <c r="S101" s="54"/>
      <c r="T101" s="197"/>
      <c r="U101" s="196"/>
      <c r="V101" s="197"/>
      <c r="W101" s="198"/>
    </row>
    <row r="102" spans="1:23" s="16" customFormat="1" ht="9" customHeight="1" x14ac:dyDescent="0.15">
      <c r="A102" s="1">
        <v>1964</v>
      </c>
      <c r="B102" s="196"/>
      <c r="C102" s="196"/>
      <c r="D102" s="196"/>
      <c r="E102" s="232"/>
      <c r="F102" s="196"/>
      <c r="G102" s="1">
        <v>1964</v>
      </c>
      <c r="H102" s="196"/>
      <c r="I102" s="196"/>
      <c r="J102" s="196"/>
      <c r="K102" s="196"/>
      <c r="L102" s="196"/>
      <c r="M102" s="196"/>
      <c r="N102" s="232"/>
      <c r="O102" s="232"/>
      <c r="P102" s="197"/>
      <c r="Q102" s="197"/>
      <c r="R102" s="1">
        <v>1964</v>
      </c>
      <c r="S102" s="54"/>
      <c r="T102" s="197"/>
      <c r="U102" s="196"/>
      <c r="V102" s="197"/>
      <c r="W102" s="198"/>
    </row>
    <row r="103" spans="1:23" s="16" customFormat="1" ht="9" customHeight="1" x14ac:dyDescent="0.15">
      <c r="A103" s="1">
        <v>1965</v>
      </c>
      <c r="B103" s="196"/>
      <c r="C103" s="196"/>
      <c r="D103" s="196"/>
      <c r="E103" s="232"/>
      <c r="F103" s="196"/>
      <c r="G103" s="1">
        <v>1965</v>
      </c>
      <c r="H103" s="196"/>
      <c r="I103" s="196"/>
      <c r="J103" s="196"/>
      <c r="K103" s="196"/>
      <c r="L103" s="196"/>
      <c r="M103" s="196"/>
      <c r="N103" s="232"/>
      <c r="O103" s="232"/>
      <c r="P103" s="197"/>
      <c r="Q103" s="197"/>
      <c r="R103" s="1">
        <v>1965</v>
      </c>
      <c r="S103" s="54"/>
      <c r="T103" s="197"/>
      <c r="U103" s="196"/>
      <c r="V103" s="197"/>
      <c r="W103" s="198"/>
    </row>
    <row r="104" spans="1:23" s="16" customFormat="1" ht="9" customHeight="1" x14ac:dyDescent="0.15">
      <c r="A104" s="1">
        <v>1966</v>
      </c>
      <c r="B104" s="196"/>
      <c r="C104" s="196"/>
      <c r="D104" s="196"/>
      <c r="E104" s="232"/>
      <c r="F104" s="196"/>
      <c r="G104" s="1">
        <v>1966</v>
      </c>
      <c r="H104" s="196"/>
      <c r="I104" s="196"/>
      <c r="J104" s="196"/>
      <c r="K104" s="196"/>
      <c r="L104" s="196"/>
      <c r="M104" s="196"/>
      <c r="N104" s="232"/>
      <c r="O104" s="232"/>
      <c r="P104" s="197"/>
      <c r="Q104" s="197"/>
      <c r="R104" s="1">
        <v>1966</v>
      </c>
      <c r="S104" s="54"/>
      <c r="T104" s="197"/>
      <c r="U104" s="196"/>
      <c r="V104" s="197"/>
      <c r="W104" s="198"/>
    </row>
    <row r="105" spans="1:23" s="16" customFormat="1" ht="9" customHeight="1" x14ac:dyDescent="0.15">
      <c r="A105" s="1">
        <v>1967</v>
      </c>
      <c r="B105" s="196"/>
      <c r="C105" s="196"/>
      <c r="D105" s="196"/>
      <c r="E105" s="232"/>
      <c r="F105" s="196"/>
      <c r="G105" s="1">
        <v>1967</v>
      </c>
      <c r="H105" s="196"/>
      <c r="I105" s="196"/>
      <c r="J105" s="196"/>
      <c r="K105" s="196"/>
      <c r="L105" s="196"/>
      <c r="M105" s="196"/>
      <c r="N105" s="232"/>
      <c r="O105" s="232"/>
      <c r="P105" s="197"/>
      <c r="Q105" s="197"/>
      <c r="R105" s="1">
        <v>1967</v>
      </c>
      <c r="S105" s="54"/>
      <c r="T105" s="197"/>
      <c r="U105" s="196"/>
      <c r="V105" s="197"/>
      <c r="W105" s="198"/>
    </row>
    <row r="106" spans="1:23" s="16" customFormat="1" ht="9" customHeight="1" x14ac:dyDescent="0.15">
      <c r="A106" s="1">
        <v>1968</v>
      </c>
      <c r="B106" s="196"/>
      <c r="C106" s="196"/>
      <c r="D106" s="196"/>
      <c r="E106" s="232"/>
      <c r="F106" s="196"/>
      <c r="G106" s="1">
        <v>1968</v>
      </c>
      <c r="H106" s="196"/>
      <c r="I106" s="196"/>
      <c r="J106" s="196"/>
      <c r="K106" s="196"/>
      <c r="L106" s="196"/>
      <c r="M106" s="196"/>
      <c r="N106" s="232"/>
      <c r="O106" s="232"/>
      <c r="P106" s="197"/>
      <c r="Q106" s="197"/>
      <c r="R106" s="1">
        <v>1968</v>
      </c>
      <c r="S106" s="54"/>
      <c r="T106" s="197"/>
      <c r="U106" s="196"/>
      <c r="V106" s="197"/>
      <c r="W106" s="198"/>
    </row>
    <row r="107" spans="1:23" s="16" customFormat="1" ht="9" customHeight="1" x14ac:dyDescent="0.15">
      <c r="A107" s="1">
        <v>1969</v>
      </c>
      <c r="B107" s="196"/>
      <c r="C107" s="196"/>
      <c r="D107" s="196"/>
      <c r="E107" s="232"/>
      <c r="F107" s="196"/>
      <c r="G107" s="1">
        <v>1969</v>
      </c>
      <c r="H107" s="196"/>
      <c r="I107" s="196"/>
      <c r="J107" s="196"/>
      <c r="K107" s="196"/>
      <c r="L107" s="196"/>
      <c r="M107" s="196"/>
      <c r="N107" s="232"/>
      <c r="O107" s="232"/>
      <c r="P107" s="197"/>
      <c r="Q107" s="197"/>
      <c r="R107" s="1">
        <v>1969</v>
      </c>
      <c r="S107" s="54"/>
      <c r="T107" s="197"/>
      <c r="U107" s="196"/>
      <c r="V107" s="197"/>
      <c r="W107" s="198"/>
    </row>
    <row r="108" spans="1:23" s="16" customFormat="1" ht="9" customHeight="1" x14ac:dyDescent="0.15">
      <c r="A108" s="1">
        <v>1970</v>
      </c>
      <c r="B108" s="196"/>
      <c r="C108" s="196"/>
      <c r="D108" s="196"/>
      <c r="E108" s="232"/>
      <c r="F108" s="196"/>
      <c r="G108" s="1">
        <v>1970</v>
      </c>
      <c r="H108" s="196"/>
      <c r="I108" s="196"/>
      <c r="J108" s="196"/>
      <c r="K108" s="196"/>
      <c r="L108" s="196"/>
      <c r="M108" s="196"/>
      <c r="N108" s="232"/>
      <c r="O108" s="232"/>
      <c r="P108" s="197"/>
      <c r="Q108" s="197"/>
      <c r="R108" s="1">
        <v>1970</v>
      </c>
      <c r="S108" s="54"/>
      <c r="T108" s="197"/>
      <c r="U108" s="196"/>
      <c r="V108" s="197"/>
      <c r="W108" s="198"/>
    </row>
    <row r="109" spans="1:23" s="16" customFormat="1" ht="9" customHeight="1" x14ac:dyDescent="0.15">
      <c r="A109" s="1">
        <v>1971</v>
      </c>
      <c r="B109" s="196"/>
      <c r="C109" s="196"/>
      <c r="D109" s="196"/>
      <c r="E109" s="232"/>
      <c r="F109" s="196"/>
      <c r="G109" s="1">
        <v>1971</v>
      </c>
      <c r="H109" s="196"/>
      <c r="I109" s="196"/>
      <c r="J109" s="196"/>
      <c r="K109" s="196"/>
      <c r="L109" s="196"/>
      <c r="M109" s="196"/>
      <c r="N109" s="232"/>
      <c r="O109" s="232"/>
      <c r="P109" s="197"/>
      <c r="Q109" s="197"/>
      <c r="R109" s="1">
        <v>1971</v>
      </c>
      <c r="S109" s="54"/>
      <c r="T109" s="197"/>
      <c r="U109" s="196"/>
      <c r="V109" s="197"/>
      <c r="W109" s="198"/>
    </row>
    <row r="110" spans="1:23" s="16" customFormat="1" ht="9" customHeight="1" x14ac:dyDescent="0.15">
      <c r="A110" s="1">
        <v>1972</v>
      </c>
      <c r="B110" s="196"/>
      <c r="C110" s="196"/>
      <c r="D110" s="196"/>
      <c r="E110" s="232"/>
      <c r="F110" s="196"/>
      <c r="G110" s="1">
        <v>1972</v>
      </c>
      <c r="H110" s="196"/>
      <c r="I110" s="196"/>
      <c r="J110" s="196"/>
      <c r="K110" s="196"/>
      <c r="L110" s="196"/>
      <c r="M110" s="196"/>
      <c r="N110" s="232"/>
      <c r="O110" s="232"/>
      <c r="P110" s="197"/>
      <c r="Q110" s="197"/>
      <c r="R110" s="1">
        <v>1972</v>
      </c>
      <c r="S110" s="54"/>
      <c r="T110" s="197"/>
      <c r="U110" s="196"/>
      <c r="V110" s="197"/>
      <c r="W110" s="198"/>
    </row>
    <row r="111" spans="1:23" s="16" customFormat="1" ht="9" customHeight="1" x14ac:dyDescent="0.15">
      <c r="A111" s="1">
        <v>1973</v>
      </c>
      <c r="B111" s="196"/>
      <c r="C111" s="196"/>
      <c r="D111" s="196"/>
      <c r="E111" s="232"/>
      <c r="F111" s="196"/>
      <c r="G111" s="1">
        <v>1973</v>
      </c>
      <c r="H111" s="196"/>
      <c r="I111" s="196"/>
      <c r="J111" s="196"/>
      <c r="K111" s="196"/>
      <c r="L111" s="196"/>
      <c r="M111" s="196"/>
      <c r="N111" s="232"/>
      <c r="O111" s="232"/>
      <c r="P111" s="197"/>
      <c r="Q111" s="197"/>
      <c r="R111" s="1">
        <v>1973</v>
      </c>
      <c r="S111" s="54"/>
      <c r="T111" s="197"/>
      <c r="U111" s="196"/>
      <c r="V111" s="197"/>
      <c r="W111" s="198"/>
    </row>
    <row r="112" spans="1:23" s="16" customFormat="1" ht="9" customHeight="1" x14ac:dyDescent="0.15">
      <c r="A112" s="1">
        <v>1974</v>
      </c>
      <c r="B112" s="196"/>
      <c r="C112" s="196"/>
      <c r="D112" s="196"/>
      <c r="E112" s="232"/>
      <c r="F112" s="196"/>
      <c r="G112" s="1">
        <v>1974</v>
      </c>
      <c r="H112" s="196"/>
      <c r="I112" s="196"/>
      <c r="J112" s="196"/>
      <c r="K112" s="196"/>
      <c r="L112" s="196"/>
      <c r="M112" s="196"/>
      <c r="N112" s="232"/>
      <c r="O112" s="232"/>
      <c r="P112" s="197"/>
      <c r="Q112" s="197"/>
      <c r="R112" s="1">
        <v>1974</v>
      </c>
      <c r="S112" s="54"/>
      <c r="T112" s="197"/>
      <c r="U112" s="196"/>
      <c r="V112" s="197"/>
      <c r="W112" s="198"/>
    </row>
    <row r="113" spans="1:29" s="16" customFormat="1" ht="9" customHeight="1" x14ac:dyDescent="0.15">
      <c r="A113" s="1">
        <v>1975</v>
      </c>
      <c r="B113" s="196"/>
      <c r="C113" s="196"/>
      <c r="D113" s="196"/>
      <c r="E113" s="232"/>
      <c r="F113" s="196"/>
      <c r="G113" s="1">
        <v>1975</v>
      </c>
      <c r="H113" s="196"/>
      <c r="I113" s="196"/>
      <c r="J113" s="196"/>
      <c r="K113" s="196"/>
      <c r="L113" s="196"/>
      <c r="M113" s="196"/>
      <c r="N113" s="232"/>
      <c r="O113" s="232"/>
      <c r="P113" s="197"/>
      <c r="Q113" s="197"/>
      <c r="R113" s="1">
        <v>1975</v>
      </c>
      <c r="S113" s="54"/>
      <c r="T113" s="197"/>
      <c r="U113" s="196"/>
      <c r="V113" s="197"/>
      <c r="W113" s="198"/>
    </row>
    <row r="114" spans="1:29" x14ac:dyDescent="0.15">
      <c r="A114" s="1">
        <v>1976</v>
      </c>
      <c r="B114" s="8">
        <f>(K7*($E7/162))</f>
        <v>0</v>
      </c>
      <c r="C114" s="8">
        <f>(L7*($E7/162))</f>
        <v>0</v>
      </c>
      <c r="D114" s="8">
        <f>(M7*($E7/162))</f>
        <v>70.588235294117652</v>
      </c>
      <c r="E114" s="48">
        <f>B114+C114+D114</f>
        <v>70.588235294117652</v>
      </c>
      <c r="G114" s="1">
        <v>1976</v>
      </c>
      <c r="H114" s="809">
        <f>(O7/$R7*100*($E7/162))</f>
        <v>0</v>
      </c>
      <c r="I114" s="809"/>
      <c r="J114" s="809">
        <f>(P7/$R7*100*($E7/162))</f>
        <v>0</v>
      </c>
      <c r="K114" s="809"/>
      <c r="L114" s="809">
        <f>(Q7/$R7*100*($E7/162))</f>
        <v>100</v>
      </c>
      <c r="M114" s="809"/>
      <c r="N114" s="781">
        <f t="shared" ref="N114:N150" si="12">H114+J114+L114</f>
        <v>100</v>
      </c>
      <c r="O114" s="781"/>
      <c r="R114" s="1">
        <v>1976</v>
      </c>
      <c r="S114" s="8">
        <f>(O7*($E7/162))</f>
        <v>0</v>
      </c>
      <c r="T114" s="8">
        <f>(P7*($E7/162))</f>
        <v>0</v>
      </c>
      <c r="U114" s="8">
        <f>(Q7*($E7/162))</f>
        <v>40.700000000000003</v>
      </c>
      <c r="V114" s="7"/>
      <c r="W114" s="7">
        <f>S114+T114+U114</f>
        <v>40.700000000000003</v>
      </c>
      <c r="Y114" s="233" t="s">
        <v>1242</v>
      </c>
      <c r="Z114" s="233"/>
      <c r="AA114" s="233"/>
      <c r="AB114" s="233"/>
      <c r="AC114" s="233"/>
    </row>
    <row r="115" spans="1:29" x14ac:dyDescent="0.15">
      <c r="A115" s="1">
        <v>1977</v>
      </c>
      <c r="B115" s="8">
        <f>(K8*($E8/365))+(K9*($E9/365))</f>
        <v>0</v>
      </c>
      <c r="C115" s="8">
        <f>(L8*($E8/365))+(L9*($E9/365))</f>
        <v>0</v>
      </c>
      <c r="D115" s="8">
        <f>(M8*($E8/365))+(M9*($E9/365))</f>
        <v>70.588235294117652</v>
      </c>
      <c r="E115" s="48">
        <f t="shared" ref="E115:E149" si="13">B115+C115+D115</f>
        <v>70.588235294117652</v>
      </c>
      <c r="G115" s="1">
        <v>1977</v>
      </c>
      <c r="H115" s="809">
        <f>(O8/$R8*100*($E8/365))+(O9/$R9*100*($E9/365))</f>
        <v>0</v>
      </c>
      <c r="I115" s="809"/>
      <c r="J115" s="809">
        <f>(P8/$R8*100*($E8/365))+(P9/$R9*100*($E9/365))</f>
        <v>0</v>
      </c>
      <c r="K115" s="809"/>
      <c r="L115" s="809">
        <f>(Q8/$R8*100*($E8/365))+(Q9/$R9*100*($E9/365))</f>
        <v>100</v>
      </c>
      <c r="M115" s="809"/>
      <c r="N115" s="781">
        <f t="shared" si="12"/>
        <v>100</v>
      </c>
      <c r="O115" s="781"/>
      <c r="R115" s="1">
        <v>1977</v>
      </c>
      <c r="S115" s="8">
        <f>(O8*($E8/365))+(O9*($E9/365))</f>
        <v>0</v>
      </c>
      <c r="T115" s="8">
        <f>(P8*($E8/365))+(P9*($E9/365))</f>
        <v>0</v>
      </c>
      <c r="U115" s="8">
        <f>(Q8*($E8/365))+(Q9*($E9/365))</f>
        <v>40.700000000000003</v>
      </c>
      <c r="V115" s="7"/>
      <c r="W115" s="7">
        <f t="shared" ref="W115:W149" si="14">S115+T115+U115</f>
        <v>40.700000000000003</v>
      </c>
    </row>
    <row r="116" spans="1:29" x14ac:dyDescent="0.15">
      <c r="A116" s="1">
        <v>1978</v>
      </c>
      <c r="B116" s="8">
        <f>(K10*($E10/365))+(K11*($E11/365))+(K12*($E12/365))+(K13*($E13/365))</f>
        <v>10.83904109589041</v>
      </c>
      <c r="C116" s="8">
        <f>(L10*($E10/365))+(L11*($E11/365))+(L12*($E12/365))+(L13*($E13/365))</f>
        <v>0</v>
      </c>
      <c r="D116" s="8">
        <f>(M10*($E10/365))+(M11*($E11/365))+(M12*($E12/365))+(M13*($E13/365))</f>
        <v>34.512489927477844</v>
      </c>
      <c r="E116" s="48">
        <f t="shared" si="13"/>
        <v>45.351531023368253</v>
      </c>
      <c r="G116" s="1">
        <v>1978</v>
      </c>
      <c r="H116" s="809">
        <f>(O10/$R10*100*($E10/365))+(O11/$R11*100*($E11/365))</f>
        <v>16.312724988524074</v>
      </c>
      <c r="I116" s="809"/>
      <c r="J116" s="809">
        <f>(P10/$R10*100*($E10/365))+(P11/$R11*100*($E11/365))</f>
        <v>0</v>
      </c>
      <c r="K116" s="809"/>
      <c r="L116" s="809">
        <f>(Q10/$R10*100*($E10/365))+(Q11/$R11*100*($E11/365))</f>
        <v>49.440699669010172</v>
      </c>
      <c r="M116" s="809"/>
      <c r="N116" s="781">
        <f t="shared" si="12"/>
        <v>65.753424657534254</v>
      </c>
      <c r="O116" s="781"/>
      <c r="R116" s="1">
        <v>1978</v>
      </c>
      <c r="S116" s="8">
        <f>(O10*($E10/365))+(O11*($E11/365))+(O12*($E12/365))+(O13*($E13/365))</f>
        <v>9.24931506849315</v>
      </c>
      <c r="T116" s="8">
        <f>(P10*($E10/365))+(P11*($E11/365))+(P12*($E12/365))+(P13*($E13/365))</f>
        <v>0</v>
      </c>
      <c r="U116" s="8">
        <f>(Q10*($E10/365))+(Q11*($E11/365))+(Q12*($E12/365))+(Q13*($E13/365))</f>
        <v>26.761643835616439</v>
      </c>
      <c r="V116" s="7"/>
      <c r="W116" s="7">
        <f t="shared" si="14"/>
        <v>36.010958904109586</v>
      </c>
    </row>
    <row r="117" spans="1:29" x14ac:dyDescent="0.15">
      <c r="A117" s="1">
        <v>1979</v>
      </c>
      <c r="B117" s="8">
        <f>(K14*($E14/365))+(K15*($E15/365))</f>
        <v>0</v>
      </c>
      <c r="C117" s="8">
        <f>(L14*($E14/365))+(L15*($E15/365))</f>
        <v>0</v>
      </c>
      <c r="D117" s="8">
        <f>(M14*($E14/365))+(M15*($E15/365))</f>
        <v>0</v>
      </c>
      <c r="E117" s="48">
        <f t="shared" si="13"/>
        <v>0</v>
      </c>
      <c r="G117" s="1">
        <v>1979</v>
      </c>
      <c r="H117" s="809">
        <v>0</v>
      </c>
      <c r="I117" s="809"/>
      <c r="J117" s="809">
        <v>0</v>
      </c>
      <c r="K117" s="809"/>
      <c r="L117" s="809">
        <v>0</v>
      </c>
      <c r="M117" s="809"/>
      <c r="N117" s="781">
        <f>H117+J117+L117</f>
        <v>0</v>
      </c>
      <c r="O117" s="781"/>
      <c r="R117" s="1">
        <v>1979</v>
      </c>
      <c r="S117" s="8">
        <f>(O14*($E14/365))+(O15*($E15/365))</f>
        <v>0</v>
      </c>
      <c r="T117" s="8">
        <f>(P14*($E14/365))+(P15*($E15/365))</f>
        <v>0</v>
      </c>
      <c r="U117" s="8">
        <f>(Q14*($E14/365))+(Q15*($E15/365))</f>
        <v>0</v>
      </c>
      <c r="V117" s="7"/>
      <c r="W117" s="7">
        <f t="shared" si="14"/>
        <v>0</v>
      </c>
    </row>
    <row r="118" spans="1:29" x14ac:dyDescent="0.15">
      <c r="A118" s="1">
        <v>1980</v>
      </c>
      <c r="B118" s="8">
        <f>(K16*($E16/366))+(K17*($E17/366))</f>
        <v>86.193078324225866</v>
      </c>
      <c r="C118" s="8">
        <f>(L16*($E16/366))+(L17*($E17/366))</f>
        <v>0</v>
      </c>
      <c r="D118" s="8">
        <f>(M16*($E16/366))+(M17*($E17/366))</f>
        <v>0</v>
      </c>
      <c r="E118" s="48">
        <f t="shared" si="13"/>
        <v>86.193078324225866</v>
      </c>
      <c r="G118" s="1">
        <v>1980</v>
      </c>
      <c r="H118" s="809">
        <f>(O17/$R17*100*($E17/366))</f>
        <v>99.453551912568301</v>
      </c>
      <c r="I118" s="809"/>
      <c r="J118" s="809">
        <f>(P17/$R17*100*($E17/366))</f>
        <v>0</v>
      </c>
      <c r="K118" s="809"/>
      <c r="L118" s="809">
        <f>(Q17/$R17*100*($E17/366))</f>
        <v>0</v>
      </c>
      <c r="M118" s="809"/>
      <c r="N118" s="781">
        <f t="shared" si="12"/>
        <v>99.453551912568301</v>
      </c>
      <c r="O118" s="781"/>
      <c r="R118" s="1">
        <v>1980</v>
      </c>
      <c r="S118" s="8">
        <f>(O16*($E16/366))+(O17*($E17/366))</f>
        <v>52.312568306010931</v>
      </c>
      <c r="T118" s="8">
        <f>(P16*($E16/366))+(P17*($E17/366))</f>
        <v>0</v>
      </c>
      <c r="U118" s="8">
        <f>(Q16*($E16/366))+(Q17*($E17/366))</f>
        <v>0</v>
      </c>
      <c r="V118" s="7"/>
      <c r="W118" s="7">
        <f t="shared" si="14"/>
        <v>52.312568306010931</v>
      </c>
    </row>
    <row r="119" spans="1:29" x14ac:dyDescent="0.15">
      <c r="A119" s="1">
        <v>1981</v>
      </c>
      <c r="B119" s="8">
        <f>(K18*($E18/365))+(K19*($E19/365))+(K20*($E20/365))</f>
        <v>86.666666666666671</v>
      </c>
      <c r="C119" s="8">
        <f>(L18*($E18/365))+(L19*($E19/365))+(L20*($E20/365))</f>
        <v>0</v>
      </c>
      <c r="D119" s="8">
        <f>(M18*($E18/365))+(M19*($E19/365))+(M20*($E20/365))</f>
        <v>0</v>
      </c>
      <c r="E119" s="48">
        <f t="shared" si="13"/>
        <v>86.666666666666671</v>
      </c>
      <c r="G119" s="1">
        <v>1981</v>
      </c>
      <c r="H119" s="809">
        <f>(O18/$R18*100*($E18/365))+(O19/$R19*100*($E19/365))+(O20/$R20*100*($E20/365))</f>
        <v>99.999999999999986</v>
      </c>
      <c r="I119" s="809"/>
      <c r="J119" s="809">
        <f>(P18/$R18*100*($E18/365))+(P19/$R19*100*($E19/365))+(P20/$R20*100*($E20/365))</f>
        <v>0</v>
      </c>
      <c r="K119" s="809"/>
      <c r="L119" s="809">
        <f>(Q18/$R18*100*($E18/365))+(Q19/$R19*100*($E19/365))+(Q20/$R20*100*($E20/365))</f>
        <v>0</v>
      </c>
      <c r="M119" s="809"/>
      <c r="N119" s="781">
        <f t="shared" si="12"/>
        <v>99.999999999999986</v>
      </c>
      <c r="O119" s="781"/>
      <c r="R119" s="1">
        <v>1981</v>
      </c>
      <c r="S119" s="8">
        <f>(O18*($E18/365))+(O19*($E19/365))+(O20*($E20/365))</f>
        <v>52.6</v>
      </c>
      <c r="T119" s="8">
        <f>(P18*($E18/365))+(P19*($E19/365))+(P20*($E20/365))</f>
        <v>0</v>
      </c>
      <c r="U119" s="8">
        <f>(Q18*($E18/365))+(Q19*($E19/365))+(Q20*($E20/365))</f>
        <v>0</v>
      </c>
      <c r="V119" s="7"/>
      <c r="W119" s="7">
        <f t="shared" si="14"/>
        <v>52.6</v>
      </c>
    </row>
    <row r="120" spans="1:29" x14ac:dyDescent="0.15">
      <c r="A120" s="1">
        <v>1982</v>
      </c>
      <c r="B120" s="8">
        <f>(K21*($E21/365))+(K22*($E22/365))</f>
        <v>93.333333333333329</v>
      </c>
      <c r="C120" s="8">
        <f>(L21*($E21/365))+(L22*($E22/365))</f>
        <v>0</v>
      </c>
      <c r="D120" s="8">
        <f>(M21*($E21/365))+(M22*($E22/365))</f>
        <v>0</v>
      </c>
      <c r="E120" s="48">
        <f t="shared" si="13"/>
        <v>93.333333333333329</v>
      </c>
      <c r="G120" s="1">
        <v>1982</v>
      </c>
      <c r="H120" s="809">
        <f>(O21/$R21*100*($E21/365))+(O22/$R22*100*($E22/365))</f>
        <v>100</v>
      </c>
      <c r="I120" s="809"/>
      <c r="J120" s="809">
        <f>(P21/$R21*100*($E21/365))+(P22/$R22*100*($E22/365))</f>
        <v>0</v>
      </c>
      <c r="K120" s="809"/>
      <c r="L120" s="809">
        <f>(Q21/$R21*100*($E21/365))+(Q22/$R22*100*($E22/365))</f>
        <v>0</v>
      </c>
      <c r="M120" s="809"/>
      <c r="N120" s="781">
        <f t="shared" si="12"/>
        <v>100</v>
      </c>
      <c r="O120" s="781"/>
      <c r="R120" s="1">
        <v>1982</v>
      </c>
      <c r="S120" s="8">
        <f>(O21*($E21/365))+(O22*($E22/365))</f>
        <v>52.6</v>
      </c>
      <c r="T120" s="8">
        <f>(P21*($E21/365))+(P22*($E22/365))</f>
        <v>0</v>
      </c>
      <c r="U120" s="8">
        <f>(Q21*($E21/365))+(Q22*($E22/365))</f>
        <v>0</v>
      </c>
      <c r="V120" s="7"/>
      <c r="W120" s="7">
        <f t="shared" si="14"/>
        <v>52.6</v>
      </c>
    </row>
    <row r="121" spans="1:29" x14ac:dyDescent="0.15">
      <c r="A121" s="1">
        <v>1983</v>
      </c>
      <c r="B121" s="8">
        <f>(K23*($E23/365))+(K24*($E24/365))</f>
        <v>60.576954069298949</v>
      </c>
      <c r="C121" s="8">
        <f>(L23*($E23/365))+(L24*($E24/365))</f>
        <v>0</v>
      </c>
      <c r="D121" s="8">
        <f>(M23*($E23/365))+(M24*($E24/365))</f>
        <v>29.879129734085417</v>
      </c>
      <c r="E121" s="48">
        <f t="shared" si="13"/>
        <v>90.456083803384359</v>
      </c>
      <c r="G121" s="1">
        <v>1983</v>
      </c>
      <c r="H121" s="809">
        <f>(O23/$R23*100*($E23/365))+(O24/$R24*100*($E24/365))</f>
        <v>67.612079701120791</v>
      </c>
      <c r="I121" s="809"/>
      <c r="J121" s="809">
        <f>(P23/$R23*100*($E23/365))+(P24/$R24*100*($E24/365))</f>
        <v>0</v>
      </c>
      <c r="K121" s="809"/>
      <c r="L121" s="809">
        <f>(Q23/$R23*100*($E23/365))+(Q24/$R24*100*($E24/365))</f>
        <v>32.387920298879195</v>
      </c>
      <c r="M121" s="809"/>
      <c r="N121" s="781">
        <f t="shared" si="12"/>
        <v>99.999999999999986</v>
      </c>
      <c r="O121" s="781"/>
      <c r="R121" s="1">
        <v>1983</v>
      </c>
      <c r="S121" s="8">
        <f>(O23*($E23/365))+(O24*($E24/365))</f>
        <v>39.844931506849321</v>
      </c>
      <c r="T121" s="8">
        <f>(P23*($E23/365))+(P24*($E24/365))</f>
        <v>0</v>
      </c>
      <c r="U121" s="8">
        <f>(Q23*($E23/365))+(Q24*($E24/365))</f>
        <v>22.801095890410959</v>
      </c>
      <c r="V121" s="7"/>
      <c r="W121" s="7">
        <f t="shared" si="14"/>
        <v>62.646027397260283</v>
      </c>
    </row>
    <row r="122" spans="1:29" x14ac:dyDescent="0.15">
      <c r="A122" s="1">
        <v>1984</v>
      </c>
      <c r="B122" s="8">
        <f>(K25*($E25/366))+(K26*($E26/366))</f>
        <v>35.294117647058826</v>
      </c>
      <c r="C122" s="8">
        <f>(L25*($E25/366))+(L26*($E26/366))</f>
        <v>0</v>
      </c>
      <c r="D122" s="8">
        <f>(M25*($E25/366))+(M26*($E26/366))</f>
        <v>52.941176470588239</v>
      </c>
      <c r="E122" s="48">
        <f t="shared" si="13"/>
        <v>88.235294117647072</v>
      </c>
      <c r="G122" s="1">
        <v>1984</v>
      </c>
      <c r="H122" s="809">
        <f>(O25/$R25*100*($E25/366))+(O26/$R26*100*($E26/366))</f>
        <v>42.61363636363636</v>
      </c>
      <c r="I122" s="809"/>
      <c r="J122" s="809">
        <f>(P25/$R25*100*($E25/366))+(P26/$R26*100*($E26/366))</f>
        <v>0</v>
      </c>
      <c r="K122" s="809"/>
      <c r="L122" s="809">
        <f>(Q25/$R25*100*($E25/366))+(Q26/$R26*100*($E26/366))</f>
        <v>57.386363636363626</v>
      </c>
      <c r="M122" s="809"/>
      <c r="N122" s="781">
        <f t="shared" si="12"/>
        <v>99.999999999999986</v>
      </c>
      <c r="O122" s="781"/>
      <c r="R122" s="1">
        <v>1984</v>
      </c>
      <c r="S122" s="8">
        <f>(O25*($E25/366))+(O26*($E26/366))</f>
        <v>30</v>
      </c>
      <c r="T122" s="8">
        <f>(P25*($E25/366))+(P26*($E26/366))</f>
        <v>0</v>
      </c>
      <c r="U122" s="8">
        <f>(Q25*($E25/366))+(Q26*($E26/366))</f>
        <v>40.4</v>
      </c>
      <c r="V122" s="7"/>
      <c r="W122" s="7">
        <f t="shared" si="14"/>
        <v>70.400000000000006</v>
      </c>
    </row>
    <row r="123" spans="1:29" x14ac:dyDescent="0.15">
      <c r="A123" s="1">
        <v>1985</v>
      </c>
      <c r="B123" s="8">
        <f>(K27*($E27/365))+(K28*($E28/365))</f>
        <v>43.029814665592269</v>
      </c>
      <c r="C123" s="8">
        <f>(L27*($E27/365))+(L28*($E28/365))</f>
        <v>0</v>
      </c>
      <c r="D123" s="8">
        <f>(M27*($E27/365))+(M28*($E28/365))</f>
        <v>44.818694601128122</v>
      </c>
      <c r="E123" s="48">
        <f t="shared" si="13"/>
        <v>87.848509266720384</v>
      </c>
      <c r="G123" s="1">
        <v>1985</v>
      </c>
      <c r="H123" s="809">
        <f>(O27/$R27*100*($E27/365))+(O28/$R28*100*($E28/365))</f>
        <v>51.418119551681187</v>
      </c>
      <c r="I123" s="809"/>
      <c r="J123" s="809">
        <f>(P27/$R27*100*($E27/365))+(P28/$R28*100*($E28/365))</f>
        <v>0</v>
      </c>
      <c r="K123" s="809"/>
      <c r="L123" s="809">
        <f>(Q27/$R27*100*($E27/365))+(Q28/$R28*100*($E28/365))</f>
        <v>48.581880448318792</v>
      </c>
      <c r="M123" s="809"/>
      <c r="N123" s="781">
        <f t="shared" si="12"/>
        <v>99.999999999999972</v>
      </c>
      <c r="O123" s="781"/>
      <c r="R123" s="1">
        <v>1985</v>
      </c>
      <c r="S123" s="8">
        <f>(O27*($E27/365))+(O28*($E28/365))</f>
        <v>30.797808219178084</v>
      </c>
      <c r="T123" s="8">
        <f>(P27*($E27/365))+(P28*($E28/365))</f>
        <v>0</v>
      </c>
      <c r="U123" s="8">
        <f>(Q27*($E27/365))+(Q28*($E28/365))</f>
        <v>34.201643835616437</v>
      </c>
      <c r="V123" s="7"/>
      <c r="W123" s="7">
        <f t="shared" si="14"/>
        <v>64.999452054794517</v>
      </c>
    </row>
    <row r="124" spans="1:29" x14ac:dyDescent="0.15">
      <c r="A124" s="1">
        <v>1986</v>
      </c>
      <c r="B124" s="8">
        <f>(K29*($E29/365))+(K30*($E30/365))</f>
        <v>85.714285714285708</v>
      </c>
      <c r="C124" s="8">
        <f>(L29*($E29/365))+(L30*($E30/365))</f>
        <v>0</v>
      </c>
      <c r="D124" s="8">
        <f>(M29*($E29/365))+(M30*($E30/365))</f>
        <v>0</v>
      </c>
      <c r="E124" s="48">
        <f t="shared" si="13"/>
        <v>85.714285714285708</v>
      </c>
      <c r="G124" s="1">
        <v>1986</v>
      </c>
      <c r="H124" s="809">
        <f>(O29/$R29*100*($E29/365))+(O30/$R30*100*($E30/365))</f>
        <v>100</v>
      </c>
      <c r="I124" s="809"/>
      <c r="J124" s="809">
        <f>(P29/$R29*100*($E29/365))+(P30/$R30*100*($E30/365))</f>
        <v>0</v>
      </c>
      <c r="K124" s="809"/>
      <c r="L124" s="809">
        <f>(Q29/$R29*100*($E29/365))+(Q30/$R30*100*($E30/365))</f>
        <v>0</v>
      </c>
      <c r="M124" s="809"/>
      <c r="N124" s="781">
        <f t="shared" si="12"/>
        <v>100</v>
      </c>
      <c r="O124" s="781"/>
      <c r="R124" s="1">
        <v>1986</v>
      </c>
      <c r="S124" s="8">
        <f>(O29*($E29/365))+(O30*($E30/365))</f>
        <v>35.200000000000003</v>
      </c>
      <c r="T124" s="8">
        <f>(P29*($E29/365))+(P30*($E30/365))</f>
        <v>0</v>
      </c>
      <c r="U124" s="8">
        <f>(Q29*($E29/365))+(Q30*($E30/365))</f>
        <v>0</v>
      </c>
      <c r="V124" s="7"/>
      <c r="W124" s="7">
        <f t="shared" si="14"/>
        <v>35.200000000000003</v>
      </c>
    </row>
    <row r="125" spans="1:29" x14ac:dyDescent="0.15">
      <c r="A125" s="1">
        <v>1987</v>
      </c>
      <c r="B125" s="8">
        <f>(K31*($E31/365))+(K32*($E32/365))</f>
        <v>86.905849097629911</v>
      </c>
      <c r="C125" s="8">
        <f>(L31*($E31/365))+(L32*($E32/365))</f>
        <v>0</v>
      </c>
      <c r="D125" s="8">
        <f>(M31*($E31/365))+(M32*($E32/365))</f>
        <v>0</v>
      </c>
      <c r="E125" s="48">
        <f t="shared" si="13"/>
        <v>86.905849097629911</v>
      </c>
      <c r="G125" s="1">
        <v>1987</v>
      </c>
      <c r="H125" s="809">
        <f>(O31/$R31*100*($E31/365))+(O32/$R32*100*($E32/365))</f>
        <v>100</v>
      </c>
      <c r="I125" s="809"/>
      <c r="J125" s="809">
        <f>(P31/$R31*100*($E31/365))+(P32/$R32*100*($E32/365))</f>
        <v>0</v>
      </c>
      <c r="K125" s="809"/>
      <c r="L125" s="809">
        <f>(Q31/$R31*100*($E31/365))+(Q32/$R32*100*($E32/365))</f>
        <v>0</v>
      </c>
      <c r="M125" s="809"/>
      <c r="N125" s="781">
        <f t="shared" si="12"/>
        <v>100</v>
      </c>
      <c r="O125" s="781"/>
      <c r="R125" s="1">
        <v>1987</v>
      </c>
      <c r="S125" s="8">
        <f>(O31*($E31/365))+(O32*($E32/365))</f>
        <v>44.208219178082189</v>
      </c>
      <c r="T125" s="8">
        <f>(P31*($E31/365))+(P32*($E32/365))</f>
        <v>0</v>
      </c>
      <c r="U125" s="8">
        <f>(Q31*($E31/365))+(Q32*($E32/365))</f>
        <v>0</v>
      </c>
      <c r="V125" s="7"/>
      <c r="W125" s="7">
        <f t="shared" si="14"/>
        <v>44.208219178082189</v>
      </c>
    </row>
    <row r="126" spans="1:29" x14ac:dyDescent="0.15">
      <c r="A126" s="1">
        <v>1988</v>
      </c>
      <c r="B126" s="8">
        <f>(K33*($E33/366))+(K34*($E34/366))</f>
        <v>88.888888888888886</v>
      </c>
      <c r="C126" s="8">
        <f>(L33*($E33/366))+(L34*($E34/366))</f>
        <v>0</v>
      </c>
      <c r="D126" s="8">
        <f>(M33*($E33/366))+(M34*($E34/366))</f>
        <v>0</v>
      </c>
      <c r="E126" s="48">
        <f t="shared" si="13"/>
        <v>88.888888888888886</v>
      </c>
      <c r="G126" s="1">
        <v>1988</v>
      </c>
      <c r="H126" s="809">
        <f>(O33/$R33*100*($E33/366))+(O34/$R34*100*($E34/366))</f>
        <v>100</v>
      </c>
      <c r="I126" s="809"/>
      <c r="J126" s="809">
        <f>(P33/$R33*100*($E33/366))+(P34/$R34*100*($E34/366))</f>
        <v>0</v>
      </c>
      <c r="K126" s="809"/>
      <c r="L126" s="809">
        <f>(Q33/$R33*100*($E33/366))+(Q34/$R34*100*($E34/366))</f>
        <v>0</v>
      </c>
      <c r="M126" s="809"/>
      <c r="N126" s="781">
        <f t="shared" si="12"/>
        <v>100</v>
      </c>
      <c r="O126" s="781"/>
      <c r="R126" s="1">
        <v>1988</v>
      </c>
      <c r="S126" s="8">
        <f>(O33*($E33/366))+(O34*($E34/366))</f>
        <v>59.2</v>
      </c>
      <c r="T126" s="8">
        <f>(P33*($E33/366))+(P34*($E34/366))</f>
        <v>0</v>
      </c>
      <c r="U126" s="8">
        <f>(Q33*($E33/366))+(Q34*($E34/366))</f>
        <v>0</v>
      </c>
      <c r="V126" s="7"/>
      <c r="W126" s="7">
        <f t="shared" si="14"/>
        <v>59.2</v>
      </c>
    </row>
    <row r="127" spans="1:29" x14ac:dyDescent="0.15">
      <c r="A127" s="1">
        <v>1989</v>
      </c>
      <c r="B127" s="8">
        <f>(K35*($E35/365))+(K36*($E36/365))</f>
        <v>88.888888888888886</v>
      </c>
      <c r="C127" s="8">
        <f>(L35*($E35/365))+(L36*($E36/365))</f>
        <v>0</v>
      </c>
      <c r="D127" s="8">
        <f>(M35*($E35/365))+(M36*($E36/365))</f>
        <v>0</v>
      </c>
      <c r="E127" s="48">
        <f t="shared" si="13"/>
        <v>88.888888888888886</v>
      </c>
      <c r="G127" s="1">
        <v>1989</v>
      </c>
      <c r="H127" s="809">
        <f>(O35/$R35*100*($E35/365))+(O36/$R36*100*($E36/365))</f>
        <v>100</v>
      </c>
      <c r="I127" s="809"/>
      <c r="J127" s="809">
        <f>(P35/$R35*100*($E35/365))+(P36/$R36*100*($E36/365))</f>
        <v>0</v>
      </c>
      <c r="K127" s="809"/>
      <c r="L127" s="809">
        <f>(Q35/$R35*100*($E35/365))+(Q36/$R36*100*($E36/365))</f>
        <v>0</v>
      </c>
      <c r="M127" s="809"/>
      <c r="N127" s="781">
        <f t="shared" si="12"/>
        <v>100</v>
      </c>
      <c r="O127" s="781"/>
      <c r="R127" s="1">
        <v>1989</v>
      </c>
      <c r="S127" s="8">
        <f>(O35*($E35/365))+(O36*($E36/365))</f>
        <v>59.2</v>
      </c>
      <c r="T127" s="8">
        <f>(P35*($E35/365))+(P36*($E36/365))</f>
        <v>0</v>
      </c>
      <c r="U127" s="8">
        <f>(Q35*($E35/365))+(Q36*($E36/365))</f>
        <v>0</v>
      </c>
      <c r="V127" s="7"/>
      <c r="W127" s="7">
        <f t="shared" si="14"/>
        <v>59.2</v>
      </c>
    </row>
    <row r="128" spans="1:29" x14ac:dyDescent="0.15">
      <c r="A128" s="1">
        <v>1990</v>
      </c>
      <c r="B128" s="8">
        <f>(K37*($E37/365))+(K38*($E38/365))</f>
        <v>88.888888888888886</v>
      </c>
      <c r="C128" s="8">
        <f>(L37*($E37/365))+(L38*($E38/365))</f>
        <v>0</v>
      </c>
      <c r="D128" s="8">
        <f>(M37*($E37/365))+(M38*($E38/365))</f>
        <v>0</v>
      </c>
      <c r="E128" s="48">
        <f t="shared" si="13"/>
        <v>88.888888888888886</v>
      </c>
      <c r="G128" s="1">
        <v>1990</v>
      </c>
      <c r="H128" s="809">
        <f>(O37/$R37*100*($E37/365))+(O38/$R38*100*($E38/365))</f>
        <v>100</v>
      </c>
      <c r="I128" s="809"/>
      <c r="J128" s="809">
        <f>(P37/$R37*100*($E37/365))+(P38/$R38*100*($E38/365))</f>
        <v>0</v>
      </c>
      <c r="K128" s="809"/>
      <c r="L128" s="809">
        <f>(Q37/$R37*100*($E37/365))+(Q38/$R38*100*($E38/365))</f>
        <v>0</v>
      </c>
      <c r="M128" s="809"/>
      <c r="N128" s="781">
        <f t="shared" si="12"/>
        <v>100</v>
      </c>
      <c r="O128" s="781"/>
      <c r="R128" s="1">
        <v>1990</v>
      </c>
      <c r="S128" s="8">
        <f>(O37*($E37/365))+(O38*($E38/365))</f>
        <v>59.2</v>
      </c>
      <c r="T128" s="8">
        <f>(P37*($E37/365))+(P38*($E38/365))</f>
        <v>0</v>
      </c>
      <c r="U128" s="8">
        <f>(Q37*($E37/365))+(Q38*($E38/365))</f>
        <v>0</v>
      </c>
      <c r="V128" s="7"/>
      <c r="W128" s="7">
        <f t="shared" si="14"/>
        <v>59.2</v>
      </c>
    </row>
    <row r="129" spans="1:23" x14ac:dyDescent="0.15">
      <c r="A129" s="1">
        <v>1991</v>
      </c>
      <c r="B129" s="8">
        <f>(K39*($E39/365))+(K40*($E40/365))</f>
        <v>88.988223984619083</v>
      </c>
      <c r="C129" s="8">
        <f>(L39*($E39/365))+(L40*($E40/365))</f>
        <v>0</v>
      </c>
      <c r="D129" s="8">
        <f>(M39*($E39/365))+(M40*($E40/365))</f>
        <v>0</v>
      </c>
      <c r="E129" s="48">
        <f t="shared" si="13"/>
        <v>88.988223984619083</v>
      </c>
      <c r="G129" s="1">
        <v>1991</v>
      </c>
      <c r="H129" s="809">
        <f>(O39/$R39*100*($E39/365))+(O40/$R40*100*($E40/365))</f>
        <v>100</v>
      </c>
      <c r="I129" s="809"/>
      <c r="J129" s="809">
        <f>(P39/$R39*100*($E39/365))+(P40/$R40*100*($E40/365))</f>
        <v>0</v>
      </c>
      <c r="K129" s="809"/>
      <c r="L129" s="809">
        <f>(Q39/$R39*100*($E39/365))+(Q40/$R40*100*($E40/365))</f>
        <v>0</v>
      </c>
      <c r="M129" s="809"/>
      <c r="N129" s="781">
        <f t="shared" si="12"/>
        <v>100</v>
      </c>
      <c r="O129" s="781"/>
      <c r="R129" s="1">
        <v>1991</v>
      </c>
      <c r="S129" s="8">
        <f>(O39*($E39/365))+(O40*($E40/365))</f>
        <v>59.064109589041102</v>
      </c>
      <c r="T129" s="8">
        <f>(P39*($E39/365))+(P40*($E40/365))</f>
        <v>0</v>
      </c>
      <c r="U129" s="8">
        <f>(Q39*($E39/365))+(Q40*($E40/365))</f>
        <v>0</v>
      </c>
      <c r="V129" s="7"/>
      <c r="W129" s="7">
        <f t="shared" si="14"/>
        <v>59.064109589041102</v>
      </c>
    </row>
    <row r="130" spans="1:23" x14ac:dyDescent="0.15">
      <c r="A130" s="1">
        <v>1992</v>
      </c>
      <c r="B130" s="8">
        <f>(K41*($E41/366))+(K42*($E42/366))</f>
        <v>89.473684210526315</v>
      </c>
      <c r="C130" s="8">
        <f>(L41*($E41/366))+(L42*($E42/366))</f>
        <v>0</v>
      </c>
      <c r="D130" s="8">
        <f>(M41*($E41/366))+(M42*($E42/366))</f>
        <v>0</v>
      </c>
      <c r="E130" s="48">
        <f t="shared" si="13"/>
        <v>89.473684210526315</v>
      </c>
      <c r="G130" s="1">
        <v>1992</v>
      </c>
      <c r="H130" s="809">
        <f>(O41/$R41*100*($E41/366))+(O42/$R42*100*($E42/366))</f>
        <v>100</v>
      </c>
      <c r="I130" s="809"/>
      <c r="J130" s="809">
        <f>(P41/$R41*100*($E41/366))+(P42/$R42*100*($E42/366))</f>
        <v>0</v>
      </c>
      <c r="K130" s="809"/>
      <c r="L130" s="809">
        <f>(Q41/$R41*100*($E41/366))+(Q42/$R42*100*($E42/366))</f>
        <v>0</v>
      </c>
      <c r="M130" s="809"/>
      <c r="N130" s="781">
        <f t="shared" si="12"/>
        <v>100</v>
      </c>
      <c r="O130" s="781"/>
      <c r="R130" s="1">
        <v>1992</v>
      </c>
      <c r="S130" s="8">
        <f>(O41*($E41/366))+(O42*($E42/366))</f>
        <v>58.4</v>
      </c>
      <c r="T130" s="8">
        <f>(P41*($E41/366))+(P42*($E42/366))</f>
        <v>0</v>
      </c>
      <c r="U130" s="8">
        <f>(Q41*($E41/366))+(Q42*($E42/366))</f>
        <v>0</v>
      </c>
      <c r="V130" s="7"/>
      <c r="W130" s="7">
        <f t="shared" si="14"/>
        <v>58.4</v>
      </c>
    </row>
    <row r="131" spans="1:23" x14ac:dyDescent="0.15">
      <c r="A131" s="1">
        <v>1993</v>
      </c>
      <c r="B131" s="8">
        <f>(K43*($E43/365))+(K44*($E44/365))</f>
        <v>89.473684210526315</v>
      </c>
      <c r="C131" s="8">
        <f>(L43*($E43/365))+(L44*($E44/365))</f>
        <v>0</v>
      </c>
      <c r="D131" s="8">
        <f>(M43*($E43/365))+(M44*($E44/365))</f>
        <v>0</v>
      </c>
      <c r="E131" s="48">
        <f t="shared" si="13"/>
        <v>89.473684210526315</v>
      </c>
      <c r="G131" s="1">
        <v>1993</v>
      </c>
      <c r="H131" s="809">
        <f>(O43/$R43*100*($E43/365))+(O44/$R44*100*($E44/365))</f>
        <v>100</v>
      </c>
      <c r="I131" s="809"/>
      <c r="J131" s="809">
        <f>(P43/$R43*100*($E43/365))+(P44/$R44*100*($E44/365))</f>
        <v>0</v>
      </c>
      <c r="K131" s="809"/>
      <c r="L131" s="809">
        <f>(Q43/$R43*100*($E43/365))+(Q44/$R44*100*($E44/365))</f>
        <v>0</v>
      </c>
      <c r="M131" s="809"/>
      <c r="N131" s="781">
        <f t="shared" si="12"/>
        <v>100</v>
      </c>
      <c r="O131" s="781"/>
      <c r="R131" s="1">
        <v>1993</v>
      </c>
      <c r="S131" s="8">
        <f>(O43*($E43/365))+(O44*($E44/365))</f>
        <v>58.4</v>
      </c>
      <c r="T131" s="8">
        <f>(P43*($E43/365))+(P44*($E44/365))</f>
        <v>0</v>
      </c>
      <c r="U131" s="8">
        <f>(Q43*($E43/365))+(Q44*($E44/365))</f>
        <v>0</v>
      </c>
      <c r="V131" s="7"/>
      <c r="W131" s="7">
        <f t="shared" si="14"/>
        <v>58.4</v>
      </c>
    </row>
    <row r="132" spans="1:23" x14ac:dyDescent="0.15">
      <c r="A132" s="1">
        <v>1994</v>
      </c>
      <c r="B132" s="8">
        <f>(K45*($E45/365))+(K46*($E46/365))</f>
        <v>89.473684210526315</v>
      </c>
      <c r="C132" s="8">
        <f>(L45*($E45/365))+(L46*($E46/365))</f>
        <v>0</v>
      </c>
      <c r="D132" s="8">
        <f>(M45*($E45/365))+(M46*($E46/365))</f>
        <v>0</v>
      </c>
      <c r="E132" s="48">
        <f t="shared" si="13"/>
        <v>89.473684210526315</v>
      </c>
      <c r="G132" s="1">
        <v>1994</v>
      </c>
      <c r="H132" s="809">
        <f>(O45/$R45*100*($E45/365))+(O46/$R46*100*($E46/365))</f>
        <v>100</v>
      </c>
      <c r="I132" s="809"/>
      <c r="J132" s="809">
        <f>(P45/$R45*100*($E45/365))+(P46/$R46*100*($E46/365))</f>
        <v>0</v>
      </c>
      <c r="K132" s="809"/>
      <c r="L132" s="809">
        <f>(Q45/$R45*100*($E45/365))+(Q46/$R46*100*($E46/365))</f>
        <v>0</v>
      </c>
      <c r="M132" s="809"/>
      <c r="N132" s="781">
        <f t="shared" si="12"/>
        <v>100</v>
      </c>
      <c r="O132" s="781"/>
      <c r="R132" s="1">
        <v>1994</v>
      </c>
      <c r="S132" s="8">
        <f>(O45*($E45/365))+(O46*($E46/365))</f>
        <v>58.4</v>
      </c>
      <c r="T132" s="8">
        <f>(P45*($E45/365))+(P46*($E46/365))</f>
        <v>0</v>
      </c>
      <c r="U132" s="8">
        <f>(Q45*($E45/365))+(Q46*($E46/365))</f>
        <v>0</v>
      </c>
      <c r="V132" s="7"/>
      <c r="W132" s="7">
        <f t="shared" si="14"/>
        <v>58.4</v>
      </c>
    </row>
    <row r="133" spans="1:23" x14ac:dyDescent="0.15">
      <c r="A133" s="1">
        <v>1995</v>
      </c>
      <c r="B133" s="8">
        <f>(K47*($E47/365))+(K48*($E48/365))</f>
        <v>73.059360730593596</v>
      </c>
      <c r="C133" s="8">
        <f>(L47*($E47/365))+(L48*($E48/365))</f>
        <v>0</v>
      </c>
      <c r="D133" s="8">
        <f>(M47*($E47/365))+(M48*($E48/365))</f>
        <v>13.850837138508371</v>
      </c>
      <c r="E133" s="48">
        <f t="shared" si="13"/>
        <v>86.910197869101964</v>
      </c>
      <c r="G133" s="1">
        <v>1995</v>
      </c>
      <c r="H133" s="809">
        <f>(O47/$R47*100*($E47/365))+(O48/$R48*100*($E48/365))</f>
        <v>82.191780821917803</v>
      </c>
      <c r="I133" s="809"/>
      <c r="J133" s="809">
        <f>(P47/$R47*100*($E47/365))+(P48/$R48*100*($E48/365))</f>
        <v>0</v>
      </c>
      <c r="K133" s="809"/>
      <c r="L133" s="809">
        <f>(Q47/$R47*100*($E47/365))+(Q48/$R48*100*($E48/365))</f>
        <v>17.80821917808219</v>
      </c>
      <c r="M133" s="809"/>
      <c r="N133" s="781">
        <f t="shared" si="12"/>
        <v>100</v>
      </c>
      <c r="O133" s="781"/>
      <c r="R133" s="1">
        <v>1995</v>
      </c>
      <c r="S133" s="8">
        <f>(O47*($E47/365))+(O48*($E48/365))</f>
        <v>47.999999999999993</v>
      </c>
      <c r="T133" s="8">
        <f>(P47*($E47/365))+(P48*($E48/365))</f>
        <v>0</v>
      </c>
      <c r="U133" s="8">
        <f>(Q47*($E47/365))+(Q48*($E48/365))</f>
        <v>8.6726027397260275</v>
      </c>
      <c r="V133" s="7"/>
      <c r="W133" s="7">
        <f t="shared" si="14"/>
        <v>56.672602739726017</v>
      </c>
    </row>
    <row r="134" spans="1:23" x14ac:dyDescent="0.15">
      <c r="A134" s="1">
        <v>1996</v>
      </c>
      <c r="B134" s="8">
        <f>(K49*($E49/366))+(K50*($E50/366))</f>
        <v>0</v>
      </c>
      <c r="C134" s="8">
        <f>(L49*($E49/366))+(L50*($E50/366))</f>
        <v>0</v>
      </c>
      <c r="D134" s="8">
        <f>(M49*($E49/366))+(M50*($E50/366))</f>
        <v>77.777777777777786</v>
      </c>
      <c r="E134" s="48">
        <f t="shared" si="13"/>
        <v>77.777777777777786</v>
      </c>
      <c r="G134" s="1">
        <v>1996</v>
      </c>
      <c r="H134" s="809">
        <f>(O49/$R49*100*($E49/366))+(O50/$R50*100*($E50/366))</f>
        <v>0</v>
      </c>
      <c r="I134" s="809"/>
      <c r="J134" s="809">
        <f>(P49/$R49*100*($E49/366))+(P50/$R50*100*($E50/366))</f>
        <v>0</v>
      </c>
      <c r="K134" s="809"/>
      <c r="L134" s="809">
        <f>(Q49/$R49*100*($E49/366))+(Q50/$R50*100*($E50/366))</f>
        <v>100</v>
      </c>
      <c r="M134" s="809"/>
      <c r="N134" s="781">
        <f t="shared" si="12"/>
        <v>100</v>
      </c>
      <c r="O134" s="781"/>
      <c r="R134" s="1">
        <v>1996</v>
      </c>
      <c r="S134" s="8">
        <f>(O49*($E49/366))+(O50*($E50/366))</f>
        <v>0</v>
      </c>
      <c r="T134" s="8">
        <f>(P49*($E49/366))+(P50*($E50/366))</f>
        <v>0</v>
      </c>
      <c r="U134" s="8">
        <f>(Q49*($E49/366))+(Q50*($E50/366))</f>
        <v>48.7</v>
      </c>
      <c r="V134" s="7"/>
      <c r="W134" s="7">
        <f t="shared" si="14"/>
        <v>48.7</v>
      </c>
    </row>
    <row r="135" spans="1:23" x14ac:dyDescent="0.15">
      <c r="A135" s="1">
        <v>1997</v>
      </c>
      <c r="B135" s="8">
        <f>(K51*($E51/365))+(K52*($E52/365))</f>
        <v>0</v>
      </c>
      <c r="C135" s="8">
        <f>(L51*($E51/365))+(L52*($E52/365))</f>
        <v>0</v>
      </c>
      <c r="D135" s="8">
        <f>(M51*($E51/365))+(M52*($E52/365))</f>
        <v>77.066881547139388</v>
      </c>
      <c r="E135" s="48">
        <f t="shared" si="13"/>
        <v>77.066881547139388</v>
      </c>
      <c r="G135" s="1">
        <v>1997</v>
      </c>
      <c r="H135" s="809">
        <f>(O51/$R51*100*($E51/365))+(O52/$R52*100*($E52/365))</f>
        <v>0</v>
      </c>
      <c r="I135" s="809"/>
      <c r="J135" s="809">
        <f>(P51/$R51*100*($E51/365))+(P52/$R52*100*($E52/365))</f>
        <v>0</v>
      </c>
      <c r="K135" s="809"/>
      <c r="L135" s="809">
        <f>(Q51/$R51*100*($E51/365))+(Q52/$R52*100*($E52/365))</f>
        <v>100</v>
      </c>
      <c r="M135" s="809"/>
      <c r="N135" s="781">
        <f t="shared" si="12"/>
        <v>100</v>
      </c>
      <c r="O135" s="781"/>
      <c r="R135" s="1">
        <v>1997</v>
      </c>
      <c r="S135" s="8">
        <f>(O51*($E51/365))+(O52*($E52/365))</f>
        <v>0</v>
      </c>
      <c r="T135" s="8">
        <f>(P51*($E51/365))+(P52*($E52/365))</f>
        <v>0</v>
      </c>
      <c r="U135" s="8">
        <f>(Q51*($E51/365))+(Q52*($E52/365))</f>
        <v>48.7</v>
      </c>
      <c r="V135" s="7"/>
      <c r="W135" s="7">
        <f t="shared" si="14"/>
        <v>48.7</v>
      </c>
    </row>
    <row r="136" spans="1:23" x14ac:dyDescent="0.15">
      <c r="A136" s="1">
        <v>1998</v>
      </c>
      <c r="B136" s="8">
        <f>(K53*($E53/365))+(K54*($E54/365))</f>
        <v>0</v>
      </c>
      <c r="C136" s="8">
        <f>(L53*($E53/365))+(L54*($E54/365))</f>
        <v>0</v>
      </c>
      <c r="D136" s="8">
        <f>(M53*($E53/365))+(M54*($E54/365))</f>
        <v>82.35294117647058</v>
      </c>
      <c r="E136" s="48">
        <f t="shared" si="13"/>
        <v>82.35294117647058</v>
      </c>
      <c r="G136" s="1">
        <v>1998</v>
      </c>
      <c r="H136" s="809">
        <f>(O53/$R53*100*($E53/365))+(O54/$R54*100*($E54/365))</f>
        <v>0</v>
      </c>
      <c r="I136" s="809"/>
      <c r="J136" s="809">
        <f>(P53/$R53*100*($E53/365))+(P54/$R54*100*($E54/365))</f>
        <v>0</v>
      </c>
      <c r="K136" s="809"/>
      <c r="L136" s="809">
        <f>(Q53/$R53*100*($E53/365))+(Q54/$R54*100*($E54/365))</f>
        <v>100</v>
      </c>
      <c r="M136" s="809"/>
      <c r="N136" s="781">
        <f t="shared" si="12"/>
        <v>100</v>
      </c>
      <c r="O136" s="781"/>
      <c r="R136" s="1">
        <v>1998</v>
      </c>
      <c r="S136" s="8">
        <f>(O53*($E53/365))+(O54*($E54/365))</f>
        <v>0</v>
      </c>
      <c r="T136" s="8">
        <f>(P53*($E53/365))+(P54*($E54/365))</f>
        <v>0</v>
      </c>
      <c r="U136" s="8">
        <f>(Q53*($E53/365))+(Q54*($E54/365))</f>
        <v>48.7</v>
      </c>
      <c r="V136" s="7"/>
      <c r="W136" s="7">
        <f t="shared" si="14"/>
        <v>48.7</v>
      </c>
    </row>
    <row r="137" spans="1:23" x14ac:dyDescent="0.15">
      <c r="A137" s="1">
        <v>1999</v>
      </c>
      <c r="B137" s="8">
        <f>(K55*($E55/365))+(K56*($E56/365))</f>
        <v>0</v>
      </c>
      <c r="C137" s="8">
        <f>(L55*($E55/365))+(L56*($E56/365))</f>
        <v>0</v>
      </c>
      <c r="D137" s="8">
        <f>(M55*($E55/365))+(M56*($E56/365))</f>
        <v>84.795792866533773</v>
      </c>
      <c r="E137" s="48">
        <f t="shared" si="13"/>
        <v>84.795792866533773</v>
      </c>
      <c r="G137" s="1">
        <v>1999</v>
      </c>
      <c r="H137" s="809">
        <f>(O55/$R55*100*($E55/365))+(O56/$R56*100*($E56/365))</f>
        <v>0</v>
      </c>
      <c r="I137" s="809"/>
      <c r="J137" s="809">
        <f>(P55/$R55*100*($E55/365))+(P56/$R56*100*($E56/365))</f>
        <v>0</v>
      </c>
      <c r="K137" s="809"/>
      <c r="L137" s="809">
        <f>(Q55/$R55*100*($E55/365))+(Q56/$R56*100*($E56/365))</f>
        <v>100</v>
      </c>
      <c r="M137" s="809"/>
      <c r="N137" s="781">
        <f t="shared" si="12"/>
        <v>100</v>
      </c>
      <c r="O137" s="781"/>
      <c r="R137" s="1">
        <v>1999</v>
      </c>
      <c r="S137" s="8">
        <f>(O55*($E55/365))+(O56*($E56/365))</f>
        <v>0</v>
      </c>
      <c r="T137" s="8">
        <f>(P55*($E55/365))+(P56*($E56/365))</f>
        <v>0</v>
      </c>
      <c r="U137" s="8">
        <f>(Q55*($E55/365))+(Q56*($E56/365))</f>
        <v>48.956438356164384</v>
      </c>
      <c r="V137" s="7"/>
      <c r="W137" s="7">
        <f t="shared" si="14"/>
        <v>48.956438356164384</v>
      </c>
    </row>
    <row r="138" spans="1:23" x14ac:dyDescent="0.15">
      <c r="A138" s="1">
        <v>2000</v>
      </c>
      <c r="B138" s="8">
        <f>(K57*($E57/366))+(K58*($E58/366))</f>
        <v>0</v>
      </c>
      <c r="C138" s="8">
        <f>(L57*($E57/366))+(L58*($E58/366))</f>
        <v>0</v>
      </c>
      <c r="D138" s="8">
        <f>(M57*($E57/366))+(M58*($E58/366))</f>
        <v>69.672131147540981</v>
      </c>
      <c r="E138" s="48">
        <f t="shared" si="13"/>
        <v>69.672131147540981</v>
      </c>
      <c r="G138" s="1">
        <v>2000</v>
      </c>
      <c r="H138" s="809">
        <f>(O57/$R57*100*($E57/366))+(O58/$R58*100*($E58/366))</f>
        <v>0</v>
      </c>
      <c r="I138" s="809"/>
      <c r="J138" s="809">
        <f>(P57/$R57*100*($E57/366))+(P58/$R58*100*($E58/366))</f>
        <v>0</v>
      </c>
      <c r="K138" s="809"/>
      <c r="L138" s="809">
        <f>(Q57/$R57*100*($E57/366))+(Q58/$R58*100*($E58/366))</f>
        <v>100</v>
      </c>
      <c r="M138" s="809"/>
      <c r="N138" s="781">
        <f t="shared" si="12"/>
        <v>100</v>
      </c>
      <c r="O138" s="781"/>
      <c r="R138" s="1">
        <v>2000</v>
      </c>
      <c r="S138" s="8">
        <f>(O57*($E57/366))+(O58*($E58/366))</f>
        <v>0</v>
      </c>
      <c r="T138" s="8">
        <f>(P57*($E57/366))+(P58*($E58/366))</f>
        <v>0</v>
      </c>
      <c r="U138" s="8">
        <f>(Q57*($E57/366))+(Q58*($E58/366))</f>
        <v>50</v>
      </c>
      <c r="V138" s="7"/>
      <c r="W138" s="7">
        <f t="shared" si="14"/>
        <v>50</v>
      </c>
    </row>
    <row r="139" spans="1:23" x14ac:dyDescent="0.15">
      <c r="A139" s="1">
        <v>2001</v>
      </c>
      <c r="B139" s="8">
        <f>(K59*($E59/365))+(K60*($E60/365))</f>
        <v>0</v>
      </c>
      <c r="C139" s="8">
        <f>(L59*($E59/365))+(L60*($E60/365))</f>
        <v>0</v>
      </c>
      <c r="D139" s="8">
        <f>(M59*($E59/365))+(M60*($E60/365))</f>
        <v>57.894736842105267</v>
      </c>
      <c r="E139" s="48">
        <f t="shared" si="13"/>
        <v>57.894736842105267</v>
      </c>
      <c r="G139" s="1">
        <v>2001</v>
      </c>
      <c r="H139" s="809">
        <f>(O59/$R59*100*($E59/365))+(O60/$R60*100*($E60/365))</f>
        <v>0</v>
      </c>
      <c r="I139" s="809"/>
      <c r="J139" s="809">
        <f>(P59/$R59*100*($E59/365))+(P60/$R60*100*($E60/365))</f>
        <v>0</v>
      </c>
      <c r="K139" s="809"/>
      <c r="L139" s="809">
        <f>(Q59/$R59*100*($E59/365))+(Q60/$R60*100*($E60/365))</f>
        <v>100</v>
      </c>
      <c r="M139" s="809"/>
      <c r="N139" s="781">
        <f t="shared" si="12"/>
        <v>100</v>
      </c>
      <c r="O139" s="781"/>
      <c r="R139" s="1">
        <v>2001</v>
      </c>
      <c r="S139" s="8">
        <f>(O59*($E59/365))+(O60*($E60/365))</f>
        <v>0</v>
      </c>
      <c r="T139" s="8">
        <f>(P59*($E59/365))+(P60*($E60/365))</f>
        <v>0</v>
      </c>
      <c r="U139" s="8">
        <f>(Q59*($E59/365))+(Q60*($E60/365))</f>
        <v>50</v>
      </c>
      <c r="V139" s="7"/>
      <c r="W139" s="7">
        <f t="shared" si="14"/>
        <v>50</v>
      </c>
    </row>
    <row r="140" spans="1:23" x14ac:dyDescent="0.15">
      <c r="A140" s="1">
        <v>2002</v>
      </c>
      <c r="B140" s="8">
        <f>(K61*($E61/365))+(K62*($E62/365))</f>
        <v>69.345509893455102</v>
      </c>
      <c r="C140" s="8">
        <f>(L61*($E61/365))+(L62*($E62/365))</f>
        <v>0</v>
      </c>
      <c r="D140" s="8">
        <f>(M61*($E61/365))+(M62*($E62/365))</f>
        <v>15.385724585436195</v>
      </c>
      <c r="E140" s="48">
        <f t="shared" si="13"/>
        <v>84.731234478891295</v>
      </c>
      <c r="G140" s="1">
        <v>2002</v>
      </c>
      <c r="H140" s="809">
        <f>(O61/$R61*100*($E61/365))+(O62/$R62*100*($E62/365))</f>
        <v>73.424657534246577</v>
      </c>
      <c r="I140" s="809"/>
      <c r="J140" s="809">
        <f>(P61/$R61*100*($E61/365))+(P62/$R62*100*($E62/365))</f>
        <v>0</v>
      </c>
      <c r="K140" s="809"/>
      <c r="L140" s="809">
        <f>(Q61/$R61*100*($E61/365))+(Q62/$R62*100*($E62/365))</f>
        <v>26.575342465753426</v>
      </c>
      <c r="M140" s="809"/>
      <c r="N140" s="781">
        <f t="shared" si="12"/>
        <v>100</v>
      </c>
      <c r="O140" s="781"/>
      <c r="R140" s="1">
        <v>2002</v>
      </c>
      <c r="S140" s="8">
        <f>(O61*($E61/365))+(O62*($E62/365))</f>
        <v>38.033972602739723</v>
      </c>
      <c r="T140" s="8">
        <f>(P61*($E61/365))+(P62*($E62/365))</f>
        <v>0</v>
      </c>
      <c r="U140" s="8">
        <f>(Q61*($E61/365))+(Q62*($E62/365))</f>
        <v>13.287671232876713</v>
      </c>
      <c r="V140" s="7"/>
      <c r="W140" s="7">
        <f t="shared" si="14"/>
        <v>51.321643835616435</v>
      </c>
    </row>
    <row r="141" spans="1:23" x14ac:dyDescent="0.15">
      <c r="A141" s="1">
        <v>2003</v>
      </c>
      <c r="B141" s="8">
        <f>(K63*($E63/365))+(K64*($E64/365))</f>
        <v>94.444444444444443</v>
      </c>
      <c r="C141" s="8">
        <f>(L63*($E63/365))+(L64*($E64/365))</f>
        <v>0</v>
      </c>
      <c r="D141" s="8">
        <f>(M63*($E63/365))+(M64*($E64/365))</f>
        <v>0</v>
      </c>
      <c r="E141" s="48">
        <f t="shared" si="13"/>
        <v>94.444444444444443</v>
      </c>
      <c r="G141" s="1">
        <v>2003</v>
      </c>
      <c r="H141" s="809">
        <f>(O63/$R63*100*($E63/365))+(O64/$R64*100*($E64/365))</f>
        <v>100</v>
      </c>
      <c r="I141" s="809"/>
      <c r="J141" s="809">
        <f>(P63/$R63*100*($E63/365))+(P64/$R64*100*($E64/365))</f>
        <v>0</v>
      </c>
      <c r="K141" s="809"/>
      <c r="L141" s="809">
        <f>(Q63/$R63*100*($E63/365))+(Q64/$R64*100*($E64/365))</f>
        <v>0</v>
      </c>
      <c r="M141" s="809"/>
      <c r="N141" s="781">
        <f t="shared" si="12"/>
        <v>100</v>
      </c>
      <c r="O141" s="781"/>
      <c r="R141" s="1">
        <v>2003</v>
      </c>
      <c r="S141" s="8">
        <f>(O63*($E63/365))+(O64*($E64/365))</f>
        <v>51.8</v>
      </c>
      <c r="T141" s="8">
        <f>(P63*($E63/365))+(P64*($E64/365))</f>
        <v>0</v>
      </c>
      <c r="U141" s="8">
        <f>(Q63*($E63/365))+(Q64*($E64/365))</f>
        <v>0</v>
      </c>
      <c r="V141" s="7"/>
      <c r="W141" s="7">
        <f t="shared" si="14"/>
        <v>51.8</v>
      </c>
    </row>
    <row r="142" spans="1:23" x14ac:dyDescent="0.15">
      <c r="A142" s="1">
        <v>2004</v>
      </c>
      <c r="B142" s="8">
        <f>(K65*($E65/366))+(K66*($E66/366))</f>
        <v>94.690346083788711</v>
      </c>
      <c r="C142" s="8">
        <f>(L65*($E65/366))+(L66*($E66/366))</f>
        <v>0</v>
      </c>
      <c r="D142" s="8">
        <f>(M65*($E65/366))+(M66*($E66/366))</f>
        <v>0</v>
      </c>
      <c r="E142" s="48">
        <f t="shared" si="13"/>
        <v>94.690346083788711</v>
      </c>
      <c r="G142" s="1">
        <v>2004</v>
      </c>
      <c r="H142" s="809">
        <f>(O65/$R65*100*($E65/366))+(O66/$R66*100*($E66/366))</f>
        <v>100</v>
      </c>
      <c r="I142" s="809"/>
      <c r="J142" s="809">
        <f>(P65/$R65*100*($E65/366))+(P66/$R66*100*($E66/366))</f>
        <v>0</v>
      </c>
      <c r="K142" s="809"/>
      <c r="L142" s="809">
        <f>(Q65/$R65*100*($E65/366))+(Q66/$R66*100*($E66/366))</f>
        <v>0</v>
      </c>
      <c r="M142" s="809"/>
      <c r="N142" s="781">
        <f t="shared" si="12"/>
        <v>100</v>
      </c>
      <c r="O142" s="781"/>
      <c r="R142" s="1">
        <v>2004</v>
      </c>
      <c r="S142" s="8">
        <f>(O65*($E65/366))+(O66*($E66/366))</f>
        <v>51.8</v>
      </c>
      <c r="T142" s="8">
        <f>(P65*($E65/366))+(P66*($E66/366))</f>
        <v>0</v>
      </c>
      <c r="U142" s="8">
        <f>(Q65*($E65/366))+(Q66*($E66/366))</f>
        <v>0</v>
      </c>
      <c r="V142" s="7"/>
      <c r="W142" s="7">
        <f t="shared" si="14"/>
        <v>51.8</v>
      </c>
    </row>
    <row r="143" spans="1:23" x14ac:dyDescent="0.15">
      <c r="A143" s="1">
        <v>2005</v>
      </c>
      <c r="B143" s="8">
        <f>(K67*($E67/365))+(K68*($E68/365))</f>
        <v>18.219178082191778</v>
      </c>
      <c r="C143" s="8">
        <f>(L67*($E67/365))+(L68*($E68/365))</f>
        <v>0</v>
      </c>
      <c r="D143" s="8">
        <f>(M67*($E67/365))+(M68*($E68/365))</f>
        <v>42.788074133763097</v>
      </c>
      <c r="E143" s="48">
        <f t="shared" si="13"/>
        <v>61.007252215954878</v>
      </c>
      <c r="G143" s="1">
        <v>2005</v>
      </c>
      <c r="H143" s="809">
        <f>(O67/$R67*100*($E67/365))+(O68/$R68*100*($E68/365))</f>
        <v>19.17808219178082</v>
      </c>
      <c r="I143" s="809"/>
      <c r="J143" s="809">
        <f>(P67/$R67*100*($E67/365))+(P68/$R68*100*($E68/365))</f>
        <v>0</v>
      </c>
      <c r="K143" s="809"/>
      <c r="L143" s="809">
        <f>(Q67/$R67*100*($E67/365))+(Q68/$R68*100*($E68/365))</f>
        <v>80.821917808219183</v>
      </c>
      <c r="M143" s="809"/>
      <c r="N143" s="781">
        <f t="shared" si="12"/>
        <v>100</v>
      </c>
      <c r="O143" s="781"/>
      <c r="R143" s="1">
        <v>2005</v>
      </c>
      <c r="S143" s="8">
        <f>(O67*($E67/365))+(O68*($E68/365))</f>
        <v>9.9342465753424651</v>
      </c>
      <c r="T143" s="8">
        <f>(P67*($E67/365))+(P68*($E68/365))</f>
        <v>0</v>
      </c>
      <c r="U143" s="8">
        <f>(Q67*($E67/365))+(Q68*($E68/365))</f>
        <v>42.512328767123286</v>
      </c>
      <c r="V143" s="7"/>
      <c r="W143" s="7">
        <f t="shared" si="14"/>
        <v>52.446575342465749</v>
      </c>
    </row>
    <row r="144" spans="1:23" x14ac:dyDescent="0.15">
      <c r="A144" s="1">
        <v>2006</v>
      </c>
      <c r="B144" s="8">
        <f>(K69*($E69/365))+(K70*($E70/365))</f>
        <v>0</v>
      </c>
      <c r="C144" s="8">
        <f>(L69*($E69/365))+(L70*($E70/365))</f>
        <v>0</v>
      </c>
      <c r="D144" s="8">
        <f>(M69*($E69/365))+(M70*($E70/365))</f>
        <v>55.874294923448844</v>
      </c>
      <c r="E144" s="48">
        <f t="shared" si="13"/>
        <v>55.874294923448844</v>
      </c>
      <c r="G144" s="1">
        <v>2006</v>
      </c>
      <c r="H144" s="809">
        <f>(O69/$R69*100*($E69/365))+(O70/$R70*100*($E70/365))</f>
        <v>0</v>
      </c>
      <c r="I144" s="809"/>
      <c r="J144" s="809">
        <f>(P69/$R69*100*($E69/365))+(P70/$R70*100*($E70/365))</f>
        <v>0</v>
      </c>
      <c r="K144" s="809"/>
      <c r="L144" s="809">
        <f>(Q69/$R69*100*($E69/365))+(Q70/$R70*100*($E70/365))</f>
        <v>100</v>
      </c>
      <c r="M144" s="809"/>
      <c r="N144" s="781">
        <f t="shared" si="12"/>
        <v>100</v>
      </c>
      <c r="O144" s="781"/>
      <c r="R144" s="1">
        <v>2006</v>
      </c>
      <c r="S144" s="8">
        <f>(O69*($E69/365))+(O70*($E70/365))</f>
        <v>0</v>
      </c>
      <c r="T144" s="8">
        <f>(P69*($E69/365))+(P70*($E70/365))</f>
        <v>0</v>
      </c>
      <c r="U144" s="8">
        <f>(Q69*($E69/365))+(Q70*($E70/365))</f>
        <v>52.600000000000009</v>
      </c>
      <c r="V144" s="7"/>
      <c r="W144" s="7">
        <f t="shared" si="14"/>
        <v>52.600000000000009</v>
      </c>
    </row>
    <row r="145" spans="1:23" x14ac:dyDescent="0.15">
      <c r="A145" s="1">
        <v>2007</v>
      </c>
      <c r="B145" s="8">
        <f>(K71*($E71/365))+(K72*($E72/365))</f>
        <v>0</v>
      </c>
      <c r="C145" s="8">
        <f>(L71*($E71/365))+(L72*($E72/365))</f>
        <v>0</v>
      </c>
      <c r="D145" s="8">
        <f>(M71*($E71/365))+(M72*($E72/365))</f>
        <v>55.132957292506049</v>
      </c>
      <c r="E145" s="48">
        <f t="shared" si="13"/>
        <v>55.132957292506049</v>
      </c>
      <c r="G145" s="1">
        <v>2007</v>
      </c>
      <c r="H145" s="809">
        <f>(O71/$R71*100*($E71/365))+(O72/$R72*100*($E72/365))</f>
        <v>0</v>
      </c>
      <c r="I145" s="809"/>
      <c r="J145" s="809">
        <f>(P71/$R71*100*($E71/365))+(P72/$R72*100*($E72/365))</f>
        <v>0</v>
      </c>
      <c r="K145" s="809"/>
      <c r="L145" s="809">
        <f>(Q71/$R71*100*($E71/365))+(Q72/$R72*100*($E72/365))</f>
        <v>100</v>
      </c>
      <c r="M145" s="809"/>
      <c r="N145" s="781">
        <f t="shared" si="12"/>
        <v>100</v>
      </c>
      <c r="O145" s="781"/>
      <c r="R145" s="1">
        <v>2007</v>
      </c>
      <c r="S145" s="8">
        <f>(O71*($E71/365))+(O72*($E72/365))</f>
        <v>0</v>
      </c>
      <c r="T145" s="8">
        <f>(P71*($E71/365))+(P72*($E72/365))</f>
        <v>0</v>
      </c>
      <c r="U145" s="8">
        <f>(Q71*($E71/365))+(Q72*($E72/365))</f>
        <v>52.6</v>
      </c>
      <c r="V145" s="7"/>
      <c r="W145" s="7">
        <f t="shared" si="14"/>
        <v>52.6</v>
      </c>
    </row>
    <row r="146" spans="1:23" x14ac:dyDescent="0.15">
      <c r="A146" s="1">
        <v>2008</v>
      </c>
      <c r="B146" s="8">
        <f>(K73*($E73/366))+(K74*($E74/366))</f>
        <v>0</v>
      </c>
      <c r="C146" s="8">
        <f>(L73*($E73/366))+(L74*($E74/366))</f>
        <v>0</v>
      </c>
      <c r="D146" s="8">
        <f>(M73*($E73/366))+(M74*($E74/366))</f>
        <v>58.357441337190622</v>
      </c>
      <c r="E146" s="48">
        <f t="shared" si="13"/>
        <v>58.357441337190622</v>
      </c>
      <c r="G146" s="1">
        <v>2008</v>
      </c>
      <c r="H146" s="809">
        <f>(O73/$R73*100*($E73/366))+(O74/$R74*100*($E74/366))</f>
        <v>0</v>
      </c>
      <c r="I146" s="809"/>
      <c r="J146" s="809">
        <f>(P73/$R73*100*($E73/366))+(P74/$R74*100*($E74/366))</f>
        <v>0</v>
      </c>
      <c r="K146" s="809"/>
      <c r="L146" s="809">
        <f>(Q73/$R73*100*($E73/366))+(Q74/$R74*100*($E74/366))</f>
        <v>100</v>
      </c>
      <c r="M146" s="809"/>
      <c r="N146" s="781">
        <f t="shared" si="12"/>
        <v>100</v>
      </c>
      <c r="O146" s="781"/>
      <c r="R146" s="1">
        <v>2008</v>
      </c>
      <c r="S146" s="8">
        <f>(O73*($E73/366))+(O74*($E74/366))</f>
        <v>0</v>
      </c>
      <c r="T146" s="8">
        <f>(P73*($E73/366))+(P74*($E74/366))</f>
        <v>0</v>
      </c>
      <c r="U146" s="8">
        <f>(Q73*($E73/366))+(Q74*($E74/366))</f>
        <v>52.6</v>
      </c>
      <c r="V146" s="7"/>
      <c r="W146" s="7">
        <f t="shared" si="14"/>
        <v>52.6</v>
      </c>
    </row>
    <row r="147" spans="1:23" x14ac:dyDescent="0.15">
      <c r="A147" s="1">
        <v>2009</v>
      </c>
      <c r="B147" s="8">
        <f>(K75*($E75/365))+(K76*($E76/365))</f>
        <v>0</v>
      </c>
      <c r="C147" s="8">
        <f>(L75*($E75/365))+(L76*($E76/365))</f>
        <v>0</v>
      </c>
      <c r="D147" s="8">
        <f>(M75*($E75/365))+(M76*($E76/365))</f>
        <v>58.82352941176471</v>
      </c>
      <c r="E147" s="48">
        <f t="shared" si="13"/>
        <v>58.82352941176471</v>
      </c>
      <c r="G147" s="1">
        <v>2009</v>
      </c>
      <c r="H147" s="809">
        <f>(O75/$R75*100*($E75/365))+(O76/$R76*100*($E76/365))</f>
        <v>0</v>
      </c>
      <c r="I147" s="809"/>
      <c r="J147" s="809">
        <f>(P75/$R75*100*($E75/365))+(P76/$R76*100*($E76/365))</f>
        <v>0</v>
      </c>
      <c r="K147" s="809"/>
      <c r="L147" s="809">
        <f>(Q75/$R75*100*($E75/365))+(Q76/$R76*100*($E76/365))</f>
        <v>100</v>
      </c>
      <c r="M147" s="809"/>
      <c r="N147" s="781">
        <f t="shared" si="12"/>
        <v>100</v>
      </c>
      <c r="O147" s="781"/>
      <c r="R147" s="1">
        <v>2009</v>
      </c>
      <c r="S147" s="8">
        <f>(O75*($E75/365))+(O76*($E76/365))</f>
        <v>0</v>
      </c>
      <c r="T147" s="8">
        <f>(P75*($E75/365))+(P76*($E76/365))</f>
        <v>0</v>
      </c>
      <c r="U147" s="8">
        <f>(Q75*($E75/365))+(Q76*($E76/365))</f>
        <v>50.690958904109586</v>
      </c>
      <c r="V147" s="7"/>
      <c r="W147" s="7">
        <f t="shared" si="14"/>
        <v>50.690958904109586</v>
      </c>
    </row>
    <row r="148" spans="1:23" x14ac:dyDescent="0.15">
      <c r="A148" s="1">
        <v>2010</v>
      </c>
      <c r="B148" s="8">
        <f>(K77*($E77/365))+(K78*($E78/365))</f>
        <v>0</v>
      </c>
      <c r="C148" s="8">
        <f>(L77*($E77/365))+(L78*($E78/365))</f>
        <v>0</v>
      </c>
      <c r="D148" s="8">
        <f>(M77*($E77/365))+(M78*($E78/365))</f>
        <v>58.82352941176471</v>
      </c>
      <c r="E148" s="48">
        <f t="shared" si="13"/>
        <v>58.82352941176471</v>
      </c>
      <c r="G148" s="1">
        <v>2010</v>
      </c>
      <c r="H148" s="809">
        <f>(O77/$R77*100*($E77/365))+(O78/$R78*100*($E78/365))</f>
        <v>0</v>
      </c>
      <c r="I148" s="809"/>
      <c r="J148" s="809">
        <f>(P77/$R77*100*($E77/365))+(P78/$R78*100*($E78/365))</f>
        <v>0</v>
      </c>
      <c r="K148" s="809"/>
      <c r="L148" s="809">
        <f>(Q77/$R77*100*($E77/365))+(Q78/$R78*100*($E78/365))</f>
        <v>100</v>
      </c>
      <c r="M148" s="809"/>
      <c r="N148" s="781">
        <f t="shared" si="12"/>
        <v>100</v>
      </c>
      <c r="O148" s="781"/>
      <c r="R148" s="1">
        <v>2010</v>
      </c>
      <c r="S148" s="8">
        <f>(O77*($E77/365))+(O78*($E78/365))</f>
        <v>0</v>
      </c>
      <c r="T148" s="8">
        <f>(P77*($E77/365))+(P78*($E78/365))</f>
        <v>0</v>
      </c>
      <c r="U148" s="8">
        <f>(Q77*($E77/365))+(Q78*($E78/365))</f>
        <v>42.2</v>
      </c>
      <c r="V148" s="7"/>
      <c r="W148" s="7">
        <f t="shared" si="14"/>
        <v>42.2</v>
      </c>
    </row>
    <row r="149" spans="1:23" x14ac:dyDescent="0.15">
      <c r="A149" s="1">
        <v>2011</v>
      </c>
      <c r="B149" s="8">
        <f>(K79*($E79/365))+(K80*($E80/365))</f>
        <v>35.433789954337897</v>
      </c>
      <c r="C149" s="8">
        <f>(L79*($E79/365))+(L80*($E80/365))</f>
        <v>0</v>
      </c>
      <c r="D149" s="8">
        <f>(M79*($E79/365))+(M80*($E80/365))</f>
        <v>27.558420628525386</v>
      </c>
      <c r="E149" s="48">
        <f t="shared" si="13"/>
        <v>62.992210582863279</v>
      </c>
      <c r="G149" s="1">
        <v>2011</v>
      </c>
      <c r="H149" s="809">
        <f>(O79/$R79*100*($E79/365))+(O80/$R80*100*($E80/365))</f>
        <v>53.150684931506852</v>
      </c>
      <c r="I149" s="809"/>
      <c r="J149" s="809">
        <f>(P79/$R79*100*($E79/365))+(P80/$R80*100*($E80/365))</f>
        <v>0</v>
      </c>
      <c r="K149" s="809"/>
      <c r="L149" s="809">
        <f>(Q79/$R79*100*($E79/365))+(Q80/$R80*100*($E80/365))</f>
        <v>46.849315068493155</v>
      </c>
      <c r="M149" s="809"/>
      <c r="N149" s="781">
        <f t="shared" si="12"/>
        <v>100</v>
      </c>
      <c r="O149" s="781"/>
      <c r="R149" s="1">
        <v>2011</v>
      </c>
      <c r="S149" s="8">
        <f>(O79*($E79/365))+(O80*($E80/365))</f>
        <v>30.503178082191784</v>
      </c>
      <c r="T149" s="8">
        <f>(P79*($E79/365))+(P80*($E80/365))</f>
        <v>0</v>
      </c>
      <c r="U149" s="8">
        <f>(Q79*($E79/365))+(Q80*($E80/365))</f>
        <v>19.770410958904112</v>
      </c>
      <c r="V149" s="7"/>
      <c r="W149" s="7">
        <f t="shared" si="14"/>
        <v>50.273589041095896</v>
      </c>
    </row>
    <row r="150" spans="1:23" x14ac:dyDescent="0.15">
      <c r="A150" s="1">
        <v>2012</v>
      </c>
      <c r="B150" s="8">
        <f>(K81*($E81/366))+(K82*($E82/366))</f>
        <v>66.666666666666657</v>
      </c>
      <c r="C150" s="8">
        <f>(L81*($E81/366))+(L82*($E82/366))</f>
        <v>0</v>
      </c>
      <c r="D150" s="8">
        <f>(M81*($E81/366))+(M82*($E82/366))</f>
        <v>0</v>
      </c>
      <c r="E150" s="48">
        <f>B150+C150+D150</f>
        <v>66.666666666666657</v>
      </c>
      <c r="G150" s="1">
        <v>2012</v>
      </c>
      <c r="H150" s="809">
        <f>(O81/$R81*100*($E81/366))+(O82/$R82*100*($E82/366))</f>
        <v>100</v>
      </c>
      <c r="I150" s="809"/>
      <c r="J150" s="809">
        <f>(P81/$R81*100*($E81/366))+(P82/$R82*100*($E82/366))</f>
        <v>0</v>
      </c>
      <c r="K150" s="809"/>
      <c r="L150" s="809">
        <f>(Q81/$R81*100*($E81/366))+(Q82/$R82*100*($E82/366))</f>
        <v>0</v>
      </c>
      <c r="M150" s="809"/>
      <c r="N150" s="781">
        <f t="shared" si="12"/>
        <v>100</v>
      </c>
      <c r="O150" s="781"/>
      <c r="R150" s="1">
        <v>2012</v>
      </c>
      <c r="S150" s="8">
        <f>(O81*($E81/366))+(O82*($E82/366))</f>
        <v>57.39</v>
      </c>
      <c r="T150" s="8">
        <f>(P81*($E81/366))+(P82*($E82/366))</f>
        <v>0</v>
      </c>
      <c r="U150" s="8">
        <f>(Q81*($E81/366))+(Q82*($E82/366))</f>
        <v>0</v>
      </c>
      <c r="V150" s="7"/>
      <c r="W150" s="7">
        <f>S150+T150+U150</f>
        <v>57.39</v>
      </c>
    </row>
    <row r="151" spans="1:23" x14ac:dyDescent="0.15">
      <c r="A151" s="1">
        <v>2013</v>
      </c>
      <c r="B151" s="8">
        <f>(K83*($E83/365))+(K84*($E84/365))+(K85*($E85/365))</f>
        <v>73.264488935721801</v>
      </c>
      <c r="C151" s="8">
        <f>(L83*($E83/365))+(L84*($E84/365))+(L85*($E85/365))</f>
        <v>0</v>
      </c>
      <c r="D151" s="8">
        <f>(M83*($E83/365))+(M84*($E84/365))+(M85*($E85/365))</f>
        <v>0</v>
      </c>
      <c r="E151" s="309">
        <f>B151+C151+D151</f>
        <v>73.264488935721801</v>
      </c>
      <c r="G151" s="1">
        <v>2013</v>
      </c>
      <c r="H151" s="809">
        <f>(O83/$R83*100*($E83/365))+(O84/$R84*100*($E84/365))+(O85/$R85*100*($E85/365))</f>
        <v>100</v>
      </c>
      <c r="I151" s="809"/>
      <c r="J151" s="809">
        <f>(P83/$R83*100*($E83/365))+(P84/$R84*100*($E84/365))+(P85/$R85*100*($E85/365))</f>
        <v>0</v>
      </c>
      <c r="K151" s="809"/>
      <c r="L151" s="809">
        <f>(Q83/$R83*100*($E83/365))+(Q84/$R84*100*($E84/365))+(Q85/$R85*100*($E85/365))</f>
        <v>0</v>
      </c>
      <c r="M151" s="809"/>
      <c r="N151" s="781">
        <f>H151+J151+L151</f>
        <v>100</v>
      </c>
      <c r="O151" s="781"/>
      <c r="R151" s="1">
        <v>2013</v>
      </c>
      <c r="S151" s="8">
        <f>(O83*($E83/365))+(O84*($E84/365))+(O85*($E85/365))</f>
        <v>57.39</v>
      </c>
      <c r="T151" s="8">
        <f>(P83*($E83/365))+(P84*($E84/365))+(P85*($E85/365))</f>
        <v>0</v>
      </c>
      <c r="U151" s="8">
        <f>(Q83*($E83/365))+(Q84*($E84/365))+(Q85*($E85/365))</f>
        <v>0</v>
      </c>
      <c r="W151" s="7">
        <f>S151+T151+U151</f>
        <v>57.39</v>
      </c>
    </row>
    <row r="152" spans="1:23" x14ac:dyDescent="0.15">
      <c r="A152" s="1">
        <v>2014</v>
      </c>
      <c r="B152" s="8">
        <f>(K86*($E86/365))+(K87*($E87/365))</f>
        <v>79.214611872146122</v>
      </c>
      <c r="C152" s="8">
        <f>(L86*($E86/365))+(L87*($E87/365))</f>
        <v>0</v>
      </c>
      <c r="D152" s="8">
        <f>(M86*($E86/365))+(M87*($E87/365))</f>
        <v>0</v>
      </c>
      <c r="E152" s="662">
        <f>B152+C152+D152</f>
        <v>79.214611872146122</v>
      </c>
      <c r="G152" s="1">
        <v>2014</v>
      </c>
      <c r="H152" s="809">
        <f>(O86/$R86*100*($E86/365))+(O87/$R87*100*($E87/365))</f>
        <v>100.00000000000001</v>
      </c>
      <c r="I152" s="809"/>
      <c r="J152" s="809">
        <f>(P86/$R86*100*($E86/365))+(P87/$R87*100*($E87/365))</f>
        <v>0</v>
      </c>
      <c r="K152" s="809"/>
      <c r="L152" s="809">
        <f>(Q86/$R86*100*($E86/365))+(Q87/$R87*100*($E87/365))</f>
        <v>0</v>
      </c>
      <c r="M152" s="809"/>
      <c r="N152" s="781">
        <f>H152+J152+L152</f>
        <v>100.00000000000001</v>
      </c>
      <c r="O152" s="781"/>
      <c r="R152" s="1">
        <v>2014</v>
      </c>
      <c r="S152" s="8">
        <f>(O86*($E86/365))+(O87*($E87/365))</f>
        <v>57.39</v>
      </c>
      <c r="T152" s="8">
        <f>(P86*($E86/365))+(P87*($E87/365))</f>
        <v>0</v>
      </c>
      <c r="U152" s="8">
        <f>(Q86*($E86/365))+(Q87*($E87/365))</f>
        <v>0</v>
      </c>
      <c r="W152" s="7">
        <f>S152+T152+U152</f>
        <v>57.39</v>
      </c>
    </row>
    <row r="153" spans="1:23" s="754" customFormat="1" x14ac:dyDescent="0.15">
      <c r="A153" s="754">
        <v>2015</v>
      </c>
      <c r="B153" s="749">
        <f>(K88*($E88/365))+(K89*($E89/365))+(K90*($E90/365))</f>
        <v>66.767660488853068</v>
      </c>
      <c r="C153" s="749">
        <f>(L88*($E88/365))+(L89*($E89/365))+(L90*($E90/365))</f>
        <v>0</v>
      </c>
      <c r="D153" s="749">
        <f>(M88*($E88/365))+(M89*($E89/365))+(M90*($E90/365))</f>
        <v>6.0273972602739727</v>
      </c>
      <c r="E153" s="750">
        <f>B153+C153+D153</f>
        <v>72.795057749127039</v>
      </c>
      <c r="G153" s="754">
        <v>2015</v>
      </c>
      <c r="H153" s="809">
        <f>(O88/$R88*100*($E88/365))+(O89/$R89*100*($E89/365))+(O90/$R90*100*($E90/365))</f>
        <v>100.00000000000001</v>
      </c>
      <c r="I153" s="809"/>
      <c r="J153" s="809">
        <f>(P88/$R88*100*($E88/365))+(P89/$R89*100*($E89/365))+(P90/$R90*100*($E90/365))</f>
        <v>0</v>
      </c>
      <c r="K153" s="809"/>
      <c r="L153" s="809">
        <f>(Q88/$R88*100*($E88/365))+(Q89/$R89*100*($E89/365))+(Q90/$R90*100*($E90/365))</f>
        <v>0</v>
      </c>
      <c r="M153" s="809"/>
      <c r="N153" s="781">
        <f>H153+J153+L153</f>
        <v>100.00000000000001</v>
      </c>
      <c r="O153" s="781"/>
      <c r="R153" s="754">
        <v>2015</v>
      </c>
      <c r="S153" s="749">
        <f>(O88*($E88/365))+(O89*($E89/365))+(O90*($E90/365))</f>
        <v>54.602958904109592</v>
      </c>
      <c r="T153" s="749">
        <f>(P88*($E88/365))+(P89*($E89/365))+(P90*($E90/365))</f>
        <v>0</v>
      </c>
      <c r="U153" s="749">
        <f>(Q88*($E88/365))+(Q89*($E89/365))+(Q90*($E90/365))</f>
        <v>0</v>
      </c>
      <c r="W153" s="753">
        <f>S153+T153+U153</f>
        <v>54.602958904109592</v>
      </c>
    </row>
    <row r="154" spans="1:23" s="754" customFormat="1" x14ac:dyDescent="0.15"/>
  </sheetData>
  <mergeCells count="271">
    <mergeCell ref="L153:M153"/>
    <mergeCell ref="N153:O153"/>
    <mergeCell ref="AT4:AW4"/>
    <mergeCell ref="H141:I141"/>
    <mergeCell ref="H142:I142"/>
    <mergeCell ref="H144:I144"/>
    <mergeCell ref="H145:I145"/>
    <mergeCell ref="C88:D88"/>
    <mergeCell ref="C89:D89"/>
    <mergeCell ref="C90:D90"/>
    <mergeCell ref="H153:I153"/>
    <mergeCell ref="J153:K153"/>
    <mergeCell ref="L129:M129"/>
    <mergeCell ref="L134:M134"/>
    <mergeCell ref="L135:M135"/>
    <mergeCell ref="L130:M130"/>
    <mergeCell ref="H149:I149"/>
    <mergeCell ref="J149:K149"/>
    <mergeCell ref="L132:M132"/>
    <mergeCell ref="J132:K132"/>
    <mergeCell ref="J133:K133"/>
    <mergeCell ref="J144:K144"/>
    <mergeCell ref="J134:K134"/>
    <mergeCell ref="L148:M148"/>
    <mergeCell ref="AX4:BA4"/>
    <mergeCell ref="N151:O151"/>
    <mergeCell ref="R95:W95"/>
    <mergeCell ref="N147:O147"/>
    <mergeCell ref="N148:O148"/>
    <mergeCell ref="N141:O141"/>
    <mergeCell ref="N142:O142"/>
    <mergeCell ref="N143:O143"/>
    <mergeCell ref="N134:O134"/>
    <mergeCell ref="V4:Y4"/>
    <mergeCell ref="N150:O150"/>
    <mergeCell ref="N139:O139"/>
    <mergeCell ref="N140:O140"/>
    <mergeCell ref="N129:O129"/>
    <mergeCell ref="N149:O149"/>
    <mergeCell ref="N133:O133"/>
    <mergeCell ref="L141:M141"/>
    <mergeCell ref="J147:K147"/>
    <mergeCell ref="J148:K148"/>
    <mergeCell ref="J145:K145"/>
    <mergeCell ref="J146:K146"/>
    <mergeCell ref="N145:O145"/>
    <mergeCell ref="N146:O146"/>
    <mergeCell ref="N135:O135"/>
    <mergeCell ref="N136:O136"/>
    <mergeCell ref="N137:O137"/>
    <mergeCell ref="N138:O138"/>
    <mergeCell ref="L138:M138"/>
    <mergeCell ref="L133:M133"/>
    <mergeCell ref="L136:M136"/>
    <mergeCell ref="L137:M137"/>
    <mergeCell ref="H148:I148"/>
    <mergeCell ref="H139:I139"/>
    <mergeCell ref="H140:I140"/>
    <mergeCell ref="H146:I146"/>
    <mergeCell ref="H147:I147"/>
    <mergeCell ref="H151:I151"/>
    <mergeCell ref="J151:K151"/>
    <mergeCell ref="L151:M151"/>
    <mergeCell ref="H150:I150"/>
    <mergeCell ref="J150:K150"/>
    <mergeCell ref="L150:M150"/>
    <mergeCell ref="L145:M145"/>
    <mergeCell ref="L146:M146"/>
    <mergeCell ref="L147:M147"/>
    <mergeCell ref="L144:M144"/>
    <mergeCell ref="L142:M142"/>
    <mergeCell ref="L143:M143"/>
    <mergeCell ref="L139:M139"/>
    <mergeCell ref="L140:M140"/>
    <mergeCell ref="H143:I143"/>
    <mergeCell ref="L149:M149"/>
    <mergeCell ref="C80:D80"/>
    <mergeCell ref="C81:D81"/>
    <mergeCell ref="C82:D82"/>
    <mergeCell ref="N144:O144"/>
    <mergeCell ref="N126:O126"/>
    <mergeCell ref="N127:O127"/>
    <mergeCell ref="N128:O128"/>
    <mergeCell ref="N130:O130"/>
    <mergeCell ref="N131:O131"/>
    <mergeCell ref="N132:O132"/>
    <mergeCell ref="J139:K139"/>
    <mergeCell ref="C83:D83"/>
    <mergeCell ref="J140:K140"/>
    <mergeCell ref="J141:K141"/>
    <mergeCell ref="J142:K142"/>
    <mergeCell ref="J143:K143"/>
    <mergeCell ref="L126:M126"/>
    <mergeCell ref="L127:M127"/>
    <mergeCell ref="L128:M128"/>
    <mergeCell ref="C85:D85"/>
    <mergeCell ref="C84:D84"/>
    <mergeCell ref="L131:M131"/>
    <mergeCell ref="J126:K126"/>
    <mergeCell ref="J127:K127"/>
    <mergeCell ref="H138:I138"/>
    <mergeCell ref="H126:I126"/>
    <mergeCell ref="H127:I127"/>
    <mergeCell ref="H128:I128"/>
    <mergeCell ref="H129:I129"/>
    <mergeCell ref="H137:I137"/>
    <mergeCell ref="J135:K135"/>
    <mergeCell ref="J137:K137"/>
    <mergeCell ref="J138:K138"/>
    <mergeCell ref="H132:I132"/>
    <mergeCell ref="H133:I133"/>
    <mergeCell ref="H134:I134"/>
    <mergeCell ref="H135:I135"/>
    <mergeCell ref="H136:I136"/>
    <mergeCell ref="J136:K136"/>
    <mergeCell ref="J128:K128"/>
    <mergeCell ref="J129:K129"/>
    <mergeCell ref="J130:K130"/>
    <mergeCell ref="J131:K131"/>
    <mergeCell ref="H130:I130"/>
    <mergeCell ref="H131:I131"/>
    <mergeCell ref="L120:M120"/>
    <mergeCell ref="N120:O120"/>
    <mergeCell ref="N124:O124"/>
    <mergeCell ref="N125:O125"/>
    <mergeCell ref="H121:I121"/>
    <mergeCell ref="J121:K121"/>
    <mergeCell ref="L121:M121"/>
    <mergeCell ref="N121:O121"/>
    <mergeCell ref="H122:I122"/>
    <mergeCell ref="J122:K122"/>
    <mergeCell ref="L122:M122"/>
    <mergeCell ref="N122:O122"/>
    <mergeCell ref="H123:I123"/>
    <mergeCell ref="J123:K123"/>
    <mergeCell ref="L123:M123"/>
    <mergeCell ref="N123:O123"/>
    <mergeCell ref="L124:M124"/>
    <mergeCell ref="L125:M125"/>
    <mergeCell ref="H120:I120"/>
    <mergeCell ref="J120:K120"/>
    <mergeCell ref="J124:K124"/>
    <mergeCell ref="J125:K125"/>
    <mergeCell ref="L119:M119"/>
    <mergeCell ref="N119:O119"/>
    <mergeCell ref="H116:I116"/>
    <mergeCell ref="J116:K116"/>
    <mergeCell ref="L116:M116"/>
    <mergeCell ref="N116:O116"/>
    <mergeCell ref="H117:I117"/>
    <mergeCell ref="J117:K117"/>
    <mergeCell ref="L117:M117"/>
    <mergeCell ref="N117:O117"/>
    <mergeCell ref="H124:I124"/>
    <mergeCell ref="H125:I125"/>
    <mergeCell ref="G3:M3"/>
    <mergeCell ref="O3:Q3"/>
    <mergeCell ref="A4:A5"/>
    <mergeCell ref="B4:B5"/>
    <mergeCell ref="C4:D5"/>
    <mergeCell ref="E4:E5"/>
    <mergeCell ref="F4:F5"/>
    <mergeCell ref="G4:J4"/>
    <mergeCell ref="AP4:AS4"/>
    <mergeCell ref="K4:N4"/>
    <mergeCell ref="O4:R4"/>
    <mergeCell ref="S4:S5"/>
    <mergeCell ref="T4:T5"/>
    <mergeCell ref="U4:U5"/>
    <mergeCell ref="C6:D6"/>
    <mergeCell ref="Z4:AC4"/>
    <mergeCell ref="AD4:AG4"/>
    <mergeCell ref="AH4:AK4"/>
    <mergeCell ref="AL4:AO4"/>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75:D75"/>
    <mergeCell ref="C63:D63"/>
    <mergeCell ref="C64:D64"/>
    <mergeCell ref="C65:D65"/>
    <mergeCell ref="C66:D66"/>
    <mergeCell ref="C67:D67"/>
    <mergeCell ref="C68:D68"/>
    <mergeCell ref="C76:D76"/>
    <mergeCell ref="C69:D69"/>
    <mergeCell ref="C70:D70"/>
    <mergeCell ref="C77:D77"/>
    <mergeCell ref="C78:D78"/>
    <mergeCell ref="C79:D79"/>
    <mergeCell ref="C71:D71"/>
    <mergeCell ref="C72:D72"/>
    <mergeCell ref="C73:D73"/>
    <mergeCell ref="C74:D74"/>
    <mergeCell ref="C86:D86"/>
    <mergeCell ref="C87:D87"/>
    <mergeCell ref="H152:I152"/>
    <mergeCell ref="J152:K152"/>
    <mergeCell ref="L152:M152"/>
    <mergeCell ref="N152:O152"/>
    <mergeCell ref="H114:I114"/>
    <mergeCell ref="J114:K114"/>
    <mergeCell ref="L114:M114"/>
    <mergeCell ref="N114:O114"/>
    <mergeCell ref="H97:I97"/>
    <mergeCell ref="J97:K97"/>
    <mergeCell ref="L97:M97"/>
    <mergeCell ref="N97:O97"/>
    <mergeCell ref="H115:I115"/>
    <mergeCell ref="J115:K115"/>
    <mergeCell ref="L115:M115"/>
    <mergeCell ref="N115:O115"/>
    <mergeCell ref="H118:I118"/>
    <mergeCell ref="J118:K118"/>
    <mergeCell ref="L118:M118"/>
    <mergeCell ref="N118:O118"/>
    <mergeCell ref="H119:I119"/>
    <mergeCell ref="J119:K119"/>
  </mergeCells>
  <phoneticPr fontId="0" type="noConversion"/>
  <pageMargins left="0.78740157499999996" right="0.78740157499999996" top="0.984251969" bottom="0.984251969" header="0.4921259845" footer="0.4921259845"/>
  <pageSetup paperSize="9" orientation="portrait" r:id="rId1"/>
  <headerFooter alignWithMargins="0"/>
  <drawing r:id="rId2"/>
  <legacyDrawing r:id="rId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11"/>
  <sheetViews>
    <sheetView zoomScale="120" zoomScaleNormal="120" workbookViewId="0">
      <pane ySplit="5" topLeftCell="A66" activePane="bottomLeft" state="frozen"/>
      <selection pane="bottomLeft" activeCell="N111" sqref="N111:O111"/>
    </sheetView>
  </sheetViews>
  <sheetFormatPr baseColWidth="10" defaultColWidth="10.7109375" defaultRowHeight="9" x14ac:dyDescent="0.15"/>
  <cols>
    <col min="1" max="1" width="5.85546875" style="1" customWidth="1"/>
    <col min="2" max="6" width="7.85546875" style="1" customWidth="1"/>
    <col min="7" max="18" width="4.5703125" style="1" customWidth="1"/>
    <col min="19" max="21" width="7.85546875" style="1" customWidth="1"/>
    <col min="22" max="53" width="5.7109375" style="1" customWidth="1"/>
    <col min="54" max="16384" width="10.7109375" style="1"/>
  </cols>
  <sheetData>
    <row r="1" spans="1:53" s="2" customFormat="1" ht="15" customHeight="1" x14ac:dyDescent="0.2">
      <c r="B1" s="22" t="s">
        <v>14</v>
      </c>
    </row>
    <row r="2" spans="1:53" s="2" customFormat="1" ht="15" customHeight="1" x14ac:dyDescent="0.2">
      <c r="B2" s="22" t="s">
        <v>145</v>
      </c>
    </row>
    <row r="3" spans="1:53" s="2" customFormat="1" x14ac:dyDescent="0.15">
      <c r="G3" s="814"/>
      <c r="H3" s="814"/>
      <c r="I3" s="814"/>
      <c r="J3" s="814"/>
      <c r="K3" s="814"/>
      <c r="L3" s="814"/>
      <c r="M3" s="814"/>
      <c r="O3" s="814"/>
      <c r="P3" s="814"/>
      <c r="Q3" s="814"/>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1" t="s">
        <v>23</v>
      </c>
      <c r="AU5" s="351" t="s">
        <v>24</v>
      </c>
      <c r="AV5" s="351" t="s">
        <v>25</v>
      </c>
      <c r="AW5" s="353" t="s">
        <v>1217</v>
      </c>
      <c r="AX5" s="351" t="s">
        <v>23</v>
      </c>
      <c r="AY5" s="351" t="s">
        <v>24</v>
      </c>
      <c r="AZ5" s="351" t="s">
        <v>25</v>
      </c>
      <c r="BA5" s="354" t="s">
        <v>1217</v>
      </c>
    </row>
    <row r="6" spans="1:53" s="208" customFormat="1" x14ac:dyDescent="0.15">
      <c r="A6" s="208">
        <v>1990</v>
      </c>
      <c r="C6" s="826" t="s">
        <v>1283</v>
      </c>
      <c r="D6" s="826"/>
      <c r="E6" s="208">
        <v>178</v>
      </c>
      <c r="G6" s="74"/>
      <c r="H6" s="75"/>
      <c r="I6" s="75"/>
      <c r="J6" s="76"/>
      <c r="K6" s="77"/>
      <c r="L6" s="77"/>
      <c r="M6" s="77"/>
      <c r="N6" s="78"/>
      <c r="O6" s="79"/>
      <c r="P6" s="77"/>
      <c r="Q6" s="77"/>
      <c r="R6" s="80"/>
      <c r="T6" s="81"/>
      <c r="V6" s="82"/>
      <c r="Y6" s="83"/>
      <c r="AD6" s="82"/>
      <c r="AG6" s="83"/>
      <c r="AL6" s="82"/>
      <c r="AO6" s="83"/>
      <c r="AP6" s="82"/>
      <c r="AS6" s="83"/>
      <c r="AW6" s="83"/>
      <c r="BA6" s="84"/>
    </row>
    <row r="7" spans="1:53" s="334" customFormat="1" x14ac:dyDescent="0.15">
      <c r="A7" s="334">
        <v>1990</v>
      </c>
      <c r="B7" s="355">
        <v>33052</v>
      </c>
      <c r="C7" s="812" t="s">
        <v>923</v>
      </c>
      <c r="D7" s="812"/>
      <c r="E7" s="334">
        <v>187</v>
      </c>
      <c r="F7" s="334" t="s">
        <v>348</v>
      </c>
      <c r="G7" s="336"/>
      <c r="H7" s="200"/>
      <c r="I7" s="200">
        <v>21</v>
      </c>
      <c r="J7" s="337">
        <v>23</v>
      </c>
      <c r="K7" s="338">
        <f t="shared" ref="K7:K55" si="0">G7/J7*100</f>
        <v>0</v>
      </c>
      <c r="L7" s="338">
        <f t="shared" ref="L7:L55" si="1">H7/J7*100</f>
        <v>0</v>
      </c>
      <c r="M7" s="338">
        <f t="shared" ref="M7:M55" si="2">I7/J7*100</f>
        <v>91.304347826086953</v>
      </c>
      <c r="N7" s="339">
        <f t="shared" ref="N7:N70" si="3">SUM(K7:M7)</f>
        <v>91.304347826086953</v>
      </c>
      <c r="O7" s="340"/>
      <c r="P7" s="338"/>
      <c r="Q7" s="338">
        <v>66.400000000000006</v>
      </c>
      <c r="R7" s="341">
        <f t="shared" ref="R7:R64" si="4">SUM(O7:Q7)</f>
        <v>66.400000000000006</v>
      </c>
      <c r="S7" s="334">
        <v>1</v>
      </c>
      <c r="T7" s="342">
        <v>33013</v>
      </c>
      <c r="U7" s="355">
        <v>33052</v>
      </c>
      <c r="V7" s="343" t="s">
        <v>925</v>
      </c>
      <c r="W7" s="334" t="s">
        <v>20</v>
      </c>
      <c r="X7" s="334" t="s">
        <v>12</v>
      </c>
      <c r="Y7" s="344">
        <v>66.400000000000006</v>
      </c>
      <c r="AD7" s="343"/>
      <c r="AG7" s="344"/>
      <c r="AL7" s="343"/>
      <c r="AO7" s="344"/>
      <c r="AP7" s="343"/>
      <c r="AS7" s="344"/>
      <c r="AW7" s="344"/>
      <c r="BA7" s="345"/>
    </row>
    <row r="8" spans="1:53" s="334" customFormat="1" x14ac:dyDescent="0.15">
      <c r="A8" s="334">
        <v>1991</v>
      </c>
      <c r="C8" s="812" t="s">
        <v>923</v>
      </c>
      <c r="D8" s="812"/>
      <c r="E8" s="334">
        <v>288</v>
      </c>
      <c r="G8" s="336"/>
      <c r="H8" s="200"/>
      <c r="I8" s="200">
        <v>21</v>
      </c>
      <c r="J8" s="337">
        <v>23</v>
      </c>
      <c r="K8" s="338">
        <f t="shared" si="0"/>
        <v>0</v>
      </c>
      <c r="L8" s="338">
        <f t="shared" si="1"/>
        <v>0</v>
      </c>
      <c r="M8" s="338">
        <f t="shared" si="2"/>
        <v>91.304347826086953</v>
      </c>
      <c r="N8" s="339">
        <f t="shared" si="3"/>
        <v>91.304347826086953</v>
      </c>
      <c r="O8" s="340"/>
      <c r="P8" s="338"/>
      <c r="Q8" s="338">
        <v>66.400000000000006</v>
      </c>
      <c r="R8" s="341">
        <f t="shared" si="4"/>
        <v>66.400000000000006</v>
      </c>
      <c r="S8" s="334">
        <v>1</v>
      </c>
      <c r="T8" s="357"/>
      <c r="V8" s="343" t="s">
        <v>925</v>
      </c>
      <c r="W8" s="334" t="s">
        <v>20</v>
      </c>
      <c r="X8" s="334" t="s">
        <v>12</v>
      </c>
      <c r="Y8" s="344">
        <v>66.400000000000006</v>
      </c>
      <c r="AD8" s="343"/>
      <c r="AG8" s="344"/>
      <c r="AL8" s="343"/>
      <c r="AO8" s="344"/>
      <c r="AP8" s="343"/>
      <c r="AS8" s="344"/>
      <c r="AW8" s="344"/>
      <c r="BA8" s="345"/>
    </row>
    <row r="9" spans="1:53" s="208" customFormat="1" x14ac:dyDescent="0.15">
      <c r="A9" s="208">
        <v>1991</v>
      </c>
      <c r="B9" s="207">
        <v>33527</v>
      </c>
      <c r="C9" s="811" t="s">
        <v>924</v>
      </c>
      <c r="D9" s="811"/>
      <c r="E9" s="208">
        <f>365-E8</f>
        <v>77</v>
      </c>
      <c r="F9" s="208">
        <v>2</v>
      </c>
      <c r="G9" s="74">
        <v>3</v>
      </c>
      <c r="H9" s="75"/>
      <c r="I9" s="75">
        <v>13</v>
      </c>
      <c r="J9" s="76">
        <v>19</v>
      </c>
      <c r="K9" s="77">
        <f t="shared" si="0"/>
        <v>15.789473684210526</v>
      </c>
      <c r="L9" s="77">
        <f t="shared" si="1"/>
        <v>0</v>
      </c>
      <c r="M9" s="77">
        <f t="shared" si="2"/>
        <v>68.421052631578945</v>
      </c>
      <c r="N9" s="78">
        <f t="shared" si="3"/>
        <v>84.210526315789465</v>
      </c>
      <c r="O9" s="79">
        <v>7.3</v>
      </c>
      <c r="P9" s="77"/>
      <c r="Q9" s="77">
        <v>71.7</v>
      </c>
      <c r="R9" s="80">
        <f t="shared" si="4"/>
        <v>79</v>
      </c>
      <c r="S9" s="208">
        <v>3</v>
      </c>
      <c r="T9" s="81"/>
      <c r="U9" s="207">
        <v>33527</v>
      </c>
      <c r="V9" s="82" t="s">
        <v>925</v>
      </c>
      <c r="W9" s="208" t="s">
        <v>20</v>
      </c>
      <c r="X9" s="208" t="s">
        <v>12</v>
      </c>
      <c r="Y9" s="83">
        <v>66.400000000000006</v>
      </c>
      <c r="Z9" s="208" t="s">
        <v>926</v>
      </c>
      <c r="AA9" s="208" t="s">
        <v>22</v>
      </c>
      <c r="AB9" s="208" t="s">
        <v>11</v>
      </c>
      <c r="AC9" s="208">
        <v>7.3</v>
      </c>
      <c r="AD9" s="82" t="s">
        <v>927</v>
      </c>
      <c r="AE9" s="208" t="s">
        <v>221</v>
      </c>
      <c r="AF9" s="208" t="s">
        <v>12</v>
      </c>
      <c r="AG9" s="83">
        <v>3</v>
      </c>
      <c r="AH9" s="208" t="s">
        <v>928</v>
      </c>
      <c r="AI9" s="208" t="s">
        <v>886</v>
      </c>
      <c r="AJ9" s="208" t="s">
        <v>12</v>
      </c>
      <c r="AK9" s="208">
        <v>2.2999999999999998</v>
      </c>
      <c r="AL9" s="82"/>
      <c r="AO9" s="83"/>
      <c r="AP9" s="82"/>
      <c r="AS9" s="83"/>
      <c r="AW9" s="83"/>
      <c r="BA9" s="84"/>
    </row>
    <row r="10" spans="1:53" s="208" customFormat="1" x14ac:dyDescent="0.15">
      <c r="A10" s="208">
        <v>1992</v>
      </c>
      <c r="C10" s="811" t="s">
        <v>924</v>
      </c>
      <c r="D10" s="811"/>
      <c r="E10" s="208">
        <v>317</v>
      </c>
      <c r="G10" s="74">
        <v>3</v>
      </c>
      <c r="H10" s="75"/>
      <c r="I10" s="75">
        <v>13</v>
      </c>
      <c r="J10" s="76">
        <v>19</v>
      </c>
      <c r="K10" s="77">
        <f t="shared" si="0"/>
        <v>15.789473684210526</v>
      </c>
      <c r="L10" s="77">
        <f t="shared" si="1"/>
        <v>0</v>
      </c>
      <c r="M10" s="77">
        <f t="shared" si="2"/>
        <v>68.421052631578945</v>
      </c>
      <c r="N10" s="78">
        <f t="shared" si="3"/>
        <v>84.210526315789465</v>
      </c>
      <c r="O10" s="79">
        <v>7.3</v>
      </c>
      <c r="P10" s="77"/>
      <c r="Q10" s="77">
        <v>71.7</v>
      </c>
      <c r="R10" s="80">
        <f t="shared" si="4"/>
        <v>79</v>
      </c>
      <c r="S10" s="208">
        <v>3</v>
      </c>
      <c r="T10" s="81"/>
      <c r="V10" s="82" t="s">
        <v>925</v>
      </c>
      <c r="W10" s="208" t="s">
        <v>20</v>
      </c>
      <c r="X10" s="208" t="s">
        <v>12</v>
      </c>
      <c r="Y10" s="83">
        <v>66.400000000000006</v>
      </c>
      <c r="Z10" s="208" t="s">
        <v>926</v>
      </c>
      <c r="AA10" s="208" t="s">
        <v>22</v>
      </c>
      <c r="AB10" s="208" t="s">
        <v>11</v>
      </c>
      <c r="AC10" s="208">
        <v>7.3</v>
      </c>
      <c r="AD10" s="82" t="s">
        <v>927</v>
      </c>
      <c r="AE10" s="208" t="s">
        <v>221</v>
      </c>
      <c r="AF10" s="208" t="s">
        <v>12</v>
      </c>
      <c r="AG10" s="83">
        <v>3</v>
      </c>
      <c r="AH10" s="208" t="s">
        <v>928</v>
      </c>
      <c r="AI10" s="208" t="s">
        <v>886</v>
      </c>
      <c r="AJ10" s="208" t="s">
        <v>12</v>
      </c>
      <c r="AK10" s="208">
        <v>2.2999999999999998</v>
      </c>
      <c r="AL10" s="82"/>
      <c r="AO10" s="83"/>
      <c r="AP10" s="82"/>
      <c r="AS10" s="83"/>
      <c r="AW10" s="83"/>
      <c r="BA10" s="84"/>
    </row>
    <row r="11" spans="1:53" s="334" customFormat="1" x14ac:dyDescent="0.15">
      <c r="A11" s="334">
        <v>1992</v>
      </c>
      <c r="B11" s="355">
        <v>33921</v>
      </c>
      <c r="C11" s="812" t="s">
        <v>1177</v>
      </c>
      <c r="D11" s="812"/>
      <c r="E11" s="334">
        <f xml:space="preserve"> 366-E10</f>
        <v>49</v>
      </c>
      <c r="F11" s="334">
        <v>1</v>
      </c>
      <c r="G11" s="336"/>
      <c r="H11" s="200"/>
      <c r="I11" s="200">
        <v>19</v>
      </c>
      <c r="J11" s="337">
        <v>20</v>
      </c>
      <c r="K11" s="338">
        <f t="shared" si="0"/>
        <v>0</v>
      </c>
      <c r="L11" s="338">
        <f t="shared" si="1"/>
        <v>0</v>
      </c>
      <c r="M11" s="338">
        <f t="shared" si="2"/>
        <v>95</v>
      </c>
      <c r="N11" s="339">
        <f t="shared" si="3"/>
        <v>95</v>
      </c>
      <c r="O11" s="340"/>
      <c r="P11" s="338"/>
      <c r="Q11" s="338">
        <v>34.299999999999997</v>
      </c>
      <c r="R11" s="341">
        <f t="shared" si="4"/>
        <v>34.299999999999997</v>
      </c>
      <c r="S11" s="334">
        <v>4</v>
      </c>
      <c r="T11" s="342">
        <v>33874</v>
      </c>
      <c r="U11" s="355">
        <v>33921</v>
      </c>
      <c r="V11" s="343" t="s">
        <v>925</v>
      </c>
      <c r="W11" s="334" t="s">
        <v>20</v>
      </c>
      <c r="X11" s="334" t="s">
        <v>12</v>
      </c>
      <c r="Y11" s="344">
        <v>34.299999999999997</v>
      </c>
      <c r="AD11" s="343"/>
      <c r="AG11" s="344"/>
      <c r="AL11" s="343"/>
      <c r="AO11" s="344"/>
      <c r="AP11" s="343"/>
      <c r="AS11" s="344"/>
      <c r="AW11" s="344"/>
      <c r="BA11" s="345"/>
    </row>
    <row r="12" spans="1:53" s="334" customFormat="1" x14ac:dyDescent="0.15">
      <c r="A12" s="334">
        <v>1993</v>
      </c>
      <c r="C12" s="812" t="s">
        <v>1177</v>
      </c>
      <c r="D12" s="812"/>
      <c r="E12" s="334">
        <v>0</v>
      </c>
      <c r="G12" s="336"/>
      <c r="H12" s="200"/>
      <c r="I12" s="200">
        <v>19</v>
      </c>
      <c r="J12" s="337">
        <v>20</v>
      </c>
      <c r="K12" s="338">
        <f t="shared" si="0"/>
        <v>0</v>
      </c>
      <c r="L12" s="338">
        <f t="shared" si="1"/>
        <v>0</v>
      </c>
      <c r="M12" s="338">
        <f t="shared" si="2"/>
        <v>95</v>
      </c>
      <c r="N12" s="339">
        <f t="shared" si="3"/>
        <v>95</v>
      </c>
      <c r="O12" s="340"/>
      <c r="P12" s="338"/>
      <c r="Q12" s="338">
        <v>34.299999999999997</v>
      </c>
      <c r="R12" s="341">
        <f t="shared" si="4"/>
        <v>34.299999999999997</v>
      </c>
      <c r="S12" s="334">
        <v>4</v>
      </c>
      <c r="T12" s="357"/>
      <c r="V12" s="343" t="s">
        <v>925</v>
      </c>
      <c r="W12" s="334" t="s">
        <v>20</v>
      </c>
      <c r="X12" s="334" t="s">
        <v>12</v>
      </c>
      <c r="Y12" s="344">
        <v>34.299999999999997</v>
      </c>
      <c r="AD12" s="343"/>
      <c r="AG12" s="344"/>
      <c r="AL12" s="343"/>
      <c r="AO12" s="344"/>
      <c r="AP12" s="343"/>
      <c r="AS12" s="344"/>
      <c r="AW12" s="344"/>
      <c r="BA12" s="345"/>
    </row>
    <row r="13" spans="1:53" s="334" customFormat="1" x14ac:dyDescent="0.15">
      <c r="A13" s="334">
        <v>1993</v>
      </c>
      <c r="C13" s="812" t="s">
        <v>1177</v>
      </c>
      <c r="D13" s="812"/>
      <c r="E13" s="334">
        <v>365</v>
      </c>
      <c r="G13" s="336"/>
      <c r="H13" s="200"/>
      <c r="I13" s="200">
        <v>19</v>
      </c>
      <c r="J13" s="337">
        <v>20</v>
      </c>
      <c r="K13" s="338">
        <f t="shared" si="0"/>
        <v>0</v>
      </c>
      <c r="L13" s="338">
        <f t="shared" si="1"/>
        <v>0</v>
      </c>
      <c r="M13" s="338">
        <f t="shared" si="2"/>
        <v>95</v>
      </c>
      <c r="N13" s="339">
        <f t="shared" si="3"/>
        <v>95</v>
      </c>
      <c r="O13" s="340"/>
      <c r="P13" s="338"/>
      <c r="Q13" s="338">
        <v>34.299999999999997</v>
      </c>
      <c r="R13" s="341">
        <f t="shared" si="4"/>
        <v>34.299999999999997</v>
      </c>
      <c r="S13" s="334">
        <v>4</v>
      </c>
      <c r="T13" s="357"/>
      <c r="V13" s="343" t="s">
        <v>925</v>
      </c>
      <c r="W13" s="334" t="s">
        <v>20</v>
      </c>
      <c r="X13" s="334" t="s">
        <v>12</v>
      </c>
      <c r="Y13" s="344">
        <v>34.299999999999997</v>
      </c>
      <c r="AD13" s="343"/>
      <c r="AG13" s="344"/>
      <c r="AL13" s="343"/>
      <c r="AO13" s="344"/>
      <c r="AP13" s="343"/>
      <c r="AS13" s="344"/>
      <c r="AW13" s="344"/>
      <c r="BA13" s="345"/>
    </row>
    <row r="14" spans="1:53" s="334" customFormat="1" x14ac:dyDescent="0.15">
      <c r="A14" s="334">
        <v>1994</v>
      </c>
      <c r="C14" s="812" t="s">
        <v>1177</v>
      </c>
      <c r="D14" s="812"/>
      <c r="E14" s="334">
        <v>229</v>
      </c>
      <c r="G14" s="336"/>
      <c r="H14" s="200"/>
      <c r="I14" s="200">
        <v>19</v>
      </c>
      <c r="J14" s="337">
        <v>20</v>
      </c>
      <c r="K14" s="338">
        <f t="shared" si="0"/>
        <v>0</v>
      </c>
      <c r="L14" s="338">
        <f t="shared" si="1"/>
        <v>0</v>
      </c>
      <c r="M14" s="338">
        <f t="shared" si="2"/>
        <v>95</v>
      </c>
      <c r="N14" s="339">
        <f t="shared" si="3"/>
        <v>95</v>
      </c>
      <c r="O14" s="340"/>
      <c r="P14" s="338"/>
      <c r="Q14" s="338">
        <v>34.299999999999997</v>
      </c>
      <c r="R14" s="341">
        <f t="shared" si="4"/>
        <v>34.299999999999997</v>
      </c>
      <c r="S14" s="334">
        <v>4</v>
      </c>
      <c r="T14" s="357"/>
      <c r="V14" s="343" t="s">
        <v>925</v>
      </c>
      <c r="W14" s="334" t="s">
        <v>20</v>
      </c>
      <c r="X14" s="334" t="s">
        <v>12</v>
      </c>
      <c r="Y14" s="344">
        <v>34.299999999999997</v>
      </c>
      <c r="AD14" s="343"/>
      <c r="AG14" s="344"/>
      <c r="AL14" s="343"/>
      <c r="AO14" s="344"/>
      <c r="AP14" s="343"/>
      <c r="AS14" s="344"/>
      <c r="AW14" s="344"/>
      <c r="BA14" s="345"/>
    </row>
    <row r="15" spans="1:53" s="208" customFormat="1" x14ac:dyDescent="0.15">
      <c r="A15" s="208">
        <v>1994</v>
      </c>
      <c r="B15" s="207">
        <v>34564</v>
      </c>
      <c r="C15" s="811" t="s">
        <v>1178</v>
      </c>
      <c r="D15" s="811"/>
      <c r="E15" s="208">
        <f>365-E14</f>
        <v>136</v>
      </c>
      <c r="F15" s="208">
        <v>7</v>
      </c>
      <c r="G15" s="74">
        <v>2</v>
      </c>
      <c r="H15" s="75"/>
      <c r="I15" s="75">
        <v>16</v>
      </c>
      <c r="J15" s="76">
        <v>22</v>
      </c>
      <c r="K15" s="77">
        <f t="shared" si="0"/>
        <v>9.0909090909090917</v>
      </c>
      <c r="L15" s="77">
        <f t="shared" si="1"/>
        <v>0</v>
      </c>
      <c r="M15" s="77">
        <f t="shared" si="2"/>
        <v>72.727272727272734</v>
      </c>
      <c r="N15" s="78">
        <f t="shared" si="3"/>
        <v>81.818181818181827</v>
      </c>
      <c r="O15" s="79">
        <v>8.8000000000000007</v>
      </c>
      <c r="P15" s="77"/>
      <c r="Q15" s="77">
        <v>34.299999999999997</v>
      </c>
      <c r="R15" s="80">
        <f t="shared" si="4"/>
        <v>43.099999999999994</v>
      </c>
      <c r="S15" s="208">
        <v>5</v>
      </c>
      <c r="T15" s="81"/>
      <c r="U15" s="207">
        <v>34399</v>
      </c>
      <c r="V15" s="82" t="s">
        <v>929</v>
      </c>
      <c r="W15" s="208" t="s">
        <v>20</v>
      </c>
      <c r="X15" s="208" t="s">
        <v>12</v>
      </c>
      <c r="Y15" s="83">
        <v>34.299999999999997</v>
      </c>
      <c r="Z15" s="208" t="s">
        <v>930</v>
      </c>
      <c r="AA15" s="208" t="s">
        <v>307</v>
      </c>
      <c r="AB15" s="208" t="s">
        <v>11</v>
      </c>
      <c r="AC15" s="208">
        <v>8.8000000000000007</v>
      </c>
      <c r="AD15" s="82"/>
      <c r="AG15" s="83"/>
      <c r="AL15" s="82"/>
      <c r="AO15" s="83"/>
      <c r="AP15" s="82"/>
      <c r="AS15" s="83"/>
      <c r="AW15" s="83"/>
      <c r="BA15" s="84"/>
    </row>
    <row r="16" spans="1:53" s="208" customFormat="1" x14ac:dyDescent="0.15">
      <c r="A16" s="208">
        <v>1995</v>
      </c>
      <c r="C16" s="811" t="s">
        <v>1178</v>
      </c>
      <c r="D16" s="811"/>
      <c r="E16" s="208">
        <v>292</v>
      </c>
      <c r="G16" s="74">
        <v>2</v>
      </c>
      <c r="H16" s="75"/>
      <c r="I16" s="75">
        <v>16</v>
      </c>
      <c r="J16" s="76">
        <v>22</v>
      </c>
      <c r="K16" s="77">
        <f t="shared" si="0"/>
        <v>9.0909090909090917</v>
      </c>
      <c r="L16" s="77">
        <f t="shared" si="1"/>
        <v>0</v>
      </c>
      <c r="M16" s="77">
        <f t="shared" si="2"/>
        <v>72.727272727272734</v>
      </c>
      <c r="N16" s="78">
        <f t="shared" si="3"/>
        <v>81.818181818181827</v>
      </c>
      <c r="O16" s="79">
        <v>8.8000000000000007</v>
      </c>
      <c r="P16" s="77"/>
      <c r="Q16" s="77">
        <v>34.299999999999997</v>
      </c>
      <c r="R16" s="80">
        <f t="shared" si="4"/>
        <v>43.099999999999994</v>
      </c>
      <c r="S16" s="208">
        <v>5</v>
      </c>
      <c r="T16" s="81"/>
      <c r="V16" s="82" t="s">
        <v>929</v>
      </c>
      <c r="W16" s="208" t="s">
        <v>20</v>
      </c>
      <c r="X16" s="208" t="s">
        <v>12</v>
      </c>
      <c r="Y16" s="83">
        <v>34.299999999999997</v>
      </c>
      <c r="Z16" s="208" t="s">
        <v>930</v>
      </c>
      <c r="AA16" s="208" t="s">
        <v>307</v>
      </c>
      <c r="AB16" s="208" t="s">
        <v>11</v>
      </c>
      <c r="AC16" s="208">
        <v>8.8000000000000007</v>
      </c>
      <c r="AD16" s="82"/>
      <c r="AG16" s="83"/>
      <c r="AL16" s="82"/>
      <c r="AO16" s="83"/>
      <c r="AP16" s="82"/>
      <c r="AS16" s="83"/>
      <c r="AW16" s="83"/>
      <c r="BA16" s="84"/>
    </row>
    <row r="17" spans="1:53" s="208" customFormat="1" x14ac:dyDescent="0.15">
      <c r="A17" s="208">
        <v>1995</v>
      </c>
      <c r="B17" s="149">
        <v>34992</v>
      </c>
      <c r="C17" s="811" t="s">
        <v>1205</v>
      </c>
      <c r="D17" s="811"/>
      <c r="E17" s="208">
        <f xml:space="preserve"> 365-E16</f>
        <v>73</v>
      </c>
      <c r="F17" s="150">
        <v>0</v>
      </c>
      <c r="G17" s="74">
        <v>2</v>
      </c>
      <c r="H17" s="75"/>
      <c r="I17" s="75">
        <v>21</v>
      </c>
      <c r="J17" s="76">
        <v>24</v>
      </c>
      <c r="K17" s="77">
        <f t="shared" si="0"/>
        <v>8.3333333333333321</v>
      </c>
      <c r="L17" s="77">
        <f t="shared" si="1"/>
        <v>0</v>
      </c>
      <c r="M17" s="77">
        <f t="shared" si="2"/>
        <v>87.5</v>
      </c>
      <c r="N17" s="78">
        <f t="shared" si="3"/>
        <v>95.833333333333329</v>
      </c>
      <c r="O17" s="79">
        <v>8.8000000000000007</v>
      </c>
      <c r="P17" s="77"/>
      <c r="Q17" s="77">
        <v>34.299999999999997</v>
      </c>
      <c r="R17" s="80">
        <f t="shared" si="4"/>
        <v>43.099999999999994</v>
      </c>
      <c r="S17" s="208">
        <v>5</v>
      </c>
      <c r="T17" s="81"/>
      <c r="U17" s="207"/>
      <c r="V17" s="82" t="s">
        <v>929</v>
      </c>
      <c r="W17" s="208" t="s">
        <v>20</v>
      </c>
      <c r="X17" s="208" t="s">
        <v>12</v>
      </c>
      <c r="Y17" s="83">
        <v>34.299999999999997</v>
      </c>
      <c r="Z17" s="208" t="s">
        <v>930</v>
      </c>
      <c r="AA17" s="208" t="s">
        <v>307</v>
      </c>
      <c r="AB17" s="208" t="s">
        <v>11</v>
      </c>
      <c r="AC17" s="208">
        <v>8.8000000000000007</v>
      </c>
      <c r="AD17" s="82"/>
      <c r="AG17" s="83"/>
      <c r="AL17" s="82"/>
      <c r="AO17" s="83"/>
      <c r="AP17" s="82"/>
      <c r="AS17" s="83"/>
      <c r="AW17" s="83"/>
      <c r="BA17" s="84"/>
    </row>
    <row r="18" spans="1:53" s="208" customFormat="1" x14ac:dyDescent="0.15">
      <c r="A18" s="208">
        <v>1996</v>
      </c>
      <c r="C18" s="811" t="s">
        <v>1205</v>
      </c>
      <c r="D18" s="811"/>
      <c r="E18" s="208">
        <v>246</v>
      </c>
      <c r="G18" s="74">
        <v>2</v>
      </c>
      <c r="H18" s="75"/>
      <c r="I18" s="75">
        <v>21</v>
      </c>
      <c r="J18" s="76">
        <v>24</v>
      </c>
      <c r="K18" s="77">
        <f t="shared" si="0"/>
        <v>8.3333333333333321</v>
      </c>
      <c r="L18" s="77">
        <f t="shared" si="1"/>
        <v>0</v>
      </c>
      <c r="M18" s="77">
        <f t="shared" si="2"/>
        <v>87.5</v>
      </c>
      <c r="N18" s="78">
        <f t="shared" si="3"/>
        <v>95.833333333333329</v>
      </c>
      <c r="O18" s="79">
        <v>8.8000000000000007</v>
      </c>
      <c r="P18" s="77"/>
      <c r="Q18" s="77">
        <v>34.299999999999997</v>
      </c>
      <c r="R18" s="80">
        <f t="shared" si="4"/>
        <v>43.099999999999994</v>
      </c>
      <c r="S18" s="208">
        <v>5</v>
      </c>
      <c r="T18" s="81"/>
      <c r="V18" s="82" t="s">
        <v>929</v>
      </c>
      <c r="W18" s="208" t="s">
        <v>20</v>
      </c>
      <c r="X18" s="208" t="s">
        <v>12</v>
      </c>
      <c r="Y18" s="83">
        <v>34.299999999999997</v>
      </c>
      <c r="Z18" s="208" t="s">
        <v>930</v>
      </c>
      <c r="AA18" s="208" t="s">
        <v>307</v>
      </c>
      <c r="AB18" s="208" t="s">
        <v>11</v>
      </c>
      <c r="AC18" s="208">
        <v>8.8000000000000007</v>
      </c>
      <c r="AD18" s="82"/>
      <c r="AG18" s="83"/>
      <c r="AL18" s="82"/>
      <c r="AO18" s="83"/>
      <c r="AP18" s="82"/>
      <c r="AS18" s="83"/>
      <c r="AW18" s="83"/>
      <c r="BA18" s="84"/>
    </row>
    <row r="19" spans="1:53" s="334" customFormat="1" x14ac:dyDescent="0.15">
      <c r="A19" s="334">
        <v>1996</v>
      </c>
      <c r="B19" s="355">
        <v>35311</v>
      </c>
      <c r="C19" s="812" t="s">
        <v>1220</v>
      </c>
      <c r="D19" s="812"/>
      <c r="E19" s="334">
        <v>100</v>
      </c>
      <c r="F19" s="334">
        <v>4</v>
      </c>
      <c r="G19" s="336"/>
      <c r="H19" s="200"/>
      <c r="I19" s="200">
        <v>26</v>
      </c>
      <c r="J19" s="337">
        <v>26</v>
      </c>
      <c r="K19" s="338">
        <f t="shared" si="0"/>
        <v>0</v>
      </c>
      <c r="L19" s="338">
        <f t="shared" si="1"/>
        <v>0</v>
      </c>
      <c r="M19" s="338">
        <f t="shared" si="2"/>
        <v>100</v>
      </c>
      <c r="N19" s="339">
        <f t="shared" si="3"/>
        <v>100</v>
      </c>
      <c r="O19" s="340"/>
      <c r="P19" s="338"/>
      <c r="Q19" s="338">
        <v>34.299999999999997</v>
      </c>
      <c r="R19" s="341">
        <f t="shared" si="4"/>
        <v>34.299999999999997</v>
      </c>
      <c r="S19" s="334">
        <v>4</v>
      </c>
      <c r="T19" s="357"/>
      <c r="U19" s="355">
        <v>35311</v>
      </c>
      <c r="V19" s="343" t="s">
        <v>929</v>
      </c>
      <c r="W19" s="334" t="s">
        <v>20</v>
      </c>
      <c r="X19" s="334" t="s">
        <v>12</v>
      </c>
      <c r="Y19" s="344">
        <v>34.299999999999997</v>
      </c>
      <c r="AD19" s="343"/>
      <c r="AG19" s="344"/>
      <c r="AL19" s="343"/>
      <c r="AO19" s="344"/>
      <c r="AP19" s="343"/>
      <c r="AS19" s="344"/>
      <c r="AW19" s="344"/>
      <c r="BA19" s="345"/>
    </row>
    <row r="20" spans="1:53" s="208" customFormat="1" x14ac:dyDescent="0.15">
      <c r="A20" s="208">
        <v>1996</v>
      </c>
      <c r="B20" s="207">
        <v>35411</v>
      </c>
      <c r="C20" s="811" t="s">
        <v>935</v>
      </c>
      <c r="D20" s="811"/>
      <c r="E20" s="208">
        <f>366-E19-E18</f>
        <v>20</v>
      </c>
      <c r="F20" s="208">
        <v>1</v>
      </c>
      <c r="G20" s="74">
        <v>13</v>
      </c>
      <c r="H20" s="75">
        <v>1</v>
      </c>
      <c r="I20" s="75">
        <v>5</v>
      </c>
      <c r="J20" s="76">
        <v>20</v>
      </c>
      <c r="K20" s="77">
        <f t="shared" si="0"/>
        <v>65</v>
      </c>
      <c r="L20" s="77">
        <f t="shared" si="1"/>
        <v>5</v>
      </c>
      <c r="M20" s="77">
        <f t="shared" si="2"/>
        <v>25</v>
      </c>
      <c r="N20" s="78">
        <f t="shared" si="3"/>
        <v>95</v>
      </c>
      <c r="O20" s="79">
        <v>35.6</v>
      </c>
      <c r="P20" s="77">
        <v>7.3</v>
      </c>
      <c r="Q20" s="77">
        <v>15.5</v>
      </c>
      <c r="R20" s="80">
        <f t="shared" si="4"/>
        <v>58.4</v>
      </c>
      <c r="S20" s="208">
        <v>3</v>
      </c>
      <c r="T20" s="95">
        <v>35376</v>
      </c>
      <c r="U20" s="207">
        <v>35411</v>
      </c>
      <c r="V20" s="82" t="s">
        <v>931</v>
      </c>
      <c r="W20" s="208" t="s">
        <v>932</v>
      </c>
      <c r="X20" s="208" t="s">
        <v>11</v>
      </c>
      <c r="Y20" s="83">
        <v>35.6</v>
      </c>
      <c r="Z20" s="208" t="s">
        <v>933</v>
      </c>
      <c r="AA20" s="208" t="s">
        <v>98</v>
      </c>
      <c r="AB20" s="208" t="s">
        <v>12</v>
      </c>
      <c r="AC20" s="208">
        <v>15.5</v>
      </c>
      <c r="AD20" s="82" t="s">
        <v>934</v>
      </c>
      <c r="AE20" s="208" t="s">
        <v>90</v>
      </c>
      <c r="AF20" s="208" t="s">
        <v>18</v>
      </c>
      <c r="AG20" s="83">
        <v>7.3</v>
      </c>
      <c r="AL20" s="82"/>
      <c r="AO20" s="83"/>
      <c r="AP20" s="82"/>
      <c r="AS20" s="83"/>
      <c r="AW20" s="83"/>
      <c r="BA20" s="84"/>
    </row>
    <row r="21" spans="1:53" s="208" customFormat="1" x14ac:dyDescent="0.15">
      <c r="A21" s="208">
        <v>1997</v>
      </c>
      <c r="C21" s="811" t="s">
        <v>935</v>
      </c>
      <c r="D21" s="811"/>
      <c r="E21" s="208">
        <v>0</v>
      </c>
      <c r="G21" s="74">
        <v>13</v>
      </c>
      <c r="H21" s="75">
        <v>1</v>
      </c>
      <c r="I21" s="75">
        <v>5</v>
      </c>
      <c r="J21" s="76">
        <v>20</v>
      </c>
      <c r="K21" s="77">
        <f t="shared" si="0"/>
        <v>65</v>
      </c>
      <c r="L21" s="77">
        <f t="shared" si="1"/>
        <v>5</v>
      </c>
      <c r="M21" s="77">
        <f t="shared" si="2"/>
        <v>25</v>
      </c>
      <c r="N21" s="78">
        <f t="shared" si="3"/>
        <v>95</v>
      </c>
      <c r="O21" s="79">
        <v>35.6</v>
      </c>
      <c r="P21" s="77">
        <v>7.3</v>
      </c>
      <c r="Q21" s="77">
        <v>15.5</v>
      </c>
      <c r="R21" s="80">
        <f t="shared" si="4"/>
        <v>58.4</v>
      </c>
      <c r="S21" s="208">
        <v>3</v>
      </c>
      <c r="T21" s="81"/>
      <c r="V21" s="82" t="s">
        <v>931</v>
      </c>
      <c r="W21" s="208" t="s">
        <v>932</v>
      </c>
      <c r="X21" s="208" t="s">
        <v>11</v>
      </c>
      <c r="Y21" s="83">
        <v>35.6</v>
      </c>
      <c r="Z21" s="208" t="s">
        <v>933</v>
      </c>
      <c r="AA21" s="208" t="s">
        <v>98</v>
      </c>
      <c r="AB21" s="208" t="s">
        <v>12</v>
      </c>
      <c r="AC21" s="208">
        <v>15.5</v>
      </c>
      <c r="AD21" s="82" t="s">
        <v>934</v>
      </c>
      <c r="AE21" s="208" t="s">
        <v>90</v>
      </c>
      <c r="AF21" s="208" t="s">
        <v>18</v>
      </c>
      <c r="AG21" s="83">
        <v>7.3</v>
      </c>
      <c r="AL21" s="82"/>
      <c r="AO21" s="83"/>
      <c r="AP21" s="82"/>
      <c r="AS21" s="83"/>
      <c r="AW21" s="83"/>
      <c r="BA21" s="84"/>
    </row>
    <row r="22" spans="1:53" s="208" customFormat="1" x14ac:dyDescent="0.15">
      <c r="A22" s="208">
        <v>1997</v>
      </c>
      <c r="C22" s="811" t="s">
        <v>935</v>
      </c>
      <c r="D22" s="811"/>
      <c r="E22" s="208">
        <v>365</v>
      </c>
      <c r="G22" s="74">
        <v>13</v>
      </c>
      <c r="H22" s="75">
        <v>1</v>
      </c>
      <c r="I22" s="75">
        <v>5</v>
      </c>
      <c r="J22" s="76">
        <v>20</v>
      </c>
      <c r="K22" s="77">
        <f t="shared" si="0"/>
        <v>65</v>
      </c>
      <c r="L22" s="77">
        <f t="shared" si="1"/>
        <v>5</v>
      </c>
      <c r="M22" s="77">
        <f t="shared" si="2"/>
        <v>25</v>
      </c>
      <c r="N22" s="78">
        <f t="shared" si="3"/>
        <v>95</v>
      </c>
      <c r="O22" s="79">
        <v>35.6</v>
      </c>
      <c r="P22" s="77">
        <v>7.3</v>
      </c>
      <c r="Q22" s="77">
        <v>15.5</v>
      </c>
      <c r="R22" s="80">
        <f t="shared" si="4"/>
        <v>58.4</v>
      </c>
      <c r="S22" s="208">
        <v>3</v>
      </c>
      <c r="T22" s="81"/>
      <c r="V22" s="82" t="s">
        <v>931</v>
      </c>
      <c r="W22" s="208" t="s">
        <v>932</v>
      </c>
      <c r="X22" s="208" t="s">
        <v>11</v>
      </c>
      <c r="Y22" s="83">
        <v>35.6</v>
      </c>
      <c r="Z22" s="208" t="s">
        <v>933</v>
      </c>
      <c r="AA22" s="208" t="s">
        <v>98</v>
      </c>
      <c r="AB22" s="208" t="s">
        <v>12</v>
      </c>
      <c r="AC22" s="208">
        <v>15.5</v>
      </c>
      <c r="AD22" s="82" t="s">
        <v>934</v>
      </c>
      <c r="AE22" s="208" t="s">
        <v>90</v>
      </c>
      <c r="AF22" s="208" t="s">
        <v>18</v>
      </c>
      <c r="AG22" s="83">
        <v>7.3</v>
      </c>
      <c r="AL22" s="82"/>
      <c r="AO22" s="83"/>
      <c r="AP22" s="82"/>
      <c r="AS22" s="83"/>
      <c r="AW22" s="83"/>
      <c r="BA22" s="84"/>
    </row>
    <row r="23" spans="1:53" s="208" customFormat="1" x14ac:dyDescent="0.15">
      <c r="A23" s="208">
        <v>1998</v>
      </c>
      <c r="C23" s="811" t="s">
        <v>935</v>
      </c>
      <c r="D23" s="811"/>
      <c r="E23" s="208">
        <v>88</v>
      </c>
      <c r="G23" s="74">
        <v>13</v>
      </c>
      <c r="H23" s="75">
        <v>1</v>
      </c>
      <c r="I23" s="75">
        <v>5</v>
      </c>
      <c r="J23" s="76">
        <v>20</v>
      </c>
      <c r="K23" s="77">
        <f t="shared" si="0"/>
        <v>65</v>
      </c>
      <c r="L23" s="77">
        <f t="shared" si="1"/>
        <v>5</v>
      </c>
      <c r="M23" s="77">
        <f t="shared" si="2"/>
        <v>25</v>
      </c>
      <c r="N23" s="78">
        <f t="shared" si="3"/>
        <v>95</v>
      </c>
      <c r="O23" s="79">
        <v>35.6</v>
      </c>
      <c r="P23" s="77">
        <v>7.3</v>
      </c>
      <c r="Q23" s="77">
        <v>15.5</v>
      </c>
      <c r="R23" s="80">
        <f t="shared" si="4"/>
        <v>58.4</v>
      </c>
      <c r="S23" s="208">
        <v>3</v>
      </c>
      <c r="T23" s="81"/>
      <c r="V23" s="82" t="s">
        <v>931</v>
      </c>
      <c r="W23" s="208" t="s">
        <v>932</v>
      </c>
      <c r="X23" s="208" t="s">
        <v>11</v>
      </c>
      <c r="Y23" s="83">
        <v>35.6</v>
      </c>
      <c r="Z23" s="208" t="s">
        <v>933</v>
      </c>
      <c r="AA23" s="208" t="s">
        <v>98</v>
      </c>
      <c r="AB23" s="208" t="s">
        <v>12</v>
      </c>
      <c r="AC23" s="208">
        <v>15.5</v>
      </c>
      <c r="AD23" s="82" t="s">
        <v>934</v>
      </c>
      <c r="AE23" s="208" t="s">
        <v>90</v>
      </c>
      <c r="AF23" s="208" t="s">
        <v>18</v>
      </c>
      <c r="AG23" s="83">
        <v>7.3</v>
      </c>
      <c r="AL23" s="82"/>
      <c r="AO23" s="83"/>
      <c r="AP23" s="82"/>
      <c r="AS23" s="83"/>
      <c r="AW23" s="83"/>
      <c r="BA23" s="84"/>
    </row>
    <row r="24" spans="1:53" s="334" customFormat="1" x14ac:dyDescent="0.15">
      <c r="A24" s="334">
        <v>1998</v>
      </c>
      <c r="B24" s="355">
        <v>35884</v>
      </c>
      <c r="C24" s="812" t="s">
        <v>1179</v>
      </c>
      <c r="D24" s="812"/>
      <c r="E24" s="334">
        <v>16</v>
      </c>
      <c r="F24" s="334">
        <v>2</v>
      </c>
      <c r="G24" s="336">
        <v>11</v>
      </c>
      <c r="H24" s="200">
        <v>1</v>
      </c>
      <c r="I24" s="200">
        <v>6</v>
      </c>
      <c r="J24" s="337">
        <v>21</v>
      </c>
      <c r="K24" s="338">
        <f t="shared" si="0"/>
        <v>52.380952380952387</v>
      </c>
      <c r="L24" s="338">
        <f t="shared" si="1"/>
        <v>4.7619047619047619</v>
      </c>
      <c r="M24" s="338">
        <f t="shared" si="2"/>
        <v>28.571428571428569</v>
      </c>
      <c r="N24" s="339">
        <f t="shared" si="3"/>
        <v>85.714285714285722</v>
      </c>
      <c r="O24" s="340">
        <v>35.6</v>
      </c>
      <c r="P24" s="338">
        <v>7.3</v>
      </c>
      <c r="Q24" s="338">
        <v>15.5</v>
      </c>
      <c r="R24" s="341">
        <f t="shared" si="4"/>
        <v>58.4</v>
      </c>
      <c r="S24" s="334">
        <v>6</v>
      </c>
      <c r="T24" s="357"/>
      <c r="U24" s="355">
        <v>35884</v>
      </c>
      <c r="V24" s="343" t="s">
        <v>931</v>
      </c>
      <c r="W24" s="334" t="s">
        <v>932</v>
      </c>
      <c r="X24" s="334" t="s">
        <v>11</v>
      </c>
      <c r="Y24" s="344">
        <v>35.6</v>
      </c>
      <c r="Z24" s="334" t="s">
        <v>568</v>
      </c>
      <c r="AA24" s="334" t="s">
        <v>98</v>
      </c>
      <c r="AB24" s="334" t="s">
        <v>12</v>
      </c>
      <c r="AC24" s="334">
        <v>15.5</v>
      </c>
      <c r="AD24" s="343" t="s">
        <v>934</v>
      </c>
      <c r="AE24" s="334" t="s">
        <v>90</v>
      </c>
      <c r="AF24" s="334" t="s">
        <v>18</v>
      </c>
      <c r="AG24" s="344">
        <v>7.3</v>
      </c>
      <c r="AL24" s="343"/>
      <c r="AO24" s="344"/>
      <c r="AP24" s="343"/>
      <c r="AS24" s="344"/>
      <c r="AW24" s="344"/>
      <c r="BA24" s="345"/>
    </row>
    <row r="25" spans="1:53" s="208" customFormat="1" x14ac:dyDescent="0.15">
      <c r="A25" s="208">
        <v>1998</v>
      </c>
      <c r="B25" s="207">
        <v>35900</v>
      </c>
      <c r="C25" s="811" t="s">
        <v>936</v>
      </c>
      <c r="D25" s="811"/>
      <c r="E25" s="208">
        <f xml:space="preserve"> 365-E24-E23</f>
        <v>261</v>
      </c>
      <c r="F25" s="208">
        <v>6</v>
      </c>
      <c r="G25" s="74">
        <v>11</v>
      </c>
      <c r="H25" s="75">
        <v>1</v>
      </c>
      <c r="I25" s="75">
        <v>7</v>
      </c>
      <c r="J25" s="76">
        <v>21</v>
      </c>
      <c r="K25" s="77">
        <f t="shared" si="0"/>
        <v>52.380952380952387</v>
      </c>
      <c r="L25" s="77">
        <f t="shared" si="1"/>
        <v>4.7619047619047619</v>
      </c>
      <c r="M25" s="77">
        <f t="shared" si="2"/>
        <v>33.333333333333329</v>
      </c>
      <c r="N25" s="78">
        <f t="shared" si="3"/>
        <v>90.476190476190482</v>
      </c>
      <c r="O25" s="79">
        <v>35.6</v>
      </c>
      <c r="P25" s="77">
        <v>7.3</v>
      </c>
      <c r="Q25" s="77">
        <v>26.6</v>
      </c>
      <c r="R25" s="80">
        <f t="shared" si="4"/>
        <v>69.5</v>
      </c>
      <c r="S25" s="208">
        <v>3</v>
      </c>
      <c r="T25" s="81"/>
      <c r="U25" s="207">
        <v>35900</v>
      </c>
      <c r="V25" s="82" t="s">
        <v>931</v>
      </c>
      <c r="W25" s="208" t="s">
        <v>932</v>
      </c>
      <c r="X25" s="208" t="s">
        <v>11</v>
      </c>
      <c r="Y25" s="83">
        <v>35.6</v>
      </c>
      <c r="Z25" s="208" t="s">
        <v>929</v>
      </c>
      <c r="AA25" s="208" t="s">
        <v>20</v>
      </c>
      <c r="AB25" s="208" t="s">
        <v>12</v>
      </c>
      <c r="AC25" s="208">
        <v>26.6</v>
      </c>
      <c r="AD25" s="82" t="s">
        <v>934</v>
      </c>
      <c r="AE25" s="208" t="s">
        <v>90</v>
      </c>
      <c r="AF25" s="208" t="s">
        <v>18</v>
      </c>
      <c r="AG25" s="83">
        <v>7.3</v>
      </c>
      <c r="AL25" s="82"/>
      <c r="AO25" s="83"/>
      <c r="AP25" s="82"/>
      <c r="AS25" s="83"/>
      <c r="AW25" s="83"/>
      <c r="BA25" s="84"/>
    </row>
    <row r="26" spans="1:53" s="208" customFormat="1" x14ac:dyDescent="0.15">
      <c r="A26" s="208">
        <v>1999</v>
      </c>
      <c r="C26" s="811" t="s">
        <v>936</v>
      </c>
      <c r="D26" s="811"/>
      <c r="E26" s="208">
        <v>345</v>
      </c>
      <c r="G26" s="74">
        <v>11</v>
      </c>
      <c r="H26" s="75">
        <v>1</v>
      </c>
      <c r="I26" s="75">
        <v>7</v>
      </c>
      <c r="J26" s="76">
        <v>21</v>
      </c>
      <c r="K26" s="77">
        <f t="shared" si="0"/>
        <v>52.380952380952387</v>
      </c>
      <c r="L26" s="77">
        <f t="shared" si="1"/>
        <v>4.7619047619047619</v>
      </c>
      <c r="M26" s="77">
        <f t="shared" si="2"/>
        <v>33.333333333333329</v>
      </c>
      <c r="N26" s="78">
        <f t="shared" si="3"/>
        <v>90.476190476190482</v>
      </c>
      <c r="O26" s="79">
        <v>35.6</v>
      </c>
      <c r="P26" s="77">
        <v>7.3</v>
      </c>
      <c r="Q26" s="77">
        <v>26.6</v>
      </c>
      <c r="R26" s="80">
        <f t="shared" si="4"/>
        <v>69.5</v>
      </c>
      <c r="S26" s="208">
        <v>3</v>
      </c>
      <c r="T26" s="81"/>
      <c r="V26" s="82" t="s">
        <v>931</v>
      </c>
      <c r="W26" s="208" t="s">
        <v>932</v>
      </c>
      <c r="X26" s="208" t="s">
        <v>11</v>
      </c>
      <c r="Y26" s="83">
        <v>35.6</v>
      </c>
      <c r="Z26" s="208" t="s">
        <v>929</v>
      </c>
      <c r="AA26" s="208" t="s">
        <v>20</v>
      </c>
      <c r="AB26" s="208" t="s">
        <v>12</v>
      </c>
      <c r="AC26" s="208">
        <v>26.6</v>
      </c>
      <c r="AD26" s="82" t="s">
        <v>934</v>
      </c>
      <c r="AE26" s="208" t="s">
        <v>90</v>
      </c>
      <c r="AF26" s="208" t="s">
        <v>18</v>
      </c>
      <c r="AG26" s="83">
        <v>7.3</v>
      </c>
      <c r="AL26" s="82"/>
      <c r="AO26" s="83"/>
      <c r="AP26" s="82"/>
      <c r="AS26" s="83"/>
      <c r="AW26" s="83"/>
      <c r="BA26" s="84"/>
    </row>
    <row r="27" spans="1:53" s="334" customFormat="1" x14ac:dyDescent="0.15">
      <c r="A27" s="334">
        <v>1999</v>
      </c>
      <c r="B27" s="355">
        <v>36506</v>
      </c>
      <c r="C27" s="812" t="s">
        <v>1180</v>
      </c>
      <c r="D27" s="812"/>
      <c r="E27" s="334">
        <f xml:space="preserve"> 365-E26</f>
        <v>20</v>
      </c>
      <c r="F27" s="334">
        <v>6</v>
      </c>
      <c r="G27" s="336">
        <v>11</v>
      </c>
      <c r="H27" s="200">
        <v>1</v>
      </c>
      <c r="I27" s="200">
        <v>6</v>
      </c>
      <c r="J27" s="337">
        <v>18</v>
      </c>
      <c r="K27" s="338">
        <f t="shared" si="0"/>
        <v>61.111111111111114</v>
      </c>
      <c r="L27" s="338">
        <f t="shared" si="1"/>
        <v>5.5555555555555554</v>
      </c>
      <c r="M27" s="338">
        <f t="shared" si="2"/>
        <v>33.333333333333329</v>
      </c>
      <c r="N27" s="339">
        <f t="shared" si="3"/>
        <v>100</v>
      </c>
      <c r="O27" s="340">
        <v>35.6</v>
      </c>
      <c r="P27" s="338">
        <v>7.3</v>
      </c>
      <c r="Q27" s="338">
        <v>15.5</v>
      </c>
      <c r="R27" s="341">
        <f t="shared" si="4"/>
        <v>58.4</v>
      </c>
      <c r="S27" s="334">
        <v>3</v>
      </c>
      <c r="T27" s="357"/>
      <c r="U27" s="355">
        <v>36506</v>
      </c>
      <c r="V27" s="343" t="s">
        <v>931</v>
      </c>
      <c r="W27" s="334" t="s">
        <v>932</v>
      </c>
      <c r="X27" s="334" t="s">
        <v>11</v>
      </c>
      <c r="Y27" s="344">
        <v>35.6</v>
      </c>
      <c r="Z27" s="334" t="s">
        <v>568</v>
      </c>
      <c r="AA27" s="334" t="s">
        <v>98</v>
      </c>
      <c r="AB27" s="334" t="s">
        <v>12</v>
      </c>
      <c r="AC27" s="334">
        <v>15.5</v>
      </c>
      <c r="AD27" s="343" t="s">
        <v>934</v>
      </c>
      <c r="AE27" s="334" t="s">
        <v>90</v>
      </c>
      <c r="AF27" s="334" t="s">
        <v>18</v>
      </c>
      <c r="AG27" s="344">
        <v>7.3</v>
      </c>
      <c r="AL27" s="343"/>
      <c r="AO27" s="344"/>
      <c r="AP27" s="343"/>
      <c r="AS27" s="344"/>
      <c r="AW27" s="344"/>
      <c r="BA27" s="345"/>
    </row>
    <row r="28" spans="1:53" s="334" customFormat="1" x14ac:dyDescent="0.15">
      <c r="A28" s="334">
        <v>2000</v>
      </c>
      <c r="C28" s="812" t="s">
        <v>1180</v>
      </c>
      <c r="D28" s="812"/>
      <c r="E28" s="334">
        <v>362</v>
      </c>
      <c r="G28" s="336">
        <v>11</v>
      </c>
      <c r="H28" s="200">
        <v>1</v>
      </c>
      <c r="I28" s="200">
        <v>6</v>
      </c>
      <c r="J28" s="337">
        <v>18</v>
      </c>
      <c r="K28" s="338">
        <f t="shared" si="0"/>
        <v>61.111111111111114</v>
      </c>
      <c r="L28" s="338">
        <f t="shared" si="1"/>
        <v>5.5555555555555554</v>
      </c>
      <c r="M28" s="338">
        <f t="shared" si="2"/>
        <v>33.333333333333329</v>
      </c>
      <c r="N28" s="339">
        <f t="shared" si="3"/>
        <v>100</v>
      </c>
      <c r="O28" s="340">
        <v>35.6</v>
      </c>
      <c r="P28" s="338">
        <v>7.3</v>
      </c>
      <c r="Q28" s="338">
        <v>15.5</v>
      </c>
      <c r="R28" s="341">
        <f t="shared" si="4"/>
        <v>58.4</v>
      </c>
      <c r="S28" s="334">
        <v>3</v>
      </c>
      <c r="T28" s="357"/>
      <c r="V28" s="343" t="s">
        <v>931</v>
      </c>
      <c r="W28" s="334" t="s">
        <v>932</v>
      </c>
      <c r="X28" s="334" t="s">
        <v>11</v>
      </c>
      <c r="Y28" s="344">
        <v>35.6</v>
      </c>
      <c r="Z28" s="334" t="s">
        <v>568</v>
      </c>
      <c r="AA28" s="334" t="s">
        <v>98</v>
      </c>
      <c r="AB28" s="334" t="s">
        <v>12</v>
      </c>
      <c r="AC28" s="334">
        <v>15.5</v>
      </c>
      <c r="AD28" s="343" t="s">
        <v>934</v>
      </c>
      <c r="AE28" s="334" t="s">
        <v>90</v>
      </c>
      <c r="AF28" s="334" t="s">
        <v>18</v>
      </c>
      <c r="AG28" s="344">
        <v>7.3</v>
      </c>
      <c r="AL28" s="343"/>
      <c r="AO28" s="344"/>
      <c r="AP28" s="343"/>
      <c r="AS28" s="344"/>
      <c r="AW28" s="344"/>
      <c r="BA28" s="345"/>
    </row>
    <row r="29" spans="1:53" s="208" customFormat="1" x14ac:dyDescent="0.15">
      <c r="A29" s="208">
        <v>2000</v>
      </c>
      <c r="B29" s="207">
        <v>36888</v>
      </c>
      <c r="C29" s="811" t="s">
        <v>1181</v>
      </c>
      <c r="D29" s="811"/>
      <c r="E29" s="208">
        <f xml:space="preserve"> 366-E28</f>
        <v>4</v>
      </c>
      <c r="F29" s="208">
        <v>1</v>
      </c>
      <c r="G29" s="74"/>
      <c r="H29" s="75"/>
      <c r="I29" s="75">
        <v>23</v>
      </c>
      <c r="J29" s="76">
        <v>23</v>
      </c>
      <c r="K29" s="77">
        <f t="shared" si="0"/>
        <v>0</v>
      </c>
      <c r="L29" s="77">
        <f t="shared" si="1"/>
        <v>0</v>
      </c>
      <c r="M29" s="77">
        <f t="shared" si="2"/>
        <v>100</v>
      </c>
      <c r="N29" s="78">
        <f t="shared" si="3"/>
        <v>100</v>
      </c>
      <c r="O29" s="79"/>
      <c r="P29" s="77"/>
      <c r="Q29" s="77">
        <v>44.9</v>
      </c>
      <c r="R29" s="80">
        <f t="shared" si="4"/>
        <v>44.9</v>
      </c>
      <c r="S29" s="208">
        <v>4</v>
      </c>
      <c r="T29" s="95">
        <v>36856</v>
      </c>
      <c r="U29" s="207">
        <v>36888</v>
      </c>
      <c r="V29" s="82" t="s">
        <v>929</v>
      </c>
      <c r="W29" s="208" t="s">
        <v>20</v>
      </c>
      <c r="X29" s="208" t="s">
        <v>12</v>
      </c>
      <c r="Y29" s="83">
        <v>44.9</v>
      </c>
      <c r="AD29" s="82"/>
      <c r="AG29" s="83"/>
      <c r="AL29" s="82"/>
      <c r="AO29" s="83"/>
      <c r="AP29" s="82"/>
      <c r="AS29" s="83"/>
      <c r="AW29" s="83"/>
      <c r="BA29" s="84"/>
    </row>
    <row r="30" spans="1:53" s="208" customFormat="1" x14ac:dyDescent="0.15">
      <c r="A30" s="208">
        <v>2001</v>
      </c>
      <c r="C30" s="811" t="s">
        <v>1181</v>
      </c>
      <c r="D30" s="811"/>
      <c r="E30" s="208">
        <v>0</v>
      </c>
      <c r="G30" s="74"/>
      <c r="H30" s="75"/>
      <c r="I30" s="75">
        <v>23</v>
      </c>
      <c r="J30" s="76">
        <v>23</v>
      </c>
      <c r="K30" s="77">
        <f t="shared" si="0"/>
        <v>0</v>
      </c>
      <c r="L30" s="77">
        <f t="shared" si="1"/>
        <v>0</v>
      </c>
      <c r="M30" s="77">
        <f t="shared" si="2"/>
        <v>100</v>
      </c>
      <c r="N30" s="78">
        <f t="shared" si="3"/>
        <v>100</v>
      </c>
      <c r="O30" s="79"/>
      <c r="P30" s="77"/>
      <c r="Q30" s="77">
        <v>44.9</v>
      </c>
      <c r="R30" s="80">
        <f t="shared" si="4"/>
        <v>44.9</v>
      </c>
      <c r="S30" s="208">
        <v>4</v>
      </c>
      <c r="T30" s="81"/>
      <c r="V30" s="82" t="s">
        <v>929</v>
      </c>
      <c r="W30" s="208" t="s">
        <v>20</v>
      </c>
      <c r="X30" s="208" t="s">
        <v>12</v>
      </c>
      <c r="Y30" s="83">
        <v>44.9</v>
      </c>
      <c r="AD30" s="82"/>
      <c r="AG30" s="83"/>
      <c r="AL30" s="82"/>
      <c r="AO30" s="83"/>
      <c r="AP30" s="82"/>
      <c r="AS30" s="83"/>
      <c r="AW30" s="83"/>
      <c r="BA30" s="84"/>
    </row>
    <row r="31" spans="1:53" s="208" customFormat="1" x14ac:dyDescent="0.15">
      <c r="A31" s="208">
        <v>2001</v>
      </c>
      <c r="C31" s="811" t="s">
        <v>1181</v>
      </c>
      <c r="D31" s="811"/>
      <c r="E31" s="208">
        <v>365</v>
      </c>
      <c r="G31" s="74"/>
      <c r="H31" s="75"/>
      <c r="I31" s="75">
        <v>23</v>
      </c>
      <c r="J31" s="76">
        <v>23</v>
      </c>
      <c r="K31" s="77">
        <f t="shared" si="0"/>
        <v>0</v>
      </c>
      <c r="L31" s="77">
        <f t="shared" si="1"/>
        <v>0</v>
      </c>
      <c r="M31" s="77">
        <f t="shared" si="2"/>
        <v>100</v>
      </c>
      <c r="N31" s="78">
        <f t="shared" si="3"/>
        <v>100</v>
      </c>
      <c r="O31" s="79"/>
      <c r="P31" s="77"/>
      <c r="Q31" s="77">
        <v>44.9</v>
      </c>
      <c r="R31" s="80">
        <f t="shared" si="4"/>
        <v>44.9</v>
      </c>
      <c r="S31" s="208">
        <v>4</v>
      </c>
      <c r="T31" s="81"/>
      <c r="V31" s="82" t="s">
        <v>929</v>
      </c>
      <c r="W31" s="208" t="s">
        <v>20</v>
      </c>
      <c r="X31" s="208" t="s">
        <v>12</v>
      </c>
      <c r="Y31" s="83">
        <v>44.9</v>
      </c>
      <c r="AD31" s="82"/>
      <c r="AG31" s="83"/>
      <c r="AL31" s="82"/>
      <c r="AO31" s="83"/>
      <c r="AP31" s="82"/>
      <c r="AS31" s="83"/>
      <c r="AW31" s="83"/>
      <c r="BA31" s="84"/>
    </row>
    <row r="32" spans="1:53" s="208" customFormat="1" x14ac:dyDescent="0.15">
      <c r="A32" s="208">
        <v>2002</v>
      </c>
      <c r="C32" s="811" t="s">
        <v>1181</v>
      </c>
      <c r="D32" s="811"/>
      <c r="E32" s="208">
        <v>0</v>
      </c>
      <c r="G32" s="74"/>
      <c r="H32" s="75"/>
      <c r="I32" s="75">
        <v>23</v>
      </c>
      <c r="J32" s="76">
        <v>23</v>
      </c>
      <c r="K32" s="77">
        <f t="shared" si="0"/>
        <v>0</v>
      </c>
      <c r="L32" s="77">
        <f t="shared" si="1"/>
        <v>0</v>
      </c>
      <c r="M32" s="77">
        <f t="shared" si="2"/>
        <v>100</v>
      </c>
      <c r="N32" s="78">
        <f t="shared" si="3"/>
        <v>100</v>
      </c>
      <c r="O32" s="79"/>
      <c r="P32" s="77"/>
      <c r="Q32" s="77">
        <v>44.9</v>
      </c>
      <c r="R32" s="80">
        <f t="shared" si="4"/>
        <v>44.9</v>
      </c>
      <c r="S32" s="208">
        <v>4</v>
      </c>
      <c r="T32" s="81"/>
      <c r="V32" s="82" t="s">
        <v>929</v>
      </c>
      <c r="W32" s="208" t="s">
        <v>20</v>
      </c>
      <c r="X32" s="208" t="s">
        <v>12</v>
      </c>
      <c r="Y32" s="83">
        <v>44.9</v>
      </c>
      <c r="AD32" s="82"/>
      <c r="AG32" s="83"/>
      <c r="AL32" s="82"/>
      <c r="AO32" s="83"/>
      <c r="AP32" s="82"/>
      <c r="AS32" s="83"/>
      <c r="AW32" s="83"/>
      <c r="BA32" s="84"/>
    </row>
    <row r="33" spans="1:53" s="208" customFormat="1" x14ac:dyDescent="0.15">
      <c r="A33" s="208">
        <v>2002</v>
      </c>
      <c r="C33" s="811" t="s">
        <v>1181</v>
      </c>
      <c r="D33" s="811"/>
      <c r="E33" s="208">
        <v>365</v>
      </c>
      <c r="G33" s="74"/>
      <c r="H33" s="75"/>
      <c r="I33" s="75">
        <v>23</v>
      </c>
      <c r="J33" s="76">
        <v>23</v>
      </c>
      <c r="K33" s="77">
        <f t="shared" si="0"/>
        <v>0</v>
      </c>
      <c r="L33" s="77">
        <f t="shared" si="1"/>
        <v>0</v>
      </c>
      <c r="M33" s="77">
        <f t="shared" si="2"/>
        <v>100</v>
      </c>
      <c r="N33" s="78">
        <f t="shared" si="3"/>
        <v>100</v>
      </c>
      <c r="O33" s="79"/>
      <c r="P33" s="77"/>
      <c r="Q33" s="77">
        <v>44.9</v>
      </c>
      <c r="R33" s="80">
        <f t="shared" si="4"/>
        <v>44.9</v>
      </c>
      <c r="S33" s="208">
        <v>4</v>
      </c>
      <c r="T33" s="81"/>
      <c r="V33" s="82" t="s">
        <v>929</v>
      </c>
      <c r="W33" s="208" t="s">
        <v>20</v>
      </c>
      <c r="X33" s="208" t="s">
        <v>12</v>
      </c>
      <c r="Y33" s="83">
        <v>44.9</v>
      </c>
      <c r="AD33" s="82"/>
      <c r="AG33" s="83"/>
      <c r="AL33" s="82"/>
      <c r="AO33" s="83"/>
      <c r="AP33" s="82"/>
      <c r="AS33" s="83"/>
      <c r="AW33" s="83"/>
      <c r="BA33" s="84"/>
    </row>
    <row r="34" spans="1:53" s="208" customFormat="1" x14ac:dyDescent="0.15">
      <c r="A34" s="208">
        <v>2003</v>
      </c>
      <c r="C34" s="811" t="s">
        <v>1181</v>
      </c>
      <c r="D34" s="811"/>
      <c r="E34" s="208">
        <v>0</v>
      </c>
      <c r="G34" s="74"/>
      <c r="H34" s="75"/>
      <c r="I34" s="75">
        <v>23</v>
      </c>
      <c r="J34" s="76">
        <v>23</v>
      </c>
      <c r="K34" s="77">
        <f t="shared" si="0"/>
        <v>0</v>
      </c>
      <c r="L34" s="77">
        <f t="shared" si="1"/>
        <v>0</v>
      </c>
      <c r="M34" s="77">
        <f t="shared" si="2"/>
        <v>100</v>
      </c>
      <c r="N34" s="78">
        <f t="shared" si="3"/>
        <v>100</v>
      </c>
      <c r="O34" s="79"/>
      <c r="P34" s="77"/>
      <c r="Q34" s="77">
        <v>44.9</v>
      </c>
      <c r="R34" s="80">
        <f t="shared" si="4"/>
        <v>44.9</v>
      </c>
      <c r="S34" s="208">
        <v>4</v>
      </c>
      <c r="T34" s="81"/>
      <c r="V34" s="82" t="s">
        <v>929</v>
      </c>
      <c r="W34" s="208" t="s">
        <v>20</v>
      </c>
      <c r="X34" s="208" t="s">
        <v>12</v>
      </c>
      <c r="Y34" s="83">
        <v>44.9</v>
      </c>
      <c r="AD34" s="82"/>
      <c r="AG34" s="83"/>
      <c r="AL34" s="82"/>
      <c r="AO34" s="83"/>
      <c r="AP34" s="82"/>
      <c r="AS34" s="83"/>
      <c r="AW34" s="83"/>
      <c r="BA34" s="84"/>
    </row>
    <row r="35" spans="1:53" s="208" customFormat="1" x14ac:dyDescent="0.15">
      <c r="A35" s="208">
        <v>2003</v>
      </c>
      <c r="C35" s="811" t="s">
        <v>1181</v>
      </c>
      <c r="D35" s="811"/>
      <c r="E35" s="208">
        <v>365</v>
      </c>
      <c r="G35" s="74"/>
      <c r="H35" s="75"/>
      <c r="I35" s="75">
        <v>23</v>
      </c>
      <c r="J35" s="76">
        <v>23</v>
      </c>
      <c r="K35" s="77">
        <f t="shared" si="0"/>
        <v>0</v>
      </c>
      <c r="L35" s="77">
        <f t="shared" si="1"/>
        <v>0</v>
      </c>
      <c r="M35" s="77">
        <f t="shared" si="2"/>
        <v>100</v>
      </c>
      <c r="N35" s="78">
        <f t="shared" si="3"/>
        <v>100</v>
      </c>
      <c r="O35" s="79"/>
      <c r="P35" s="77"/>
      <c r="Q35" s="77">
        <v>44.9</v>
      </c>
      <c r="R35" s="80">
        <f t="shared" si="4"/>
        <v>44.9</v>
      </c>
      <c r="S35" s="208">
        <v>4</v>
      </c>
      <c r="T35" s="81"/>
      <c r="V35" s="82" t="s">
        <v>929</v>
      </c>
      <c r="W35" s="208" t="s">
        <v>20</v>
      </c>
      <c r="X35" s="208" t="s">
        <v>12</v>
      </c>
      <c r="Y35" s="83">
        <v>44.9</v>
      </c>
      <c r="AD35" s="82"/>
      <c r="AG35" s="83"/>
      <c r="AL35" s="82"/>
      <c r="AO35" s="83"/>
      <c r="AP35" s="82"/>
      <c r="AS35" s="83"/>
      <c r="AW35" s="83"/>
      <c r="BA35" s="84"/>
    </row>
    <row r="36" spans="1:53" s="208" customFormat="1" x14ac:dyDescent="0.15">
      <c r="A36" s="208">
        <v>2004</v>
      </c>
      <c r="C36" s="811" t="s">
        <v>1181</v>
      </c>
      <c r="D36" s="811"/>
      <c r="E36" s="208">
        <v>363</v>
      </c>
      <c r="G36" s="74"/>
      <c r="H36" s="75"/>
      <c r="I36" s="75">
        <v>23</v>
      </c>
      <c r="J36" s="76">
        <v>23</v>
      </c>
      <c r="K36" s="77">
        <f t="shared" si="0"/>
        <v>0</v>
      </c>
      <c r="L36" s="77">
        <f t="shared" si="1"/>
        <v>0</v>
      </c>
      <c r="M36" s="77">
        <f t="shared" si="2"/>
        <v>100</v>
      </c>
      <c r="N36" s="78">
        <f t="shared" si="3"/>
        <v>100</v>
      </c>
      <c r="O36" s="79"/>
      <c r="P36" s="77"/>
      <c r="Q36" s="77">
        <v>44.9</v>
      </c>
      <c r="R36" s="80">
        <f t="shared" si="4"/>
        <v>44.9</v>
      </c>
      <c r="S36" s="208">
        <v>4</v>
      </c>
      <c r="T36" s="81"/>
      <c r="V36" s="82" t="s">
        <v>929</v>
      </c>
      <c r="W36" s="208" t="s">
        <v>20</v>
      </c>
      <c r="X36" s="208" t="s">
        <v>12</v>
      </c>
      <c r="Y36" s="83">
        <v>44.9</v>
      </c>
      <c r="AD36" s="82"/>
      <c r="AG36" s="83"/>
      <c r="AL36" s="82"/>
      <c r="AO36" s="83"/>
      <c r="AP36" s="82"/>
      <c r="AS36" s="83"/>
      <c r="AW36" s="83"/>
      <c r="BA36" s="84"/>
    </row>
    <row r="37" spans="1:53" s="334" customFormat="1" x14ac:dyDescent="0.15">
      <c r="A37" s="334">
        <v>2004</v>
      </c>
      <c r="B37" s="335">
        <v>38350</v>
      </c>
      <c r="C37" s="812" t="s">
        <v>1182</v>
      </c>
      <c r="D37" s="812"/>
      <c r="E37" s="334">
        <f xml:space="preserve"> 366-E36</f>
        <v>3</v>
      </c>
      <c r="F37" s="334">
        <v>1</v>
      </c>
      <c r="G37" s="336">
        <v>10</v>
      </c>
      <c r="H37" s="200">
        <v>7</v>
      </c>
      <c r="I37" s="200">
        <v>7</v>
      </c>
      <c r="J37" s="337">
        <v>25</v>
      </c>
      <c r="K37" s="338">
        <f t="shared" si="0"/>
        <v>40</v>
      </c>
      <c r="L37" s="338">
        <f t="shared" si="1"/>
        <v>28.000000000000004</v>
      </c>
      <c r="M37" s="338">
        <f t="shared" si="2"/>
        <v>28.000000000000004</v>
      </c>
      <c r="N37" s="339">
        <f t="shared" si="3"/>
        <v>96</v>
      </c>
      <c r="O37" s="340">
        <v>19.2</v>
      </c>
      <c r="P37" s="338">
        <v>12.3</v>
      </c>
      <c r="Q37" s="338">
        <v>14.5</v>
      </c>
      <c r="R37" s="341">
        <f t="shared" si="4"/>
        <v>46</v>
      </c>
      <c r="S37" s="334">
        <v>5</v>
      </c>
      <c r="T37" s="342">
        <v>38319</v>
      </c>
      <c r="U37" s="335">
        <v>38350</v>
      </c>
      <c r="V37" s="343" t="s">
        <v>926</v>
      </c>
      <c r="W37" s="334" t="s">
        <v>22</v>
      </c>
      <c r="X37" s="334" t="s">
        <v>11</v>
      </c>
      <c r="Y37" s="344">
        <v>19.2</v>
      </c>
      <c r="Z37" s="334" t="s">
        <v>568</v>
      </c>
      <c r="AA37" s="334" t="s">
        <v>98</v>
      </c>
      <c r="AB37" s="334" t="s">
        <v>12</v>
      </c>
      <c r="AC37" s="334">
        <v>14.5</v>
      </c>
      <c r="AD37" s="343" t="s">
        <v>934</v>
      </c>
      <c r="AE37" s="334" t="s">
        <v>90</v>
      </c>
      <c r="AF37" s="334" t="s">
        <v>18</v>
      </c>
      <c r="AG37" s="344">
        <v>6.6</v>
      </c>
      <c r="AH37" s="334" t="s">
        <v>937</v>
      </c>
      <c r="AI37" s="334" t="s">
        <v>340</v>
      </c>
      <c r="AJ37" s="334" t="s">
        <v>18</v>
      </c>
      <c r="AK37" s="334">
        <v>5.7</v>
      </c>
      <c r="AL37" s="343"/>
      <c r="AO37" s="344"/>
      <c r="AP37" s="343"/>
      <c r="AS37" s="344"/>
      <c r="AW37" s="344"/>
      <c r="BA37" s="345"/>
    </row>
    <row r="38" spans="1:53" s="334" customFormat="1" x14ac:dyDescent="0.15">
      <c r="A38" s="334">
        <v>2005</v>
      </c>
      <c r="B38" s="358"/>
      <c r="C38" s="812" t="s">
        <v>1182</v>
      </c>
      <c r="D38" s="812"/>
      <c r="E38" s="334">
        <v>20</v>
      </c>
      <c r="G38" s="336">
        <v>10</v>
      </c>
      <c r="H38" s="200">
        <v>7</v>
      </c>
      <c r="I38" s="200">
        <v>7</v>
      </c>
      <c r="J38" s="337">
        <v>25</v>
      </c>
      <c r="K38" s="338">
        <f t="shared" si="0"/>
        <v>40</v>
      </c>
      <c r="L38" s="338">
        <f t="shared" si="1"/>
        <v>28.000000000000004</v>
      </c>
      <c r="M38" s="338">
        <f t="shared" si="2"/>
        <v>28.000000000000004</v>
      </c>
      <c r="N38" s="339">
        <f t="shared" si="3"/>
        <v>96</v>
      </c>
      <c r="O38" s="340">
        <v>19.2</v>
      </c>
      <c r="P38" s="338">
        <v>12.3</v>
      </c>
      <c r="Q38" s="338">
        <v>14.5</v>
      </c>
      <c r="R38" s="341">
        <f t="shared" si="4"/>
        <v>46</v>
      </c>
      <c r="S38" s="334">
        <v>5</v>
      </c>
      <c r="T38" s="357"/>
      <c r="V38" s="343" t="s">
        <v>926</v>
      </c>
      <c r="W38" s="334" t="s">
        <v>22</v>
      </c>
      <c r="X38" s="334" t="s">
        <v>11</v>
      </c>
      <c r="Y38" s="344">
        <v>19.2</v>
      </c>
      <c r="Z38" s="334" t="s">
        <v>568</v>
      </c>
      <c r="AA38" s="334" t="s">
        <v>98</v>
      </c>
      <c r="AB38" s="334" t="s">
        <v>12</v>
      </c>
      <c r="AC38" s="334">
        <v>14.5</v>
      </c>
      <c r="AD38" s="343" t="s">
        <v>934</v>
      </c>
      <c r="AE38" s="334" t="s">
        <v>90</v>
      </c>
      <c r="AF38" s="334" t="s">
        <v>18</v>
      </c>
      <c r="AG38" s="344">
        <v>6.6</v>
      </c>
      <c r="AH38" s="334" t="s">
        <v>937</v>
      </c>
      <c r="AI38" s="334" t="s">
        <v>340</v>
      </c>
      <c r="AJ38" s="334" t="s">
        <v>18</v>
      </c>
      <c r="AK38" s="334">
        <v>5.7</v>
      </c>
      <c r="AL38" s="343"/>
      <c r="AO38" s="344"/>
      <c r="AP38" s="343"/>
      <c r="AS38" s="344"/>
      <c r="AW38" s="344"/>
      <c r="BA38" s="345"/>
    </row>
    <row r="39" spans="1:53" s="334" customFormat="1" x14ac:dyDescent="0.15">
      <c r="A39" s="334">
        <v>2005</v>
      </c>
      <c r="B39" s="440">
        <v>38373</v>
      </c>
      <c r="C39" s="812" t="s">
        <v>1182</v>
      </c>
      <c r="D39" s="812"/>
      <c r="E39" s="334">
        <f>365-E38</f>
        <v>345</v>
      </c>
      <c r="F39" s="441">
        <v>0</v>
      </c>
      <c r="G39" s="336">
        <v>10</v>
      </c>
      <c r="H39" s="200">
        <v>6</v>
      </c>
      <c r="I39" s="200">
        <v>7</v>
      </c>
      <c r="J39" s="337">
        <v>24</v>
      </c>
      <c r="K39" s="338">
        <f t="shared" si="0"/>
        <v>41.666666666666671</v>
      </c>
      <c r="L39" s="338">
        <f t="shared" si="1"/>
        <v>25</v>
      </c>
      <c r="M39" s="338">
        <f t="shared" si="2"/>
        <v>29.166666666666668</v>
      </c>
      <c r="N39" s="339">
        <f t="shared" si="3"/>
        <v>95.833333333333343</v>
      </c>
      <c r="O39" s="340">
        <v>19.2</v>
      </c>
      <c r="P39" s="338">
        <v>12.3</v>
      </c>
      <c r="Q39" s="338">
        <v>14.5</v>
      </c>
      <c r="R39" s="341">
        <f t="shared" si="4"/>
        <v>46</v>
      </c>
      <c r="S39" s="334">
        <v>5</v>
      </c>
      <c r="T39" s="357"/>
      <c r="V39" s="343" t="s">
        <v>926</v>
      </c>
      <c r="W39" s="334" t="s">
        <v>22</v>
      </c>
      <c r="X39" s="334" t="s">
        <v>11</v>
      </c>
      <c r="Y39" s="344">
        <v>19.2</v>
      </c>
      <c r="Z39" s="334" t="s">
        <v>568</v>
      </c>
      <c r="AA39" s="334" t="s">
        <v>98</v>
      </c>
      <c r="AB39" s="334" t="s">
        <v>12</v>
      </c>
      <c r="AC39" s="334">
        <v>14.5</v>
      </c>
      <c r="AD39" s="343" t="s">
        <v>934</v>
      </c>
      <c r="AE39" s="334" t="s">
        <v>90</v>
      </c>
      <c r="AF39" s="334" t="s">
        <v>18</v>
      </c>
      <c r="AG39" s="344">
        <v>6.6</v>
      </c>
      <c r="AH39" s="334" t="s">
        <v>937</v>
      </c>
      <c r="AI39" s="334" t="s">
        <v>340</v>
      </c>
      <c r="AJ39" s="334" t="s">
        <v>18</v>
      </c>
      <c r="AK39" s="334">
        <v>5.7</v>
      </c>
      <c r="AL39" s="343"/>
      <c r="AO39" s="344"/>
      <c r="AP39" s="343"/>
      <c r="AS39" s="344"/>
      <c r="AW39" s="344"/>
      <c r="BA39" s="345"/>
    </row>
    <row r="40" spans="1:53" s="334" customFormat="1" x14ac:dyDescent="0.15">
      <c r="A40" s="334">
        <v>2006</v>
      </c>
      <c r="B40" s="358"/>
      <c r="C40" s="812" t="s">
        <v>1182</v>
      </c>
      <c r="D40" s="812"/>
      <c r="E40" s="334">
        <v>162</v>
      </c>
      <c r="G40" s="336">
        <v>10</v>
      </c>
      <c r="H40" s="200">
        <v>6</v>
      </c>
      <c r="I40" s="200">
        <v>7</v>
      </c>
      <c r="J40" s="337">
        <v>24</v>
      </c>
      <c r="K40" s="338">
        <f>G40/J40*100</f>
        <v>41.666666666666671</v>
      </c>
      <c r="L40" s="338">
        <f>H40/J40*100</f>
        <v>25</v>
      </c>
      <c r="M40" s="338">
        <f>I40/J40*100</f>
        <v>29.166666666666668</v>
      </c>
      <c r="N40" s="339">
        <f t="shared" si="3"/>
        <v>95.833333333333343</v>
      </c>
      <c r="O40" s="340">
        <v>19.2</v>
      </c>
      <c r="P40" s="338">
        <v>12.3</v>
      </c>
      <c r="Q40" s="338">
        <v>14.5</v>
      </c>
      <c r="R40" s="341">
        <f t="shared" si="4"/>
        <v>46</v>
      </c>
      <c r="S40" s="334">
        <v>5</v>
      </c>
      <c r="T40" s="357"/>
      <c r="V40" s="343" t="s">
        <v>926</v>
      </c>
      <c r="W40" s="334" t="s">
        <v>22</v>
      </c>
      <c r="X40" s="334" t="s">
        <v>11</v>
      </c>
      <c r="Y40" s="344">
        <v>19.2</v>
      </c>
      <c r="Z40" s="334" t="s">
        <v>568</v>
      </c>
      <c r="AA40" s="334" t="s">
        <v>98</v>
      </c>
      <c r="AB40" s="334" t="s">
        <v>12</v>
      </c>
      <c r="AC40" s="334">
        <v>14.5</v>
      </c>
      <c r="AD40" s="343" t="s">
        <v>934</v>
      </c>
      <c r="AE40" s="334" t="s">
        <v>90</v>
      </c>
      <c r="AF40" s="334" t="s">
        <v>18</v>
      </c>
      <c r="AG40" s="344">
        <v>6.6</v>
      </c>
      <c r="AH40" s="334" t="s">
        <v>937</v>
      </c>
      <c r="AI40" s="334" t="s">
        <v>340</v>
      </c>
      <c r="AJ40" s="334" t="s">
        <v>18</v>
      </c>
      <c r="AK40" s="334">
        <v>5.7</v>
      </c>
      <c r="AL40" s="343"/>
      <c r="AO40" s="344"/>
      <c r="AP40" s="343"/>
      <c r="AS40" s="344"/>
      <c r="AW40" s="344"/>
      <c r="BA40" s="345"/>
    </row>
    <row r="41" spans="1:53" s="334" customFormat="1" x14ac:dyDescent="0.15">
      <c r="A41" s="334">
        <v>2006</v>
      </c>
      <c r="B41" s="440">
        <v>38880</v>
      </c>
      <c r="C41" s="812" t="s">
        <v>1182</v>
      </c>
      <c r="D41" s="812"/>
      <c r="E41" s="334">
        <v>136</v>
      </c>
      <c r="F41" s="441">
        <v>0</v>
      </c>
      <c r="G41" s="336">
        <v>10</v>
      </c>
      <c r="H41" s="200">
        <v>6</v>
      </c>
      <c r="I41" s="200">
        <v>6</v>
      </c>
      <c r="J41" s="337">
        <v>23</v>
      </c>
      <c r="K41" s="338">
        <f>G41/J41*100</f>
        <v>43.478260869565219</v>
      </c>
      <c r="L41" s="338">
        <f>H41/J41*100</f>
        <v>26.086956521739129</v>
      </c>
      <c r="M41" s="338">
        <f>I41/J41*100</f>
        <v>26.086956521739129</v>
      </c>
      <c r="N41" s="339">
        <f t="shared" si="3"/>
        <v>95.65217391304347</v>
      </c>
      <c r="O41" s="340">
        <v>19.2</v>
      </c>
      <c r="P41" s="338">
        <v>12.3</v>
      </c>
      <c r="Q41" s="338">
        <v>14.5</v>
      </c>
      <c r="R41" s="341">
        <f t="shared" si="4"/>
        <v>46</v>
      </c>
      <c r="S41" s="334">
        <v>5</v>
      </c>
      <c r="T41" s="357"/>
      <c r="V41" s="343" t="s">
        <v>926</v>
      </c>
      <c r="W41" s="334" t="s">
        <v>22</v>
      </c>
      <c r="X41" s="334" t="s">
        <v>11</v>
      </c>
      <c r="Y41" s="344">
        <v>19.2</v>
      </c>
      <c r="Z41" s="334" t="s">
        <v>568</v>
      </c>
      <c r="AA41" s="334" t="s">
        <v>98</v>
      </c>
      <c r="AB41" s="334" t="s">
        <v>12</v>
      </c>
      <c r="AC41" s="334">
        <v>14.5</v>
      </c>
      <c r="AD41" s="343" t="s">
        <v>934</v>
      </c>
      <c r="AE41" s="334" t="s">
        <v>90</v>
      </c>
      <c r="AF41" s="334" t="s">
        <v>18</v>
      </c>
      <c r="AG41" s="344">
        <v>6.6</v>
      </c>
      <c r="AH41" s="334" t="s">
        <v>937</v>
      </c>
      <c r="AI41" s="334" t="s">
        <v>340</v>
      </c>
      <c r="AJ41" s="334" t="s">
        <v>18</v>
      </c>
      <c r="AK41" s="334">
        <v>5.7</v>
      </c>
      <c r="AL41" s="343"/>
      <c r="AO41" s="344"/>
      <c r="AP41" s="343"/>
      <c r="AS41" s="344"/>
      <c r="AW41" s="344"/>
      <c r="BA41" s="345"/>
    </row>
    <row r="42" spans="1:53" s="334" customFormat="1" x14ac:dyDescent="0.15">
      <c r="A42" s="334">
        <v>2006</v>
      </c>
      <c r="B42" s="440">
        <v>39016</v>
      </c>
      <c r="C42" s="812" t="s">
        <v>1182</v>
      </c>
      <c r="D42" s="812"/>
      <c r="E42" s="334">
        <v>46</v>
      </c>
      <c r="F42" s="441">
        <v>0</v>
      </c>
      <c r="G42" s="336">
        <v>9</v>
      </c>
      <c r="H42" s="200">
        <v>6</v>
      </c>
      <c r="I42" s="200">
        <v>7</v>
      </c>
      <c r="J42" s="337">
        <v>23</v>
      </c>
      <c r="K42" s="338">
        <f t="shared" si="0"/>
        <v>39.130434782608695</v>
      </c>
      <c r="L42" s="338">
        <f t="shared" si="1"/>
        <v>26.086956521739129</v>
      </c>
      <c r="M42" s="338">
        <f t="shared" si="2"/>
        <v>30.434782608695656</v>
      </c>
      <c r="N42" s="339">
        <f t="shared" si="3"/>
        <v>95.652173913043484</v>
      </c>
      <c r="O42" s="340">
        <v>19.2</v>
      </c>
      <c r="P42" s="338">
        <v>12.3</v>
      </c>
      <c r="Q42" s="338">
        <v>14.5</v>
      </c>
      <c r="R42" s="341">
        <f t="shared" si="4"/>
        <v>46</v>
      </c>
      <c r="S42" s="334">
        <v>5</v>
      </c>
      <c r="T42" s="357"/>
      <c r="V42" s="343" t="s">
        <v>926</v>
      </c>
      <c r="W42" s="334" t="s">
        <v>22</v>
      </c>
      <c r="X42" s="334" t="s">
        <v>11</v>
      </c>
      <c r="Y42" s="344">
        <v>19.2</v>
      </c>
      <c r="Z42" s="334" t="s">
        <v>568</v>
      </c>
      <c r="AA42" s="334" t="s">
        <v>98</v>
      </c>
      <c r="AB42" s="334" t="s">
        <v>12</v>
      </c>
      <c r="AC42" s="334">
        <v>14.5</v>
      </c>
      <c r="AD42" s="343" t="s">
        <v>934</v>
      </c>
      <c r="AE42" s="334" t="s">
        <v>90</v>
      </c>
      <c r="AF42" s="334" t="s">
        <v>18</v>
      </c>
      <c r="AG42" s="344">
        <v>6.6</v>
      </c>
      <c r="AH42" s="334" t="s">
        <v>937</v>
      </c>
      <c r="AI42" s="334" t="s">
        <v>340</v>
      </c>
      <c r="AJ42" s="334" t="s">
        <v>18</v>
      </c>
      <c r="AK42" s="334">
        <v>5.7</v>
      </c>
      <c r="AL42" s="343"/>
      <c r="AO42" s="344"/>
      <c r="AP42" s="343"/>
      <c r="AS42" s="344"/>
      <c r="AW42" s="344"/>
      <c r="BA42" s="345"/>
    </row>
    <row r="43" spans="1:53" s="334" customFormat="1" x14ac:dyDescent="0.15">
      <c r="A43" s="334">
        <v>2006</v>
      </c>
      <c r="B43" s="440">
        <v>39062</v>
      </c>
      <c r="C43" s="812" t="s">
        <v>1182</v>
      </c>
      <c r="D43" s="812"/>
      <c r="E43" s="334">
        <f xml:space="preserve"> 365-E42-E41-E40</f>
        <v>21</v>
      </c>
      <c r="F43" s="441">
        <v>0</v>
      </c>
      <c r="G43" s="336">
        <v>10</v>
      </c>
      <c r="H43" s="200">
        <v>5</v>
      </c>
      <c r="I43" s="200">
        <v>7</v>
      </c>
      <c r="J43" s="337">
        <v>23</v>
      </c>
      <c r="K43" s="338">
        <f t="shared" si="0"/>
        <v>43.478260869565219</v>
      </c>
      <c r="L43" s="338">
        <f t="shared" si="1"/>
        <v>21.739130434782609</v>
      </c>
      <c r="M43" s="338">
        <f t="shared" si="2"/>
        <v>30.434782608695656</v>
      </c>
      <c r="N43" s="339">
        <f t="shared" si="3"/>
        <v>95.652173913043484</v>
      </c>
      <c r="O43" s="340">
        <v>19.2</v>
      </c>
      <c r="P43" s="338">
        <v>12.3</v>
      </c>
      <c r="Q43" s="338">
        <v>14.5</v>
      </c>
      <c r="R43" s="341">
        <f t="shared" si="4"/>
        <v>46</v>
      </c>
      <c r="S43" s="334">
        <v>5</v>
      </c>
      <c r="T43" s="357"/>
      <c r="V43" s="343" t="s">
        <v>926</v>
      </c>
      <c r="W43" s="334" t="s">
        <v>22</v>
      </c>
      <c r="X43" s="334" t="s">
        <v>11</v>
      </c>
      <c r="Y43" s="344">
        <v>19.2</v>
      </c>
      <c r="Z43" s="334" t="s">
        <v>568</v>
      </c>
      <c r="AA43" s="334" t="s">
        <v>98</v>
      </c>
      <c r="AB43" s="334" t="s">
        <v>12</v>
      </c>
      <c r="AC43" s="334">
        <v>14.5</v>
      </c>
      <c r="AD43" s="343" t="s">
        <v>934</v>
      </c>
      <c r="AE43" s="334" t="s">
        <v>90</v>
      </c>
      <c r="AF43" s="334" t="s">
        <v>18</v>
      </c>
      <c r="AG43" s="344">
        <v>6.6</v>
      </c>
      <c r="AH43" s="334" t="s">
        <v>937</v>
      </c>
      <c r="AI43" s="334" t="s">
        <v>340</v>
      </c>
      <c r="AJ43" s="334" t="s">
        <v>18</v>
      </c>
      <c r="AK43" s="334">
        <v>5.7</v>
      </c>
      <c r="AL43" s="343"/>
      <c r="AO43" s="344"/>
      <c r="AP43" s="343"/>
      <c r="AS43" s="344"/>
      <c r="AW43" s="344"/>
      <c r="BA43" s="345"/>
    </row>
    <row r="44" spans="1:53" s="334" customFormat="1" x14ac:dyDescent="0.15">
      <c r="A44" s="334">
        <v>2007</v>
      </c>
      <c r="B44" s="358"/>
      <c r="C44" s="812" t="s">
        <v>1182</v>
      </c>
      <c r="D44" s="812"/>
      <c r="E44" s="334">
        <v>94</v>
      </c>
      <c r="G44" s="336">
        <v>10</v>
      </c>
      <c r="H44" s="200">
        <v>5</v>
      </c>
      <c r="I44" s="200">
        <v>7</v>
      </c>
      <c r="J44" s="337">
        <v>23</v>
      </c>
      <c r="K44" s="338">
        <f t="shared" si="0"/>
        <v>43.478260869565219</v>
      </c>
      <c r="L44" s="338">
        <f t="shared" si="1"/>
        <v>21.739130434782609</v>
      </c>
      <c r="M44" s="338">
        <f t="shared" si="2"/>
        <v>30.434782608695656</v>
      </c>
      <c r="N44" s="339">
        <f t="shared" si="3"/>
        <v>95.652173913043484</v>
      </c>
      <c r="O44" s="340">
        <v>19.2</v>
      </c>
      <c r="P44" s="338">
        <v>12.3</v>
      </c>
      <c r="Q44" s="338">
        <v>14.5</v>
      </c>
      <c r="R44" s="341">
        <f t="shared" si="4"/>
        <v>46</v>
      </c>
      <c r="S44" s="334">
        <v>5</v>
      </c>
      <c r="T44" s="357"/>
      <c r="V44" s="343" t="s">
        <v>926</v>
      </c>
      <c r="W44" s="334" t="s">
        <v>22</v>
      </c>
      <c r="X44" s="334" t="s">
        <v>11</v>
      </c>
      <c r="Y44" s="344">
        <v>19.2</v>
      </c>
      <c r="Z44" s="334" t="s">
        <v>568</v>
      </c>
      <c r="AA44" s="334" t="s">
        <v>98</v>
      </c>
      <c r="AB44" s="334" t="s">
        <v>12</v>
      </c>
      <c r="AC44" s="334">
        <v>14.5</v>
      </c>
      <c r="AD44" s="343" t="s">
        <v>934</v>
      </c>
      <c r="AE44" s="334" t="s">
        <v>90</v>
      </c>
      <c r="AF44" s="334" t="s">
        <v>18</v>
      </c>
      <c r="AG44" s="344">
        <v>6.6</v>
      </c>
      <c r="AH44" s="334" t="s">
        <v>937</v>
      </c>
      <c r="AI44" s="334" t="s">
        <v>340</v>
      </c>
      <c r="AJ44" s="334" t="s">
        <v>18</v>
      </c>
      <c r="AK44" s="334">
        <v>5.7</v>
      </c>
      <c r="AL44" s="343"/>
      <c r="AO44" s="344"/>
      <c r="AP44" s="343"/>
      <c r="AS44" s="344"/>
      <c r="AW44" s="344"/>
      <c r="BA44" s="345"/>
    </row>
    <row r="45" spans="1:53" s="208" customFormat="1" x14ac:dyDescent="0.15">
      <c r="A45" s="208">
        <v>2007</v>
      </c>
      <c r="B45" s="121">
        <v>39177</v>
      </c>
      <c r="C45" s="811" t="s">
        <v>1183</v>
      </c>
      <c r="D45" s="811"/>
      <c r="E45" s="208">
        <v>89</v>
      </c>
      <c r="F45" s="208">
        <v>4</v>
      </c>
      <c r="G45" s="74">
        <v>14</v>
      </c>
      <c r="H45" s="75">
        <v>4</v>
      </c>
      <c r="I45" s="75"/>
      <c r="J45" s="76">
        <v>18</v>
      </c>
      <c r="K45" s="77">
        <f>G45/J45*100</f>
        <v>77.777777777777786</v>
      </c>
      <c r="L45" s="77">
        <f>H45/J45*100</f>
        <v>22.222222222222221</v>
      </c>
      <c r="M45" s="77">
        <f>I45/J45*100</f>
        <v>0</v>
      </c>
      <c r="N45" s="78">
        <f>SUM(K45:M45)</f>
        <v>100</v>
      </c>
      <c r="O45" s="79">
        <v>16.899999999999999</v>
      </c>
      <c r="P45" s="77">
        <v>6.6</v>
      </c>
      <c r="Q45" s="77"/>
      <c r="R45" s="80">
        <f>SUM(O45:Q45)</f>
        <v>23.5</v>
      </c>
      <c r="S45" s="208">
        <v>5</v>
      </c>
      <c r="T45" s="81"/>
      <c r="U45" s="121">
        <v>39177</v>
      </c>
      <c r="V45" s="82" t="s">
        <v>926</v>
      </c>
      <c r="W45" s="208" t="s">
        <v>22</v>
      </c>
      <c r="X45" s="208" t="s">
        <v>11</v>
      </c>
      <c r="Y45" s="83">
        <v>19.2</v>
      </c>
      <c r="Z45" s="82" t="s">
        <v>934</v>
      </c>
      <c r="AA45" s="208" t="s">
        <v>90</v>
      </c>
      <c r="AB45" s="208" t="s">
        <v>18</v>
      </c>
      <c r="AC45" s="83">
        <v>6.6</v>
      </c>
      <c r="AD45" s="82"/>
      <c r="AG45" s="83"/>
      <c r="AL45" s="82"/>
      <c r="AO45" s="83"/>
      <c r="AP45" s="82"/>
      <c r="AS45" s="83"/>
      <c r="AW45" s="83"/>
      <c r="BA45" s="84"/>
    </row>
    <row r="46" spans="1:53" s="208" customFormat="1" x14ac:dyDescent="0.15">
      <c r="A46" s="208">
        <v>2007</v>
      </c>
      <c r="B46" s="154">
        <v>39266</v>
      </c>
      <c r="C46" s="811" t="s">
        <v>1183</v>
      </c>
      <c r="D46" s="811"/>
      <c r="E46" s="208">
        <v>100</v>
      </c>
      <c r="F46" s="150">
        <v>0</v>
      </c>
      <c r="G46" s="74">
        <v>14</v>
      </c>
      <c r="H46" s="75">
        <v>3</v>
      </c>
      <c r="I46" s="75"/>
      <c r="J46" s="76">
        <v>17</v>
      </c>
      <c r="K46" s="77">
        <f>G46/J46*100</f>
        <v>82.35294117647058</v>
      </c>
      <c r="L46" s="77">
        <f>H46/J46*100</f>
        <v>17.647058823529413</v>
      </c>
      <c r="M46" s="77">
        <f>I46/J46*100</f>
        <v>0</v>
      </c>
      <c r="N46" s="78">
        <f>SUM(K46:M46)</f>
        <v>100</v>
      </c>
      <c r="O46" s="79">
        <v>16.899999999999999</v>
      </c>
      <c r="P46" s="77">
        <v>6.6</v>
      </c>
      <c r="Q46" s="77"/>
      <c r="R46" s="80">
        <f>SUM(O46:Q46)</f>
        <v>23.5</v>
      </c>
      <c r="S46" s="208">
        <v>5</v>
      </c>
      <c r="T46" s="81"/>
      <c r="U46" s="121"/>
      <c r="V46" s="82" t="s">
        <v>926</v>
      </c>
      <c r="W46" s="208" t="s">
        <v>22</v>
      </c>
      <c r="X46" s="208" t="s">
        <v>11</v>
      </c>
      <c r="Y46" s="83">
        <v>19.2</v>
      </c>
      <c r="Z46" s="82" t="s">
        <v>934</v>
      </c>
      <c r="AA46" s="208" t="s">
        <v>90</v>
      </c>
      <c r="AB46" s="208" t="s">
        <v>18</v>
      </c>
      <c r="AC46" s="83">
        <v>6.6</v>
      </c>
      <c r="AD46" s="82"/>
      <c r="AG46" s="83"/>
      <c r="AL46" s="82"/>
      <c r="AO46" s="83"/>
      <c r="AP46" s="82"/>
      <c r="AS46" s="83"/>
      <c r="AW46" s="83"/>
      <c r="BA46" s="84"/>
    </row>
    <row r="47" spans="1:53" s="208" customFormat="1" x14ac:dyDescent="0.15">
      <c r="A47" s="208">
        <v>2007</v>
      </c>
      <c r="B47" s="154">
        <v>39366</v>
      </c>
      <c r="C47" s="811" t="s">
        <v>1183</v>
      </c>
      <c r="D47" s="811"/>
      <c r="E47" s="208">
        <v>82</v>
      </c>
      <c r="F47" s="150">
        <v>0</v>
      </c>
      <c r="G47" s="74">
        <v>13</v>
      </c>
      <c r="H47" s="75">
        <v>3</v>
      </c>
      <c r="I47" s="75"/>
      <c r="J47" s="76">
        <v>17</v>
      </c>
      <c r="K47" s="77">
        <f>G47/J47*100</f>
        <v>76.470588235294116</v>
      </c>
      <c r="L47" s="77">
        <f>H47/J47*100</f>
        <v>17.647058823529413</v>
      </c>
      <c r="M47" s="77">
        <f>I47/J47*100</f>
        <v>0</v>
      </c>
      <c r="N47" s="78">
        <f>SUM(K47:M47)</f>
        <v>94.117647058823536</v>
      </c>
      <c r="O47" s="79">
        <v>16.899999999999999</v>
      </c>
      <c r="P47" s="77">
        <v>6.6</v>
      </c>
      <c r="Q47" s="77"/>
      <c r="R47" s="80">
        <f>SUM(O47:Q47)</f>
        <v>23.5</v>
      </c>
      <c r="S47" s="208">
        <v>5</v>
      </c>
      <c r="T47" s="81"/>
      <c r="U47" s="121"/>
      <c r="V47" s="82" t="s">
        <v>926</v>
      </c>
      <c r="W47" s="208" t="s">
        <v>22</v>
      </c>
      <c r="X47" s="208" t="s">
        <v>11</v>
      </c>
      <c r="Y47" s="83">
        <v>19.2</v>
      </c>
      <c r="Z47" s="82" t="s">
        <v>934</v>
      </c>
      <c r="AA47" s="208" t="s">
        <v>90</v>
      </c>
      <c r="AB47" s="208" t="s">
        <v>18</v>
      </c>
      <c r="AC47" s="83">
        <v>6.6</v>
      </c>
      <c r="AD47" s="82"/>
      <c r="AG47" s="83"/>
      <c r="AL47" s="82"/>
      <c r="AO47" s="83"/>
      <c r="AP47" s="82"/>
      <c r="AS47" s="83"/>
      <c r="AW47" s="83"/>
      <c r="BA47" s="84"/>
    </row>
    <row r="48" spans="1:53" s="208" customFormat="1" x14ac:dyDescent="0.15">
      <c r="A48" s="208">
        <v>2008</v>
      </c>
      <c r="B48" s="122"/>
      <c r="C48" s="811" t="s">
        <v>1183</v>
      </c>
      <c r="D48" s="811"/>
      <c r="E48" s="208">
        <v>356</v>
      </c>
      <c r="G48" s="74">
        <v>13</v>
      </c>
      <c r="H48" s="75">
        <v>3</v>
      </c>
      <c r="I48" s="75"/>
      <c r="J48" s="76">
        <v>17</v>
      </c>
      <c r="K48" s="77">
        <f t="shared" si="0"/>
        <v>76.470588235294116</v>
      </c>
      <c r="L48" s="77">
        <f t="shared" si="1"/>
        <v>17.647058823529413</v>
      </c>
      <c r="M48" s="77">
        <f t="shared" si="2"/>
        <v>0</v>
      </c>
      <c r="N48" s="78">
        <f t="shared" si="3"/>
        <v>94.117647058823536</v>
      </c>
      <c r="O48" s="79">
        <v>16.899999999999999</v>
      </c>
      <c r="P48" s="77">
        <v>6.6</v>
      </c>
      <c r="Q48" s="77"/>
      <c r="R48" s="80">
        <f t="shared" si="4"/>
        <v>23.5</v>
      </c>
      <c r="S48" s="208">
        <v>5</v>
      </c>
      <c r="T48" s="81"/>
      <c r="V48" s="82" t="s">
        <v>926</v>
      </c>
      <c r="W48" s="208" t="s">
        <v>22</v>
      </c>
      <c r="X48" s="208" t="s">
        <v>11</v>
      </c>
      <c r="Y48" s="83">
        <v>19.2</v>
      </c>
      <c r="Z48" s="82" t="s">
        <v>934</v>
      </c>
      <c r="AA48" s="208" t="s">
        <v>90</v>
      </c>
      <c r="AB48" s="208" t="s">
        <v>18</v>
      </c>
      <c r="AC48" s="83">
        <v>6.6</v>
      </c>
      <c r="AD48" s="82"/>
      <c r="AG48" s="83"/>
      <c r="AL48" s="82"/>
      <c r="AO48" s="83"/>
      <c r="AP48" s="82"/>
      <c r="AS48" s="83"/>
      <c r="AW48" s="83"/>
      <c r="BA48" s="84"/>
    </row>
    <row r="49" spans="1:53" s="334" customFormat="1" x14ac:dyDescent="0.15">
      <c r="A49" s="334">
        <v>2008</v>
      </c>
      <c r="B49" s="335">
        <v>39804</v>
      </c>
      <c r="C49" s="812" t="s">
        <v>939</v>
      </c>
      <c r="D49" s="812"/>
      <c r="E49" s="334">
        <f>366-E48</f>
        <v>10</v>
      </c>
      <c r="F49" s="334">
        <v>1</v>
      </c>
      <c r="G49" s="336">
        <v>10</v>
      </c>
      <c r="H49" s="200"/>
      <c r="I49" s="200">
        <v>10</v>
      </c>
      <c r="J49" s="337">
        <v>21</v>
      </c>
      <c r="K49" s="338">
        <f t="shared" si="0"/>
        <v>47.619047619047613</v>
      </c>
      <c r="L49" s="338">
        <f t="shared" si="1"/>
        <v>0</v>
      </c>
      <c r="M49" s="338">
        <f t="shared" si="2"/>
        <v>47.619047619047613</v>
      </c>
      <c r="N49" s="339">
        <f t="shared" si="3"/>
        <v>95.238095238095227</v>
      </c>
      <c r="O49" s="340">
        <v>34.4</v>
      </c>
      <c r="P49" s="338"/>
      <c r="Q49" s="200">
        <v>32.9</v>
      </c>
      <c r="R49" s="341">
        <f t="shared" si="4"/>
        <v>67.3</v>
      </c>
      <c r="S49" s="334">
        <v>2</v>
      </c>
      <c r="T49" s="342">
        <v>39782</v>
      </c>
      <c r="U49" s="335">
        <v>39804</v>
      </c>
      <c r="V49" s="343" t="s">
        <v>940</v>
      </c>
      <c r="W49" s="334" t="s">
        <v>100</v>
      </c>
      <c r="X49" s="334" t="s">
        <v>11</v>
      </c>
      <c r="Y49" s="344">
        <v>34.4</v>
      </c>
      <c r="Z49" s="334" t="s">
        <v>938</v>
      </c>
      <c r="AA49" s="334" t="s">
        <v>20</v>
      </c>
      <c r="AB49" s="334" t="s">
        <v>12</v>
      </c>
      <c r="AC49" s="334">
        <v>32.9</v>
      </c>
      <c r="AD49" s="343"/>
      <c r="AG49" s="344"/>
      <c r="AL49" s="343"/>
      <c r="AO49" s="344"/>
      <c r="AP49" s="343"/>
      <c r="AS49" s="344"/>
      <c r="AW49" s="344"/>
      <c r="BA49" s="345"/>
    </row>
    <row r="50" spans="1:53" s="334" customFormat="1" x14ac:dyDescent="0.15">
      <c r="A50" s="334">
        <v>2009</v>
      </c>
      <c r="B50" s="358"/>
      <c r="C50" s="812" t="s">
        <v>939</v>
      </c>
      <c r="D50" s="812"/>
      <c r="E50" s="334">
        <v>273</v>
      </c>
      <c r="G50" s="336">
        <v>10</v>
      </c>
      <c r="H50" s="200"/>
      <c r="I50" s="200">
        <v>10</v>
      </c>
      <c r="J50" s="337">
        <v>21</v>
      </c>
      <c r="K50" s="338">
        <f>G50/J50*100</f>
        <v>47.619047619047613</v>
      </c>
      <c r="L50" s="338">
        <f>H50/J50*100</f>
        <v>0</v>
      </c>
      <c r="M50" s="338">
        <f>I50/J50*100</f>
        <v>47.619047619047613</v>
      </c>
      <c r="N50" s="339">
        <f t="shared" si="3"/>
        <v>95.238095238095227</v>
      </c>
      <c r="O50" s="340">
        <v>34.4</v>
      </c>
      <c r="P50" s="338"/>
      <c r="Q50" s="200">
        <v>32.9</v>
      </c>
      <c r="R50" s="341">
        <f t="shared" si="4"/>
        <v>67.3</v>
      </c>
      <c r="S50" s="334">
        <v>2</v>
      </c>
      <c r="T50" s="357"/>
      <c r="V50" s="343" t="s">
        <v>940</v>
      </c>
      <c r="W50" s="334" t="s">
        <v>100</v>
      </c>
      <c r="X50" s="334" t="s">
        <v>11</v>
      </c>
      <c r="Y50" s="344">
        <v>34.4</v>
      </c>
      <c r="Z50" s="334" t="s">
        <v>938</v>
      </c>
      <c r="AA50" s="334" t="s">
        <v>20</v>
      </c>
      <c r="AB50" s="334" t="s">
        <v>12</v>
      </c>
      <c r="AC50" s="334">
        <v>32.9</v>
      </c>
      <c r="AD50" s="343"/>
      <c r="AG50" s="344"/>
      <c r="AL50" s="343"/>
      <c r="AO50" s="344"/>
      <c r="AP50" s="343"/>
      <c r="AS50" s="344"/>
      <c r="AW50" s="344"/>
      <c r="BA50" s="345"/>
    </row>
    <row r="51" spans="1:53" s="208" customFormat="1" x14ac:dyDescent="0.15">
      <c r="A51" s="208">
        <v>2009</v>
      </c>
      <c r="B51" s="121">
        <v>40087</v>
      </c>
      <c r="C51" s="811" t="s">
        <v>941</v>
      </c>
      <c r="D51" s="811"/>
      <c r="E51" s="208">
        <v>83</v>
      </c>
      <c r="F51" s="208">
        <v>4</v>
      </c>
      <c r="G51" s="74">
        <v>18</v>
      </c>
      <c r="H51" s="75"/>
      <c r="I51" s="75"/>
      <c r="J51" s="76">
        <v>20</v>
      </c>
      <c r="K51" s="77">
        <f t="shared" si="0"/>
        <v>90</v>
      </c>
      <c r="L51" s="77">
        <f t="shared" si="1"/>
        <v>0</v>
      </c>
      <c r="M51" s="77">
        <f t="shared" si="2"/>
        <v>0</v>
      </c>
      <c r="N51" s="78">
        <f t="shared" si="3"/>
        <v>90</v>
      </c>
      <c r="O51" s="79">
        <v>34.4</v>
      </c>
      <c r="P51" s="77"/>
      <c r="Q51" s="77"/>
      <c r="R51" s="80">
        <f t="shared" si="4"/>
        <v>34.4</v>
      </c>
      <c r="S51" s="208">
        <v>4</v>
      </c>
      <c r="T51" s="81"/>
      <c r="U51" s="121">
        <v>40087</v>
      </c>
      <c r="V51" s="82" t="s">
        <v>940</v>
      </c>
      <c r="W51" s="208" t="s">
        <v>100</v>
      </c>
      <c r="X51" s="208" t="s">
        <v>11</v>
      </c>
      <c r="Y51" s="83">
        <v>34.4</v>
      </c>
      <c r="AD51" s="82"/>
      <c r="AG51" s="83"/>
      <c r="AL51" s="82"/>
      <c r="AO51" s="83"/>
      <c r="AP51" s="82"/>
      <c r="AS51" s="83"/>
      <c r="AW51" s="83"/>
      <c r="BA51" s="84"/>
    </row>
    <row r="52" spans="1:53" s="334" customFormat="1" x14ac:dyDescent="0.15">
      <c r="A52" s="334">
        <v>2009</v>
      </c>
      <c r="B52" s="335">
        <v>40170</v>
      </c>
      <c r="C52" s="812" t="s">
        <v>942</v>
      </c>
      <c r="D52" s="812"/>
      <c r="E52" s="334">
        <f xml:space="preserve"> 365-E51-E50</f>
        <v>9</v>
      </c>
      <c r="F52" s="334">
        <v>5</v>
      </c>
      <c r="G52" s="336">
        <v>8</v>
      </c>
      <c r="H52" s="200">
        <v>4</v>
      </c>
      <c r="I52" s="200"/>
      <c r="J52" s="337">
        <v>17</v>
      </c>
      <c r="K52" s="338">
        <f t="shared" si="0"/>
        <v>47.058823529411761</v>
      </c>
      <c r="L52" s="338">
        <f t="shared" si="1"/>
        <v>23.52941176470588</v>
      </c>
      <c r="M52" s="338">
        <f t="shared" si="2"/>
        <v>0</v>
      </c>
      <c r="N52" s="339">
        <f t="shared" si="3"/>
        <v>70.588235294117638</v>
      </c>
      <c r="O52" s="340">
        <v>34.4</v>
      </c>
      <c r="P52" s="338">
        <v>6.6</v>
      </c>
      <c r="Q52" s="338"/>
      <c r="R52" s="341">
        <f t="shared" si="4"/>
        <v>41</v>
      </c>
      <c r="S52" s="334">
        <v>5</v>
      </c>
      <c r="T52" s="357"/>
      <c r="U52" s="335">
        <v>40170</v>
      </c>
      <c r="V52" s="343" t="s">
        <v>940</v>
      </c>
      <c r="W52" s="334" t="s">
        <v>100</v>
      </c>
      <c r="X52" s="334" t="s">
        <v>11</v>
      </c>
      <c r="Y52" s="344">
        <v>34.4</v>
      </c>
      <c r="Z52" s="343" t="s">
        <v>934</v>
      </c>
      <c r="AA52" s="334" t="s">
        <v>90</v>
      </c>
      <c r="AB52" s="334" t="s">
        <v>18</v>
      </c>
      <c r="AC52" s="344">
        <v>6.6</v>
      </c>
      <c r="AD52" s="343"/>
      <c r="AG52" s="344"/>
      <c r="AL52" s="343"/>
      <c r="AO52" s="344"/>
      <c r="AP52" s="343"/>
      <c r="AS52" s="344"/>
      <c r="AW52" s="344"/>
      <c r="BA52" s="345"/>
    </row>
    <row r="53" spans="1:53" s="334" customFormat="1" x14ac:dyDescent="0.15">
      <c r="A53" s="334">
        <v>2010</v>
      </c>
      <c r="B53" s="358"/>
      <c r="C53" s="812" t="s">
        <v>942</v>
      </c>
      <c r="D53" s="812"/>
      <c r="E53" s="334">
        <v>245</v>
      </c>
      <c r="G53" s="336">
        <v>8</v>
      </c>
      <c r="H53" s="200">
        <v>4</v>
      </c>
      <c r="I53" s="200"/>
      <c r="J53" s="337">
        <v>17</v>
      </c>
      <c r="K53" s="338">
        <f>G53/J53*100</f>
        <v>47.058823529411761</v>
      </c>
      <c r="L53" s="338">
        <f>H53/J53*100</f>
        <v>23.52941176470588</v>
      </c>
      <c r="M53" s="338">
        <f>I53/J53*100</f>
        <v>0</v>
      </c>
      <c r="N53" s="339">
        <f t="shared" si="3"/>
        <v>70.588235294117638</v>
      </c>
      <c r="O53" s="340">
        <v>34.4</v>
      </c>
      <c r="P53" s="338">
        <v>6.6</v>
      </c>
      <c r="Q53" s="338"/>
      <c r="R53" s="341">
        <f t="shared" si="4"/>
        <v>41</v>
      </c>
      <c r="S53" s="334">
        <v>5</v>
      </c>
      <c r="T53" s="357"/>
      <c r="V53" s="343" t="s">
        <v>940</v>
      </c>
      <c r="W53" s="334" t="s">
        <v>100</v>
      </c>
      <c r="X53" s="334" t="s">
        <v>11</v>
      </c>
      <c r="Y53" s="344">
        <v>34.4</v>
      </c>
      <c r="Z53" s="343" t="s">
        <v>934</v>
      </c>
      <c r="AA53" s="334" t="s">
        <v>90</v>
      </c>
      <c r="AB53" s="334" t="s">
        <v>18</v>
      </c>
      <c r="AC53" s="344">
        <v>6.6</v>
      </c>
      <c r="AD53" s="343"/>
      <c r="AG53" s="344"/>
      <c r="AL53" s="343"/>
      <c r="AO53" s="344"/>
      <c r="AP53" s="343"/>
      <c r="AS53" s="344"/>
      <c r="AW53" s="344"/>
      <c r="BA53" s="345"/>
    </row>
    <row r="54" spans="1:53" s="208" customFormat="1" x14ac:dyDescent="0.15">
      <c r="A54" s="208">
        <v>2010</v>
      </c>
      <c r="B54" s="121">
        <v>40424</v>
      </c>
      <c r="C54" s="811" t="s">
        <v>943</v>
      </c>
      <c r="D54" s="811"/>
      <c r="E54" s="208">
        <v>25</v>
      </c>
      <c r="F54" s="208">
        <v>7</v>
      </c>
      <c r="G54" s="74">
        <v>10</v>
      </c>
      <c r="H54" s="75">
        <v>4</v>
      </c>
      <c r="I54" s="75">
        <v>1</v>
      </c>
      <c r="J54" s="76">
        <v>17</v>
      </c>
      <c r="K54" s="77">
        <f t="shared" si="0"/>
        <v>58.82352941176471</v>
      </c>
      <c r="L54" s="77">
        <f t="shared" si="1"/>
        <v>23.52941176470588</v>
      </c>
      <c r="M54" s="77">
        <f t="shared" si="2"/>
        <v>5.8823529411764701</v>
      </c>
      <c r="N54" s="78">
        <f t="shared" si="3"/>
        <v>88.235294117647058</v>
      </c>
      <c r="O54" s="79">
        <v>37.1</v>
      </c>
      <c r="P54" s="77">
        <v>6.6</v>
      </c>
      <c r="Q54" s="77">
        <v>4.5</v>
      </c>
      <c r="R54" s="80">
        <f t="shared" si="4"/>
        <v>48.2</v>
      </c>
      <c r="S54" s="208">
        <v>5</v>
      </c>
      <c r="T54" s="81"/>
      <c r="U54" s="121">
        <v>40424</v>
      </c>
      <c r="V54" s="82" t="s">
        <v>940</v>
      </c>
      <c r="W54" s="208" t="s">
        <v>100</v>
      </c>
      <c r="X54" s="208" t="s">
        <v>11</v>
      </c>
      <c r="Y54" s="83">
        <v>37.1</v>
      </c>
      <c r="Z54" s="82" t="s">
        <v>934</v>
      </c>
      <c r="AA54" s="208" t="s">
        <v>90</v>
      </c>
      <c r="AB54" s="208" t="s">
        <v>18</v>
      </c>
      <c r="AC54" s="83">
        <v>6.6</v>
      </c>
      <c r="AD54" s="82" t="s">
        <v>944</v>
      </c>
      <c r="AE54" s="208" t="s">
        <v>340</v>
      </c>
      <c r="AF54" s="208" t="s">
        <v>12</v>
      </c>
      <c r="AG54" s="83">
        <v>4.5</v>
      </c>
      <c r="AL54" s="82"/>
      <c r="AO54" s="83"/>
      <c r="AP54" s="82"/>
      <c r="AS54" s="83"/>
      <c r="AW54" s="83"/>
      <c r="BA54" s="84"/>
    </row>
    <row r="55" spans="1:53" s="208" customFormat="1" x14ac:dyDescent="0.15">
      <c r="A55" s="208">
        <v>2010</v>
      </c>
      <c r="B55" s="154">
        <v>40449</v>
      </c>
      <c r="C55" s="811" t="s">
        <v>943</v>
      </c>
      <c r="D55" s="811"/>
      <c r="E55" s="208">
        <f xml:space="preserve"> 365-E54-E53</f>
        <v>95</v>
      </c>
      <c r="F55" s="150">
        <v>0</v>
      </c>
      <c r="G55" s="74">
        <v>11</v>
      </c>
      <c r="H55" s="75">
        <v>4</v>
      </c>
      <c r="I55" s="75">
        <v>1</v>
      </c>
      <c r="J55" s="76">
        <v>17</v>
      </c>
      <c r="K55" s="77">
        <f t="shared" si="0"/>
        <v>64.705882352941174</v>
      </c>
      <c r="L55" s="77">
        <f t="shared" si="1"/>
        <v>23.52941176470588</v>
      </c>
      <c r="M55" s="77">
        <f t="shared" si="2"/>
        <v>5.8823529411764701</v>
      </c>
      <c r="N55" s="78">
        <f t="shared" si="3"/>
        <v>94.117647058823522</v>
      </c>
      <c r="O55" s="79">
        <v>37.1</v>
      </c>
      <c r="P55" s="77">
        <v>6.6</v>
      </c>
      <c r="Q55" s="77">
        <v>4.5</v>
      </c>
      <c r="R55" s="80">
        <f t="shared" si="4"/>
        <v>48.2</v>
      </c>
      <c r="S55" s="208">
        <v>5</v>
      </c>
      <c r="T55" s="81"/>
      <c r="V55" s="82" t="s">
        <v>940</v>
      </c>
      <c r="W55" s="208" t="s">
        <v>100</v>
      </c>
      <c r="X55" s="208" t="s">
        <v>11</v>
      </c>
      <c r="Y55" s="83">
        <v>37.1</v>
      </c>
      <c r="Z55" s="82" t="s">
        <v>934</v>
      </c>
      <c r="AA55" s="208" t="s">
        <v>90</v>
      </c>
      <c r="AB55" s="208" t="s">
        <v>18</v>
      </c>
      <c r="AC55" s="83">
        <v>6.6</v>
      </c>
      <c r="AD55" s="82" t="s">
        <v>944</v>
      </c>
      <c r="AE55" s="208" t="s">
        <v>340</v>
      </c>
      <c r="AF55" s="208" t="s">
        <v>12</v>
      </c>
      <c r="AG55" s="83">
        <v>4.5</v>
      </c>
      <c r="AL55" s="82"/>
      <c r="AO55" s="83"/>
      <c r="AP55" s="82"/>
      <c r="AS55" s="83"/>
      <c r="AW55" s="83"/>
      <c r="BA55" s="84"/>
    </row>
    <row r="56" spans="1:53" s="208" customFormat="1" x14ac:dyDescent="0.15">
      <c r="A56" s="208">
        <v>2011</v>
      </c>
      <c r="B56" s="122"/>
      <c r="C56" s="811" t="s">
        <v>943</v>
      </c>
      <c r="D56" s="811"/>
      <c r="E56" s="208">
        <v>153</v>
      </c>
      <c r="G56" s="74">
        <v>11</v>
      </c>
      <c r="H56" s="75">
        <v>4</v>
      </c>
      <c r="I56" s="75">
        <v>1</v>
      </c>
      <c r="J56" s="76">
        <v>17</v>
      </c>
      <c r="K56" s="77">
        <f t="shared" ref="K56:K70" si="5">G56/J56*100</f>
        <v>64.705882352941174</v>
      </c>
      <c r="L56" s="77">
        <f t="shared" ref="L56:L70" si="6">H56/J56*100</f>
        <v>23.52941176470588</v>
      </c>
      <c r="M56" s="77">
        <f t="shared" ref="M56:M70" si="7">I56/J56*100</f>
        <v>5.8823529411764701</v>
      </c>
      <c r="N56" s="78">
        <f t="shared" si="3"/>
        <v>94.117647058823522</v>
      </c>
      <c r="O56" s="79">
        <v>37.1</v>
      </c>
      <c r="P56" s="77">
        <v>6.6</v>
      </c>
      <c r="Q56" s="77">
        <v>4.5</v>
      </c>
      <c r="R56" s="80">
        <f t="shared" si="4"/>
        <v>48.2</v>
      </c>
      <c r="S56" s="208">
        <v>5</v>
      </c>
      <c r="T56" s="81"/>
      <c r="V56" s="82" t="s">
        <v>940</v>
      </c>
      <c r="W56" s="208" t="s">
        <v>100</v>
      </c>
      <c r="X56" s="208" t="s">
        <v>11</v>
      </c>
      <c r="Y56" s="83">
        <v>37.1</v>
      </c>
      <c r="Z56" s="82" t="s">
        <v>934</v>
      </c>
      <c r="AA56" s="208" t="s">
        <v>90</v>
      </c>
      <c r="AB56" s="208" t="s">
        <v>18</v>
      </c>
      <c r="AC56" s="83">
        <v>6.6</v>
      </c>
      <c r="AD56" s="82" t="s">
        <v>944</v>
      </c>
      <c r="AE56" s="208" t="s">
        <v>340</v>
      </c>
      <c r="AF56" s="208" t="s">
        <v>12</v>
      </c>
      <c r="AG56" s="83">
        <v>4.5</v>
      </c>
      <c r="AL56" s="82"/>
      <c r="AO56" s="83"/>
      <c r="AP56" s="82"/>
      <c r="AS56" s="83"/>
      <c r="AW56" s="83"/>
      <c r="BA56" s="84"/>
    </row>
    <row r="57" spans="1:53" s="208" customFormat="1" x14ac:dyDescent="0.15">
      <c r="A57" s="208">
        <v>2011</v>
      </c>
      <c r="B57" s="154">
        <v>40697</v>
      </c>
      <c r="C57" s="811" t="s">
        <v>943</v>
      </c>
      <c r="D57" s="811"/>
      <c r="E57" s="208">
        <v>108</v>
      </c>
      <c r="F57" s="150">
        <v>0</v>
      </c>
      <c r="G57" s="74">
        <v>10</v>
      </c>
      <c r="H57" s="75">
        <v>4</v>
      </c>
      <c r="I57" s="75">
        <v>1</v>
      </c>
      <c r="J57" s="76">
        <v>17</v>
      </c>
      <c r="K57" s="77">
        <f t="shared" si="5"/>
        <v>58.82352941176471</v>
      </c>
      <c r="L57" s="77">
        <f t="shared" si="6"/>
        <v>23.52941176470588</v>
      </c>
      <c r="M57" s="77">
        <f t="shared" si="7"/>
        <v>5.8823529411764701</v>
      </c>
      <c r="N57" s="78">
        <f t="shared" si="3"/>
        <v>88.235294117647058</v>
      </c>
      <c r="O57" s="79">
        <v>37.1</v>
      </c>
      <c r="P57" s="77">
        <v>6.6</v>
      </c>
      <c r="Q57" s="77">
        <v>4.5</v>
      </c>
      <c r="R57" s="80">
        <f t="shared" si="4"/>
        <v>48.2</v>
      </c>
      <c r="S57" s="208">
        <v>5</v>
      </c>
      <c r="T57" s="81"/>
      <c r="V57" s="82" t="s">
        <v>940</v>
      </c>
      <c r="W57" s="208" t="s">
        <v>100</v>
      </c>
      <c r="X57" s="208" t="s">
        <v>11</v>
      </c>
      <c r="Y57" s="83">
        <v>37.1</v>
      </c>
      <c r="Z57" s="82" t="s">
        <v>934</v>
      </c>
      <c r="AA57" s="208" t="s">
        <v>90</v>
      </c>
      <c r="AB57" s="208" t="s">
        <v>18</v>
      </c>
      <c r="AC57" s="83">
        <v>6.6</v>
      </c>
      <c r="AD57" s="82" t="s">
        <v>944</v>
      </c>
      <c r="AE57" s="208" t="s">
        <v>340</v>
      </c>
      <c r="AF57" s="208" t="s">
        <v>12</v>
      </c>
      <c r="AG57" s="83">
        <v>4.5</v>
      </c>
      <c r="AL57" s="82"/>
      <c r="AO57" s="83"/>
      <c r="AP57" s="82"/>
      <c r="AS57" s="83"/>
      <c r="AW57" s="83"/>
      <c r="BA57" s="84"/>
    </row>
    <row r="58" spans="1:53" s="208" customFormat="1" x14ac:dyDescent="0.15">
      <c r="A58" s="208">
        <v>2011</v>
      </c>
      <c r="B58" s="154">
        <v>40805</v>
      </c>
      <c r="C58" s="811" t="s">
        <v>943</v>
      </c>
      <c r="D58" s="811"/>
      <c r="E58" s="208">
        <v>1</v>
      </c>
      <c r="F58" s="150">
        <v>0</v>
      </c>
      <c r="G58" s="74">
        <v>11</v>
      </c>
      <c r="H58" s="75">
        <v>4</v>
      </c>
      <c r="I58" s="75">
        <v>1</v>
      </c>
      <c r="J58" s="76">
        <v>17</v>
      </c>
      <c r="K58" s="77">
        <f t="shared" si="5"/>
        <v>64.705882352941174</v>
      </c>
      <c r="L58" s="77">
        <f t="shared" si="6"/>
        <v>23.52941176470588</v>
      </c>
      <c r="M58" s="77">
        <f t="shared" si="7"/>
        <v>5.8823529411764701</v>
      </c>
      <c r="N58" s="78">
        <f t="shared" si="3"/>
        <v>94.117647058823522</v>
      </c>
      <c r="O58" s="79">
        <v>37.1</v>
      </c>
      <c r="P58" s="77">
        <v>6.6</v>
      </c>
      <c r="Q58" s="77">
        <v>4.5</v>
      </c>
      <c r="R58" s="80">
        <f t="shared" si="4"/>
        <v>48.2</v>
      </c>
      <c r="S58" s="208">
        <v>5</v>
      </c>
      <c r="T58" s="81"/>
      <c r="V58" s="82" t="s">
        <v>940</v>
      </c>
      <c r="W58" s="208" t="s">
        <v>100</v>
      </c>
      <c r="X58" s="208" t="s">
        <v>11</v>
      </c>
      <c r="Y58" s="83">
        <v>37.1</v>
      </c>
      <c r="Z58" s="82" t="s">
        <v>934</v>
      </c>
      <c r="AA58" s="208" t="s">
        <v>90</v>
      </c>
      <c r="AB58" s="208" t="s">
        <v>18</v>
      </c>
      <c r="AC58" s="83">
        <v>6.6</v>
      </c>
      <c r="AD58" s="82" t="s">
        <v>944</v>
      </c>
      <c r="AE58" s="208" t="s">
        <v>340</v>
      </c>
      <c r="AF58" s="208" t="s">
        <v>12</v>
      </c>
      <c r="AG58" s="83">
        <v>4.5</v>
      </c>
      <c r="AL58" s="82"/>
      <c r="AO58" s="83"/>
      <c r="AP58" s="82"/>
      <c r="AS58" s="83"/>
      <c r="AW58" s="83"/>
      <c r="BA58" s="84"/>
    </row>
    <row r="59" spans="1:53" s="208" customFormat="1" x14ac:dyDescent="0.15">
      <c r="A59" s="208">
        <v>2011</v>
      </c>
      <c r="B59" s="154">
        <v>40806</v>
      </c>
      <c r="C59" s="811" t="s">
        <v>943</v>
      </c>
      <c r="D59" s="811"/>
      <c r="E59" s="208">
        <f xml:space="preserve"> 365-E58-E57-E56</f>
        <v>103</v>
      </c>
      <c r="F59" s="150">
        <v>0</v>
      </c>
      <c r="G59" s="74">
        <v>11</v>
      </c>
      <c r="H59" s="75">
        <v>4</v>
      </c>
      <c r="I59" s="75">
        <v>1</v>
      </c>
      <c r="J59" s="76">
        <v>18</v>
      </c>
      <c r="K59" s="77">
        <f t="shared" si="5"/>
        <v>61.111111111111114</v>
      </c>
      <c r="L59" s="77">
        <f t="shared" si="6"/>
        <v>22.222222222222221</v>
      </c>
      <c r="M59" s="77">
        <f t="shared" si="7"/>
        <v>5.5555555555555554</v>
      </c>
      <c r="N59" s="78">
        <f t="shared" si="3"/>
        <v>88.8888888888889</v>
      </c>
      <c r="O59" s="79">
        <v>37.1</v>
      </c>
      <c r="P59" s="77">
        <v>6.6</v>
      </c>
      <c r="Q59" s="77">
        <v>4.5</v>
      </c>
      <c r="R59" s="80">
        <f t="shared" si="4"/>
        <v>48.2</v>
      </c>
      <c r="S59" s="208">
        <v>5</v>
      </c>
      <c r="T59" s="81"/>
      <c r="V59" s="82" t="s">
        <v>940</v>
      </c>
      <c r="W59" s="208" t="s">
        <v>100</v>
      </c>
      <c r="X59" s="208" t="s">
        <v>11</v>
      </c>
      <c r="Y59" s="83">
        <v>37.1</v>
      </c>
      <c r="Z59" s="82" t="s">
        <v>934</v>
      </c>
      <c r="AA59" s="208" t="s">
        <v>90</v>
      </c>
      <c r="AB59" s="208" t="s">
        <v>18</v>
      </c>
      <c r="AC59" s="83">
        <v>6.6</v>
      </c>
      <c r="AD59" s="82" t="s">
        <v>944</v>
      </c>
      <c r="AE59" s="208" t="s">
        <v>340</v>
      </c>
      <c r="AF59" s="208" t="s">
        <v>12</v>
      </c>
      <c r="AG59" s="83">
        <v>4.5</v>
      </c>
      <c r="AL59" s="82"/>
      <c r="AO59" s="83"/>
      <c r="AP59" s="82"/>
      <c r="AS59" s="83"/>
      <c r="AW59" s="83"/>
      <c r="BA59" s="84"/>
    </row>
    <row r="60" spans="1:53" s="208" customFormat="1" x14ac:dyDescent="0.15">
      <c r="A60" s="208">
        <v>2012</v>
      </c>
      <c r="B60" s="122"/>
      <c r="C60" s="811" t="s">
        <v>943</v>
      </c>
      <c r="D60" s="811"/>
      <c r="E60" s="208">
        <v>39</v>
      </c>
      <c r="G60" s="74">
        <v>11</v>
      </c>
      <c r="H60" s="75">
        <v>4</v>
      </c>
      <c r="I60" s="75">
        <v>1</v>
      </c>
      <c r="J60" s="76">
        <v>18</v>
      </c>
      <c r="K60" s="77">
        <f t="shared" si="5"/>
        <v>61.111111111111114</v>
      </c>
      <c r="L60" s="77">
        <f t="shared" si="6"/>
        <v>22.222222222222221</v>
      </c>
      <c r="M60" s="77">
        <f t="shared" si="7"/>
        <v>5.5555555555555554</v>
      </c>
      <c r="N60" s="78">
        <f t="shared" si="3"/>
        <v>88.8888888888889</v>
      </c>
      <c r="O60" s="79">
        <v>37.1</v>
      </c>
      <c r="P60" s="77">
        <v>6.6</v>
      </c>
      <c r="Q60" s="77">
        <v>4.5</v>
      </c>
      <c r="R60" s="80">
        <f t="shared" si="4"/>
        <v>48.2</v>
      </c>
      <c r="S60" s="208">
        <v>5</v>
      </c>
      <c r="T60" s="81"/>
      <c r="V60" s="82" t="s">
        <v>940</v>
      </c>
      <c r="W60" s="208" t="s">
        <v>100</v>
      </c>
      <c r="X60" s="208" t="s">
        <v>11</v>
      </c>
      <c r="Y60" s="83">
        <v>37.1</v>
      </c>
      <c r="Z60" s="82" t="s">
        <v>934</v>
      </c>
      <c r="AA60" s="208" t="s">
        <v>90</v>
      </c>
      <c r="AB60" s="208" t="s">
        <v>18</v>
      </c>
      <c r="AC60" s="83">
        <v>6.6</v>
      </c>
      <c r="AD60" s="82" t="s">
        <v>944</v>
      </c>
      <c r="AE60" s="208" t="s">
        <v>340</v>
      </c>
      <c r="AF60" s="208" t="s">
        <v>12</v>
      </c>
      <c r="AG60" s="83">
        <v>4.5</v>
      </c>
      <c r="AL60" s="82"/>
      <c r="AO60" s="83"/>
      <c r="AP60" s="82"/>
      <c r="AS60" s="83"/>
      <c r="AW60" s="83"/>
      <c r="BA60" s="84"/>
    </row>
    <row r="61" spans="1:53" s="334" customFormat="1" x14ac:dyDescent="0.15">
      <c r="A61" s="334">
        <v>2012</v>
      </c>
      <c r="B61" s="335">
        <v>40948</v>
      </c>
      <c r="C61" s="844" t="s">
        <v>946</v>
      </c>
      <c r="D61" s="844"/>
      <c r="E61" s="334">
        <v>88</v>
      </c>
      <c r="F61" s="334">
        <v>2</v>
      </c>
      <c r="G61" s="336">
        <v>9</v>
      </c>
      <c r="H61" s="200">
        <v>3</v>
      </c>
      <c r="I61" s="200">
        <v>2</v>
      </c>
      <c r="J61" s="337">
        <v>17</v>
      </c>
      <c r="K61" s="338">
        <f t="shared" si="5"/>
        <v>52.941176470588239</v>
      </c>
      <c r="L61" s="338">
        <f t="shared" si="6"/>
        <v>17.647058823529413</v>
      </c>
      <c r="M61" s="338">
        <f t="shared" si="7"/>
        <v>11.76470588235294</v>
      </c>
      <c r="N61" s="339">
        <f t="shared" si="3"/>
        <v>82.352941176470594</v>
      </c>
      <c r="O61" s="340">
        <v>37.1</v>
      </c>
      <c r="P61" s="338">
        <v>6.6</v>
      </c>
      <c r="Q61" s="338">
        <v>4.5</v>
      </c>
      <c r="R61" s="341">
        <f t="shared" si="4"/>
        <v>48.2</v>
      </c>
      <c r="S61" s="334">
        <v>5</v>
      </c>
      <c r="T61" s="357"/>
      <c r="U61" s="335">
        <v>40948</v>
      </c>
      <c r="V61" s="343" t="s">
        <v>940</v>
      </c>
      <c r="W61" s="334" t="s">
        <v>100</v>
      </c>
      <c r="X61" s="334" t="s">
        <v>11</v>
      </c>
      <c r="Y61" s="344">
        <v>37.1</v>
      </c>
      <c r="Z61" s="343" t="s">
        <v>934</v>
      </c>
      <c r="AA61" s="334" t="s">
        <v>90</v>
      </c>
      <c r="AB61" s="334" t="s">
        <v>18</v>
      </c>
      <c r="AC61" s="344">
        <v>6.6</v>
      </c>
      <c r="AD61" s="343" t="s">
        <v>944</v>
      </c>
      <c r="AE61" s="334" t="s">
        <v>340</v>
      </c>
      <c r="AF61" s="334" t="s">
        <v>12</v>
      </c>
      <c r="AG61" s="344">
        <v>4.5</v>
      </c>
      <c r="AL61" s="343"/>
      <c r="AO61" s="344"/>
      <c r="AP61" s="343"/>
      <c r="AS61" s="344"/>
      <c r="AW61" s="344"/>
      <c r="BA61" s="345"/>
    </row>
    <row r="62" spans="1:53" s="208" customFormat="1" x14ac:dyDescent="0.15">
      <c r="A62" s="208">
        <v>2012</v>
      </c>
      <c r="B62" s="121">
        <v>41036</v>
      </c>
      <c r="C62" s="811" t="s">
        <v>945</v>
      </c>
      <c r="D62" s="811"/>
      <c r="E62" s="208">
        <v>91</v>
      </c>
      <c r="F62" s="208">
        <v>5</v>
      </c>
      <c r="G62" s="74">
        <v>6</v>
      </c>
      <c r="H62" s="75">
        <v>1</v>
      </c>
      <c r="I62" s="75">
        <v>12</v>
      </c>
      <c r="J62" s="76">
        <v>23</v>
      </c>
      <c r="K62" s="77">
        <f t="shared" si="5"/>
        <v>26.086956521739129</v>
      </c>
      <c r="L62" s="77">
        <v>3.4</v>
      </c>
      <c r="M62" s="77">
        <f t="shared" si="7"/>
        <v>52.173913043478258</v>
      </c>
      <c r="N62" s="78">
        <f t="shared" si="3"/>
        <v>81.660869565217382</v>
      </c>
      <c r="O62" s="79">
        <v>19.5</v>
      </c>
      <c r="P62" s="77">
        <v>1.2</v>
      </c>
      <c r="Q62" s="77">
        <v>32.9</v>
      </c>
      <c r="R62" s="80">
        <f t="shared" si="4"/>
        <v>53.599999999999994</v>
      </c>
      <c r="S62" s="208">
        <v>3</v>
      </c>
      <c r="T62" s="81"/>
      <c r="U62" s="121">
        <v>41036</v>
      </c>
      <c r="V62" s="82" t="s">
        <v>938</v>
      </c>
      <c r="W62" s="208" t="s">
        <v>20</v>
      </c>
      <c r="X62" s="208" t="s">
        <v>12</v>
      </c>
      <c r="Y62" s="208">
        <v>32.9</v>
      </c>
      <c r="Z62" s="82" t="s">
        <v>926</v>
      </c>
      <c r="AA62" s="208" t="s">
        <v>22</v>
      </c>
      <c r="AB62" s="208" t="s">
        <v>11</v>
      </c>
      <c r="AC62" s="208">
        <v>19.5</v>
      </c>
      <c r="AD62" s="82" t="s">
        <v>101</v>
      </c>
      <c r="AE62" s="208" t="s">
        <v>340</v>
      </c>
      <c r="AF62" s="208" t="s">
        <v>18</v>
      </c>
      <c r="AG62" s="83">
        <v>1.2</v>
      </c>
      <c r="AL62" s="82"/>
      <c r="AO62" s="83"/>
      <c r="AP62" s="82"/>
      <c r="AS62" s="83"/>
      <c r="AW62" s="83"/>
      <c r="BA62" s="84"/>
    </row>
    <row r="63" spans="1:53" s="208" customFormat="1" x14ac:dyDescent="0.15">
      <c r="A63" s="208">
        <v>2012</v>
      </c>
      <c r="B63" s="154">
        <v>41127</v>
      </c>
      <c r="C63" s="811" t="s">
        <v>945</v>
      </c>
      <c r="D63" s="811"/>
      <c r="E63" s="208">
        <v>137</v>
      </c>
      <c r="F63" s="150">
        <v>0</v>
      </c>
      <c r="G63" s="74">
        <v>8</v>
      </c>
      <c r="H63" s="75">
        <v>1</v>
      </c>
      <c r="I63" s="75">
        <v>10</v>
      </c>
      <c r="J63" s="76">
        <v>23</v>
      </c>
      <c r="K63" s="77">
        <f t="shared" si="5"/>
        <v>34.782608695652172</v>
      </c>
      <c r="L63" s="77">
        <v>3.4</v>
      </c>
      <c r="M63" s="77">
        <f t="shared" si="7"/>
        <v>43.478260869565219</v>
      </c>
      <c r="N63" s="78">
        <f t="shared" si="3"/>
        <v>81.660869565217382</v>
      </c>
      <c r="O63" s="79">
        <v>19.5</v>
      </c>
      <c r="P63" s="77">
        <v>1.2</v>
      </c>
      <c r="Q63" s="77">
        <v>32.9</v>
      </c>
      <c r="R63" s="80">
        <f t="shared" si="4"/>
        <v>53.599999999999994</v>
      </c>
      <c r="S63" s="208">
        <v>3</v>
      </c>
      <c r="T63" s="81"/>
      <c r="V63" s="82" t="s">
        <v>938</v>
      </c>
      <c r="W63" s="208" t="s">
        <v>20</v>
      </c>
      <c r="X63" s="208" t="s">
        <v>12</v>
      </c>
      <c r="Y63" s="208">
        <v>32.9</v>
      </c>
      <c r="Z63" s="82" t="s">
        <v>926</v>
      </c>
      <c r="AA63" s="208" t="s">
        <v>22</v>
      </c>
      <c r="AB63" s="208" t="s">
        <v>11</v>
      </c>
      <c r="AC63" s="208">
        <v>19.5</v>
      </c>
      <c r="AD63" s="82" t="s">
        <v>101</v>
      </c>
      <c r="AE63" s="208" t="s">
        <v>340</v>
      </c>
      <c r="AF63" s="208" t="s">
        <v>18</v>
      </c>
      <c r="AG63" s="83">
        <v>1.2</v>
      </c>
      <c r="AL63" s="82"/>
      <c r="AO63" s="83"/>
      <c r="AP63" s="82"/>
      <c r="AS63" s="83"/>
      <c r="AW63" s="83"/>
      <c r="BA63" s="84"/>
    </row>
    <row r="64" spans="1:53" s="334" customFormat="1" x14ac:dyDescent="0.15">
      <c r="A64" s="334">
        <v>2012</v>
      </c>
      <c r="B64" s="335">
        <v>41264</v>
      </c>
      <c r="C64" s="812" t="s">
        <v>947</v>
      </c>
      <c r="D64" s="812"/>
      <c r="E64" s="334">
        <f xml:space="preserve"> 366-E63-E62-E61-E60</f>
        <v>11</v>
      </c>
      <c r="F64" s="334">
        <v>1</v>
      </c>
      <c r="G64" s="336">
        <v>10</v>
      </c>
      <c r="H64" s="200">
        <v>1</v>
      </c>
      <c r="I64" s="200">
        <v>14</v>
      </c>
      <c r="J64" s="337">
        <v>25</v>
      </c>
      <c r="K64" s="338">
        <f t="shared" si="5"/>
        <v>40</v>
      </c>
      <c r="L64" s="338">
        <f t="shared" si="6"/>
        <v>4</v>
      </c>
      <c r="M64" s="338">
        <f t="shared" si="7"/>
        <v>56.000000000000007</v>
      </c>
      <c r="N64" s="339">
        <f t="shared" si="3"/>
        <v>100</v>
      </c>
      <c r="O64" s="340">
        <v>25.5</v>
      </c>
      <c r="P64" s="338">
        <v>3.4</v>
      </c>
      <c r="Q64" s="338">
        <v>38.1</v>
      </c>
      <c r="R64" s="341">
        <f t="shared" si="4"/>
        <v>67</v>
      </c>
      <c r="S64" s="334">
        <v>3</v>
      </c>
      <c r="T64" s="342">
        <v>41252</v>
      </c>
      <c r="U64" s="335">
        <v>41264</v>
      </c>
      <c r="V64" s="343" t="s">
        <v>938</v>
      </c>
      <c r="W64" s="334" t="s">
        <v>20</v>
      </c>
      <c r="X64" s="334" t="s">
        <v>12</v>
      </c>
      <c r="Y64" s="344">
        <v>36.4</v>
      </c>
      <c r="Z64" s="343" t="s">
        <v>926</v>
      </c>
      <c r="AA64" s="334" t="s">
        <v>22</v>
      </c>
      <c r="AB64" s="334" t="s">
        <v>11</v>
      </c>
      <c r="AC64" s="334">
        <v>25.5</v>
      </c>
      <c r="AD64" s="343" t="s">
        <v>101</v>
      </c>
      <c r="AE64" s="334" t="s">
        <v>340</v>
      </c>
      <c r="AF64" s="334" t="s">
        <v>18</v>
      </c>
      <c r="AG64" s="344">
        <v>3.4</v>
      </c>
      <c r="AH64" s="343" t="s">
        <v>944</v>
      </c>
      <c r="AI64" s="334" t="s">
        <v>340</v>
      </c>
      <c r="AJ64" s="334" t="s">
        <v>12</v>
      </c>
      <c r="AK64" s="334">
        <v>1.7</v>
      </c>
      <c r="AL64" s="343"/>
      <c r="AO64" s="344"/>
      <c r="AP64" s="343"/>
      <c r="AS64" s="344"/>
      <c r="AW64" s="344"/>
      <c r="BA64" s="345"/>
    </row>
    <row r="65" spans="1:53" s="334" customFormat="1" x14ac:dyDescent="0.15">
      <c r="A65" s="334">
        <v>2013</v>
      </c>
      <c r="B65" s="335"/>
      <c r="C65" s="812" t="s">
        <v>947</v>
      </c>
      <c r="D65" s="812"/>
      <c r="E65" s="334">
        <v>104</v>
      </c>
      <c r="G65" s="336">
        <v>10</v>
      </c>
      <c r="H65" s="200">
        <v>1</v>
      </c>
      <c r="I65" s="200">
        <v>14</v>
      </c>
      <c r="J65" s="337">
        <v>25</v>
      </c>
      <c r="K65" s="338">
        <f t="shared" si="5"/>
        <v>40</v>
      </c>
      <c r="L65" s="338">
        <f t="shared" si="6"/>
        <v>4</v>
      </c>
      <c r="M65" s="338">
        <f t="shared" si="7"/>
        <v>56.000000000000007</v>
      </c>
      <c r="N65" s="339">
        <f t="shared" si="3"/>
        <v>100</v>
      </c>
      <c r="O65" s="340">
        <v>25.5</v>
      </c>
      <c r="P65" s="338">
        <v>3.4</v>
      </c>
      <c r="Q65" s="338">
        <v>38.1</v>
      </c>
      <c r="R65" s="341">
        <f>SUM(O65:Q65)</f>
        <v>67</v>
      </c>
      <c r="S65" s="334">
        <v>3</v>
      </c>
      <c r="T65" s="342"/>
      <c r="U65" s="335"/>
      <c r="V65" s="343" t="s">
        <v>938</v>
      </c>
      <c r="W65" s="334" t="s">
        <v>20</v>
      </c>
      <c r="X65" s="334" t="s">
        <v>12</v>
      </c>
      <c r="Y65" s="344">
        <v>36.4</v>
      </c>
      <c r="Z65" s="343" t="s">
        <v>926</v>
      </c>
      <c r="AA65" s="334" t="s">
        <v>22</v>
      </c>
      <c r="AB65" s="334" t="s">
        <v>11</v>
      </c>
      <c r="AC65" s="334">
        <v>25.5</v>
      </c>
      <c r="AD65" s="343" t="s">
        <v>101</v>
      </c>
      <c r="AE65" s="334" t="s">
        <v>340</v>
      </c>
      <c r="AF65" s="334" t="s">
        <v>18</v>
      </c>
      <c r="AG65" s="344">
        <v>3.4</v>
      </c>
      <c r="AH65" s="343" t="s">
        <v>944</v>
      </c>
      <c r="AI65" s="334" t="s">
        <v>340</v>
      </c>
      <c r="AJ65" s="334" t="s">
        <v>12</v>
      </c>
      <c r="AK65" s="334">
        <v>1.7</v>
      </c>
      <c r="AL65" s="343"/>
      <c r="AO65" s="344"/>
      <c r="AP65" s="343"/>
      <c r="AS65" s="344"/>
      <c r="AW65" s="344"/>
      <c r="BA65" s="345"/>
    </row>
    <row r="66" spans="1:53" s="334" customFormat="1" x14ac:dyDescent="0.15">
      <c r="A66" s="334">
        <v>2013</v>
      </c>
      <c r="B66" s="440">
        <v>41379</v>
      </c>
      <c r="C66" s="812" t="s">
        <v>947</v>
      </c>
      <c r="D66" s="812"/>
      <c r="E66" s="334">
        <f>365-E65</f>
        <v>261</v>
      </c>
      <c r="F66" s="441">
        <v>0</v>
      </c>
      <c r="G66" s="336">
        <v>10</v>
      </c>
      <c r="H66" s="200">
        <v>1</v>
      </c>
      <c r="I66" s="200">
        <v>13</v>
      </c>
      <c r="J66" s="337">
        <v>25</v>
      </c>
      <c r="K66" s="338">
        <f t="shared" si="5"/>
        <v>40</v>
      </c>
      <c r="L66" s="338">
        <f t="shared" si="6"/>
        <v>4</v>
      </c>
      <c r="M66" s="338">
        <f t="shared" si="7"/>
        <v>52</v>
      </c>
      <c r="N66" s="339">
        <f t="shared" si="3"/>
        <v>96</v>
      </c>
      <c r="O66" s="340">
        <v>25.5</v>
      </c>
      <c r="P66" s="338">
        <v>3.4</v>
      </c>
      <c r="Q66" s="338">
        <v>38.1</v>
      </c>
      <c r="R66" s="341">
        <f>SUM(O66:Q66)</f>
        <v>67</v>
      </c>
      <c r="S66" s="334">
        <v>3</v>
      </c>
      <c r="T66" s="357"/>
      <c r="V66" s="343" t="s">
        <v>938</v>
      </c>
      <c r="W66" s="334" t="s">
        <v>20</v>
      </c>
      <c r="X66" s="334" t="s">
        <v>12</v>
      </c>
      <c r="Y66" s="344">
        <v>36.4</v>
      </c>
      <c r="Z66" s="334" t="s">
        <v>926</v>
      </c>
      <c r="AA66" s="334" t="s">
        <v>22</v>
      </c>
      <c r="AB66" s="334" t="s">
        <v>11</v>
      </c>
      <c r="AC66" s="334">
        <v>25.5</v>
      </c>
      <c r="AD66" s="343" t="s">
        <v>101</v>
      </c>
      <c r="AE66" s="334" t="s">
        <v>340</v>
      </c>
      <c r="AF66" s="334" t="s">
        <v>18</v>
      </c>
      <c r="AG66" s="344">
        <v>3.4</v>
      </c>
      <c r="AH66" s="334" t="s">
        <v>944</v>
      </c>
      <c r="AI66" s="334" t="s">
        <v>340</v>
      </c>
      <c r="AJ66" s="334" t="s">
        <v>12</v>
      </c>
      <c r="AK66" s="334">
        <v>1.7</v>
      </c>
      <c r="AL66" s="343"/>
      <c r="AO66" s="344"/>
      <c r="AP66" s="343"/>
      <c r="AS66" s="344"/>
      <c r="AW66" s="344"/>
      <c r="BA66" s="345"/>
    </row>
    <row r="67" spans="1:53" s="664" customFormat="1" x14ac:dyDescent="0.15">
      <c r="A67" s="664">
        <v>2014</v>
      </c>
      <c r="B67" s="335"/>
      <c r="C67" s="812" t="s">
        <v>947</v>
      </c>
      <c r="D67" s="812"/>
      <c r="E67" s="664">
        <v>22</v>
      </c>
      <c r="G67" s="336">
        <v>10</v>
      </c>
      <c r="H67" s="200">
        <v>1</v>
      </c>
      <c r="I67" s="200">
        <v>13</v>
      </c>
      <c r="J67" s="337">
        <v>25</v>
      </c>
      <c r="K67" s="338">
        <f t="shared" si="5"/>
        <v>40</v>
      </c>
      <c r="L67" s="338">
        <f t="shared" si="6"/>
        <v>4</v>
      </c>
      <c r="M67" s="338">
        <f t="shared" si="7"/>
        <v>52</v>
      </c>
      <c r="N67" s="339">
        <f t="shared" si="3"/>
        <v>96</v>
      </c>
      <c r="O67" s="340">
        <v>25.5</v>
      </c>
      <c r="P67" s="338">
        <v>3.4</v>
      </c>
      <c r="Q67" s="338">
        <v>38.1</v>
      </c>
      <c r="R67" s="341">
        <f>SUM(O67:Q67)</f>
        <v>67</v>
      </c>
      <c r="S67" s="664">
        <v>3</v>
      </c>
      <c r="T67" s="487"/>
      <c r="U67" s="335"/>
      <c r="V67" s="641" t="s">
        <v>938</v>
      </c>
      <c r="W67" s="664" t="s">
        <v>20</v>
      </c>
      <c r="X67" s="664" t="s">
        <v>12</v>
      </c>
      <c r="Y67" s="642">
        <v>36.4</v>
      </c>
      <c r="Z67" s="664" t="s">
        <v>926</v>
      </c>
      <c r="AA67" s="664" t="s">
        <v>22</v>
      </c>
      <c r="AB67" s="664" t="s">
        <v>11</v>
      </c>
      <c r="AC67" s="664">
        <v>25.5</v>
      </c>
      <c r="AD67" s="641" t="s">
        <v>101</v>
      </c>
      <c r="AE67" s="664" t="s">
        <v>340</v>
      </c>
      <c r="AF67" s="664" t="s">
        <v>18</v>
      </c>
      <c r="AG67" s="642">
        <v>3.4</v>
      </c>
      <c r="AH67" s="664" t="s">
        <v>944</v>
      </c>
      <c r="AI67" s="664" t="s">
        <v>340</v>
      </c>
      <c r="AJ67" s="664" t="s">
        <v>12</v>
      </c>
      <c r="AK67" s="664">
        <v>1.7</v>
      </c>
      <c r="AL67" s="641"/>
      <c r="AO67" s="642"/>
      <c r="AP67" s="641"/>
      <c r="AS67" s="642"/>
      <c r="AW67" s="642"/>
      <c r="BA67" s="643"/>
    </row>
    <row r="68" spans="1:53" s="664" customFormat="1" x14ac:dyDescent="0.15">
      <c r="A68" s="664">
        <v>2014</v>
      </c>
      <c r="B68" s="440">
        <v>41662</v>
      </c>
      <c r="C68" s="812" t="s">
        <v>947</v>
      </c>
      <c r="D68" s="812"/>
      <c r="E68" s="664">
        <v>14</v>
      </c>
      <c r="F68" s="501">
        <v>0</v>
      </c>
      <c r="G68" s="336">
        <v>9</v>
      </c>
      <c r="H68" s="200">
        <v>1</v>
      </c>
      <c r="I68" s="200">
        <v>14</v>
      </c>
      <c r="J68" s="337">
        <v>25</v>
      </c>
      <c r="K68" s="338">
        <f t="shared" si="5"/>
        <v>36</v>
      </c>
      <c r="L68" s="338">
        <f t="shared" si="6"/>
        <v>4</v>
      </c>
      <c r="M68" s="338">
        <f t="shared" si="7"/>
        <v>56.000000000000007</v>
      </c>
      <c r="N68" s="339">
        <f t="shared" si="3"/>
        <v>96</v>
      </c>
      <c r="O68" s="340">
        <v>25.5</v>
      </c>
      <c r="P68" s="338">
        <v>3.4</v>
      </c>
      <c r="Q68" s="338">
        <v>38.1</v>
      </c>
      <c r="R68" s="341">
        <f>SUM(O68:Q68)</f>
        <v>67</v>
      </c>
      <c r="S68" s="664">
        <v>3</v>
      </c>
      <c r="T68" s="487"/>
      <c r="U68" s="335"/>
      <c r="V68" s="641" t="s">
        <v>938</v>
      </c>
      <c r="W68" s="664" t="s">
        <v>20</v>
      </c>
      <c r="X68" s="664" t="s">
        <v>12</v>
      </c>
      <c r="Y68" s="642">
        <v>36.4</v>
      </c>
      <c r="Z68" s="664" t="s">
        <v>926</v>
      </c>
      <c r="AA68" s="664" t="s">
        <v>22</v>
      </c>
      <c r="AB68" s="664" t="s">
        <v>11</v>
      </c>
      <c r="AC68" s="664">
        <v>25.5</v>
      </c>
      <c r="AD68" s="641" t="s">
        <v>101</v>
      </c>
      <c r="AE68" s="664" t="s">
        <v>340</v>
      </c>
      <c r="AF68" s="664" t="s">
        <v>18</v>
      </c>
      <c r="AG68" s="642">
        <v>3.4</v>
      </c>
      <c r="AH68" s="664" t="s">
        <v>944</v>
      </c>
      <c r="AI68" s="664" t="s">
        <v>340</v>
      </c>
      <c r="AJ68" s="664" t="s">
        <v>12</v>
      </c>
      <c r="AK68" s="664">
        <v>1.7</v>
      </c>
      <c r="AL68" s="641"/>
      <c r="AO68" s="642"/>
      <c r="AP68" s="641"/>
      <c r="AS68" s="642"/>
      <c r="AW68" s="642"/>
      <c r="BA68" s="643"/>
    </row>
    <row r="69" spans="1:53" s="664" customFormat="1" x14ac:dyDescent="0.15">
      <c r="A69" s="664">
        <v>2014</v>
      </c>
      <c r="B69" s="440">
        <v>41676</v>
      </c>
      <c r="C69" s="812" t="s">
        <v>947</v>
      </c>
      <c r="D69" s="812"/>
      <c r="E69" s="664">
        <v>1</v>
      </c>
      <c r="F69" s="501">
        <v>0</v>
      </c>
      <c r="G69" s="336">
        <v>8</v>
      </c>
      <c r="H69" s="200">
        <v>1</v>
      </c>
      <c r="I69" s="200">
        <v>15</v>
      </c>
      <c r="J69" s="337">
        <v>25</v>
      </c>
      <c r="K69" s="338">
        <f t="shared" si="5"/>
        <v>32</v>
      </c>
      <c r="L69" s="338">
        <f t="shared" si="6"/>
        <v>4</v>
      </c>
      <c r="M69" s="338">
        <f t="shared" si="7"/>
        <v>60</v>
      </c>
      <c r="N69" s="339">
        <f t="shared" si="3"/>
        <v>96</v>
      </c>
      <c r="O69" s="340">
        <v>25.5</v>
      </c>
      <c r="P69" s="338">
        <v>3.4</v>
      </c>
      <c r="Q69" s="338">
        <v>38.1</v>
      </c>
      <c r="R69" s="341">
        <f t="shared" ref="R69:R74" si="8">SUM(O69:Q69)</f>
        <v>67</v>
      </c>
      <c r="S69" s="664">
        <v>3</v>
      </c>
      <c r="T69" s="487"/>
      <c r="U69" s="335"/>
      <c r="V69" s="641" t="s">
        <v>938</v>
      </c>
      <c r="W69" s="664" t="s">
        <v>20</v>
      </c>
      <c r="X69" s="664" t="s">
        <v>12</v>
      </c>
      <c r="Y69" s="642">
        <v>36.4</v>
      </c>
      <c r="Z69" s="664" t="s">
        <v>926</v>
      </c>
      <c r="AA69" s="664" t="s">
        <v>22</v>
      </c>
      <c r="AB69" s="664" t="s">
        <v>11</v>
      </c>
      <c r="AC69" s="664">
        <v>25.5</v>
      </c>
      <c r="AD69" s="641" t="s">
        <v>101</v>
      </c>
      <c r="AE69" s="664" t="s">
        <v>340</v>
      </c>
      <c r="AF69" s="664" t="s">
        <v>18</v>
      </c>
      <c r="AG69" s="642">
        <v>3.4</v>
      </c>
      <c r="AH69" s="664" t="s">
        <v>944</v>
      </c>
      <c r="AI69" s="664" t="s">
        <v>340</v>
      </c>
      <c r="AJ69" s="664" t="s">
        <v>12</v>
      </c>
      <c r="AK69" s="664">
        <v>1.7</v>
      </c>
      <c r="AL69" s="641"/>
      <c r="AO69" s="642"/>
      <c r="AP69" s="641"/>
      <c r="AS69" s="642"/>
      <c r="AW69" s="642"/>
      <c r="BA69" s="643"/>
    </row>
    <row r="70" spans="1:53" s="664" customFormat="1" x14ac:dyDescent="0.15">
      <c r="A70" s="664">
        <v>2014</v>
      </c>
      <c r="B70" s="440">
        <v>41677</v>
      </c>
      <c r="C70" s="812" t="s">
        <v>947</v>
      </c>
      <c r="D70" s="812"/>
      <c r="E70" s="664">
        <v>19</v>
      </c>
      <c r="F70" s="501">
        <v>0</v>
      </c>
      <c r="G70" s="336">
        <v>7</v>
      </c>
      <c r="H70" s="200">
        <v>1</v>
      </c>
      <c r="I70" s="200">
        <v>16</v>
      </c>
      <c r="J70" s="337">
        <v>25</v>
      </c>
      <c r="K70" s="338">
        <f t="shared" si="5"/>
        <v>28.000000000000004</v>
      </c>
      <c r="L70" s="338">
        <f t="shared" si="6"/>
        <v>4</v>
      </c>
      <c r="M70" s="338">
        <f t="shared" si="7"/>
        <v>64</v>
      </c>
      <c r="N70" s="339">
        <f t="shared" si="3"/>
        <v>96</v>
      </c>
      <c r="O70" s="340">
        <v>25.5</v>
      </c>
      <c r="P70" s="338">
        <v>3.4</v>
      </c>
      <c r="Q70" s="338">
        <v>38.1</v>
      </c>
      <c r="R70" s="341">
        <f t="shared" si="8"/>
        <v>67</v>
      </c>
      <c r="S70" s="664">
        <v>3</v>
      </c>
      <c r="T70" s="487"/>
      <c r="U70" s="335"/>
      <c r="V70" s="641" t="s">
        <v>938</v>
      </c>
      <c r="W70" s="664" t="s">
        <v>20</v>
      </c>
      <c r="X70" s="664" t="s">
        <v>12</v>
      </c>
      <c r="Y70" s="642">
        <v>36.4</v>
      </c>
      <c r="Z70" s="664" t="s">
        <v>926</v>
      </c>
      <c r="AA70" s="664" t="s">
        <v>22</v>
      </c>
      <c r="AB70" s="664" t="s">
        <v>11</v>
      </c>
      <c r="AC70" s="664">
        <v>25.5</v>
      </c>
      <c r="AD70" s="641" t="s">
        <v>101</v>
      </c>
      <c r="AE70" s="664" t="s">
        <v>340</v>
      </c>
      <c r="AF70" s="664" t="s">
        <v>18</v>
      </c>
      <c r="AG70" s="642">
        <v>3.4</v>
      </c>
      <c r="AH70" s="664" t="s">
        <v>944</v>
      </c>
      <c r="AI70" s="664" t="s">
        <v>340</v>
      </c>
      <c r="AJ70" s="664" t="s">
        <v>12</v>
      </c>
      <c r="AK70" s="664">
        <v>1.7</v>
      </c>
      <c r="AL70" s="641"/>
      <c r="AO70" s="642"/>
      <c r="AP70" s="641"/>
      <c r="AS70" s="642"/>
      <c r="AW70" s="642"/>
      <c r="BA70" s="643"/>
    </row>
    <row r="71" spans="1:53" s="664" customFormat="1" x14ac:dyDescent="0.15">
      <c r="A71" s="664">
        <v>2014</v>
      </c>
      <c r="B71" s="440">
        <v>41696</v>
      </c>
      <c r="C71" s="812" t="s">
        <v>947</v>
      </c>
      <c r="D71" s="812"/>
      <c r="E71" s="664">
        <v>7</v>
      </c>
      <c r="F71" s="501">
        <v>0</v>
      </c>
      <c r="G71" s="336"/>
      <c r="H71" s="200">
        <v>1</v>
      </c>
      <c r="I71" s="200">
        <v>23</v>
      </c>
      <c r="J71" s="337">
        <v>25</v>
      </c>
      <c r="K71" s="338">
        <f t="shared" ref="K71:K78" si="9">G71/J71*100</f>
        <v>0</v>
      </c>
      <c r="L71" s="338">
        <f t="shared" ref="L71:L78" si="10">H71/J71*100</f>
        <v>4</v>
      </c>
      <c r="M71" s="338">
        <f t="shared" ref="M71:M78" si="11">I71/J71*100</f>
        <v>92</v>
      </c>
      <c r="N71" s="339">
        <f t="shared" ref="N71:N78" si="12">SUM(K71:M71)</f>
        <v>96</v>
      </c>
      <c r="O71" s="340"/>
      <c r="P71" s="338">
        <v>3.4</v>
      </c>
      <c r="Q71" s="338">
        <v>38.1</v>
      </c>
      <c r="R71" s="341">
        <f t="shared" si="8"/>
        <v>41.5</v>
      </c>
      <c r="S71" s="664">
        <v>5</v>
      </c>
      <c r="T71" s="487"/>
      <c r="U71" s="335"/>
      <c r="V71" s="641" t="s">
        <v>938</v>
      </c>
      <c r="W71" s="664" t="s">
        <v>20</v>
      </c>
      <c r="X71" s="664" t="s">
        <v>12</v>
      </c>
      <c r="Y71" s="642">
        <v>36.4</v>
      </c>
      <c r="Z71" s="664" t="s">
        <v>101</v>
      </c>
      <c r="AA71" s="664" t="s">
        <v>340</v>
      </c>
      <c r="AB71" s="664" t="s">
        <v>18</v>
      </c>
      <c r="AC71" s="664">
        <v>3.4</v>
      </c>
      <c r="AD71" s="641" t="s">
        <v>944</v>
      </c>
      <c r="AE71" s="664" t="s">
        <v>340</v>
      </c>
      <c r="AF71" s="664" t="s">
        <v>12</v>
      </c>
      <c r="AG71" s="642">
        <v>1.7</v>
      </c>
      <c r="AL71" s="641"/>
      <c r="AO71" s="642"/>
      <c r="AP71" s="641"/>
      <c r="AS71" s="642"/>
      <c r="AW71" s="642"/>
      <c r="BA71" s="643"/>
    </row>
    <row r="72" spans="1:53" s="663" customFormat="1" x14ac:dyDescent="0.15">
      <c r="A72" s="663">
        <v>2014</v>
      </c>
      <c r="B72" s="121">
        <v>41703</v>
      </c>
      <c r="C72" s="811" t="s">
        <v>1321</v>
      </c>
      <c r="D72" s="811"/>
      <c r="E72" s="663">
        <v>264</v>
      </c>
      <c r="F72" s="663">
        <v>4</v>
      </c>
      <c r="G72" s="74"/>
      <c r="H72" s="75">
        <v>3</v>
      </c>
      <c r="I72" s="75">
        <v>17</v>
      </c>
      <c r="J72" s="76">
        <v>26</v>
      </c>
      <c r="K72" s="77">
        <f t="shared" si="9"/>
        <v>0</v>
      </c>
      <c r="L72" s="77">
        <f t="shared" si="10"/>
        <v>11.538461538461538</v>
      </c>
      <c r="M72" s="77">
        <f t="shared" si="11"/>
        <v>65.384615384615387</v>
      </c>
      <c r="N72" s="78">
        <f t="shared" si="12"/>
        <v>76.92307692307692</v>
      </c>
      <c r="O72" s="79"/>
      <c r="P72" s="77">
        <v>8.3000000000000007</v>
      </c>
      <c r="Q72" s="77">
        <v>42.5</v>
      </c>
      <c r="R72" s="80">
        <f t="shared" si="8"/>
        <v>50.8</v>
      </c>
      <c r="S72" s="663">
        <v>2</v>
      </c>
      <c r="T72" s="577"/>
      <c r="U72" s="121">
        <v>41703</v>
      </c>
      <c r="V72" s="592" t="s">
        <v>938</v>
      </c>
      <c r="W72" s="663" t="s">
        <v>20</v>
      </c>
      <c r="X72" s="663" t="s">
        <v>12</v>
      </c>
      <c r="Y72" s="663">
        <v>37.6</v>
      </c>
      <c r="Z72" s="592" t="s">
        <v>101</v>
      </c>
      <c r="AA72" s="663" t="s">
        <v>340</v>
      </c>
      <c r="AB72" s="663" t="s">
        <v>18</v>
      </c>
      <c r="AC72" s="663">
        <v>3.9</v>
      </c>
      <c r="AD72" s="592" t="s">
        <v>944</v>
      </c>
      <c r="AE72" s="663" t="s">
        <v>340</v>
      </c>
      <c r="AF72" s="663" t="s">
        <v>12</v>
      </c>
      <c r="AG72" s="593">
        <v>4.9000000000000004</v>
      </c>
      <c r="AH72" s="663" t="s">
        <v>934</v>
      </c>
      <c r="AI72" s="663" t="s">
        <v>90</v>
      </c>
      <c r="AJ72" s="663" t="s">
        <v>18</v>
      </c>
      <c r="AK72" s="663">
        <v>4.4000000000000004</v>
      </c>
      <c r="AL72" s="592"/>
      <c r="AO72" s="593"/>
      <c r="AP72" s="592"/>
      <c r="AS72" s="593"/>
      <c r="AW72" s="593"/>
      <c r="BA72" s="594"/>
    </row>
    <row r="73" spans="1:53" s="663" customFormat="1" x14ac:dyDescent="0.15">
      <c r="A73" s="663">
        <v>2014</v>
      </c>
      <c r="B73" s="154">
        <v>41967</v>
      </c>
      <c r="C73" s="811" t="s">
        <v>1321</v>
      </c>
      <c r="D73" s="811"/>
      <c r="E73" s="663">
        <v>23</v>
      </c>
      <c r="F73" s="604">
        <v>0</v>
      </c>
      <c r="G73" s="74"/>
      <c r="H73" s="75">
        <v>3</v>
      </c>
      <c r="I73" s="75">
        <v>16</v>
      </c>
      <c r="J73" s="76">
        <v>26</v>
      </c>
      <c r="K73" s="77">
        <f t="shared" si="9"/>
        <v>0</v>
      </c>
      <c r="L73" s="77">
        <f t="shared" si="10"/>
        <v>11.538461538461538</v>
      </c>
      <c r="M73" s="77">
        <f t="shared" si="11"/>
        <v>61.53846153846154</v>
      </c>
      <c r="N73" s="78">
        <f t="shared" si="12"/>
        <v>73.07692307692308</v>
      </c>
      <c r="O73" s="79"/>
      <c r="P73" s="77">
        <v>8.3000000000000007</v>
      </c>
      <c r="Q73" s="77">
        <v>42.5</v>
      </c>
      <c r="R73" s="80">
        <f t="shared" si="8"/>
        <v>50.8</v>
      </c>
      <c r="S73" s="663">
        <v>2</v>
      </c>
      <c r="T73" s="577"/>
      <c r="V73" s="592" t="s">
        <v>938</v>
      </c>
      <c r="W73" s="663" t="s">
        <v>20</v>
      </c>
      <c r="X73" s="663" t="s">
        <v>12</v>
      </c>
      <c r="Y73" s="663">
        <v>37.6</v>
      </c>
      <c r="Z73" s="592" t="s">
        <v>101</v>
      </c>
      <c r="AA73" s="663" t="s">
        <v>340</v>
      </c>
      <c r="AB73" s="663" t="s">
        <v>18</v>
      </c>
      <c r="AC73" s="663">
        <v>3.9</v>
      </c>
      <c r="AD73" s="592" t="s">
        <v>944</v>
      </c>
      <c r="AE73" s="663" t="s">
        <v>340</v>
      </c>
      <c r="AF73" s="663" t="s">
        <v>12</v>
      </c>
      <c r="AG73" s="593">
        <v>4.9000000000000004</v>
      </c>
      <c r="AH73" s="663" t="s">
        <v>934</v>
      </c>
      <c r="AI73" s="663" t="s">
        <v>90</v>
      </c>
      <c r="AJ73" s="663" t="s">
        <v>18</v>
      </c>
      <c r="AK73" s="663">
        <v>4.4000000000000004</v>
      </c>
      <c r="AL73" s="592"/>
      <c r="AO73" s="593"/>
      <c r="AP73" s="592"/>
      <c r="AS73" s="593"/>
      <c r="AW73" s="593"/>
      <c r="BA73" s="594"/>
    </row>
    <row r="74" spans="1:53" s="664" customFormat="1" x14ac:dyDescent="0.15">
      <c r="A74" s="664">
        <v>2014</v>
      </c>
      <c r="B74" s="335">
        <v>41990</v>
      </c>
      <c r="C74" s="844" t="s">
        <v>1322</v>
      </c>
      <c r="D74" s="844"/>
      <c r="E74" s="664">
        <v>15</v>
      </c>
      <c r="F74" s="664">
        <v>4</v>
      </c>
      <c r="G74" s="336">
        <v>2</v>
      </c>
      <c r="H74" s="200">
        <v>2</v>
      </c>
      <c r="I74" s="200">
        <v>16</v>
      </c>
      <c r="J74" s="337">
        <v>22</v>
      </c>
      <c r="K74" s="338">
        <f t="shared" si="9"/>
        <v>9.0909090909090917</v>
      </c>
      <c r="L74" s="338">
        <f t="shared" si="10"/>
        <v>9.0909090909090917</v>
      </c>
      <c r="M74" s="338">
        <f t="shared" si="11"/>
        <v>72.727272727272734</v>
      </c>
      <c r="N74" s="339">
        <f t="shared" si="12"/>
        <v>90.909090909090921</v>
      </c>
      <c r="O74" s="340">
        <v>4</v>
      </c>
      <c r="P74" s="338">
        <v>3.2</v>
      </c>
      <c r="Q74" s="338">
        <v>45.1</v>
      </c>
      <c r="R74" s="341">
        <f t="shared" si="8"/>
        <v>52.300000000000004</v>
      </c>
      <c r="S74" s="664">
        <v>2</v>
      </c>
      <c r="T74" s="645"/>
      <c r="U74" s="335">
        <v>41990</v>
      </c>
      <c r="V74" s="641" t="s">
        <v>938</v>
      </c>
      <c r="W74" s="664" t="s">
        <v>20</v>
      </c>
      <c r="X74" s="664" t="s">
        <v>12</v>
      </c>
      <c r="Y74" s="642">
        <v>36.6</v>
      </c>
      <c r="Z74" s="641" t="s">
        <v>101</v>
      </c>
      <c r="AA74" s="664" t="s">
        <v>340</v>
      </c>
      <c r="AB74" s="664" t="s">
        <v>18</v>
      </c>
      <c r="AC74" s="642">
        <v>3.2</v>
      </c>
      <c r="AD74" s="641" t="s">
        <v>944</v>
      </c>
      <c r="AE74" s="664" t="s">
        <v>340</v>
      </c>
      <c r="AF74" s="664" t="s">
        <v>12</v>
      </c>
      <c r="AG74" s="642">
        <v>8.5</v>
      </c>
      <c r="AH74" s="664" t="s">
        <v>1323</v>
      </c>
      <c r="AI74" s="664" t="s">
        <v>340</v>
      </c>
      <c r="AJ74" s="664" t="s">
        <v>11</v>
      </c>
      <c r="AK74" s="664">
        <v>4</v>
      </c>
      <c r="AL74" s="641"/>
      <c r="AO74" s="642"/>
      <c r="AP74" s="641"/>
      <c r="AS74" s="642"/>
      <c r="AW74" s="642"/>
      <c r="BA74" s="643"/>
    </row>
    <row r="75" spans="1:53" s="759" customFormat="1" x14ac:dyDescent="0.15">
      <c r="A75" s="759">
        <v>2015</v>
      </c>
      <c r="B75" s="335"/>
      <c r="C75" s="844" t="s">
        <v>1322</v>
      </c>
      <c r="D75" s="844"/>
      <c r="E75" s="759">
        <v>308</v>
      </c>
      <c r="G75" s="336">
        <v>2</v>
      </c>
      <c r="H75" s="200">
        <v>2</v>
      </c>
      <c r="I75" s="200">
        <v>16</v>
      </c>
      <c r="J75" s="337">
        <v>22</v>
      </c>
      <c r="K75" s="338">
        <f t="shared" si="9"/>
        <v>9.0909090909090917</v>
      </c>
      <c r="L75" s="338">
        <f t="shared" si="10"/>
        <v>9.0909090909090917</v>
      </c>
      <c r="M75" s="338">
        <f t="shared" si="11"/>
        <v>72.727272727272734</v>
      </c>
      <c r="N75" s="339">
        <f t="shared" si="12"/>
        <v>90.909090909090921</v>
      </c>
      <c r="O75" s="340">
        <v>4</v>
      </c>
      <c r="P75" s="338">
        <v>3.2</v>
      </c>
      <c r="Q75" s="338">
        <v>45.1</v>
      </c>
      <c r="R75" s="341">
        <f t="shared" ref="R75" si="13">SUM(O75:Q75)</f>
        <v>52.300000000000004</v>
      </c>
      <c r="S75" s="759">
        <v>2</v>
      </c>
      <c r="T75" s="645"/>
      <c r="U75" s="335"/>
      <c r="V75" s="641" t="s">
        <v>938</v>
      </c>
      <c r="W75" s="759" t="s">
        <v>20</v>
      </c>
      <c r="X75" s="759" t="s">
        <v>12</v>
      </c>
      <c r="Y75" s="642">
        <v>36.6</v>
      </c>
      <c r="Z75" s="641" t="s">
        <v>101</v>
      </c>
      <c r="AA75" s="759" t="s">
        <v>340</v>
      </c>
      <c r="AB75" s="759" t="s">
        <v>18</v>
      </c>
      <c r="AC75" s="642">
        <v>3.2</v>
      </c>
      <c r="AD75" s="641" t="s">
        <v>944</v>
      </c>
      <c r="AE75" s="759" t="s">
        <v>340</v>
      </c>
      <c r="AF75" s="759" t="s">
        <v>12</v>
      </c>
      <c r="AG75" s="642">
        <v>8.5</v>
      </c>
      <c r="AH75" s="759" t="s">
        <v>1323</v>
      </c>
      <c r="AI75" s="759" t="s">
        <v>340</v>
      </c>
      <c r="AJ75" s="759" t="s">
        <v>11</v>
      </c>
      <c r="AK75" s="759">
        <v>4</v>
      </c>
      <c r="AL75" s="641"/>
      <c r="AO75" s="642"/>
      <c r="AP75" s="641"/>
      <c r="AS75" s="642"/>
      <c r="AW75" s="642"/>
      <c r="BA75" s="643"/>
    </row>
    <row r="76" spans="1:53" s="758" customFormat="1" x14ac:dyDescent="0.15">
      <c r="A76" s="758">
        <v>2015</v>
      </c>
      <c r="B76" s="121">
        <v>42313</v>
      </c>
      <c r="C76" s="811" t="s">
        <v>1351</v>
      </c>
      <c r="D76" s="811"/>
      <c r="E76" s="758">
        <v>4</v>
      </c>
      <c r="F76" s="758">
        <v>2</v>
      </c>
      <c r="G76" s="74">
        <v>2</v>
      </c>
      <c r="H76" s="75">
        <v>2</v>
      </c>
      <c r="I76" s="75">
        <v>15</v>
      </c>
      <c r="J76" s="76">
        <v>21</v>
      </c>
      <c r="K76" s="77">
        <f t="shared" si="9"/>
        <v>9.5238095238095237</v>
      </c>
      <c r="L76" s="77">
        <f t="shared" si="10"/>
        <v>9.5238095238095237</v>
      </c>
      <c r="M76" s="77">
        <f t="shared" si="11"/>
        <v>71.428571428571431</v>
      </c>
      <c r="N76" s="78">
        <f t="shared" si="12"/>
        <v>90.476190476190482</v>
      </c>
      <c r="O76" s="79">
        <v>4</v>
      </c>
      <c r="P76" s="77">
        <v>3.2</v>
      </c>
      <c r="Q76" s="77">
        <v>45.1</v>
      </c>
      <c r="R76" s="80">
        <v>52.300000000000004</v>
      </c>
      <c r="S76" s="758">
        <v>6</v>
      </c>
      <c r="T76" s="577"/>
      <c r="U76" s="121">
        <v>42313</v>
      </c>
      <c r="V76" s="764" t="s">
        <v>1350</v>
      </c>
      <c r="Z76" s="592" t="s">
        <v>938</v>
      </c>
      <c r="AA76" s="758" t="s">
        <v>20</v>
      </c>
      <c r="AB76" s="758" t="s">
        <v>12</v>
      </c>
      <c r="AC76" s="758">
        <v>36.6</v>
      </c>
      <c r="AD76" s="592" t="s">
        <v>101</v>
      </c>
      <c r="AE76" s="758" t="s">
        <v>340</v>
      </c>
      <c r="AF76" s="758" t="s">
        <v>18</v>
      </c>
      <c r="AG76" s="593">
        <v>3.2</v>
      </c>
      <c r="AH76" s="758" t="s">
        <v>944</v>
      </c>
      <c r="AI76" s="758" t="s">
        <v>340</v>
      </c>
      <c r="AJ76" s="758" t="s">
        <v>12</v>
      </c>
      <c r="AK76" s="758">
        <v>8.5</v>
      </c>
      <c r="AL76" s="592" t="s">
        <v>1323</v>
      </c>
      <c r="AM76" s="758" t="s">
        <v>340</v>
      </c>
      <c r="AN76" s="758" t="s">
        <v>11</v>
      </c>
      <c r="AO76" s="593">
        <v>4</v>
      </c>
      <c r="AP76" s="592"/>
      <c r="AS76" s="593"/>
      <c r="AW76" s="593"/>
      <c r="BA76" s="594"/>
    </row>
    <row r="77" spans="1:53" s="758" customFormat="1" x14ac:dyDescent="0.15">
      <c r="A77" s="758">
        <v>2015</v>
      </c>
      <c r="B77" s="154">
        <v>42317</v>
      </c>
      <c r="C77" s="811" t="s">
        <v>1351</v>
      </c>
      <c r="D77" s="811"/>
      <c r="E77" s="758">
        <v>8</v>
      </c>
      <c r="F77" s="604">
        <v>0</v>
      </c>
      <c r="G77" s="74">
        <v>2</v>
      </c>
      <c r="H77" s="75">
        <v>2</v>
      </c>
      <c r="I77" s="75">
        <v>14</v>
      </c>
      <c r="J77" s="76">
        <v>20</v>
      </c>
      <c r="K77" s="77">
        <f t="shared" si="9"/>
        <v>10</v>
      </c>
      <c r="L77" s="77">
        <f t="shared" si="10"/>
        <v>10</v>
      </c>
      <c r="M77" s="77">
        <f t="shared" si="11"/>
        <v>70</v>
      </c>
      <c r="N77" s="78">
        <f t="shared" si="12"/>
        <v>90</v>
      </c>
      <c r="O77" s="79">
        <v>4</v>
      </c>
      <c r="P77" s="77">
        <v>3.2</v>
      </c>
      <c r="Q77" s="77">
        <v>45.1</v>
      </c>
      <c r="R77" s="80">
        <v>52.300000000000004</v>
      </c>
      <c r="S77" s="758">
        <v>6</v>
      </c>
      <c r="T77" s="577"/>
      <c r="U77" s="121"/>
      <c r="V77" s="764" t="s">
        <v>1350</v>
      </c>
      <c r="Z77" s="592" t="s">
        <v>938</v>
      </c>
      <c r="AA77" s="758" t="s">
        <v>20</v>
      </c>
      <c r="AB77" s="758" t="s">
        <v>12</v>
      </c>
      <c r="AC77" s="758">
        <v>36.6</v>
      </c>
      <c r="AD77" s="592" t="s">
        <v>101</v>
      </c>
      <c r="AE77" s="758" t="s">
        <v>340</v>
      </c>
      <c r="AF77" s="758" t="s">
        <v>18</v>
      </c>
      <c r="AG77" s="593">
        <v>3.2</v>
      </c>
      <c r="AH77" s="758" t="s">
        <v>944</v>
      </c>
      <c r="AI77" s="758" t="s">
        <v>340</v>
      </c>
      <c r="AJ77" s="758" t="s">
        <v>12</v>
      </c>
      <c r="AK77" s="758">
        <v>8.5</v>
      </c>
      <c r="AL77" s="592" t="s">
        <v>1323</v>
      </c>
      <c r="AM77" s="758" t="s">
        <v>340</v>
      </c>
      <c r="AN77" s="758" t="s">
        <v>11</v>
      </c>
      <c r="AO77" s="593">
        <v>4</v>
      </c>
      <c r="AP77" s="592"/>
      <c r="AS77" s="593"/>
      <c r="AW77" s="593"/>
      <c r="BA77" s="594"/>
    </row>
    <row r="78" spans="1:53" s="759" customFormat="1" x14ac:dyDescent="0.15">
      <c r="A78" s="759">
        <v>2015</v>
      </c>
      <c r="B78" s="335">
        <v>42325</v>
      </c>
      <c r="C78" s="844" t="s">
        <v>1352</v>
      </c>
      <c r="D78" s="844"/>
      <c r="E78" s="759">
        <v>45</v>
      </c>
      <c r="F78" s="776">
        <v>2</v>
      </c>
      <c r="G78" s="336">
        <v>0</v>
      </c>
      <c r="H78" s="200">
        <v>0</v>
      </c>
      <c r="I78" s="200">
        <v>0</v>
      </c>
      <c r="J78" s="337">
        <v>23</v>
      </c>
      <c r="K78" s="338">
        <f t="shared" si="9"/>
        <v>0</v>
      </c>
      <c r="L78" s="338">
        <f t="shared" si="10"/>
        <v>0</v>
      </c>
      <c r="M78" s="338">
        <f t="shared" si="11"/>
        <v>0</v>
      </c>
      <c r="N78" s="339">
        <f t="shared" si="12"/>
        <v>0</v>
      </c>
      <c r="O78" s="340">
        <v>0</v>
      </c>
      <c r="P78" s="338">
        <v>0</v>
      </c>
      <c r="Q78" s="338">
        <v>0</v>
      </c>
      <c r="R78" s="341">
        <v>0</v>
      </c>
      <c r="S78" s="759">
        <v>7</v>
      </c>
      <c r="T78" s="645"/>
      <c r="U78" s="335">
        <v>42325</v>
      </c>
      <c r="V78" s="761" t="s">
        <v>815</v>
      </c>
      <c r="Y78" s="642"/>
      <c r="Z78" s="641"/>
      <c r="AC78" s="642"/>
      <c r="AD78" s="641"/>
      <c r="AG78" s="642"/>
      <c r="AL78" s="641"/>
      <c r="AO78" s="642"/>
      <c r="AP78" s="641"/>
      <c r="AS78" s="642"/>
      <c r="AW78" s="642"/>
      <c r="BA78" s="643"/>
    </row>
    <row r="79" spans="1:53" x14ac:dyDescent="0.15">
      <c r="B79" s="2"/>
      <c r="C79" s="2"/>
      <c r="D79" s="2"/>
      <c r="E79" s="2"/>
      <c r="F79" s="2"/>
      <c r="G79" s="2"/>
      <c r="H79" s="2"/>
      <c r="I79" s="2"/>
      <c r="J79" s="2"/>
      <c r="K79" s="2"/>
      <c r="L79" s="2"/>
      <c r="M79" s="2"/>
      <c r="N79" s="2"/>
    </row>
    <row r="80" spans="1:53" x14ac:dyDescent="0.15">
      <c r="B80" s="2"/>
      <c r="C80" s="2"/>
      <c r="D80" s="2"/>
      <c r="E80" s="2"/>
      <c r="F80" s="2"/>
      <c r="G80" s="2"/>
      <c r="H80" s="2"/>
      <c r="I80" s="2"/>
      <c r="J80" s="2"/>
      <c r="K80" s="2"/>
      <c r="L80" s="2"/>
      <c r="M80" s="2"/>
      <c r="N80" s="2"/>
    </row>
    <row r="81" spans="1:30" s="2" customFormat="1" ht="18" customHeight="1" x14ac:dyDescent="0.2">
      <c r="B81" s="22" t="s">
        <v>1284</v>
      </c>
    </row>
    <row r="82" spans="1:30" s="2" customFormat="1" ht="9" customHeight="1" x14ac:dyDescent="0.15"/>
    <row r="83" spans="1:30" s="364" customFormat="1" ht="9" customHeight="1" x14ac:dyDescent="0.15">
      <c r="A83" s="362"/>
      <c r="B83" s="363" t="s">
        <v>1235</v>
      </c>
      <c r="C83" s="363"/>
      <c r="D83" s="363"/>
      <c r="E83" s="363"/>
      <c r="F83" s="363"/>
      <c r="G83" s="363" t="s">
        <v>1236</v>
      </c>
      <c r="H83" s="363"/>
      <c r="I83" s="363"/>
      <c r="J83" s="363"/>
      <c r="K83" s="363"/>
      <c r="L83" s="363"/>
      <c r="M83" s="363"/>
      <c r="N83" s="363"/>
      <c r="R83" s="802" t="s">
        <v>1237</v>
      </c>
      <c r="S83" s="802"/>
      <c r="T83" s="802"/>
      <c r="U83" s="802"/>
      <c r="V83" s="802"/>
      <c r="W83" s="802"/>
      <c r="X83" s="365"/>
      <c r="Y83" s="365"/>
      <c r="AA83" s="365"/>
      <c r="AB83" s="365"/>
      <c r="AC83" s="365"/>
      <c r="AD83" s="365"/>
    </row>
    <row r="84" spans="1:30" s="369" customFormat="1" ht="9" customHeight="1" x14ac:dyDescent="0.15">
      <c r="A84" s="366"/>
      <c r="B84" s="367" t="s">
        <v>1239</v>
      </c>
      <c r="C84" s="368"/>
      <c r="D84" s="368"/>
      <c r="E84" s="368"/>
      <c r="F84" s="368"/>
      <c r="G84" s="367" t="s">
        <v>1238</v>
      </c>
      <c r="H84" s="368"/>
      <c r="I84" s="368"/>
      <c r="J84" s="368"/>
      <c r="K84" s="368"/>
      <c r="L84" s="368"/>
      <c r="M84" s="368"/>
      <c r="N84" s="368"/>
      <c r="R84" s="370" t="s">
        <v>1240</v>
      </c>
      <c r="S84" s="371"/>
      <c r="T84" s="372"/>
      <c r="U84" s="372"/>
      <c r="V84" s="372"/>
      <c r="W84" s="370" t="s">
        <v>1241</v>
      </c>
      <c r="X84" s="372"/>
      <c r="Y84" s="372"/>
      <c r="AA84" s="372"/>
      <c r="AB84" s="372"/>
      <c r="AC84" s="372"/>
      <c r="AD84" s="372"/>
    </row>
    <row r="85" spans="1:30" s="351" customFormat="1" ht="12" customHeight="1" x14ac:dyDescent="0.15">
      <c r="A85" s="373" t="s">
        <v>3</v>
      </c>
      <c r="B85" s="374" t="s">
        <v>8</v>
      </c>
      <c r="C85" s="374" t="s">
        <v>9</v>
      </c>
      <c r="D85" s="374" t="s">
        <v>10</v>
      </c>
      <c r="E85" s="375" t="s">
        <v>1215</v>
      </c>
      <c r="F85" s="374"/>
      <c r="G85" s="351" t="s">
        <v>3</v>
      </c>
      <c r="H85" s="803" t="s">
        <v>0</v>
      </c>
      <c r="I85" s="803"/>
      <c r="J85" s="803" t="s">
        <v>1</v>
      </c>
      <c r="K85" s="803"/>
      <c r="L85" s="803" t="s">
        <v>2</v>
      </c>
      <c r="M85" s="803"/>
      <c r="N85" s="804" t="s">
        <v>1215</v>
      </c>
      <c r="O85" s="804"/>
      <c r="P85" s="376"/>
      <c r="Q85" s="376"/>
      <c r="R85" s="377" t="s">
        <v>3</v>
      </c>
      <c r="S85" s="378" t="s">
        <v>136</v>
      </c>
      <c r="T85" s="376" t="s">
        <v>134</v>
      </c>
      <c r="U85" s="374" t="s">
        <v>135</v>
      </c>
      <c r="V85" s="376"/>
      <c r="W85" s="379" t="s">
        <v>26</v>
      </c>
    </row>
    <row r="86" spans="1:30" ht="9" customHeight="1" x14ac:dyDescent="0.15">
      <c r="A86" s="1">
        <v>1990</v>
      </c>
      <c r="B86" s="8">
        <f>(K7*($E7/187))</f>
        <v>0</v>
      </c>
      <c r="C86" s="8">
        <f>(L7*($E7/187))</f>
        <v>0</v>
      </c>
      <c r="D86" s="8">
        <f>(M7*($E7/187))</f>
        <v>91.304347826086953</v>
      </c>
      <c r="E86" s="52">
        <f>B86+C86+D86</f>
        <v>91.304347826086953</v>
      </c>
      <c r="F86" s="12"/>
      <c r="G86" s="12">
        <v>1990</v>
      </c>
      <c r="H86" s="822">
        <f>(O7/$R7*100*($E7/187))</f>
        <v>0</v>
      </c>
      <c r="I86" s="822"/>
      <c r="J86" s="822">
        <f>(P7/$R7*100*($E7/187))</f>
        <v>0</v>
      </c>
      <c r="K86" s="822"/>
      <c r="L86" s="827">
        <f>(Q7/$R7*100*($E7/187))</f>
        <v>100</v>
      </c>
      <c r="M86" s="827"/>
      <c r="N86" s="832">
        <f t="shared" ref="N86:N108" si="14">H86+J86+L86</f>
        <v>100</v>
      </c>
      <c r="O86" s="832"/>
      <c r="P86" s="12"/>
      <c r="Q86" s="12"/>
      <c r="R86" s="12">
        <v>1990</v>
      </c>
      <c r="S86" s="8">
        <f>(O7*($E7/187))</f>
        <v>0</v>
      </c>
      <c r="T86" s="8">
        <f>(P7*($E7/187))</f>
        <v>0</v>
      </c>
      <c r="U86" s="8">
        <f>(Q7*($E7/187))</f>
        <v>66.400000000000006</v>
      </c>
      <c r="V86" s="12"/>
      <c r="W86" s="7">
        <f>S86+T86+U86</f>
        <v>66.400000000000006</v>
      </c>
      <c r="X86" s="68"/>
      <c r="Y86" s="229" t="s">
        <v>1221</v>
      </c>
      <c r="Z86" s="68"/>
      <c r="AA86" s="68"/>
    </row>
    <row r="87" spans="1:30" ht="9" customHeight="1" x14ac:dyDescent="0.15">
      <c r="A87" s="1">
        <v>1991</v>
      </c>
      <c r="B87" s="8">
        <f>(K8*($E8/365))+(K9*($E9/365))</f>
        <v>3.3309300648882476</v>
      </c>
      <c r="C87" s="8">
        <f>(L8*($E8/365))+(L9*($E9/365))</f>
        <v>0</v>
      </c>
      <c r="D87" s="8">
        <f>(M8*($E8/365))+(M9*($E9/365))</f>
        <v>86.476912949437306</v>
      </c>
      <c r="E87" s="52">
        <f t="shared" ref="E87:E108" si="15">B87+C87+D87</f>
        <v>89.807843014325556</v>
      </c>
      <c r="F87" s="12"/>
      <c r="G87" s="12">
        <v>1991</v>
      </c>
      <c r="H87" s="822">
        <f>(O8/$R8*100*($E8/365))+(O9/$R9*100*($E9/365))</f>
        <v>1.9493670886075947</v>
      </c>
      <c r="I87" s="822"/>
      <c r="J87" s="822">
        <f>(P8/$R8*100*($E8/365))+(P9/$R9*100*($E9/365))</f>
        <v>0</v>
      </c>
      <c r="K87" s="822"/>
      <c r="L87" s="822">
        <f>(Q8/$R8*100*($E8/365))+(Q9/$R9*100*($E9/365))</f>
        <v>98.050632911392412</v>
      </c>
      <c r="M87" s="822"/>
      <c r="N87" s="832">
        <f t="shared" si="14"/>
        <v>100</v>
      </c>
      <c r="O87" s="832"/>
      <c r="P87" s="12"/>
      <c r="Q87" s="12"/>
      <c r="R87" s="12">
        <v>1991</v>
      </c>
      <c r="S87" s="8">
        <f>(O8*($E8/365))+(O9*($E9/365))</f>
        <v>1.5399999999999998</v>
      </c>
      <c r="T87" s="8">
        <f>(P8*($E8/365))+(P9*($E9/365))</f>
        <v>0</v>
      </c>
      <c r="U87" s="8">
        <f>(Q8*($E8/365))+(Q9*($E9/365))</f>
        <v>67.51808219178082</v>
      </c>
      <c r="V87" s="12"/>
      <c r="W87" s="7">
        <f t="shared" ref="W87:W109" si="16">S87+T87+U87</f>
        <v>69.058082191780827</v>
      </c>
    </row>
    <row r="88" spans="1:30" ht="9" customHeight="1" x14ac:dyDescent="0.15">
      <c r="A88" s="1">
        <v>1992</v>
      </c>
      <c r="B88" s="8">
        <f>(K10*($E10/366))+(K11*($E11/366))</f>
        <v>13.675582398619499</v>
      </c>
      <c r="C88" s="8">
        <f>(L10*($E10/366))+(L11*($E11/366))</f>
        <v>0</v>
      </c>
      <c r="D88" s="8">
        <f>(M10*($E10/366))+(M11*($E11/366))</f>
        <v>71.979436295657166</v>
      </c>
      <c r="E88" s="52">
        <f t="shared" si="15"/>
        <v>85.655018694276663</v>
      </c>
      <c r="F88" s="12"/>
      <c r="G88" s="12">
        <v>1992</v>
      </c>
      <c r="H88" s="822">
        <f>(O10/$R10*100*($E10/366))+(O11/$R11*100*($E11/366))</f>
        <v>8.0033893615549552</v>
      </c>
      <c r="I88" s="822"/>
      <c r="J88" s="822">
        <f>(P10/$R10*100*($E10/366))+(P11/$R11*100*($E11/366))</f>
        <v>0</v>
      </c>
      <c r="K88" s="822"/>
      <c r="L88" s="822">
        <f>(Q10/$R10*100*($E10/366))+(Q11/$R11*100*($E11/366))</f>
        <v>91.996610638445048</v>
      </c>
      <c r="M88" s="822"/>
      <c r="N88" s="832">
        <f t="shared" si="14"/>
        <v>100</v>
      </c>
      <c r="O88" s="832"/>
      <c r="P88" s="12"/>
      <c r="Q88" s="12"/>
      <c r="R88" s="12">
        <v>1992</v>
      </c>
      <c r="S88" s="8">
        <f>(O10*($E10/366))+(O11*($E11/366))</f>
        <v>6.3226775956284147</v>
      </c>
      <c r="T88" s="8">
        <f>(P10*($E10/366))+(P11*($E11/366))</f>
        <v>0</v>
      </c>
      <c r="U88" s="8">
        <f>(Q10*($E10/366))+(Q11*($E11/366))</f>
        <v>66.692896174863392</v>
      </c>
      <c r="V88" s="12"/>
      <c r="W88" s="7">
        <f t="shared" si="16"/>
        <v>73.015573770491812</v>
      </c>
    </row>
    <row r="89" spans="1:30" ht="9" customHeight="1" x14ac:dyDescent="0.15">
      <c r="A89" s="1">
        <v>1993</v>
      </c>
      <c r="B89" s="8">
        <f>(K12*($E12/365))+(K13*($E13/365))</f>
        <v>0</v>
      </c>
      <c r="C89" s="8">
        <f>(L12*($E12/365))+(L13*($E13/365))</f>
        <v>0</v>
      </c>
      <c r="D89" s="8">
        <f>(M12*($E12/365))+(M13*($E13/365))</f>
        <v>95</v>
      </c>
      <c r="E89" s="52">
        <f t="shared" si="15"/>
        <v>95</v>
      </c>
      <c r="F89" s="12"/>
      <c r="G89" s="12">
        <v>1993</v>
      </c>
      <c r="H89" s="822">
        <f>(O12/$R12*100*($E12/365))+(O13/$R13*100*($E13/365))</f>
        <v>0</v>
      </c>
      <c r="I89" s="822"/>
      <c r="J89" s="822">
        <f>(P12/$R12*100*($E12/365))+(P13/$R13*100*($E13/365))</f>
        <v>0</v>
      </c>
      <c r="K89" s="822"/>
      <c r="L89" s="822">
        <f>(Q12/$R12*100*($E12/365))+(Q13/$R13*100*($E13/365))</f>
        <v>100</v>
      </c>
      <c r="M89" s="822"/>
      <c r="N89" s="832">
        <f t="shared" si="14"/>
        <v>100</v>
      </c>
      <c r="O89" s="832"/>
      <c r="P89" s="12"/>
      <c r="Q89" s="12"/>
      <c r="R89" s="12">
        <v>1993</v>
      </c>
      <c r="S89" s="8">
        <f>(O12*($E12/365))+(O13*($E13/365))</f>
        <v>0</v>
      </c>
      <c r="T89" s="8">
        <f>(P12*($E12/365))+(P13*($E13/365))</f>
        <v>0</v>
      </c>
      <c r="U89" s="8">
        <f>(Q12*($E12/365))+(Q13*($E13/365))</f>
        <v>34.299999999999997</v>
      </c>
      <c r="V89" s="12"/>
      <c r="W89" s="7">
        <f t="shared" si="16"/>
        <v>34.299999999999997</v>
      </c>
    </row>
    <row r="90" spans="1:30" ht="9" customHeight="1" x14ac:dyDescent="0.15">
      <c r="A90" s="1">
        <v>1994</v>
      </c>
      <c r="B90" s="8">
        <f>(K14*($E14/365))+(K15*($E15/365))</f>
        <v>3.387297633872977</v>
      </c>
      <c r="C90" s="8">
        <f>(L14*($E14/365))+(L15*($E15/365))</f>
        <v>0</v>
      </c>
      <c r="D90" s="8">
        <f>(M14*($E14/365))+(M15*($E15/365))</f>
        <v>86.701120797011214</v>
      </c>
      <c r="E90" s="52">
        <f t="shared" si="15"/>
        <v>90.08841843088419</v>
      </c>
      <c r="F90" s="12"/>
      <c r="G90" s="12">
        <v>1994</v>
      </c>
      <c r="H90" s="822">
        <f>(O14/$R14*100*($E14/365))+(O15/$R15*100*($E15/365))</f>
        <v>7.6076661475383807</v>
      </c>
      <c r="I90" s="822"/>
      <c r="J90" s="822">
        <f>(P14/$R14*100*($E14/365))+(P15/$R15*100*($E15/365))</f>
        <v>0</v>
      </c>
      <c r="K90" s="822"/>
      <c r="L90" s="822">
        <f>(Q14/$R14*100*($E14/365))+(Q15/$R15*100*($E15/365))</f>
        <v>92.392333852461633</v>
      </c>
      <c r="M90" s="822"/>
      <c r="N90" s="832">
        <f t="shared" si="14"/>
        <v>100.00000000000001</v>
      </c>
      <c r="O90" s="832"/>
      <c r="P90" s="12"/>
      <c r="Q90" s="12"/>
      <c r="R90" s="12">
        <v>1994</v>
      </c>
      <c r="S90" s="8">
        <f>(O14*($E14/365))+(O15*($E15/365))</f>
        <v>3.2789041095890417</v>
      </c>
      <c r="T90" s="8">
        <f>(P14*($E14/365))+(P15*($E15/365))</f>
        <v>0</v>
      </c>
      <c r="U90" s="8">
        <f>(Q14*($E14/365))+(Q15*($E15/365))</f>
        <v>34.299999999999997</v>
      </c>
      <c r="V90" s="12"/>
      <c r="W90" s="7">
        <f t="shared" si="16"/>
        <v>37.57890410958904</v>
      </c>
    </row>
    <row r="91" spans="1:30" ht="9" customHeight="1" x14ac:dyDescent="0.15">
      <c r="A91" s="1">
        <v>1995</v>
      </c>
      <c r="B91" s="8">
        <f>(K16*($E16/365))+(K17*($E17/365))</f>
        <v>8.9393939393939394</v>
      </c>
      <c r="C91" s="8">
        <f>(L16*($E16/365))+(L17*($E17/365))</f>
        <v>0</v>
      </c>
      <c r="D91" s="8">
        <f>(M16*($E16/365))+(M17*($E17/365))</f>
        <v>75.681818181818187</v>
      </c>
      <c r="E91" s="52">
        <f t="shared" si="15"/>
        <v>84.621212121212125</v>
      </c>
      <c r="F91" s="12"/>
      <c r="G91" s="12">
        <v>1995</v>
      </c>
      <c r="H91" s="822">
        <f>(O16/$R16*100*($E16/365))+(O17/$R17*100*($E17/365))</f>
        <v>20.41763341067286</v>
      </c>
      <c r="I91" s="822"/>
      <c r="J91" s="822">
        <f>(P16/$R16*100*($E16/365))+(P17/$R17*100*($E17/365))</f>
        <v>0</v>
      </c>
      <c r="K91" s="822"/>
      <c r="L91" s="822">
        <f>(Q16/$R16*100*($E16/365))+(Q17/$R17*100*($E17/365))</f>
        <v>79.582366589327165</v>
      </c>
      <c r="M91" s="822"/>
      <c r="N91" s="832">
        <f t="shared" si="14"/>
        <v>100.00000000000003</v>
      </c>
      <c r="O91" s="832"/>
      <c r="P91" s="12"/>
      <c r="Q91" s="12"/>
      <c r="R91" s="12">
        <v>1995</v>
      </c>
      <c r="S91" s="8">
        <f>(O16*($E16/365))+(O17*($E17/365))</f>
        <v>8.8000000000000007</v>
      </c>
      <c r="T91" s="8">
        <f>(P16*($E16/365))+(P17*($E17/365))</f>
        <v>0</v>
      </c>
      <c r="U91" s="8">
        <f>(Q16*($E16/365))+(Q17*($E17/365))</f>
        <v>34.299999999999997</v>
      </c>
      <c r="V91" s="12"/>
      <c r="W91" s="7">
        <f t="shared" si="16"/>
        <v>43.099999999999994</v>
      </c>
    </row>
    <row r="92" spans="1:30" ht="9" customHeight="1" x14ac:dyDescent="0.15">
      <c r="A92" s="1">
        <v>1996</v>
      </c>
      <c r="B92" s="8">
        <f>(K18*($E18/366))+(K19*($E19/366))+(K20*($E20/366))</f>
        <v>9.1530054644808736</v>
      </c>
      <c r="C92" s="8">
        <f>(L18*($E18/366))+(L19*($E19/366))+(L20*($E20/366))</f>
        <v>0.27322404371584696</v>
      </c>
      <c r="D92" s="8">
        <f>(M18*($E18/366))+(M19*($E19/366))+(M20*($E20/366))</f>
        <v>87.500000000000014</v>
      </c>
      <c r="E92" s="52">
        <f t="shared" si="15"/>
        <v>96.926229508196741</v>
      </c>
      <c r="F92" s="12"/>
      <c r="G92" s="12">
        <v>1996</v>
      </c>
      <c r="H92" s="822">
        <f>(O18/$R18*100*($E18/366))+(O19/$R19*100*($E19/366))+(O20/$R20*100*($E20/366))</f>
        <v>17.054415030648371</v>
      </c>
      <c r="I92" s="822"/>
      <c r="J92" s="822">
        <f>(P18/$R18*100*($E18/366))+(P19/$R19*100*($E19/366))+(P20/$R20*100*($E20/366))</f>
        <v>0.68306010928961747</v>
      </c>
      <c r="K92" s="822"/>
      <c r="L92" s="822">
        <f>(Q18/$R18*100*($E18/366))+(Q19/$R19*100*($E19/366))+(Q20/$R20*100*($E20/366))</f>
        <v>82.262524860062001</v>
      </c>
      <c r="M92" s="822"/>
      <c r="N92" s="832">
        <f t="shared" si="14"/>
        <v>99.999999999999986</v>
      </c>
      <c r="O92" s="832"/>
      <c r="P92" s="12"/>
      <c r="Q92" s="12"/>
      <c r="R92" s="12">
        <v>1996</v>
      </c>
      <c r="S92" s="8">
        <f>(O18*($E18/366))+(O19*($E19/366))+(O20*($E20/366))</f>
        <v>7.8601092896174869</v>
      </c>
      <c r="T92" s="8">
        <f>(P18*($E18/366))+(P19*($E19/366))+(P20*($E20/366))</f>
        <v>0.39890710382513661</v>
      </c>
      <c r="U92" s="8">
        <f>(Q18*($E18/366))+(Q19*($E19/366))+(Q20*($E20/366))</f>
        <v>33.272677595628409</v>
      </c>
      <c r="V92" s="12"/>
      <c r="W92" s="7">
        <f t="shared" si="16"/>
        <v>41.53169398907103</v>
      </c>
    </row>
    <row r="93" spans="1:30" ht="9" customHeight="1" x14ac:dyDescent="0.15">
      <c r="A93" s="1">
        <v>1997</v>
      </c>
      <c r="B93" s="8">
        <f>(K21*($E21/365))+(K22*($E22/365))</f>
        <v>65</v>
      </c>
      <c r="C93" s="8">
        <f>(L21*($E21/365))+(L22*($E22/365))</f>
        <v>5</v>
      </c>
      <c r="D93" s="8">
        <f>(M21*($E21/365))+(M22*($E22/365))</f>
        <v>25</v>
      </c>
      <c r="E93" s="52">
        <f t="shared" si="15"/>
        <v>95</v>
      </c>
      <c r="F93" s="12"/>
      <c r="G93" s="12">
        <v>1997</v>
      </c>
      <c r="H93" s="822">
        <f>(O21/$R21*100*($E21/365))+(O22/$R22*100*($E22/365))</f>
        <v>60.958904109589042</v>
      </c>
      <c r="I93" s="822"/>
      <c r="J93" s="822">
        <f>(P21/$R21*100*($E21/365))+(P22/$R22*100*($E22/365))</f>
        <v>12.5</v>
      </c>
      <c r="K93" s="822"/>
      <c r="L93" s="822">
        <f>(Q21/$R21*100*($E21/365))+(Q22/$R22*100*($E22/365))</f>
        <v>26.541095890410958</v>
      </c>
      <c r="M93" s="822"/>
      <c r="N93" s="832">
        <f t="shared" si="14"/>
        <v>100</v>
      </c>
      <c r="O93" s="832"/>
      <c r="P93" s="12"/>
      <c r="Q93" s="12"/>
      <c r="R93" s="12">
        <v>1997</v>
      </c>
      <c r="S93" s="8">
        <f>(O21*($E21/365))+(O22*($E22/365))</f>
        <v>35.6</v>
      </c>
      <c r="T93" s="8">
        <f>(P21*($E21/365))+(P22*($E22/365))</f>
        <v>7.3</v>
      </c>
      <c r="U93" s="8">
        <f>(Q21*($E21/365))+(Q22*($E22/365))</f>
        <v>15.5</v>
      </c>
      <c r="V93" s="12"/>
      <c r="W93" s="7">
        <f t="shared" si="16"/>
        <v>58.4</v>
      </c>
    </row>
    <row r="94" spans="1:30" ht="9" customHeight="1" x14ac:dyDescent="0.15">
      <c r="A94" s="1">
        <v>1998</v>
      </c>
      <c r="B94" s="8">
        <f>(K23*($E23/365))+(K24*($E24/365))+(K25*($E25/365))</f>
        <v>55.423352902804965</v>
      </c>
      <c r="C94" s="8">
        <f>(L23*($E23/365))+(L24*($E24/365))+(L25*($E25/365))</f>
        <v>4.8193085453359421</v>
      </c>
      <c r="D94" s="8">
        <f>(M23*($E23/365))+(M24*($E24/365))+(M25*($E25/365))</f>
        <v>31.115459882583163</v>
      </c>
      <c r="E94" s="52">
        <f t="shared" si="15"/>
        <v>91.358121330724074</v>
      </c>
      <c r="F94" s="12"/>
      <c r="G94" s="12">
        <v>1998</v>
      </c>
      <c r="H94" s="822">
        <f>(O23/$R23*100*($E23/365))+(O24/$R24*100*($E24/365))+(O25/$R25*100*($E25/365))</f>
        <v>53.997081261618597</v>
      </c>
      <c r="I94" s="822"/>
      <c r="J94" s="822">
        <f>(P23/$R23*100*($E23/365))+(P24/$R24*100*($E24/365))+(P25/$R25*100*($E25/365))</f>
        <v>11.072435202522913</v>
      </c>
      <c r="K94" s="822"/>
      <c r="L94" s="822">
        <f>(Q23/$R23*100*($E23/365))+(Q24/$R24*100*($E24/365))+(Q25/$R25*100*($E25/365))</f>
        <v>34.9304835358585</v>
      </c>
      <c r="M94" s="822"/>
      <c r="N94" s="832">
        <f t="shared" si="14"/>
        <v>100.00000000000001</v>
      </c>
      <c r="O94" s="832"/>
      <c r="P94" s="12"/>
      <c r="Q94" s="12"/>
      <c r="R94" s="12">
        <v>1998</v>
      </c>
      <c r="S94" s="8">
        <f>(O23*($E23/365))+(O24*($E24/365))+(O25*($E25/365))</f>
        <v>35.6</v>
      </c>
      <c r="T94" s="8">
        <f>(P23*($E23/365))+(P24*($E24/365))+(P25*($E25/365))</f>
        <v>7.3</v>
      </c>
      <c r="U94" s="8">
        <f>(Q23*($E23/365))+(Q24*($E24/365))+(Q25*($E25/365))</f>
        <v>23.437260273972605</v>
      </c>
      <c r="V94" s="12"/>
      <c r="W94" s="7">
        <f t="shared" si="16"/>
        <v>66.337260273972603</v>
      </c>
    </row>
    <row r="95" spans="1:30" ht="9" customHeight="1" x14ac:dyDescent="0.15">
      <c r="A95" s="1">
        <v>1999</v>
      </c>
      <c r="B95" s="8">
        <f>(K26*($E26/365))+(K27*($E27/365))</f>
        <v>52.859317242878895</v>
      </c>
      <c r="C95" s="8">
        <f>(L26*($E26/365))+(L27*($E27/365))</f>
        <v>4.8053924766253537</v>
      </c>
      <c r="D95" s="8">
        <f>(M26*($E26/365))+(M27*($E27/365))</f>
        <v>33.333333333333329</v>
      </c>
      <c r="E95" s="52">
        <f t="shared" si="15"/>
        <v>90.998043052837573</v>
      </c>
      <c r="F95" s="12"/>
      <c r="G95" s="12">
        <v>1999</v>
      </c>
      <c r="H95" s="822">
        <f>(O26/$R26*100*($E26/365))+(O27/$R27*100*($E27/365))</f>
        <v>51.756494597903966</v>
      </c>
      <c r="I95" s="822"/>
      <c r="J95" s="822">
        <f>(P26/$R26*100*($E26/365))+(P27/$R27*100*($E27/365))</f>
        <v>10.61298906080615</v>
      </c>
      <c r="K95" s="822"/>
      <c r="L95" s="822">
        <f>(Q26/$R26*100*($E26/365))+(Q27/$R27*100*($E27/365))</f>
        <v>37.630516341289891</v>
      </c>
      <c r="M95" s="822"/>
      <c r="N95" s="832">
        <f t="shared" si="14"/>
        <v>100</v>
      </c>
      <c r="O95" s="832"/>
      <c r="P95" s="12"/>
      <c r="Q95" s="12"/>
      <c r="R95" s="12">
        <v>1999</v>
      </c>
      <c r="S95" s="8">
        <f>(O26*($E26/365))+(O27*($E27/365))</f>
        <v>35.6</v>
      </c>
      <c r="T95" s="8">
        <f>(P26*($E26/365))+(P27*($E27/365))</f>
        <v>7.3</v>
      </c>
      <c r="U95" s="8">
        <f>(Q26*($E26/365))+(Q27*($E27/365))</f>
        <v>25.991780821917811</v>
      </c>
      <c r="V95" s="12"/>
      <c r="W95" s="7">
        <f t="shared" si="16"/>
        <v>68.891780821917806</v>
      </c>
    </row>
    <row r="96" spans="1:30" ht="9" customHeight="1" x14ac:dyDescent="0.15">
      <c r="A96" s="1">
        <v>2000</v>
      </c>
      <c r="B96" s="8">
        <f>(K28*($E28/366))+(K29*($E29/366))</f>
        <v>60.443230115361267</v>
      </c>
      <c r="C96" s="8">
        <f>(L28*($E28/366))+(L29*($E29/366))</f>
        <v>5.4948391013964786</v>
      </c>
      <c r="D96" s="8">
        <f>(M28*($E28/366))+(M29*($E29/366))</f>
        <v>34.061930783242254</v>
      </c>
      <c r="E96" s="52">
        <f t="shared" si="15"/>
        <v>100</v>
      </c>
      <c r="F96" s="12"/>
      <c r="G96" s="12">
        <v>2000</v>
      </c>
      <c r="H96" s="822">
        <f>(O28/$R28*100*($E28/366))+(O29/$R29*100*($E29/366))</f>
        <v>60.292686578336699</v>
      </c>
      <c r="I96" s="822"/>
      <c r="J96" s="822">
        <f>(P28/$R28*100*($E28/366))+(P29/$R29*100*($E29/366))</f>
        <v>12.363387978142077</v>
      </c>
      <c r="K96" s="822"/>
      <c r="L96" s="822">
        <f>(Q28/$R28*100*($E28/366))+(Q29/$R29*100*($E29/366))</f>
        <v>27.343925443521218</v>
      </c>
      <c r="M96" s="822"/>
      <c r="N96" s="832">
        <f t="shared" si="14"/>
        <v>99.999999999999986</v>
      </c>
      <c r="O96" s="832"/>
      <c r="P96" s="12"/>
      <c r="Q96" s="12"/>
      <c r="R96" s="12">
        <v>2000</v>
      </c>
      <c r="S96" s="8">
        <f>(O28*($E28/366))+(O29*($E29/366))</f>
        <v>35.210928961748635</v>
      </c>
      <c r="T96" s="8">
        <f>(P28*($E28/366))+(P29*($E29/366))</f>
        <v>7.220218579234972</v>
      </c>
      <c r="U96" s="8">
        <f>(Q28*($E28/366))+(Q29*($E29/366))</f>
        <v>15.821311475409836</v>
      </c>
      <c r="V96" s="12"/>
      <c r="W96" s="7">
        <f t="shared" si="16"/>
        <v>58.252459016393445</v>
      </c>
    </row>
    <row r="97" spans="1:23" ht="9" customHeight="1" x14ac:dyDescent="0.15">
      <c r="A97" s="1">
        <v>2001</v>
      </c>
      <c r="B97" s="8">
        <f>(K30*($E30/365))+(K31*($E31/365))</f>
        <v>0</v>
      </c>
      <c r="C97" s="8">
        <f>(L30*($E30/365))+(L31*($E31/365))</f>
        <v>0</v>
      </c>
      <c r="D97" s="8">
        <f>(M30*($E30/365))+(M31*($E31/365))</f>
        <v>100</v>
      </c>
      <c r="E97" s="52">
        <f t="shared" si="15"/>
        <v>100</v>
      </c>
      <c r="F97" s="12"/>
      <c r="G97" s="12">
        <v>2001</v>
      </c>
      <c r="H97" s="822">
        <f>(O30/$R30*100*($E30/365))+(O31/$R31*100*($E31/365))</f>
        <v>0</v>
      </c>
      <c r="I97" s="822"/>
      <c r="J97" s="822">
        <f>(P30/$R30*100*($E30/365))+(P31/$R31*100*($E31/365))</f>
        <v>0</v>
      </c>
      <c r="K97" s="822"/>
      <c r="L97" s="822">
        <f>(Q30/$R30*100*($E30/365))+(Q31/$R31*100*($E31/365))</f>
        <v>100</v>
      </c>
      <c r="M97" s="822"/>
      <c r="N97" s="832">
        <f t="shared" si="14"/>
        <v>100</v>
      </c>
      <c r="O97" s="832"/>
      <c r="P97" s="12"/>
      <c r="Q97" s="12"/>
      <c r="R97" s="12">
        <v>2001</v>
      </c>
      <c r="S97" s="8">
        <f>(O30*($E30/365))+(O31*($E31/365))</f>
        <v>0</v>
      </c>
      <c r="T97" s="8">
        <f>(P30*($E30/365))+(P31*($E31/365))</f>
        <v>0</v>
      </c>
      <c r="U97" s="8">
        <f>(Q30*($E30/365))+(Q31*($E31/365))</f>
        <v>44.9</v>
      </c>
      <c r="V97" s="12"/>
      <c r="W97" s="7">
        <f t="shared" si="16"/>
        <v>44.9</v>
      </c>
    </row>
    <row r="98" spans="1:23" ht="9" customHeight="1" x14ac:dyDescent="0.15">
      <c r="A98" s="1">
        <v>2002</v>
      </c>
      <c r="B98" s="8">
        <f>(K32*($E32/365))+(K33*($E33/365))</f>
        <v>0</v>
      </c>
      <c r="C98" s="8">
        <f>(L32*($E32/365))+(L33*($E33/365))</f>
        <v>0</v>
      </c>
      <c r="D98" s="8">
        <f>(M32*($E32/365))+(M33*($E33/365))</f>
        <v>100</v>
      </c>
      <c r="E98" s="52">
        <f t="shared" si="15"/>
        <v>100</v>
      </c>
      <c r="F98" s="12"/>
      <c r="G98" s="12">
        <v>2002</v>
      </c>
      <c r="H98" s="822">
        <f>(O32/$R32*100*($E32/365))+(O33/$R33*100*($E33/365))</f>
        <v>0</v>
      </c>
      <c r="I98" s="822"/>
      <c r="J98" s="822">
        <f>(P32/$R32*100*($E32/365))+(P33/$R33*100*($E33/365))</f>
        <v>0</v>
      </c>
      <c r="K98" s="822"/>
      <c r="L98" s="822">
        <f>(Q32/$R32*100*($E32/365))+(Q33/$R33*100*($E33/365))</f>
        <v>100</v>
      </c>
      <c r="M98" s="822"/>
      <c r="N98" s="832">
        <f t="shared" si="14"/>
        <v>100</v>
      </c>
      <c r="O98" s="832"/>
      <c r="P98" s="12"/>
      <c r="Q98" s="12"/>
      <c r="R98" s="12">
        <v>2002</v>
      </c>
      <c r="S98" s="8">
        <f>(O32*($E32/365))+(O33*($E33/365))</f>
        <v>0</v>
      </c>
      <c r="T98" s="8">
        <f>(P32*($E32/365))+(P33*($E33/365))</f>
        <v>0</v>
      </c>
      <c r="U98" s="8">
        <f>(Q32*($E32/365))+(Q33*($E33/365))</f>
        <v>44.9</v>
      </c>
      <c r="V98" s="12"/>
      <c r="W98" s="7">
        <f t="shared" si="16"/>
        <v>44.9</v>
      </c>
    </row>
    <row r="99" spans="1:23" ht="9" customHeight="1" x14ac:dyDescent="0.15">
      <c r="A99" s="1">
        <v>2003</v>
      </c>
      <c r="B99" s="8">
        <f>(K34*($E34/365))+(K35*($E35/365))</f>
        <v>0</v>
      </c>
      <c r="C99" s="8">
        <f>(L34*($E34/365))+(L35*($E35/365))</f>
        <v>0</v>
      </c>
      <c r="D99" s="8">
        <f>(M34*($E34/365))+(M35*($E35/365))</f>
        <v>100</v>
      </c>
      <c r="E99" s="52">
        <f t="shared" si="15"/>
        <v>100</v>
      </c>
      <c r="F99" s="12"/>
      <c r="G99" s="12">
        <v>2003</v>
      </c>
      <c r="H99" s="822">
        <f>(O34/$R34*100*($E34/365))+(O35/$R35*100*($E35/365))</f>
        <v>0</v>
      </c>
      <c r="I99" s="822"/>
      <c r="J99" s="822">
        <f>(P34/$R34*100*($E34/365))+(P35/$R35*100*($E35/365))</f>
        <v>0</v>
      </c>
      <c r="K99" s="822"/>
      <c r="L99" s="822">
        <f>(Q34/$R34*100*($E34/365))+(Q35/$R35*100*($E35/365))</f>
        <v>100</v>
      </c>
      <c r="M99" s="822"/>
      <c r="N99" s="832">
        <f t="shared" si="14"/>
        <v>100</v>
      </c>
      <c r="O99" s="832"/>
      <c r="P99" s="12"/>
      <c r="Q99" s="12"/>
      <c r="R99" s="12">
        <v>2003</v>
      </c>
      <c r="S99" s="8">
        <f>(O34*($E34/365))+(O35*($E35/365))</f>
        <v>0</v>
      </c>
      <c r="T99" s="8">
        <f>(P34*($E34/365))+(P35*($E35/365))</f>
        <v>0</v>
      </c>
      <c r="U99" s="8">
        <f>(Q34*($E34/365))+(Q35*($E35/365))</f>
        <v>44.9</v>
      </c>
      <c r="V99" s="12"/>
      <c r="W99" s="7">
        <f t="shared" si="16"/>
        <v>44.9</v>
      </c>
    </row>
    <row r="100" spans="1:23" ht="9" customHeight="1" x14ac:dyDescent="0.15">
      <c r="A100" s="1">
        <v>2004</v>
      </c>
      <c r="B100" s="8">
        <f>(K36*($E36/366))+(K37*($E37/366))</f>
        <v>0.32786885245901642</v>
      </c>
      <c r="C100" s="8">
        <f>(L36*($E36/366))+(L37*($E37/366))</f>
        <v>0.22950819672131151</v>
      </c>
      <c r="D100" s="8">
        <f>(M36*($E36/366))+(M37*($E37/366))</f>
        <v>99.409836065573771</v>
      </c>
      <c r="E100" s="52">
        <f t="shared" si="15"/>
        <v>99.967213114754102</v>
      </c>
      <c r="F100" s="12"/>
      <c r="G100" s="12">
        <v>2004</v>
      </c>
      <c r="H100" s="822">
        <f>(O36/$R36*100*($E36/366))+(O37/$R37*100*($E37/366))</f>
        <v>0.34212401995723452</v>
      </c>
      <c r="I100" s="822"/>
      <c r="J100" s="822">
        <f>(P36/$R36*100*($E36/366))+(P37/$R37*100*($E37/366))</f>
        <v>0.21917320028510337</v>
      </c>
      <c r="K100" s="822"/>
      <c r="L100" s="822">
        <f>(Q36/$R36*100*($E36/366))+(Q37/$R37*100*($E37/366))</f>
        <v>99.438702779757662</v>
      </c>
      <c r="M100" s="822"/>
      <c r="N100" s="832">
        <f t="shared" si="14"/>
        <v>100</v>
      </c>
      <c r="O100" s="832"/>
      <c r="P100" s="12"/>
      <c r="Q100" s="12"/>
      <c r="R100" s="12">
        <v>2004</v>
      </c>
      <c r="S100" s="8">
        <f>(O36*($E36/366))+(O37*($E37/366))</f>
        <v>0.15737704918032788</v>
      </c>
      <c r="T100" s="8">
        <f>(P36*($E36/366))+(P37*($E37/366))</f>
        <v>0.10081967213114755</v>
      </c>
      <c r="U100" s="8">
        <f>(Q36*($E36/366))+(Q37*($E37/366))</f>
        <v>44.650819672131149</v>
      </c>
      <c r="V100" s="12"/>
      <c r="W100" s="7">
        <f t="shared" si="16"/>
        <v>44.909016393442627</v>
      </c>
    </row>
    <row r="101" spans="1:23" ht="9" customHeight="1" x14ac:dyDescent="0.15">
      <c r="A101" s="1">
        <v>2005</v>
      </c>
      <c r="B101" s="8">
        <f>(K38*($E38/365))+(K39*($E39/365))</f>
        <v>41.57534246575343</v>
      </c>
      <c r="C101" s="8">
        <f>(L38*($E38/365))+(L39*($E39/365))</f>
        <v>25.164383561643834</v>
      </c>
      <c r="D101" s="8">
        <f>(M38*($E38/365))+(M39*($E39/365))</f>
        <v>29.102739726027398</v>
      </c>
      <c r="E101" s="52">
        <f t="shared" si="15"/>
        <v>95.842465753424662</v>
      </c>
      <c r="F101" s="12"/>
      <c r="G101" s="12">
        <v>2005</v>
      </c>
      <c r="H101" s="822">
        <f>(O38/$R38*100*($E38/365))+(O39/$R39*100*($E39/365))</f>
        <v>41.739130434782609</v>
      </c>
      <c r="I101" s="822"/>
      <c r="J101" s="822">
        <f>(P38/$R38*100*($E38/365))+(P39/$R39*100*($E39/365))</f>
        <v>26.739130434782609</v>
      </c>
      <c r="K101" s="822"/>
      <c r="L101" s="822">
        <f>(Q38/$R38*100*($E38/365))+(Q39/$R39*100*($E39/365))</f>
        <v>31.521739130434785</v>
      </c>
      <c r="M101" s="822"/>
      <c r="N101" s="832">
        <f t="shared" si="14"/>
        <v>100</v>
      </c>
      <c r="O101" s="832"/>
      <c r="P101" s="12"/>
      <c r="Q101" s="12"/>
      <c r="R101" s="12">
        <v>2005</v>
      </c>
      <c r="S101" s="8">
        <f>(O38*($E38/365))+(O39*($E39/365))</f>
        <v>19.2</v>
      </c>
      <c r="T101" s="8">
        <f>(P38*($E38/365))+(P39*($E39/365))</f>
        <v>12.3</v>
      </c>
      <c r="U101" s="8">
        <f>(Q38*($E38/365))+(Q39*($E39/365))</f>
        <v>14.5</v>
      </c>
      <c r="V101" s="12"/>
      <c r="W101" s="7">
        <f t="shared" si="16"/>
        <v>46</v>
      </c>
    </row>
    <row r="102" spans="1:23" ht="9" customHeight="1" x14ac:dyDescent="0.15">
      <c r="A102" s="1">
        <v>2006</v>
      </c>
      <c r="B102" s="8">
        <f>(K40*($E40/365))+(K41*($E41/365))+(K42*($E42/365))+(K43*($E43/365))</f>
        <v>42.126265634306144</v>
      </c>
      <c r="C102" s="8">
        <f>(L40*($E40/365))+(L41*($E41/365))+(L42*($E42/365))+(L43*($E43/365))</f>
        <v>25.354377605717691</v>
      </c>
      <c r="D102" s="8">
        <f>(M40*($E40/365))+(M41*($E41/365))+(M42*($E42/365))+(M43*($E43/365))</f>
        <v>28.251935675997622</v>
      </c>
      <c r="E102" s="52">
        <f t="shared" si="15"/>
        <v>95.732578916021453</v>
      </c>
      <c r="F102" s="12"/>
      <c r="G102" s="12">
        <v>2006</v>
      </c>
      <c r="H102" s="822">
        <f>(O40/$R40*100*($E40/365))+(O41/$R41*100*($E41/365))+(O42/$R42*100*($E42/365))+(O43/$R43*100*($E43/365))</f>
        <v>41.739130434782609</v>
      </c>
      <c r="I102" s="822"/>
      <c r="J102" s="822">
        <f>(P40/$R40*100*($E40/365))+(P41/$R41*100*($E41/365))+(P42/$R42*100*($E42/365))+(P43/$R43*100*($E43/365))</f>
        <v>26.739130434782609</v>
      </c>
      <c r="K102" s="822"/>
      <c r="L102" s="822">
        <f>(Q40/$R40*100*($E40/365))+(Q41/$R41*100*($E41/365))+(Q42/$R42*100*($E42/365))+(Q43/$R43*100*($E43/365))</f>
        <v>31.521739130434785</v>
      </c>
      <c r="M102" s="822"/>
      <c r="N102" s="832">
        <f t="shared" si="14"/>
        <v>100</v>
      </c>
      <c r="O102" s="832"/>
      <c r="P102" s="12"/>
      <c r="Q102" s="12"/>
      <c r="R102" s="12">
        <v>2006</v>
      </c>
      <c r="S102" s="8">
        <f>(O40*($E40/365))+(O41*($E41/365))+(O42*($E42/365))+(O43*($E43/365))</f>
        <v>19.2</v>
      </c>
      <c r="T102" s="8">
        <f>(P40*($E40/365))+(P41*($E41/365))+(P42*($E42/365))+(P43*($E43/365))</f>
        <v>12.300000000000002</v>
      </c>
      <c r="U102" s="8">
        <f>(Q40*($E40/365))+(Q41*($E41/365))+(Q42*($E42/365))+(Q43*($E43/365))</f>
        <v>14.5</v>
      </c>
      <c r="V102" s="12"/>
      <c r="W102" s="7">
        <f t="shared" si="16"/>
        <v>46</v>
      </c>
    </row>
    <row r="103" spans="1:23" ht="9" customHeight="1" x14ac:dyDescent="0.15">
      <c r="A103" s="1">
        <v>2007</v>
      </c>
      <c r="B103" s="8">
        <f>(K44*($E44/365))+(K45*($E45/365))+(K46*($E46/365))+(K47*($E47/365))</f>
        <v>69.904276977815144</v>
      </c>
      <c r="C103" s="8">
        <f>(L44*($E44/365))+(L45*($E45/365))+(L46*($E46/365))+(L47*($E47/365))</f>
        <v>19.816495190492319</v>
      </c>
      <c r="D103" s="8">
        <f>(M44*($E44/365))+(M45*($E45/365))+(M46*($E46/365))+(M47*($E47/365))</f>
        <v>7.8379988088147714</v>
      </c>
      <c r="E103" s="52">
        <f t="shared" si="15"/>
        <v>97.558770977122236</v>
      </c>
      <c r="F103" s="12"/>
      <c r="G103" s="12">
        <v>2007</v>
      </c>
      <c r="H103" s="822">
        <f>(O44/$R44*100*($E44/365))+(O45/$R45*100*($E45/365))+(O46/$R46*100*($E46/365))+(O47/$R47*100*($E47/365))</f>
        <v>64.143601181047472</v>
      </c>
      <c r="I103" s="822"/>
      <c r="J103" s="822">
        <f>(P44/$R44*100*($E44/365))+(P45/$R45*100*($E45/365))+(P46/$R46*100*($E46/365))+(P47/$R47*100*($E47/365))</f>
        <v>27.738471481251501</v>
      </c>
      <c r="K103" s="822"/>
      <c r="L103" s="822">
        <f>(Q44/$R44*100*($E44/365))+(Q45/$R45*100*($E45/365))+(Q46/$R46*100*($E46/365))+(Q47/$R47*100*($E47/365))</f>
        <v>8.1179273377010137</v>
      </c>
      <c r="M103" s="822"/>
      <c r="N103" s="832">
        <f t="shared" si="14"/>
        <v>100</v>
      </c>
      <c r="O103" s="832"/>
      <c r="P103" s="12"/>
      <c r="Q103" s="12"/>
      <c r="R103" s="12">
        <v>2007</v>
      </c>
      <c r="S103" s="8">
        <f>(O44*($E44/365))+(O45*($E45/365))+(O46*($E46/365))+(O47*($E47/365))</f>
        <v>17.492328767123286</v>
      </c>
      <c r="T103" s="8">
        <f>(P44*($E44/365))+(P45*($E45/365))+(P46*($E46/365))+(P47*($E47/365))</f>
        <v>8.067945205479452</v>
      </c>
      <c r="U103" s="8">
        <f>(Q44*($E44/365))+(Q45*($E45/365))+(Q46*($E46/365))+(Q47*($E47/365))</f>
        <v>3.7342465753424658</v>
      </c>
      <c r="V103" s="12"/>
      <c r="W103" s="7">
        <f t="shared" si="16"/>
        <v>29.294520547945204</v>
      </c>
    </row>
    <row r="104" spans="1:23" ht="9" customHeight="1" x14ac:dyDescent="0.15">
      <c r="A104" s="1">
        <v>2008</v>
      </c>
      <c r="B104" s="8">
        <f>(K48*($E48/366))+(K49*($E49/366))</f>
        <v>75.682294775833824</v>
      </c>
      <c r="C104" s="8">
        <f>(L48*($E48/366))+(L49*($E49/366))</f>
        <v>17.164898746383802</v>
      </c>
      <c r="D104" s="8">
        <f>(M48*($E48/366))+(M49*($E49/366))</f>
        <v>1.3010668748373664</v>
      </c>
      <c r="E104" s="52">
        <f t="shared" si="15"/>
        <v>94.148260397054983</v>
      </c>
      <c r="F104" s="12"/>
      <c r="G104" s="12">
        <v>2008</v>
      </c>
      <c r="H104" s="822">
        <f>(O48/$R48*100*($E48/366))+(O49/$R49*100*($E49/366))</f>
        <v>71.346574476550188</v>
      </c>
      <c r="I104" s="822"/>
      <c r="J104" s="822">
        <f>(P48/$R48*100*($E48/366))+(P49/$R49*100*($E49/366))</f>
        <v>27.317753749563998</v>
      </c>
      <c r="K104" s="822"/>
      <c r="L104" s="822">
        <f>(Q48/$R48*100*($E48/366))+(Q49/$R49*100*($E49/366))</f>
        <v>1.3356717738857897</v>
      </c>
      <c r="M104" s="822"/>
      <c r="N104" s="832">
        <f t="shared" si="14"/>
        <v>99.999999999999972</v>
      </c>
      <c r="O104" s="832"/>
      <c r="P104" s="12"/>
      <c r="Q104" s="12"/>
      <c r="R104" s="12">
        <v>2008</v>
      </c>
      <c r="S104" s="8">
        <f>(O48*($E48/366))+(O49*($E49/366))</f>
        <v>17.37814207650273</v>
      </c>
      <c r="T104" s="8">
        <f>(P48*($E48/366))+(P49*($E49/366))</f>
        <v>6.4196721311475402</v>
      </c>
      <c r="U104" s="8">
        <f>(Q48*($E48/366))+(Q49*($E49/366))</f>
        <v>0.8989071038251365</v>
      </c>
      <c r="V104" s="12"/>
      <c r="W104" s="7">
        <f t="shared" si="16"/>
        <v>24.696721311475407</v>
      </c>
    </row>
    <row r="105" spans="1:23" ht="9" customHeight="1" x14ac:dyDescent="0.15">
      <c r="A105" s="1">
        <v>2009</v>
      </c>
      <c r="B105" s="8">
        <f>(K50*($E50/365))+(K51*($E51/365))+(K52*($E52/365))</f>
        <v>57.242546333601929</v>
      </c>
      <c r="C105" s="8">
        <f>(L50*($E50/365))+(L51*($E51/365))+(L52*($E52/365))</f>
        <v>0.58017727639000805</v>
      </c>
      <c r="D105" s="8">
        <f>(M50*($E50/365))+(M51*($E51/365))+(M52*($E52/365))</f>
        <v>35.61643835616438</v>
      </c>
      <c r="E105" s="52">
        <f t="shared" si="15"/>
        <v>93.43916196615632</v>
      </c>
      <c r="F105" s="12"/>
      <c r="G105" s="12">
        <v>2009</v>
      </c>
      <c r="H105" s="822">
        <f>(O50/$R50*100*($E50/365))+(O51/$R51*100*($E51/365))+(O52/$R52*100*($E52/365))</f>
        <v>63.039333481938286</v>
      </c>
      <c r="I105" s="822"/>
      <c r="J105" s="822">
        <f>(P50/$R50*100*($E50/365))+(P51/$R51*100*($E51/365))+(P52/$R52*100*($E52/365))</f>
        <v>0.39692616104243233</v>
      </c>
      <c r="K105" s="822"/>
      <c r="L105" s="822">
        <f>(Q50/$R50*100*($E50/365))+(Q51/$R51*100*($E51/365))+(Q52/$R52*100*($E52/365))</f>
        <v>36.563740357019277</v>
      </c>
      <c r="M105" s="822"/>
      <c r="N105" s="832">
        <f t="shared" si="14"/>
        <v>100</v>
      </c>
      <c r="O105" s="832"/>
      <c r="P105" s="12"/>
      <c r="Q105" s="12"/>
      <c r="R105" s="12">
        <v>2009</v>
      </c>
      <c r="S105" s="8">
        <f>(O50*($E50/365))+(O51*($E51/365))+(O52*($E52/365))</f>
        <v>34.4</v>
      </c>
      <c r="T105" s="8">
        <f>(P50*($E50/365))+(P51*($E51/365))+(P52*($E52/365))</f>
        <v>0.16273972602739725</v>
      </c>
      <c r="U105" s="8">
        <f>(Q50*($E50/365))+(Q51*($E51/365))+(Q52*($E52/365))</f>
        <v>24.607397260273974</v>
      </c>
      <c r="V105" s="12"/>
      <c r="W105" s="7">
        <f t="shared" si="16"/>
        <v>59.170136986301372</v>
      </c>
    </row>
    <row r="106" spans="1:23" ht="9" customHeight="1" x14ac:dyDescent="0.15">
      <c r="A106" s="1">
        <v>2010</v>
      </c>
      <c r="B106" s="8">
        <f>(K53*($E53/365))+(K54*($E54/365))+(K55*($E55/365))</f>
        <v>52.457695406929886</v>
      </c>
      <c r="C106" s="8">
        <f>(L53*($E53/365))+(L54*($E54/365))+(L55*($E55/365))</f>
        <v>23.52941176470588</v>
      </c>
      <c r="D106" s="8">
        <f>(M53*($E53/365))+(M54*($E54/365))+(M55*($E55/365))</f>
        <v>1.9339242546333599</v>
      </c>
      <c r="E106" s="52">
        <f t="shared" si="15"/>
        <v>77.921031426269124</v>
      </c>
      <c r="F106" s="12"/>
      <c r="G106" s="12">
        <v>2010</v>
      </c>
      <c r="H106" s="822">
        <f>(O53/$R53*100*($E53/365))+(O54/$R54*100*($E54/365))+(O55/$R55*100*($E55/365))</f>
        <v>81.623594750129286</v>
      </c>
      <c r="I106" s="822"/>
      <c r="J106" s="822">
        <f>(P53/$R53*100*($E53/365))+(P54/$R54*100*($E54/365))+(P55/$R55*100*($E55/365))</f>
        <v>15.307002646562587</v>
      </c>
      <c r="K106" s="822"/>
      <c r="L106" s="822">
        <f>(Q53/$R53*100*($E53/365))+(Q54/$R54*100*($E54/365))+(Q55/$R55*100*($E55/365))</f>
        <v>3.0694026033081343</v>
      </c>
      <c r="M106" s="822"/>
      <c r="N106" s="832">
        <f t="shared" si="14"/>
        <v>100</v>
      </c>
      <c r="O106" s="832"/>
      <c r="P106" s="12"/>
      <c r="Q106" s="12"/>
      <c r="R106" s="12">
        <v>2010</v>
      </c>
      <c r="S106" s="8">
        <f>(O53*($E53/365))+(O54*($E54/365))+(O55*($E55/365))</f>
        <v>35.287671232876711</v>
      </c>
      <c r="T106" s="8">
        <f>(P53*($E53/365))+(P54*($E54/365))+(P55*($E55/365))</f>
        <v>6.5999999999999988</v>
      </c>
      <c r="U106" s="8">
        <f>(Q53*($E53/365))+(Q54*($E54/365))+(Q55*($E55/365))</f>
        <v>1.4794520547945207</v>
      </c>
      <c r="V106" s="12"/>
      <c r="W106" s="7">
        <f t="shared" si="16"/>
        <v>43.367123287671234</v>
      </c>
    </row>
    <row r="107" spans="1:23" ht="9" customHeight="1" x14ac:dyDescent="0.15">
      <c r="A107" s="1">
        <v>2011</v>
      </c>
      <c r="B107" s="8">
        <f>(K56*($E56/365))+(K57*($E57/365))+(K58*($E58/365))+(K59*($E59/365))</f>
        <v>61.950935625391715</v>
      </c>
      <c r="C107" s="8">
        <f>(L56*($E56/365))+(L57*($E57/365))+(L58*($E58/365))+(L59*($E59/365))</f>
        <v>23.160533619840628</v>
      </c>
      <c r="D107" s="8">
        <f>(M56*($E56/365))+(M57*($E57/365))+(M58*($E58/365))+(M59*($E59/365))</f>
        <v>5.7901334049601569</v>
      </c>
      <c r="E107" s="52">
        <f t="shared" si="15"/>
        <v>90.901602650192501</v>
      </c>
      <c r="F107" s="12"/>
      <c r="G107" s="12">
        <v>2011</v>
      </c>
      <c r="H107" s="822">
        <f>(O56/$R56*100*($E56/365))+(O57/$R57*100*($E57/365))+(O58/$R58*100*($E58/365))+(O59/$R59*100*($E59/365))</f>
        <v>76.970954356846462</v>
      </c>
      <c r="I107" s="822"/>
      <c r="J107" s="822">
        <f>(P56/$R56*100*($E56/365))+(P57/$R57*100*($E57/365))+(P58/$R58*100*($E58/365))+(P59/$R59*100*($E59/365))</f>
        <v>13.692946058091286</v>
      </c>
      <c r="K107" s="822"/>
      <c r="L107" s="822">
        <f>(Q56/$R56*100*($E56/365))+(Q57/$R57*100*($E57/365))+(Q58/$R58*100*($E58/365))+(Q59/$R59*100*($E59/365))</f>
        <v>9.3360995850622412</v>
      </c>
      <c r="M107" s="822"/>
      <c r="N107" s="832">
        <f t="shared" si="14"/>
        <v>99.999999999999986</v>
      </c>
      <c r="O107" s="832"/>
      <c r="P107" s="12"/>
      <c r="Q107" s="12"/>
      <c r="R107" s="12">
        <v>2011</v>
      </c>
      <c r="S107" s="8">
        <f>(O56*($E56/365))+(O57*($E57/365))+(O58*($E58/365))+(O59*($E59/365))</f>
        <v>37.1</v>
      </c>
      <c r="T107" s="8">
        <f>(P56*($E56/365))+(P57*($E57/365))+(P58*($E58/365))+(P59*($E59/365))</f>
        <v>6.6</v>
      </c>
      <c r="U107" s="8">
        <f>(Q56*($E56/365))+(Q57*($E57/365))+(Q58*($E58/365))+(Q59*($E59/365))</f>
        <v>4.5</v>
      </c>
      <c r="V107" s="12"/>
      <c r="W107" s="7">
        <f t="shared" si="16"/>
        <v>48.2</v>
      </c>
    </row>
    <row r="108" spans="1:23" ht="9" customHeight="1" x14ac:dyDescent="0.15">
      <c r="A108" s="1">
        <v>2012</v>
      </c>
      <c r="B108" s="8">
        <f>(K60*($E60/366))+(K61*($E61/366))+(K62*($E62/366))+(K63*($E63/366))+(K64*($E64/366))</f>
        <v>39.948872397616682</v>
      </c>
      <c r="C108" s="8">
        <f>(L60*($E60/366))+(L61*($E61/366))+(L62*($E62/366))+(L63*($E63/366))+(L64*($E64/366))</f>
        <v>8.8492017572056145</v>
      </c>
      <c r="D108" s="8">
        <f>(M60*($E60/366))+(M61*($E61/366))+(M62*($E62/366))+(M63*($E63/366))+(M64*($E64/366))</f>
        <v>34.350569973772359</v>
      </c>
      <c r="E108" s="52">
        <f t="shared" si="15"/>
        <v>83.148644128594654</v>
      </c>
      <c r="F108" s="12"/>
      <c r="G108" s="12">
        <v>2012</v>
      </c>
      <c r="H108" s="822">
        <f>(O60/$R60*100*($E60/366))+(O61/$R61*100*($E61/366))+(O62/$R62*100*($E62/366))+(O63/$R63*100*($E63/366))+(O64/$R64*100*($E64/366))</f>
        <v>50.515694096012012</v>
      </c>
      <c r="I108" s="822"/>
      <c r="J108" s="822">
        <f>(P60/$R60*100*($E60/366))+(P61/$R61*100*($E61/366))+(P62/$R62*100*($E62/366))+(P63/$R63*100*($E63/366))+(P64/$R64*100*($E64/366))</f>
        <v>6.2985595794918341</v>
      </c>
      <c r="K108" s="822"/>
      <c r="L108" s="822">
        <f>(Q60/$R60*100*($E60/366))+(Q61/$R61*100*($E61/366))+(Q62/$R62*100*($E62/366))+(Q63/$R63*100*($E63/366))+(Q64/$R64*100*($E64/366))</f>
        <v>43.185746324496158</v>
      </c>
      <c r="M108" s="822"/>
      <c r="N108" s="832">
        <f t="shared" si="14"/>
        <v>100</v>
      </c>
      <c r="O108" s="832"/>
      <c r="P108" s="12"/>
      <c r="Q108" s="12"/>
      <c r="R108" s="12">
        <v>2012</v>
      </c>
      <c r="S108" s="8">
        <f>(O60*($E60/366))+(O61*($E61/366))+(O62*($E62/366))+(O63*($E63/366))+(O64*($E64/366))</f>
        <v>25.787431693989074</v>
      </c>
      <c r="T108" s="8">
        <f>(P60*($E60/366))+(P61*($E61/366))+(P62*($E62/366))+(P63*($E63/366))+(P64*($E64/366))</f>
        <v>3.1398907103825136</v>
      </c>
      <c r="U108" s="8">
        <f>(Q60*($E60/366))+(Q61*($E61/366))+(Q62*($E62/366))+(Q63*($E63/366))+(Q64*($E64/366))</f>
        <v>23.201639344262297</v>
      </c>
      <c r="V108" s="12"/>
      <c r="W108" s="7">
        <f t="shared" si="16"/>
        <v>52.128961748633884</v>
      </c>
    </row>
    <row r="109" spans="1:23" ht="9" customHeight="1" x14ac:dyDescent="0.15">
      <c r="A109" s="1">
        <v>2013</v>
      </c>
      <c r="B109" s="8">
        <f>(K65*($E65/365))+(K66*($E66/365))</f>
        <v>40</v>
      </c>
      <c r="C109" s="8">
        <f>(L65*($E65/365))+(L66*($E66/365))</f>
        <v>4</v>
      </c>
      <c r="D109" s="8">
        <f>(M65*($E65/365))+(M66*($E66/365))</f>
        <v>53.139726027397259</v>
      </c>
      <c r="E109" s="52">
        <f>B109+C109+D109</f>
        <v>97.139726027397259</v>
      </c>
      <c r="F109" s="12"/>
      <c r="G109" s="12">
        <v>2013</v>
      </c>
      <c r="H109" s="822">
        <f>(O65/$R65*100*($E65/365))+(O66/$R66*100*($E66/365))</f>
        <v>38.059701492537314</v>
      </c>
      <c r="I109" s="822"/>
      <c r="J109" s="822">
        <f>(P65/$R65*100*($E65/365))+(P66/$R66*100*($E66/365))</f>
        <v>5.0746268656716413</v>
      </c>
      <c r="K109" s="822"/>
      <c r="L109" s="822">
        <f>(Q65/$R65*100*($E65/365))+(Q66/$R66*100*($E66/365))</f>
        <v>56.865671641791039</v>
      </c>
      <c r="M109" s="822"/>
      <c r="N109" s="832">
        <f>H109+J109+L109</f>
        <v>100</v>
      </c>
      <c r="O109" s="832"/>
      <c r="P109" s="12"/>
      <c r="Q109" s="12"/>
      <c r="R109" s="12">
        <v>2013</v>
      </c>
      <c r="S109" s="8">
        <f>(O65*($E65/365))+(O66*($E66/365))</f>
        <v>25.5</v>
      </c>
      <c r="T109" s="8">
        <f>(P65*($E65/365))+(P66*($E66/365))</f>
        <v>3.4</v>
      </c>
      <c r="U109" s="8">
        <f>(Q65*($E65/365))+(Q66*($E66/365))</f>
        <v>38.1</v>
      </c>
      <c r="V109" s="12"/>
      <c r="W109" s="7">
        <f t="shared" si="16"/>
        <v>67</v>
      </c>
    </row>
    <row r="110" spans="1:23" ht="9" customHeight="1" x14ac:dyDescent="0.15">
      <c r="A110" s="1">
        <v>2014</v>
      </c>
      <c r="B110" s="8">
        <f>(K67*($E67/365))+(K68*($E68/365))+(K69*($E69/365))+(K70*($E70/365))+(K71*($E71/365))+(K72*($E72/365))+(K73*($E73/365))+(K74*($E74/365))</f>
        <v>5.7105853051058535</v>
      </c>
      <c r="C110" s="8">
        <f>(L67*($E67/365))+(L68*($E68/365))+(L69*($E69/365))+(L70*($E70/365))+(L71*($E71/365))+(L72*($E72/365))+(L73*($E73/365))+(L74*($E74/365))</f>
        <v>10.136718076444103</v>
      </c>
      <c r="D110" s="8">
        <f>(M67*($E67/365))+(M68*($E68/365))+(M69*($E69/365))+(M70*($E70/365))+(M71*($E71/365))+(M72*($E72/365))+(M73*($E73/365))+(M74*($E74/365))</f>
        <v>64.700910048855263</v>
      </c>
      <c r="E110" s="52">
        <f>B110+C110+D110</f>
        <v>80.548213430405212</v>
      </c>
      <c r="F110" s="12"/>
      <c r="G110" s="12">
        <v>2014</v>
      </c>
      <c r="H110" s="822">
        <f>(O67/$R67*100*($E67/365))+(O68/$R68*100*($E68/365))+(O69/$R69*100*($E69/365))+(O70/$R70*100*($E70/365))+(O71/$R71*100*($E71/365))+(O72/$R72*100*($E72/365))+(O73/$R73*100*($E73/365))+(O74/$R74*100*($E74/365))</f>
        <v>6.153605580625122</v>
      </c>
      <c r="I110" s="822"/>
      <c r="J110" s="822">
        <f>(P67/$R67*100*($E67/365))+(P68/$R68*100*($E68/365))+(P69/$R69*100*($E69/365))+(P70/$R70*100*($E70/365))+(P71/$R71*100*($E71/365))+(P72/$R72*100*($E72/365))+(P73/$R73*100*($E73/365))+(P74/$R74*100*($E74/365))</f>
        <v>14.034191597510397</v>
      </c>
      <c r="K110" s="822"/>
      <c r="L110" s="822">
        <f>(Q67/$R67*100*($E67/365))+(Q68/$R68*100*($E68/365))+(Q69/$R69*100*($E69/365))+(Q70/$R70*100*($E70/365))+(Q71/$R71*100*($E71/365))+(Q72/$R72*100*($E72/365))+(Q73/$R73*100*($E73/365))+(Q74/$R74*100*($E74/365))</f>
        <v>79.812202821864489</v>
      </c>
      <c r="M110" s="822"/>
      <c r="N110" s="832">
        <f>H110+J110+L110</f>
        <v>100</v>
      </c>
      <c r="O110" s="832"/>
      <c r="P110" s="12"/>
      <c r="Q110" s="12"/>
      <c r="R110" s="12">
        <v>2014</v>
      </c>
      <c r="S110" s="8">
        <f>(O67*($E67/365))+(O68*($E68/365))+(O69*($E69/365))+(O70*($E70/365))+(O71*($E71/365))+(O72*($E72/365))+(O73*($E73/365))+(O74*($E74/365))</f>
        <v>4.0767123287671234</v>
      </c>
      <c r="T110" s="8">
        <f>(P67*($E67/365))+(P68*($E68/365))+(P69*($E69/365))+(P70*($E70/365))+(P71*($E71/365))+(P72*($E72/365))+(P73*($E73/365))+(P74*($E74/365))</f>
        <v>7.2446575342465769</v>
      </c>
      <c r="U110" s="8">
        <f>(Q67*($E67/365))+(Q68*($E68/365))+(Q69*($E69/365))+(Q70*($E70/365))+(Q71*($E71/365))+(Q72*($E72/365))+(Q73*($E73/365))+(Q74*($E74/365))</f>
        <v>41.847397260273979</v>
      </c>
      <c r="V110" s="12"/>
      <c r="W110" s="7">
        <f>S110+T110+U110</f>
        <v>53.16876712328768</v>
      </c>
    </row>
    <row r="111" spans="1:23" s="763" customFormat="1" ht="9" customHeight="1" x14ac:dyDescent="0.15">
      <c r="A111" s="763">
        <v>2015</v>
      </c>
      <c r="B111" s="757">
        <f>(K75*($E75/365))+(K76*($E76/365))+(K77*($E77/365))+(K78*($E78/365))</f>
        <v>7.9947814742335295</v>
      </c>
      <c r="C111" s="757">
        <f>(L75*($E75/365))+(L76*($E76/365))+(L77*($E77/365))+(L78*($E78/365))</f>
        <v>7.9947814742335295</v>
      </c>
      <c r="D111" s="757">
        <f>(M75*($E75/365))+(M76*($E76/365))+(M77*($E77/365))+(M78*($E78/365))</f>
        <v>63.686888454011743</v>
      </c>
      <c r="E111" s="52">
        <f>B111+C111+D111</f>
        <v>79.676451402478804</v>
      </c>
      <c r="F111" s="12"/>
      <c r="G111" s="12">
        <v>2015</v>
      </c>
      <c r="H111" s="822">
        <f>(O75/$R75*100*($E75/365))+(O76/$R76*100*($E76/365))+(O77/$R77*100*($E77/365))</f>
        <v>6.7052568165745559</v>
      </c>
      <c r="I111" s="822"/>
      <c r="J111" s="822">
        <f>(P75/$R75*100*($E75/365))+(P76/$R76*100*($E76/365))+(P77/$R77*100*($E77/365))</f>
        <v>5.364205453259645</v>
      </c>
      <c r="K111" s="822"/>
      <c r="L111" s="822">
        <f>(Q75/$R75*100*($E75/365))+(Q76/$R76*100*($E76/365))+(Q77/$R77*100*($E77/365))</f>
        <v>75.601770606878119</v>
      </c>
      <c r="M111" s="822"/>
      <c r="N111" s="832">
        <f>H111+J111+L111</f>
        <v>87.671232876712324</v>
      </c>
      <c r="O111" s="832"/>
      <c r="P111" s="12"/>
      <c r="Q111" s="12"/>
      <c r="R111" s="12">
        <v>2015</v>
      </c>
      <c r="S111" s="757">
        <f>(O75*($E75/365))+(O76*($E76/365))+(O77*($E77/365))+(O78*($E78/365))</f>
        <v>3.506849315068493</v>
      </c>
      <c r="T111" s="757">
        <f>(P75*($E75/365))+(P76*($E76/365))+(P77*($E77/365))+(P78*($E78/365))</f>
        <v>2.8054794520547945</v>
      </c>
      <c r="U111" s="757">
        <f>(Q75*($E75/365))+(Q76*($E76/365))+(Q77*($E77/365))+(Q78*($E78/365))</f>
        <v>39.539726027397258</v>
      </c>
      <c r="V111" s="12"/>
      <c r="W111" s="760">
        <f>S111+T111+U111</f>
        <v>45.852054794520548</v>
      </c>
    </row>
  </sheetData>
  <mergeCells count="203">
    <mergeCell ref="AT4:AW4"/>
    <mergeCell ref="AX4:BA4"/>
    <mergeCell ref="C65:D65"/>
    <mergeCell ref="H109:I109"/>
    <mergeCell ref="J109:K109"/>
    <mergeCell ref="L109:M109"/>
    <mergeCell ref="N109:O109"/>
    <mergeCell ref="Z4:AC4"/>
    <mergeCell ref="C9:D9"/>
    <mergeCell ref="C10:D10"/>
    <mergeCell ref="AL4:AO4"/>
    <mergeCell ref="AP4:AS4"/>
    <mergeCell ref="C7:D7"/>
    <mergeCell ref="C8:D8"/>
    <mergeCell ref="C13:D13"/>
    <mergeCell ref="C6:D6"/>
    <mergeCell ref="C14:D14"/>
    <mergeCell ref="C15:D15"/>
    <mergeCell ref="C11:D11"/>
    <mergeCell ref="C12:D12"/>
    <mergeCell ref="C16:D16"/>
    <mergeCell ref="C17:D17"/>
    <mergeCell ref="C18:D18"/>
    <mergeCell ref="C19:D19"/>
    <mergeCell ref="G3:M3"/>
    <mergeCell ref="O3:Q3"/>
    <mergeCell ref="A4:A5"/>
    <mergeCell ref="B4:B5"/>
    <mergeCell ref="C4:D5"/>
    <mergeCell ref="E4:E5"/>
    <mergeCell ref="F4:F5"/>
    <mergeCell ref="O4:R4"/>
    <mergeCell ref="AH4:AK4"/>
    <mergeCell ref="S4:S5"/>
    <mergeCell ref="T4:T5"/>
    <mergeCell ref="U4:U5"/>
    <mergeCell ref="V4:Y4"/>
    <mergeCell ref="AD4:AG4"/>
    <mergeCell ref="G4:J4"/>
    <mergeCell ref="K4:N4"/>
    <mergeCell ref="C37:D37"/>
    <mergeCell ref="C21:D21"/>
    <mergeCell ref="C20:D20"/>
    <mergeCell ref="C22:D22"/>
    <mergeCell ref="C23:D23"/>
    <mergeCell ref="C24:D24"/>
    <mergeCell ref="C26:D26"/>
    <mergeCell ref="C44:D44"/>
    <mergeCell ref="C45:D45"/>
    <mergeCell ref="C27:D27"/>
    <mergeCell ref="C28:D28"/>
    <mergeCell ref="C25:D25"/>
    <mergeCell ref="C29:D29"/>
    <mergeCell ref="C30:D30"/>
    <mergeCell ref="C31:D31"/>
    <mergeCell ref="C35:D35"/>
    <mergeCell ref="C32:D32"/>
    <mergeCell ref="C33:D33"/>
    <mergeCell ref="C34:D34"/>
    <mergeCell ref="C38:D38"/>
    <mergeCell ref="C39:D39"/>
    <mergeCell ref="C42:D42"/>
    <mergeCell ref="C36:D36"/>
    <mergeCell ref="C58:D58"/>
    <mergeCell ref="C48:D48"/>
    <mergeCell ref="C49:D49"/>
    <mergeCell ref="C40:D40"/>
    <mergeCell ref="C41:D41"/>
    <mergeCell ref="C50:D50"/>
    <mergeCell ref="C53:D53"/>
    <mergeCell ref="C56:D56"/>
    <mergeCell ref="C57:D57"/>
    <mergeCell ref="C43:D43"/>
    <mergeCell ref="C46:D46"/>
    <mergeCell ref="C47:D47"/>
    <mergeCell ref="C51:D51"/>
    <mergeCell ref="C52:D52"/>
    <mergeCell ref="C54:D54"/>
    <mergeCell ref="C55:D55"/>
    <mergeCell ref="C59:D59"/>
    <mergeCell ref="H86:I86"/>
    <mergeCell ref="J86:K86"/>
    <mergeCell ref="C63:D63"/>
    <mergeCell ref="C60:D60"/>
    <mergeCell ref="L86:M86"/>
    <mergeCell ref="C64:D64"/>
    <mergeCell ref="C61:D61"/>
    <mergeCell ref="C62:D62"/>
    <mergeCell ref="C66:D66"/>
    <mergeCell ref="C75:D75"/>
    <mergeCell ref="C76:D76"/>
    <mergeCell ref="C77:D77"/>
    <mergeCell ref="C78:D78"/>
    <mergeCell ref="C67:D67"/>
    <mergeCell ref="C68:D68"/>
    <mergeCell ref="C69:D69"/>
    <mergeCell ref="C70:D70"/>
    <mergeCell ref="C71:D71"/>
    <mergeCell ref="C73:D73"/>
    <mergeCell ref="C72:D72"/>
    <mergeCell ref="C74:D74"/>
    <mergeCell ref="N86:O86"/>
    <mergeCell ref="R83:W83"/>
    <mergeCell ref="H85:I85"/>
    <mergeCell ref="J85:K85"/>
    <mergeCell ref="L85:M85"/>
    <mergeCell ref="N85:O85"/>
    <mergeCell ref="H87:I87"/>
    <mergeCell ref="J87:K87"/>
    <mergeCell ref="L87:M87"/>
    <mergeCell ref="N87:O87"/>
    <mergeCell ref="H88:I88"/>
    <mergeCell ref="J88:K88"/>
    <mergeCell ref="L88:M88"/>
    <mergeCell ref="N88:O88"/>
    <mergeCell ref="H89:I89"/>
    <mergeCell ref="J89:K89"/>
    <mergeCell ref="L89:M89"/>
    <mergeCell ref="N89:O89"/>
    <mergeCell ref="H90:I90"/>
    <mergeCell ref="J90:K90"/>
    <mergeCell ref="L90:M90"/>
    <mergeCell ref="N90:O90"/>
    <mergeCell ref="H100:I100"/>
    <mergeCell ref="J100:K100"/>
    <mergeCell ref="L100:M100"/>
    <mergeCell ref="N100:O100"/>
    <mergeCell ref="H101:I101"/>
    <mergeCell ref="J101:K101"/>
    <mergeCell ref="L101:M101"/>
    <mergeCell ref="J91:K91"/>
    <mergeCell ref="L91:M91"/>
    <mergeCell ref="N91:O91"/>
    <mergeCell ref="H92:I92"/>
    <mergeCell ref="J92:K92"/>
    <mergeCell ref="L92:M92"/>
    <mergeCell ref="N92:O92"/>
    <mergeCell ref="H93:I93"/>
    <mergeCell ref="J93:K93"/>
    <mergeCell ref="L93:M93"/>
    <mergeCell ref="N93:O93"/>
    <mergeCell ref="H91:I91"/>
    <mergeCell ref="N101:O101"/>
    <mergeCell ref="H94:I94"/>
    <mergeCell ref="J94:K94"/>
    <mergeCell ref="L94:M94"/>
    <mergeCell ref="N94:O94"/>
    <mergeCell ref="H95:I95"/>
    <mergeCell ref="J95:K95"/>
    <mergeCell ref="L95:M95"/>
    <mergeCell ref="N95:O95"/>
    <mergeCell ref="H96:I96"/>
    <mergeCell ref="J96:K96"/>
    <mergeCell ref="L96:M96"/>
    <mergeCell ref="N96:O96"/>
    <mergeCell ref="H97:I97"/>
    <mergeCell ref="J97:K97"/>
    <mergeCell ref="L97:M97"/>
    <mergeCell ref="N97:O97"/>
    <mergeCell ref="H98:I98"/>
    <mergeCell ref="J98:K98"/>
    <mergeCell ref="L98:M98"/>
    <mergeCell ref="N98:O98"/>
    <mergeCell ref="H99:I99"/>
    <mergeCell ref="J99:K99"/>
    <mergeCell ref="L99:M99"/>
    <mergeCell ref="N99:O99"/>
    <mergeCell ref="H107:I107"/>
    <mergeCell ref="J107:K107"/>
    <mergeCell ref="L107:M107"/>
    <mergeCell ref="N107:O107"/>
    <mergeCell ref="H104:I104"/>
    <mergeCell ref="J104:K104"/>
    <mergeCell ref="N105:O105"/>
    <mergeCell ref="H102:I102"/>
    <mergeCell ref="J102:K102"/>
    <mergeCell ref="L102:M102"/>
    <mergeCell ref="N102:O102"/>
    <mergeCell ref="H106:I106"/>
    <mergeCell ref="J106:K106"/>
    <mergeCell ref="L106:M106"/>
    <mergeCell ref="N106:O106"/>
    <mergeCell ref="L104:M104"/>
    <mergeCell ref="N104:O104"/>
    <mergeCell ref="H105:I105"/>
    <mergeCell ref="J105:K105"/>
    <mergeCell ref="L105:M105"/>
    <mergeCell ref="H103:I103"/>
    <mergeCell ref="J103:K103"/>
    <mergeCell ref="L103:M103"/>
    <mergeCell ref="N103:O103"/>
    <mergeCell ref="H111:I111"/>
    <mergeCell ref="J111:K111"/>
    <mergeCell ref="L111:M111"/>
    <mergeCell ref="N111:O111"/>
    <mergeCell ref="H110:I110"/>
    <mergeCell ref="J110:K110"/>
    <mergeCell ref="L110:M110"/>
    <mergeCell ref="N110:O110"/>
    <mergeCell ref="H108:I108"/>
    <mergeCell ref="J108:K108"/>
    <mergeCell ref="L108:M108"/>
    <mergeCell ref="N108:O108"/>
  </mergeCells>
  <pageMargins left="0.78740157499999996" right="0.78740157499999996" top="0.984251969" bottom="0.984251969" header="0.4921259845" footer="0.4921259845"/>
  <pageSetup paperSize="9"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96"/>
  <sheetViews>
    <sheetView zoomScale="120" zoomScaleNormal="120" workbookViewId="0">
      <pane xSplit="1" ySplit="5" topLeftCell="B93" activePane="bottomRight" state="frozen"/>
      <selection pane="topRight" activeCell="B1" sqref="B1"/>
      <selection pane="bottomLeft" activeCell="A6" sqref="A6"/>
      <selection pane="bottomRight" activeCell="E122" sqref="E122"/>
    </sheetView>
  </sheetViews>
  <sheetFormatPr baseColWidth="10" defaultColWidth="10.7109375" defaultRowHeight="9" x14ac:dyDescent="0.15"/>
  <cols>
    <col min="1" max="1" width="5.85546875" style="1" customWidth="1"/>
    <col min="2" max="6" width="7.85546875" style="1" customWidth="1"/>
    <col min="7" max="18" width="4.5703125" style="1" customWidth="1"/>
    <col min="19" max="21" width="7.85546875" style="1" customWidth="1"/>
    <col min="22" max="53" width="5.7109375" style="1" customWidth="1"/>
    <col min="54" max="16384" width="10.7109375" style="1"/>
  </cols>
  <sheetData>
    <row r="1" spans="1:53" s="2" customFormat="1" ht="15" customHeight="1" x14ac:dyDescent="0.2">
      <c r="B1" s="22" t="s">
        <v>14</v>
      </c>
      <c r="K1" s="36"/>
    </row>
    <row r="2" spans="1:53" s="2" customFormat="1" ht="15" customHeight="1" x14ac:dyDescent="0.2">
      <c r="B2" s="22" t="s">
        <v>49</v>
      </c>
      <c r="J2" s="36"/>
      <c r="K2" s="36"/>
      <c r="L2" s="36"/>
      <c r="M2" s="36"/>
      <c r="N2" s="36"/>
      <c r="O2" s="36"/>
      <c r="P2" s="36"/>
      <c r="Q2" s="36"/>
      <c r="R2" s="36"/>
      <c r="S2" s="36"/>
      <c r="T2" s="36"/>
      <c r="U2" s="36"/>
    </row>
    <row r="3" spans="1:53" s="2" customFormat="1" x14ac:dyDescent="0.15">
      <c r="G3" s="814"/>
      <c r="H3" s="814"/>
      <c r="I3" s="814"/>
      <c r="J3" s="814"/>
      <c r="K3" s="814"/>
      <c r="L3" s="814"/>
      <c r="M3" s="814"/>
      <c r="O3" s="814"/>
      <c r="P3" s="814"/>
      <c r="Q3" s="814"/>
      <c r="R3" s="6"/>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1" t="s">
        <v>23</v>
      </c>
      <c r="AU5" s="351" t="s">
        <v>24</v>
      </c>
      <c r="AV5" s="351" t="s">
        <v>25</v>
      </c>
      <c r="AW5" s="353" t="s">
        <v>1217</v>
      </c>
      <c r="AX5" s="351" t="s">
        <v>23</v>
      </c>
      <c r="AY5" s="351" t="s">
        <v>24</v>
      </c>
      <c r="AZ5" s="351" t="s">
        <v>25</v>
      </c>
      <c r="BA5" s="354" t="s">
        <v>1217</v>
      </c>
    </row>
    <row r="6" spans="1:53" s="257" customFormat="1" x14ac:dyDescent="0.15">
      <c r="A6" s="263">
        <v>1959</v>
      </c>
      <c r="B6" s="252"/>
      <c r="C6" s="815" t="s">
        <v>198</v>
      </c>
      <c r="D6" s="815"/>
      <c r="E6" s="257">
        <v>0</v>
      </c>
      <c r="G6" s="265">
        <v>7</v>
      </c>
      <c r="H6" s="257">
        <v>14</v>
      </c>
      <c r="J6" s="272">
        <v>21</v>
      </c>
      <c r="K6" s="248">
        <f>G6/J6*100</f>
        <v>33.333333333333329</v>
      </c>
      <c r="L6" s="248">
        <f>H6/J6*100</f>
        <v>66.666666666666657</v>
      </c>
      <c r="M6" s="248">
        <f>I6/J6*100</f>
        <v>0</v>
      </c>
      <c r="N6" s="267">
        <f>SUM(K6:M6)</f>
        <v>99.999999999999986</v>
      </c>
      <c r="O6" s="247">
        <v>9.9</v>
      </c>
      <c r="P6" s="248">
        <v>49.1</v>
      </c>
      <c r="Q6" s="248"/>
      <c r="R6" s="249">
        <f>SUM(O6:Q6)</f>
        <v>59</v>
      </c>
      <c r="S6" s="254">
        <v>2</v>
      </c>
      <c r="T6" s="251"/>
      <c r="U6" s="252"/>
      <c r="V6" s="256" t="s">
        <v>81</v>
      </c>
      <c r="W6" s="257" t="s">
        <v>17</v>
      </c>
      <c r="X6" s="257" t="s">
        <v>18</v>
      </c>
      <c r="Y6" s="258">
        <v>49.1</v>
      </c>
      <c r="Z6" s="257" t="s">
        <v>83</v>
      </c>
      <c r="AA6" s="257" t="s">
        <v>22</v>
      </c>
      <c r="AB6" s="257" t="s">
        <v>11</v>
      </c>
      <c r="AC6" s="257">
        <v>9.9</v>
      </c>
      <c r="AD6" s="256"/>
      <c r="AG6" s="258"/>
      <c r="AL6" s="256"/>
      <c r="AO6" s="258"/>
      <c r="AP6" s="256"/>
      <c r="AS6" s="258"/>
      <c r="AW6" s="258"/>
      <c r="BA6" s="259"/>
    </row>
    <row r="7" spans="1:53" s="257" customFormat="1" x14ac:dyDescent="0.15">
      <c r="A7" s="263">
        <v>1959</v>
      </c>
      <c r="B7" s="252"/>
      <c r="C7" s="815" t="s">
        <v>198</v>
      </c>
      <c r="D7" s="815"/>
      <c r="E7" s="257">
        <v>365</v>
      </c>
      <c r="G7" s="265">
        <v>7</v>
      </c>
      <c r="H7" s="257">
        <v>14</v>
      </c>
      <c r="J7" s="272">
        <v>21</v>
      </c>
      <c r="K7" s="248">
        <f>G7/J7*100</f>
        <v>33.333333333333329</v>
      </c>
      <c r="L7" s="248">
        <f>H7/J7*100</f>
        <v>66.666666666666657</v>
      </c>
      <c r="M7" s="248">
        <f>I7/J7*100</f>
        <v>0</v>
      </c>
      <c r="N7" s="267">
        <f>SUM(K7:M7)</f>
        <v>99.999999999999986</v>
      </c>
      <c r="O7" s="247">
        <v>9.9</v>
      </c>
      <c r="P7" s="248">
        <v>49.1</v>
      </c>
      <c r="Q7" s="248"/>
      <c r="R7" s="249">
        <f>SUM(O7:Q7)</f>
        <v>59</v>
      </c>
      <c r="S7" s="254">
        <v>2</v>
      </c>
      <c r="T7" s="251"/>
      <c r="U7" s="252"/>
      <c r="V7" s="256" t="s">
        <v>81</v>
      </c>
      <c r="W7" s="257" t="s">
        <v>17</v>
      </c>
      <c r="X7" s="257" t="s">
        <v>18</v>
      </c>
      <c r="Y7" s="258">
        <v>49.1</v>
      </c>
      <c r="Z7" s="257" t="s">
        <v>83</v>
      </c>
      <c r="AA7" s="257" t="s">
        <v>22</v>
      </c>
      <c r="AB7" s="257" t="s">
        <v>11</v>
      </c>
      <c r="AC7" s="257">
        <v>9.9</v>
      </c>
      <c r="AD7" s="256"/>
      <c r="AG7" s="258"/>
      <c r="AL7" s="256"/>
      <c r="AO7" s="258"/>
      <c r="AP7" s="256"/>
      <c r="AS7" s="258"/>
      <c r="AW7" s="258"/>
      <c r="BA7" s="259"/>
    </row>
    <row r="8" spans="1:53" s="73" customFormat="1" x14ac:dyDescent="0.15">
      <c r="A8" s="102">
        <v>1960</v>
      </c>
      <c r="B8" s="85"/>
      <c r="C8" s="811" t="s">
        <v>198</v>
      </c>
      <c r="D8" s="811"/>
      <c r="E8" s="73">
        <v>245</v>
      </c>
      <c r="G8" s="123">
        <v>7</v>
      </c>
      <c r="H8" s="73">
        <v>14</v>
      </c>
      <c r="J8" s="134">
        <v>21</v>
      </c>
      <c r="K8" s="92">
        <f>G8/J8*100</f>
        <v>33.333333333333329</v>
      </c>
      <c r="L8" s="92">
        <f>H8/J8*100</f>
        <v>66.666666666666657</v>
      </c>
      <c r="M8" s="92">
        <f>I8/J8*100</f>
        <v>0</v>
      </c>
      <c r="N8" s="125">
        <f t="shared" ref="N8:N71" si="0">SUM(K8:M8)</f>
        <v>99.999999999999986</v>
      </c>
      <c r="O8" s="91">
        <v>9.9</v>
      </c>
      <c r="P8" s="92">
        <v>49.1</v>
      </c>
      <c r="Q8" s="92"/>
      <c r="R8" s="93">
        <f>SUM(O8:Q8)</f>
        <v>59</v>
      </c>
      <c r="S8" s="97">
        <v>2</v>
      </c>
      <c r="T8" s="95"/>
      <c r="U8" s="85"/>
      <c r="V8" s="82" t="s">
        <v>81</v>
      </c>
      <c r="W8" s="73" t="s">
        <v>17</v>
      </c>
      <c r="X8" s="73" t="s">
        <v>18</v>
      </c>
      <c r="Y8" s="83">
        <v>49.1</v>
      </c>
      <c r="Z8" s="73" t="s">
        <v>83</v>
      </c>
      <c r="AA8" s="73" t="s">
        <v>22</v>
      </c>
      <c r="AB8" s="73" t="s">
        <v>11</v>
      </c>
      <c r="AC8" s="73">
        <v>9.9</v>
      </c>
      <c r="AD8" s="82"/>
      <c r="AG8" s="83"/>
      <c r="AL8" s="82"/>
      <c r="AO8" s="83"/>
      <c r="AP8" s="82"/>
      <c r="AS8" s="83"/>
      <c r="AW8" s="83"/>
      <c r="BA8" s="84"/>
    </row>
    <row r="9" spans="1:53" s="73" customFormat="1" x14ac:dyDescent="0.15">
      <c r="A9" s="102">
        <v>1960</v>
      </c>
      <c r="B9" s="135">
        <v>22161</v>
      </c>
      <c r="C9" s="811" t="s">
        <v>198</v>
      </c>
      <c r="D9" s="811"/>
      <c r="E9" s="73">
        <v>121</v>
      </c>
      <c r="F9" s="129">
        <v>0</v>
      </c>
      <c r="G9" s="123">
        <v>7</v>
      </c>
      <c r="H9" s="73">
        <v>13</v>
      </c>
      <c r="J9" s="134">
        <v>20</v>
      </c>
      <c r="K9" s="92">
        <f t="shared" ref="K9:K14" si="1">G9/J9*100</f>
        <v>35</v>
      </c>
      <c r="L9" s="92">
        <f t="shared" ref="L9:L14" si="2">H9/J9*100</f>
        <v>65</v>
      </c>
      <c r="M9" s="92">
        <f t="shared" ref="M9:M14" si="3">I9/J9*100</f>
        <v>0</v>
      </c>
      <c r="N9" s="125">
        <f t="shared" si="0"/>
        <v>100</v>
      </c>
      <c r="O9" s="91">
        <v>9.9</v>
      </c>
      <c r="P9" s="92">
        <v>49.1</v>
      </c>
      <c r="Q9" s="92"/>
      <c r="R9" s="93">
        <f t="shared" ref="R9:R72" si="4">SUM(O9:Q9)</f>
        <v>59</v>
      </c>
      <c r="S9" s="97">
        <v>2</v>
      </c>
      <c r="T9" s="95"/>
      <c r="U9" s="85"/>
      <c r="V9" s="82" t="s">
        <v>81</v>
      </c>
      <c r="W9" s="73" t="s">
        <v>17</v>
      </c>
      <c r="X9" s="73" t="s">
        <v>18</v>
      </c>
      <c r="Y9" s="83">
        <v>49.1</v>
      </c>
      <c r="Z9" s="73" t="s">
        <v>83</v>
      </c>
      <c r="AA9" s="73" t="s">
        <v>22</v>
      </c>
      <c r="AB9" s="73" t="s">
        <v>11</v>
      </c>
      <c r="AC9" s="73">
        <v>9.9</v>
      </c>
      <c r="AD9" s="82"/>
      <c r="AG9" s="83"/>
      <c r="AL9" s="82"/>
      <c r="AO9" s="83"/>
      <c r="AP9" s="82"/>
      <c r="AS9" s="83"/>
      <c r="AW9" s="83"/>
      <c r="BA9" s="84"/>
    </row>
    <row r="10" spans="1:53" s="73" customFormat="1" x14ac:dyDescent="0.15">
      <c r="A10" s="102">
        <v>1961</v>
      </c>
      <c r="B10" s="85"/>
      <c r="C10" s="811" t="s">
        <v>198</v>
      </c>
      <c r="D10" s="811"/>
      <c r="E10" s="73">
        <v>114</v>
      </c>
      <c r="G10" s="123">
        <v>7</v>
      </c>
      <c r="H10" s="73">
        <v>13</v>
      </c>
      <c r="J10" s="134">
        <v>20</v>
      </c>
      <c r="K10" s="92">
        <f t="shared" si="1"/>
        <v>35</v>
      </c>
      <c r="L10" s="92">
        <f t="shared" si="2"/>
        <v>65</v>
      </c>
      <c r="M10" s="92">
        <f t="shared" si="3"/>
        <v>0</v>
      </c>
      <c r="N10" s="125">
        <f t="shared" si="0"/>
        <v>100</v>
      </c>
      <c r="O10" s="91">
        <v>9.9</v>
      </c>
      <c r="P10" s="92">
        <v>49.1</v>
      </c>
      <c r="Q10" s="92"/>
      <c r="R10" s="93">
        <f t="shared" si="4"/>
        <v>59</v>
      </c>
      <c r="S10" s="97">
        <v>2</v>
      </c>
      <c r="T10" s="95"/>
      <c r="U10" s="85"/>
      <c r="V10" s="82" t="s">
        <v>81</v>
      </c>
      <c r="W10" s="73" t="s">
        <v>17</v>
      </c>
      <c r="X10" s="73" t="s">
        <v>18</v>
      </c>
      <c r="Y10" s="83">
        <v>49.1</v>
      </c>
      <c r="Z10" s="73" t="s">
        <v>83</v>
      </c>
      <c r="AA10" s="73" t="s">
        <v>22</v>
      </c>
      <c r="AB10" s="73" t="s">
        <v>11</v>
      </c>
      <c r="AC10" s="73">
        <v>9.9</v>
      </c>
      <c r="AD10" s="82"/>
      <c r="AG10" s="83"/>
      <c r="AL10" s="82"/>
      <c r="AO10" s="83"/>
      <c r="AP10" s="82"/>
      <c r="AS10" s="83"/>
      <c r="AW10" s="83"/>
      <c r="BA10" s="84"/>
    </row>
    <row r="11" spans="1:53" s="334" customFormat="1" x14ac:dyDescent="0.15">
      <c r="A11" s="386">
        <v>1961</v>
      </c>
      <c r="B11" s="355">
        <v>22396</v>
      </c>
      <c r="C11" s="785" t="s">
        <v>1202</v>
      </c>
      <c r="D11" s="785"/>
      <c r="E11" s="334">
        <v>251</v>
      </c>
      <c r="F11" s="334">
        <v>1</v>
      </c>
      <c r="G11" s="419"/>
      <c r="H11" s="334">
        <v>10</v>
      </c>
      <c r="I11" s="334">
        <v>7</v>
      </c>
      <c r="J11" s="435">
        <v>17</v>
      </c>
      <c r="K11" s="384">
        <f t="shared" si="1"/>
        <v>0</v>
      </c>
      <c r="L11" s="384">
        <f t="shared" si="2"/>
        <v>58.82352941176471</v>
      </c>
      <c r="M11" s="384">
        <f t="shared" si="3"/>
        <v>41.17647058823529</v>
      </c>
      <c r="N11" s="421">
        <f t="shared" si="0"/>
        <v>100</v>
      </c>
      <c r="O11" s="383"/>
      <c r="P11" s="384">
        <v>45.3</v>
      </c>
      <c r="Q11" s="384">
        <v>39.6</v>
      </c>
      <c r="R11" s="385">
        <f t="shared" si="4"/>
        <v>84.9</v>
      </c>
      <c r="S11" s="388">
        <v>2</v>
      </c>
      <c r="T11" s="342">
        <v>22366</v>
      </c>
      <c r="U11" s="355">
        <v>22396</v>
      </c>
      <c r="V11" s="343" t="s">
        <v>81</v>
      </c>
      <c r="W11" s="334" t="s">
        <v>17</v>
      </c>
      <c r="X11" s="334" t="s">
        <v>18</v>
      </c>
      <c r="Y11" s="344">
        <v>45.3</v>
      </c>
      <c r="Z11" s="334" t="s">
        <v>84</v>
      </c>
      <c r="AA11" s="334" t="s">
        <v>20</v>
      </c>
      <c r="AB11" s="334" t="s">
        <v>12</v>
      </c>
      <c r="AC11" s="334">
        <v>39.6</v>
      </c>
      <c r="AD11" s="343"/>
      <c r="AG11" s="344"/>
      <c r="AL11" s="343"/>
      <c r="AO11" s="344"/>
      <c r="AP11" s="343"/>
      <c r="AS11" s="344"/>
      <c r="AW11" s="344"/>
      <c r="BA11" s="345"/>
    </row>
    <row r="12" spans="1:53" s="334" customFormat="1" x14ac:dyDescent="0.15">
      <c r="A12" s="386">
        <v>1962</v>
      </c>
      <c r="B12" s="355"/>
      <c r="C12" s="785" t="s">
        <v>1202</v>
      </c>
      <c r="D12" s="785"/>
      <c r="E12" s="334">
        <v>0</v>
      </c>
      <c r="G12" s="419"/>
      <c r="H12" s="334">
        <v>10</v>
      </c>
      <c r="I12" s="334">
        <v>7</v>
      </c>
      <c r="J12" s="435">
        <v>17</v>
      </c>
      <c r="K12" s="384">
        <f t="shared" si="1"/>
        <v>0</v>
      </c>
      <c r="L12" s="384">
        <f t="shared" si="2"/>
        <v>58.82352941176471</v>
      </c>
      <c r="M12" s="384">
        <f t="shared" si="3"/>
        <v>41.17647058823529</v>
      </c>
      <c r="N12" s="421">
        <f t="shared" si="0"/>
        <v>100</v>
      </c>
      <c r="O12" s="383"/>
      <c r="P12" s="384">
        <v>45.3</v>
      </c>
      <c r="Q12" s="384">
        <v>39.6</v>
      </c>
      <c r="R12" s="385">
        <f t="shared" si="4"/>
        <v>84.9</v>
      </c>
      <c r="S12" s="388">
        <v>2</v>
      </c>
      <c r="T12" s="342"/>
      <c r="U12" s="355"/>
      <c r="V12" s="343" t="s">
        <v>81</v>
      </c>
      <c r="W12" s="334" t="s">
        <v>17</v>
      </c>
      <c r="X12" s="334" t="s">
        <v>18</v>
      </c>
      <c r="Y12" s="344">
        <v>45.3</v>
      </c>
      <c r="Z12" s="334" t="s">
        <v>84</v>
      </c>
      <c r="AA12" s="334" t="s">
        <v>20</v>
      </c>
      <c r="AB12" s="334" t="s">
        <v>12</v>
      </c>
      <c r="AC12" s="334">
        <v>39.6</v>
      </c>
      <c r="AD12" s="343"/>
      <c r="AG12" s="344"/>
      <c r="AL12" s="343"/>
      <c r="AO12" s="344"/>
      <c r="AP12" s="343"/>
      <c r="AS12" s="344"/>
      <c r="AW12" s="344"/>
      <c r="BA12" s="345"/>
    </row>
    <row r="13" spans="1:53" s="334" customFormat="1" x14ac:dyDescent="0.15">
      <c r="A13" s="386">
        <v>1962</v>
      </c>
      <c r="B13" s="355"/>
      <c r="C13" s="785" t="s">
        <v>1202</v>
      </c>
      <c r="D13" s="785"/>
      <c r="E13" s="334">
        <v>365</v>
      </c>
      <c r="G13" s="419"/>
      <c r="H13" s="334">
        <v>10</v>
      </c>
      <c r="I13" s="334">
        <v>7</v>
      </c>
      <c r="J13" s="435">
        <v>17</v>
      </c>
      <c r="K13" s="384">
        <f t="shared" si="1"/>
        <v>0</v>
      </c>
      <c r="L13" s="384">
        <f t="shared" si="2"/>
        <v>58.82352941176471</v>
      </c>
      <c r="M13" s="384">
        <f t="shared" si="3"/>
        <v>41.17647058823529</v>
      </c>
      <c r="N13" s="421">
        <f t="shared" si="0"/>
        <v>100</v>
      </c>
      <c r="O13" s="383"/>
      <c r="P13" s="384">
        <v>45.3</v>
      </c>
      <c r="Q13" s="384">
        <v>39.6</v>
      </c>
      <c r="R13" s="385">
        <f t="shared" si="4"/>
        <v>84.9</v>
      </c>
      <c r="S13" s="388">
        <v>2</v>
      </c>
      <c r="T13" s="342"/>
      <c r="U13" s="355"/>
      <c r="V13" s="343" t="s">
        <v>81</v>
      </c>
      <c r="W13" s="334" t="s">
        <v>17</v>
      </c>
      <c r="X13" s="334" t="s">
        <v>18</v>
      </c>
      <c r="Y13" s="344">
        <v>45.3</v>
      </c>
      <c r="Z13" s="334" t="s">
        <v>84</v>
      </c>
      <c r="AA13" s="334" t="s">
        <v>20</v>
      </c>
      <c r="AB13" s="334" t="s">
        <v>12</v>
      </c>
      <c r="AC13" s="334">
        <v>39.6</v>
      </c>
      <c r="AD13" s="343"/>
      <c r="AG13" s="344"/>
      <c r="AL13" s="343"/>
      <c r="AO13" s="344"/>
      <c r="AP13" s="343"/>
      <c r="AS13" s="344"/>
      <c r="AW13" s="344"/>
      <c r="BA13" s="345"/>
    </row>
    <row r="14" spans="1:53" s="334" customFormat="1" x14ac:dyDescent="0.15">
      <c r="A14" s="386">
        <v>1962.6</v>
      </c>
      <c r="B14" s="355"/>
      <c r="C14" s="785" t="s">
        <v>1202</v>
      </c>
      <c r="D14" s="785"/>
      <c r="E14" s="334">
        <v>0</v>
      </c>
      <c r="G14" s="419"/>
      <c r="H14" s="334">
        <v>10</v>
      </c>
      <c r="I14" s="334">
        <v>7</v>
      </c>
      <c r="J14" s="435">
        <v>17</v>
      </c>
      <c r="K14" s="384">
        <f t="shared" si="1"/>
        <v>0</v>
      </c>
      <c r="L14" s="384">
        <f t="shared" si="2"/>
        <v>58.82352941176471</v>
      </c>
      <c r="M14" s="384">
        <f t="shared" si="3"/>
        <v>41.17647058823529</v>
      </c>
      <c r="N14" s="421">
        <f t="shared" si="0"/>
        <v>100</v>
      </c>
      <c r="O14" s="383"/>
      <c r="P14" s="384">
        <v>45.3</v>
      </c>
      <c r="Q14" s="384">
        <v>39.6</v>
      </c>
      <c r="R14" s="385">
        <f t="shared" si="4"/>
        <v>84.9</v>
      </c>
      <c r="S14" s="388">
        <v>2</v>
      </c>
      <c r="T14" s="342"/>
      <c r="U14" s="355"/>
      <c r="V14" s="343" t="s">
        <v>81</v>
      </c>
      <c r="W14" s="334" t="s">
        <v>17</v>
      </c>
      <c r="X14" s="334" t="s">
        <v>18</v>
      </c>
      <c r="Y14" s="344">
        <v>45.3</v>
      </c>
      <c r="Z14" s="334" t="s">
        <v>84</v>
      </c>
      <c r="AA14" s="334" t="s">
        <v>20</v>
      </c>
      <c r="AB14" s="334" t="s">
        <v>12</v>
      </c>
      <c r="AC14" s="334">
        <v>39.6</v>
      </c>
      <c r="AD14" s="343"/>
      <c r="AG14" s="344"/>
      <c r="AL14" s="343"/>
      <c r="AO14" s="344"/>
      <c r="AP14" s="343"/>
      <c r="AS14" s="344"/>
      <c r="AW14" s="344"/>
      <c r="BA14" s="345"/>
    </row>
    <row r="15" spans="1:53" s="334" customFormat="1" x14ac:dyDescent="0.15">
      <c r="A15" s="386">
        <v>1963.05714285714</v>
      </c>
      <c r="B15" s="355"/>
      <c r="C15" s="785" t="s">
        <v>1202</v>
      </c>
      <c r="D15" s="785"/>
      <c r="E15" s="334">
        <v>365</v>
      </c>
      <c r="G15" s="419"/>
      <c r="H15" s="334">
        <v>10</v>
      </c>
      <c r="I15" s="334">
        <v>7</v>
      </c>
      <c r="J15" s="435">
        <v>17</v>
      </c>
      <c r="K15" s="384">
        <f>G15/J15*100</f>
        <v>0</v>
      </c>
      <c r="L15" s="384">
        <f>H15/J15*100</f>
        <v>58.82352941176471</v>
      </c>
      <c r="M15" s="384">
        <f>I15/J15*100</f>
        <v>41.17647058823529</v>
      </c>
      <c r="N15" s="421">
        <f t="shared" si="0"/>
        <v>100</v>
      </c>
      <c r="O15" s="383"/>
      <c r="P15" s="384">
        <v>45.3</v>
      </c>
      <c r="Q15" s="384">
        <v>39.6</v>
      </c>
      <c r="R15" s="385">
        <f t="shared" si="4"/>
        <v>84.9</v>
      </c>
      <c r="S15" s="388">
        <v>2</v>
      </c>
      <c r="T15" s="342"/>
      <c r="U15" s="355"/>
      <c r="V15" s="343" t="s">
        <v>81</v>
      </c>
      <c r="W15" s="334" t="s">
        <v>17</v>
      </c>
      <c r="X15" s="334" t="s">
        <v>18</v>
      </c>
      <c r="Y15" s="344">
        <v>45.3</v>
      </c>
      <c r="Z15" s="334" t="s">
        <v>84</v>
      </c>
      <c r="AA15" s="334" t="s">
        <v>20</v>
      </c>
      <c r="AB15" s="334" t="s">
        <v>12</v>
      </c>
      <c r="AC15" s="334">
        <v>39.6</v>
      </c>
      <c r="AD15" s="343"/>
      <c r="AG15" s="344"/>
      <c r="AL15" s="343"/>
      <c r="AO15" s="344"/>
      <c r="AP15" s="343"/>
      <c r="AS15" s="344"/>
      <c r="AW15" s="344"/>
      <c r="BA15" s="345"/>
    </row>
    <row r="16" spans="1:53" s="334" customFormat="1" x14ac:dyDescent="0.15">
      <c r="A16" s="386">
        <v>1963.5142857142901</v>
      </c>
      <c r="B16" s="355"/>
      <c r="C16" s="785" t="s">
        <v>1202</v>
      </c>
      <c r="D16" s="785"/>
      <c r="E16" s="334">
        <v>0</v>
      </c>
      <c r="G16" s="419"/>
      <c r="H16" s="334">
        <v>10</v>
      </c>
      <c r="I16" s="334">
        <v>7</v>
      </c>
      <c r="J16" s="435">
        <v>17</v>
      </c>
      <c r="K16" s="384">
        <f t="shared" ref="K16:K21" si="5">G16/J16*100</f>
        <v>0</v>
      </c>
      <c r="L16" s="384">
        <f t="shared" ref="L16:L21" si="6">H16/J16*100</f>
        <v>58.82352941176471</v>
      </c>
      <c r="M16" s="384">
        <f t="shared" ref="M16:M21" si="7">I16/J16*100</f>
        <v>41.17647058823529</v>
      </c>
      <c r="N16" s="421">
        <f t="shared" si="0"/>
        <v>100</v>
      </c>
      <c r="O16" s="383"/>
      <c r="P16" s="384">
        <v>45.3</v>
      </c>
      <c r="Q16" s="384">
        <v>39.6</v>
      </c>
      <c r="R16" s="385">
        <f t="shared" si="4"/>
        <v>84.9</v>
      </c>
      <c r="S16" s="388">
        <v>2</v>
      </c>
      <c r="T16" s="342"/>
      <c r="U16" s="355"/>
      <c r="V16" s="343" t="s">
        <v>81</v>
      </c>
      <c r="W16" s="334" t="s">
        <v>17</v>
      </c>
      <c r="X16" s="334" t="s">
        <v>18</v>
      </c>
      <c r="Y16" s="344">
        <v>45.3</v>
      </c>
      <c r="Z16" s="334" t="s">
        <v>84</v>
      </c>
      <c r="AA16" s="334" t="s">
        <v>20</v>
      </c>
      <c r="AB16" s="334" t="s">
        <v>12</v>
      </c>
      <c r="AC16" s="334">
        <v>39.6</v>
      </c>
      <c r="AD16" s="343"/>
      <c r="AG16" s="344"/>
      <c r="AL16" s="343"/>
      <c r="AO16" s="344"/>
      <c r="AP16" s="343"/>
      <c r="AS16" s="344"/>
      <c r="AW16" s="344"/>
      <c r="BA16" s="345"/>
    </row>
    <row r="17" spans="1:53" s="334" customFormat="1" x14ac:dyDescent="0.15">
      <c r="A17" s="386">
        <v>1963.9714285714299</v>
      </c>
      <c r="B17" s="355"/>
      <c r="C17" s="785" t="s">
        <v>1202</v>
      </c>
      <c r="D17" s="785"/>
      <c r="E17" s="334">
        <v>366</v>
      </c>
      <c r="G17" s="419"/>
      <c r="H17" s="334">
        <v>10</v>
      </c>
      <c r="I17" s="334">
        <v>7</v>
      </c>
      <c r="J17" s="435">
        <v>17</v>
      </c>
      <c r="K17" s="384">
        <f t="shared" si="5"/>
        <v>0</v>
      </c>
      <c r="L17" s="384">
        <f t="shared" si="6"/>
        <v>58.82352941176471</v>
      </c>
      <c r="M17" s="384">
        <f t="shared" si="7"/>
        <v>41.17647058823529</v>
      </c>
      <c r="N17" s="421">
        <f t="shared" si="0"/>
        <v>100</v>
      </c>
      <c r="O17" s="383"/>
      <c r="P17" s="384">
        <v>45.3</v>
      </c>
      <c r="Q17" s="384">
        <v>39.6</v>
      </c>
      <c r="R17" s="385">
        <f t="shared" si="4"/>
        <v>84.9</v>
      </c>
      <c r="S17" s="388">
        <v>2</v>
      </c>
      <c r="T17" s="342"/>
      <c r="U17" s="355"/>
      <c r="V17" s="343" t="s">
        <v>81</v>
      </c>
      <c r="W17" s="334" t="s">
        <v>17</v>
      </c>
      <c r="X17" s="334" t="s">
        <v>18</v>
      </c>
      <c r="Y17" s="344">
        <v>45.3</v>
      </c>
      <c r="Z17" s="334" t="s">
        <v>84</v>
      </c>
      <c r="AA17" s="334" t="s">
        <v>20</v>
      </c>
      <c r="AB17" s="334" t="s">
        <v>12</v>
      </c>
      <c r="AC17" s="334">
        <v>39.6</v>
      </c>
      <c r="AD17" s="343"/>
      <c r="AG17" s="344"/>
      <c r="AL17" s="343"/>
      <c r="AO17" s="344"/>
      <c r="AP17" s="343"/>
      <c r="AS17" s="344"/>
      <c r="AW17" s="344"/>
      <c r="BA17" s="345"/>
    </row>
    <row r="18" spans="1:53" s="334" customFormat="1" x14ac:dyDescent="0.15">
      <c r="A18" s="386">
        <v>1965</v>
      </c>
      <c r="B18" s="355"/>
      <c r="C18" s="785" t="s">
        <v>1202</v>
      </c>
      <c r="D18" s="785"/>
      <c r="E18" s="334">
        <v>208</v>
      </c>
      <c r="G18" s="419"/>
      <c r="H18" s="334">
        <v>10</v>
      </c>
      <c r="I18" s="334">
        <v>7</v>
      </c>
      <c r="J18" s="435">
        <v>17</v>
      </c>
      <c r="K18" s="384">
        <f t="shared" si="5"/>
        <v>0</v>
      </c>
      <c r="L18" s="384">
        <f t="shared" si="6"/>
        <v>58.82352941176471</v>
      </c>
      <c r="M18" s="384">
        <f t="shared" si="7"/>
        <v>41.17647058823529</v>
      </c>
      <c r="N18" s="421">
        <f t="shared" si="0"/>
        <v>100</v>
      </c>
      <c r="O18" s="383"/>
      <c r="P18" s="384">
        <v>45.3</v>
      </c>
      <c r="Q18" s="384">
        <v>39.6</v>
      </c>
      <c r="R18" s="385">
        <f t="shared" si="4"/>
        <v>84.9</v>
      </c>
      <c r="S18" s="388">
        <v>2</v>
      </c>
      <c r="T18" s="342"/>
      <c r="U18" s="355"/>
      <c r="V18" s="343" t="s">
        <v>81</v>
      </c>
      <c r="W18" s="334" t="s">
        <v>17</v>
      </c>
      <c r="X18" s="334" t="s">
        <v>18</v>
      </c>
      <c r="Y18" s="344">
        <v>45.3</v>
      </c>
      <c r="Z18" s="334" t="s">
        <v>84</v>
      </c>
      <c r="AA18" s="334" t="s">
        <v>20</v>
      </c>
      <c r="AB18" s="334" t="s">
        <v>12</v>
      </c>
      <c r="AC18" s="334">
        <v>39.6</v>
      </c>
      <c r="AD18" s="343"/>
      <c r="AG18" s="344"/>
      <c r="AL18" s="343"/>
      <c r="AO18" s="344"/>
      <c r="AP18" s="343"/>
      <c r="AS18" s="344"/>
      <c r="AW18" s="344"/>
      <c r="BA18" s="345"/>
    </row>
    <row r="19" spans="1:53" s="73" customFormat="1" x14ac:dyDescent="0.15">
      <c r="A19" s="102">
        <v>1964.88571428572</v>
      </c>
      <c r="B19" s="85">
        <v>23951</v>
      </c>
      <c r="C19" s="786" t="s">
        <v>200</v>
      </c>
      <c r="D19" s="786"/>
      <c r="E19" s="73">
        <v>157</v>
      </c>
      <c r="F19" s="73">
        <v>1</v>
      </c>
      <c r="G19" s="123"/>
      <c r="H19" s="73">
        <v>12</v>
      </c>
      <c r="I19" s="73">
        <v>8</v>
      </c>
      <c r="J19" s="134">
        <v>20</v>
      </c>
      <c r="K19" s="92">
        <f t="shared" si="5"/>
        <v>0</v>
      </c>
      <c r="L19" s="92">
        <f t="shared" si="6"/>
        <v>60</v>
      </c>
      <c r="M19" s="92">
        <f t="shared" si="7"/>
        <v>40</v>
      </c>
      <c r="N19" s="125">
        <f t="shared" si="0"/>
        <v>100</v>
      </c>
      <c r="O19" s="91"/>
      <c r="P19" s="92">
        <v>36.299999999999997</v>
      </c>
      <c r="Q19" s="92">
        <v>30.2</v>
      </c>
      <c r="R19" s="93">
        <f t="shared" si="4"/>
        <v>66.5</v>
      </c>
      <c r="S19" s="97">
        <v>2</v>
      </c>
      <c r="T19" s="95">
        <v>23885</v>
      </c>
      <c r="U19" s="85">
        <v>23951</v>
      </c>
      <c r="V19" s="82" t="s">
        <v>81</v>
      </c>
      <c r="W19" s="73" t="s">
        <v>17</v>
      </c>
      <c r="X19" s="73" t="s">
        <v>18</v>
      </c>
      <c r="Y19" s="83">
        <v>36.299999999999997</v>
      </c>
      <c r="Z19" s="73" t="s">
        <v>84</v>
      </c>
      <c r="AA19" s="73" t="s">
        <v>20</v>
      </c>
      <c r="AB19" s="73" t="s">
        <v>12</v>
      </c>
      <c r="AC19" s="73">
        <v>30.2</v>
      </c>
      <c r="AD19" s="82"/>
      <c r="AG19" s="83"/>
      <c r="AL19" s="82"/>
      <c r="AO19" s="83"/>
      <c r="AP19" s="82"/>
      <c r="AS19" s="83"/>
      <c r="AW19" s="83"/>
      <c r="BA19" s="84"/>
    </row>
    <row r="20" spans="1:53" s="73" customFormat="1" x14ac:dyDescent="0.15">
      <c r="A20" s="102">
        <v>1966</v>
      </c>
      <c r="B20" s="85"/>
      <c r="C20" s="786" t="s">
        <v>200</v>
      </c>
      <c r="D20" s="786"/>
      <c r="E20" s="73">
        <v>78</v>
      </c>
      <c r="G20" s="123"/>
      <c r="H20" s="73">
        <v>12</v>
      </c>
      <c r="I20" s="73">
        <v>8</v>
      </c>
      <c r="J20" s="134">
        <v>20</v>
      </c>
      <c r="K20" s="92">
        <f t="shared" si="5"/>
        <v>0</v>
      </c>
      <c r="L20" s="92">
        <f t="shared" si="6"/>
        <v>60</v>
      </c>
      <c r="M20" s="92">
        <f t="shared" si="7"/>
        <v>40</v>
      </c>
      <c r="N20" s="125">
        <f t="shared" si="0"/>
        <v>100</v>
      </c>
      <c r="O20" s="91"/>
      <c r="P20" s="92">
        <v>36.299999999999997</v>
      </c>
      <c r="Q20" s="92">
        <v>30.2</v>
      </c>
      <c r="R20" s="93">
        <f t="shared" si="4"/>
        <v>66.5</v>
      </c>
      <c r="S20" s="97">
        <v>2</v>
      </c>
      <c r="T20" s="95"/>
      <c r="U20" s="85"/>
      <c r="V20" s="82" t="s">
        <v>81</v>
      </c>
      <c r="W20" s="73" t="s">
        <v>17</v>
      </c>
      <c r="X20" s="73" t="s">
        <v>18</v>
      </c>
      <c r="Y20" s="83">
        <v>36.299999999999997</v>
      </c>
      <c r="Z20" s="73" t="s">
        <v>84</v>
      </c>
      <c r="AA20" s="73" t="s">
        <v>20</v>
      </c>
      <c r="AB20" s="73" t="s">
        <v>12</v>
      </c>
      <c r="AC20" s="73">
        <v>30.2</v>
      </c>
      <c r="AD20" s="82"/>
      <c r="AG20" s="83"/>
      <c r="AL20" s="82"/>
      <c r="AO20" s="83"/>
      <c r="AP20" s="82"/>
      <c r="AS20" s="83"/>
      <c r="AW20" s="83"/>
      <c r="BA20" s="84"/>
    </row>
    <row r="21" spans="1:53" s="334" customFormat="1" x14ac:dyDescent="0.15">
      <c r="A21" s="386">
        <v>1965.8</v>
      </c>
      <c r="B21" s="355">
        <v>24186</v>
      </c>
      <c r="C21" s="785" t="s">
        <v>1203</v>
      </c>
      <c r="D21" s="785"/>
      <c r="E21" s="334">
        <v>287</v>
      </c>
      <c r="F21" s="334">
        <v>4</v>
      </c>
      <c r="G21" s="419">
        <v>7</v>
      </c>
      <c r="H21" s="334">
        <v>12</v>
      </c>
      <c r="J21" s="435">
        <v>19</v>
      </c>
      <c r="K21" s="384">
        <f t="shared" si="5"/>
        <v>36.84210526315789</v>
      </c>
      <c r="L21" s="384">
        <f t="shared" si="6"/>
        <v>63.157894736842103</v>
      </c>
      <c r="M21" s="384">
        <f t="shared" si="7"/>
        <v>0</v>
      </c>
      <c r="N21" s="421">
        <f t="shared" si="0"/>
        <v>100</v>
      </c>
      <c r="O21" s="383">
        <v>22.6</v>
      </c>
      <c r="P21" s="384">
        <v>36.299999999999997</v>
      </c>
      <c r="Q21" s="384"/>
      <c r="R21" s="385">
        <f t="shared" si="4"/>
        <v>58.9</v>
      </c>
      <c r="S21" s="388">
        <v>2</v>
      </c>
      <c r="T21" s="342"/>
      <c r="U21" s="355">
        <v>24186</v>
      </c>
      <c r="V21" s="343" t="s">
        <v>81</v>
      </c>
      <c r="W21" s="334" t="s">
        <v>17</v>
      </c>
      <c r="X21" s="334" t="s">
        <v>18</v>
      </c>
      <c r="Y21" s="344">
        <v>36.299999999999997</v>
      </c>
      <c r="Z21" s="334" t="s">
        <v>83</v>
      </c>
      <c r="AA21" s="334" t="s">
        <v>22</v>
      </c>
      <c r="AB21" s="334" t="s">
        <v>11</v>
      </c>
      <c r="AC21" s="334">
        <v>22.6</v>
      </c>
      <c r="AD21" s="343"/>
      <c r="AG21" s="344"/>
      <c r="AL21" s="343"/>
      <c r="AO21" s="344"/>
      <c r="AP21" s="343"/>
      <c r="AS21" s="344"/>
      <c r="AW21" s="344"/>
      <c r="BA21" s="345"/>
    </row>
    <row r="22" spans="1:53" s="334" customFormat="1" x14ac:dyDescent="0.15">
      <c r="A22" s="386">
        <v>1967</v>
      </c>
      <c r="B22" s="355"/>
      <c r="C22" s="785" t="s">
        <v>1203</v>
      </c>
      <c r="D22" s="785"/>
      <c r="E22" s="334">
        <v>0</v>
      </c>
      <c r="G22" s="419">
        <v>7</v>
      </c>
      <c r="H22" s="334">
        <v>12</v>
      </c>
      <c r="J22" s="435">
        <v>19</v>
      </c>
      <c r="K22" s="384">
        <f>G22/J22*100</f>
        <v>36.84210526315789</v>
      </c>
      <c r="L22" s="384">
        <f>H22/J22*100</f>
        <v>63.157894736842103</v>
      </c>
      <c r="M22" s="384">
        <f>I22/J22*100</f>
        <v>0</v>
      </c>
      <c r="N22" s="421">
        <f t="shared" si="0"/>
        <v>100</v>
      </c>
      <c r="O22" s="383">
        <v>22.6</v>
      </c>
      <c r="P22" s="384">
        <v>36.299999999999997</v>
      </c>
      <c r="Q22" s="384"/>
      <c r="R22" s="385">
        <f t="shared" si="4"/>
        <v>58.9</v>
      </c>
      <c r="S22" s="388">
        <v>2</v>
      </c>
      <c r="T22" s="342"/>
      <c r="U22" s="355"/>
      <c r="V22" s="343" t="s">
        <v>81</v>
      </c>
      <c r="W22" s="334" t="s">
        <v>17</v>
      </c>
      <c r="X22" s="334" t="s">
        <v>18</v>
      </c>
      <c r="Y22" s="344">
        <v>36.299999999999997</v>
      </c>
      <c r="Z22" s="334" t="s">
        <v>83</v>
      </c>
      <c r="AA22" s="334" t="s">
        <v>22</v>
      </c>
      <c r="AB22" s="334" t="s">
        <v>11</v>
      </c>
      <c r="AC22" s="334">
        <v>22.6</v>
      </c>
      <c r="AD22" s="343"/>
      <c r="AG22" s="344"/>
      <c r="AL22" s="343"/>
      <c r="AO22" s="344"/>
      <c r="AP22" s="343"/>
      <c r="AS22" s="344"/>
      <c r="AW22" s="344"/>
      <c r="BA22" s="345"/>
    </row>
    <row r="23" spans="1:53" s="334" customFormat="1" x14ac:dyDescent="0.15">
      <c r="A23" s="386">
        <v>1966.7142857142901</v>
      </c>
      <c r="B23" s="355"/>
      <c r="C23" s="785" t="s">
        <v>1203</v>
      </c>
      <c r="D23" s="785"/>
      <c r="E23" s="334">
        <v>365</v>
      </c>
      <c r="G23" s="419">
        <v>7</v>
      </c>
      <c r="H23" s="334">
        <v>12</v>
      </c>
      <c r="J23" s="435">
        <v>19</v>
      </c>
      <c r="K23" s="384">
        <f t="shared" ref="K23:K28" si="8">G23/J23*100</f>
        <v>36.84210526315789</v>
      </c>
      <c r="L23" s="384">
        <f t="shared" ref="L23:L28" si="9">H23/J23*100</f>
        <v>63.157894736842103</v>
      </c>
      <c r="M23" s="384">
        <f t="shared" ref="M23:M28" si="10">I23/J23*100</f>
        <v>0</v>
      </c>
      <c r="N23" s="421">
        <f t="shared" si="0"/>
        <v>100</v>
      </c>
      <c r="O23" s="383">
        <v>22.6</v>
      </c>
      <c r="P23" s="384">
        <v>36.299999999999997</v>
      </c>
      <c r="Q23" s="384"/>
      <c r="R23" s="385">
        <f t="shared" si="4"/>
        <v>58.9</v>
      </c>
      <c r="S23" s="388">
        <v>2</v>
      </c>
      <c r="T23" s="342"/>
      <c r="U23" s="355"/>
      <c r="V23" s="343" t="s">
        <v>81</v>
      </c>
      <c r="W23" s="334" t="s">
        <v>17</v>
      </c>
      <c r="X23" s="334" t="s">
        <v>18</v>
      </c>
      <c r="Y23" s="344">
        <v>36.299999999999997</v>
      </c>
      <c r="Z23" s="334" t="s">
        <v>83</v>
      </c>
      <c r="AA23" s="334" t="s">
        <v>22</v>
      </c>
      <c r="AB23" s="334" t="s">
        <v>11</v>
      </c>
      <c r="AC23" s="334">
        <v>22.6</v>
      </c>
      <c r="AD23" s="343"/>
      <c r="AG23" s="344"/>
      <c r="AL23" s="343"/>
      <c r="AO23" s="344"/>
      <c r="AP23" s="343"/>
      <c r="AS23" s="344"/>
      <c r="AW23" s="344"/>
      <c r="BA23" s="345"/>
    </row>
    <row r="24" spans="1:53" s="334" customFormat="1" x14ac:dyDescent="0.15">
      <c r="A24" s="386">
        <v>1968</v>
      </c>
      <c r="B24" s="355"/>
      <c r="C24" s="785" t="s">
        <v>1203</v>
      </c>
      <c r="D24" s="785"/>
      <c r="E24" s="334">
        <v>169</v>
      </c>
      <c r="G24" s="419">
        <v>7</v>
      </c>
      <c r="H24" s="334">
        <v>12</v>
      </c>
      <c r="J24" s="435">
        <v>19</v>
      </c>
      <c r="K24" s="384">
        <f t="shared" si="8"/>
        <v>36.84210526315789</v>
      </c>
      <c r="L24" s="384">
        <f t="shared" si="9"/>
        <v>63.157894736842103</v>
      </c>
      <c r="M24" s="384">
        <f t="shared" si="10"/>
        <v>0</v>
      </c>
      <c r="N24" s="421">
        <f t="shared" si="0"/>
        <v>100</v>
      </c>
      <c r="O24" s="383">
        <v>22.6</v>
      </c>
      <c r="P24" s="384">
        <v>36.299999999999997</v>
      </c>
      <c r="Q24" s="384"/>
      <c r="R24" s="385">
        <f t="shared" si="4"/>
        <v>58.9</v>
      </c>
      <c r="S24" s="388">
        <v>2</v>
      </c>
      <c r="T24" s="342"/>
      <c r="U24" s="355"/>
      <c r="V24" s="343" t="s">
        <v>81</v>
      </c>
      <c r="W24" s="334" t="s">
        <v>17</v>
      </c>
      <c r="X24" s="334" t="s">
        <v>18</v>
      </c>
      <c r="Y24" s="344">
        <v>36.299999999999997</v>
      </c>
      <c r="Z24" s="334" t="s">
        <v>83</v>
      </c>
      <c r="AA24" s="334" t="s">
        <v>22</v>
      </c>
      <c r="AB24" s="334" t="s">
        <v>11</v>
      </c>
      <c r="AC24" s="334">
        <v>22.6</v>
      </c>
      <c r="AD24" s="343"/>
      <c r="AG24" s="344"/>
      <c r="AL24" s="343"/>
      <c r="AO24" s="344"/>
      <c r="AP24" s="343"/>
      <c r="AS24" s="344"/>
      <c r="AW24" s="344"/>
      <c r="BA24" s="345"/>
    </row>
    <row r="25" spans="1:53" s="73" customFormat="1" x14ac:dyDescent="0.15">
      <c r="A25" s="102">
        <v>1967.62857142857</v>
      </c>
      <c r="B25" s="85">
        <v>25007</v>
      </c>
      <c r="C25" s="811" t="s">
        <v>199</v>
      </c>
      <c r="D25" s="811"/>
      <c r="E25" s="73">
        <v>197</v>
      </c>
      <c r="F25" s="73">
        <v>6</v>
      </c>
      <c r="G25" s="123"/>
      <c r="H25" s="73">
        <v>16</v>
      </c>
      <c r="I25" s="73">
        <v>11</v>
      </c>
      <c r="J25" s="134">
        <v>27</v>
      </c>
      <c r="K25" s="92">
        <f t="shared" si="8"/>
        <v>0</v>
      </c>
      <c r="L25" s="92">
        <f t="shared" si="9"/>
        <v>59.259259259259252</v>
      </c>
      <c r="M25" s="92">
        <f t="shared" si="10"/>
        <v>40.74074074074074</v>
      </c>
      <c r="N25" s="125">
        <f t="shared" si="0"/>
        <v>100</v>
      </c>
      <c r="O25" s="91"/>
      <c r="P25" s="92">
        <v>32.6</v>
      </c>
      <c r="Q25" s="92">
        <v>27.8</v>
      </c>
      <c r="R25" s="93">
        <f t="shared" si="4"/>
        <v>60.400000000000006</v>
      </c>
      <c r="S25" s="97">
        <v>2</v>
      </c>
      <c r="T25" s="95">
        <v>24928</v>
      </c>
      <c r="U25" s="85">
        <v>25007</v>
      </c>
      <c r="V25" s="82" t="s">
        <v>81</v>
      </c>
      <c r="W25" s="73" t="s">
        <v>82</v>
      </c>
      <c r="X25" s="73" t="s">
        <v>18</v>
      </c>
      <c r="Y25" s="83">
        <v>23.6</v>
      </c>
      <c r="Z25" s="73" t="s">
        <v>85</v>
      </c>
      <c r="AA25" s="73" t="s">
        <v>86</v>
      </c>
      <c r="AB25" s="73" t="s">
        <v>18</v>
      </c>
      <c r="AC25" s="73">
        <v>9</v>
      </c>
      <c r="AD25" s="82" t="s">
        <v>84</v>
      </c>
      <c r="AE25" s="73" t="s">
        <v>20</v>
      </c>
      <c r="AF25" s="73" t="s">
        <v>12</v>
      </c>
      <c r="AG25" s="83">
        <v>27.8</v>
      </c>
      <c r="AL25" s="82"/>
      <c r="AO25" s="83"/>
      <c r="AP25" s="82"/>
      <c r="AS25" s="83"/>
      <c r="AW25" s="83"/>
      <c r="BA25" s="84"/>
    </row>
    <row r="26" spans="1:53" s="73" customFormat="1" x14ac:dyDescent="0.15">
      <c r="A26" s="102">
        <v>1969</v>
      </c>
      <c r="B26" s="85"/>
      <c r="C26" s="811" t="s">
        <v>199</v>
      </c>
      <c r="D26" s="811"/>
      <c r="E26" s="73">
        <v>0</v>
      </c>
      <c r="G26" s="123"/>
      <c r="H26" s="73">
        <v>16</v>
      </c>
      <c r="I26" s="73">
        <v>11</v>
      </c>
      <c r="J26" s="134">
        <v>27</v>
      </c>
      <c r="K26" s="92">
        <f t="shared" si="8"/>
        <v>0</v>
      </c>
      <c r="L26" s="92">
        <f t="shared" si="9"/>
        <v>59.259259259259252</v>
      </c>
      <c r="M26" s="92">
        <f t="shared" si="10"/>
        <v>40.74074074074074</v>
      </c>
      <c r="N26" s="125">
        <f t="shared" si="0"/>
        <v>100</v>
      </c>
      <c r="O26" s="91"/>
      <c r="P26" s="92">
        <v>32.6</v>
      </c>
      <c r="Q26" s="92">
        <v>27.8</v>
      </c>
      <c r="R26" s="93">
        <f t="shared" si="4"/>
        <v>60.400000000000006</v>
      </c>
      <c r="S26" s="97">
        <v>2</v>
      </c>
      <c r="T26" s="95"/>
      <c r="U26" s="85"/>
      <c r="V26" s="82" t="s">
        <v>81</v>
      </c>
      <c r="W26" s="73" t="s">
        <v>82</v>
      </c>
      <c r="X26" s="73" t="s">
        <v>18</v>
      </c>
      <c r="Y26" s="83">
        <v>23.6</v>
      </c>
      <c r="Z26" s="73" t="s">
        <v>85</v>
      </c>
      <c r="AA26" s="73" t="s">
        <v>86</v>
      </c>
      <c r="AB26" s="73" t="s">
        <v>18</v>
      </c>
      <c r="AC26" s="73">
        <v>9</v>
      </c>
      <c r="AD26" s="82" t="s">
        <v>84</v>
      </c>
      <c r="AE26" s="73" t="s">
        <v>20</v>
      </c>
      <c r="AF26" s="73" t="s">
        <v>12</v>
      </c>
      <c r="AG26" s="83">
        <v>27.8</v>
      </c>
      <c r="AL26" s="82"/>
      <c r="AO26" s="83"/>
      <c r="AP26" s="82"/>
      <c r="AS26" s="83"/>
      <c r="AW26" s="83"/>
      <c r="BA26" s="84"/>
    </row>
    <row r="27" spans="1:53" s="73" customFormat="1" x14ac:dyDescent="0.15">
      <c r="A27" s="102">
        <v>1968.5428571428599</v>
      </c>
      <c r="B27" s="85"/>
      <c r="C27" s="811" t="s">
        <v>199</v>
      </c>
      <c r="D27" s="811"/>
      <c r="E27" s="73">
        <v>365</v>
      </c>
      <c r="G27" s="123"/>
      <c r="H27" s="73">
        <v>16</v>
      </c>
      <c r="I27" s="73">
        <v>11</v>
      </c>
      <c r="J27" s="134">
        <v>27</v>
      </c>
      <c r="K27" s="92">
        <f t="shared" si="8"/>
        <v>0</v>
      </c>
      <c r="L27" s="92">
        <f t="shared" si="9"/>
        <v>59.259259259259252</v>
      </c>
      <c r="M27" s="92">
        <f t="shared" si="10"/>
        <v>40.74074074074074</v>
      </c>
      <c r="N27" s="125">
        <f t="shared" si="0"/>
        <v>100</v>
      </c>
      <c r="O27" s="91"/>
      <c r="P27" s="92">
        <v>32.6</v>
      </c>
      <c r="Q27" s="92">
        <v>27.8</v>
      </c>
      <c r="R27" s="93">
        <f t="shared" si="4"/>
        <v>60.400000000000006</v>
      </c>
      <c r="S27" s="97">
        <v>2</v>
      </c>
      <c r="T27" s="95"/>
      <c r="U27" s="85"/>
      <c r="V27" s="82" t="s">
        <v>81</v>
      </c>
      <c r="W27" s="73" t="s">
        <v>82</v>
      </c>
      <c r="X27" s="73" t="s">
        <v>18</v>
      </c>
      <c r="Y27" s="83">
        <v>23.6</v>
      </c>
      <c r="Z27" s="73" t="s">
        <v>85</v>
      </c>
      <c r="AA27" s="73" t="s">
        <v>86</v>
      </c>
      <c r="AB27" s="73" t="s">
        <v>18</v>
      </c>
      <c r="AC27" s="73">
        <v>9</v>
      </c>
      <c r="AD27" s="82" t="s">
        <v>84</v>
      </c>
      <c r="AE27" s="73" t="s">
        <v>20</v>
      </c>
      <c r="AF27" s="73" t="s">
        <v>12</v>
      </c>
      <c r="AG27" s="83">
        <v>27.8</v>
      </c>
      <c r="AL27" s="82"/>
      <c r="AO27" s="83"/>
      <c r="AP27" s="82"/>
      <c r="AS27" s="83"/>
      <c r="AW27" s="83"/>
      <c r="BA27" s="84"/>
    </row>
    <row r="28" spans="1:53" s="73" customFormat="1" x14ac:dyDescent="0.15">
      <c r="A28" s="102">
        <v>1970</v>
      </c>
      <c r="B28" s="85"/>
      <c r="C28" s="811" t="s">
        <v>199</v>
      </c>
      <c r="D28" s="811"/>
      <c r="E28" s="73">
        <v>0</v>
      </c>
      <c r="G28" s="123"/>
      <c r="H28" s="73">
        <v>16</v>
      </c>
      <c r="I28" s="73">
        <v>11</v>
      </c>
      <c r="J28" s="134">
        <v>27</v>
      </c>
      <c r="K28" s="92">
        <f t="shared" si="8"/>
        <v>0</v>
      </c>
      <c r="L28" s="92">
        <f t="shared" si="9"/>
        <v>59.259259259259252</v>
      </c>
      <c r="M28" s="92">
        <f t="shared" si="10"/>
        <v>40.74074074074074</v>
      </c>
      <c r="N28" s="125">
        <f t="shared" si="0"/>
        <v>100</v>
      </c>
      <c r="O28" s="91"/>
      <c r="P28" s="92">
        <v>32.6</v>
      </c>
      <c r="Q28" s="92">
        <v>27.8</v>
      </c>
      <c r="R28" s="93">
        <f t="shared" si="4"/>
        <v>60.400000000000006</v>
      </c>
      <c r="S28" s="97">
        <v>2</v>
      </c>
      <c r="T28" s="95"/>
      <c r="U28" s="85"/>
      <c r="V28" s="82" t="s">
        <v>81</v>
      </c>
      <c r="W28" s="73" t="s">
        <v>82</v>
      </c>
      <c r="X28" s="73" t="s">
        <v>18</v>
      </c>
      <c r="Y28" s="83">
        <v>23.6</v>
      </c>
      <c r="Z28" s="73" t="s">
        <v>85</v>
      </c>
      <c r="AA28" s="73" t="s">
        <v>86</v>
      </c>
      <c r="AB28" s="73" t="s">
        <v>18</v>
      </c>
      <c r="AC28" s="73">
        <v>9</v>
      </c>
      <c r="AD28" s="82" t="s">
        <v>84</v>
      </c>
      <c r="AE28" s="73" t="s">
        <v>20</v>
      </c>
      <c r="AF28" s="73" t="s">
        <v>12</v>
      </c>
      <c r="AG28" s="83">
        <v>27.8</v>
      </c>
      <c r="AL28" s="82"/>
      <c r="AO28" s="83"/>
      <c r="AP28" s="82"/>
      <c r="AS28" s="83"/>
      <c r="AW28" s="83"/>
      <c r="BA28" s="84"/>
    </row>
    <row r="29" spans="1:53" s="73" customFormat="1" x14ac:dyDescent="0.15">
      <c r="A29" s="102">
        <v>1970</v>
      </c>
      <c r="B29" s="85"/>
      <c r="C29" s="811" t="s">
        <v>199</v>
      </c>
      <c r="D29" s="811"/>
      <c r="E29" s="73">
        <v>365</v>
      </c>
      <c r="G29" s="123"/>
      <c r="H29" s="73">
        <v>16</v>
      </c>
      <c r="I29" s="73">
        <v>11</v>
      </c>
      <c r="J29" s="134">
        <v>27</v>
      </c>
      <c r="K29" s="92">
        <f>G29/J29*100</f>
        <v>0</v>
      </c>
      <c r="L29" s="92">
        <f>H29/J29*100</f>
        <v>59.259259259259252</v>
      </c>
      <c r="M29" s="92">
        <f>I29/J29*100</f>
        <v>40.74074074074074</v>
      </c>
      <c r="N29" s="125">
        <f t="shared" si="0"/>
        <v>100</v>
      </c>
      <c r="O29" s="91"/>
      <c r="P29" s="92">
        <v>32.6</v>
      </c>
      <c r="Q29" s="92">
        <v>27.8</v>
      </c>
      <c r="R29" s="93">
        <f t="shared" si="4"/>
        <v>60.400000000000006</v>
      </c>
      <c r="S29" s="97">
        <v>2</v>
      </c>
      <c r="T29" s="95"/>
      <c r="U29" s="85"/>
      <c r="V29" s="82" t="s">
        <v>81</v>
      </c>
      <c r="W29" s="73" t="s">
        <v>82</v>
      </c>
      <c r="X29" s="73" t="s">
        <v>18</v>
      </c>
      <c r="Y29" s="83">
        <v>23.6</v>
      </c>
      <c r="Z29" s="73" t="s">
        <v>85</v>
      </c>
      <c r="AA29" s="73" t="s">
        <v>86</v>
      </c>
      <c r="AB29" s="73" t="s">
        <v>18</v>
      </c>
      <c r="AC29" s="73">
        <v>9</v>
      </c>
      <c r="AD29" s="82" t="s">
        <v>84</v>
      </c>
      <c r="AE29" s="73" t="s">
        <v>20</v>
      </c>
      <c r="AF29" s="73" t="s">
        <v>12</v>
      </c>
      <c r="AG29" s="83">
        <v>27.8</v>
      </c>
      <c r="AL29" s="82"/>
      <c r="AO29" s="83"/>
      <c r="AP29" s="82"/>
      <c r="AS29" s="83"/>
      <c r="AW29" s="83"/>
      <c r="BA29" s="84"/>
    </row>
    <row r="30" spans="1:53" s="73" customFormat="1" x14ac:dyDescent="0.15">
      <c r="A30" s="102">
        <v>1971</v>
      </c>
      <c r="B30" s="85"/>
      <c r="C30" s="811" t="s">
        <v>199</v>
      </c>
      <c r="D30" s="811"/>
      <c r="E30" s="73">
        <v>0</v>
      </c>
      <c r="G30" s="123"/>
      <c r="H30" s="73">
        <v>16</v>
      </c>
      <c r="I30" s="73">
        <v>11</v>
      </c>
      <c r="J30" s="134">
        <v>27</v>
      </c>
      <c r="K30" s="92">
        <f t="shared" ref="K30:K35" si="11">G30/J30*100</f>
        <v>0</v>
      </c>
      <c r="L30" s="92">
        <f t="shared" ref="L30:L35" si="12">H30/J30*100</f>
        <v>59.259259259259252</v>
      </c>
      <c r="M30" s="92">
        <f t="shared" ref="M30:M35" si="13">I30/J30*100</f>
        <v>40.74074074074074</v>
      </c>
      <c r="N30" s="125">
        <f t="shared" si="0"/>
        <v>100</v>
      </c>
      <c r="O30" s="91"/>
      <c r="P30" s="92">
        <v>32.6</v>
      </c>
      <c r="Q30" s="92">
        <v>27.8</v>
      </c>
      <c r="R30" s="93">
        <f t="shared" si="4"/>
        <v>60.400000000000006</v>
      </c>
      <c r="S30" s="97">
        <v>2</v>
      </c>
      <c r="T30" s="95"/>
      <c r="U30" s="85"/>
      <c r="V30" s="82" t="s">
        <v>81</v>
      </c>
      <c r="W30" s="73" t="s">
        <v>82</v>
      </c>
      <c r="X30" s="73" t="s">
        <v>18</v>
      </c>
      <c r="Y30" s="83">
        <v>23.6</v>
      </c>
      <c r="Z30" s="73" t="s">
        <v>85</v>
      </c>
      <c r="AA30" s="73" t="s">
        <v>86</v>
      </c>
      <c r="AB30" s="73" t="s">
        <v>18</v>
      </c>
      <c r="AC30" s="73">
        <v>9</v>
      </c>
      <c r="AD30" s="82" t="s">
        <v>84</v>
      </c>
      <c r="AE30" s="73" t="s">
        <v>20</v>
      </c>
      <c r="AF30" s="73" t="s">
        <v>12</v>
      </c>
      <c r="AG30" s="83">
        <v>27.8</v>
      </c>
      <c r="AL30" s="82"/>
      <c r="AO30" s="83"/>
      <c r="AP30" s="82"/>
      <c r="AS30" s="83"/>
      <c r="AW30" s="83"/>
      <c r="BA30" s="84"/>
    </row>
    <row r="31" spans="1:53" s="73" customFormat="1" x14ac:dyDescent="0.15">
      <c r="A31" s="102">
        <v>1971</v>
      </c>
      <c r="B31" s="85"/>
      <c r="C31" s="811" t="s">
        <v>199</v>
      </c>
      <c r="D31" s="811"/>
      <c r="E31" s="73">
        <v>365</v>
      </c>
      <c r="G31" s="123"/>
      <c r="H31" s="73">
        <v>16</v>
      </c>
      <c r="I31" s="73">
        <v>11</v>
      </c>
      <c r="J31" s="134">
        <v>27</v>
      </c>
      <c r="K31" s="92">
        <f t="shared" si="11"/>
        <v>0</v>
      </c>
      <c r="L31" s="92">
        <f t="shared" si="12"/>
        <v>59.259259259259252</v>
      </c>
      <c r="M31" s="92">
        <f t="shared" si="13"/>
        <v>40.74074074074074</v>
      </c>
      <c r="N31" s="125">
        <f t="shared" si="0"/>
        <v>100</v>
      </c>
      <c r="O31" s="91"/>
      <c r="P31" s="92">
        <v>32.6</v>
      </c>
      <c r="Q31" s="92">
        <v>27.8</v>
      </c>
      <c r="R31" s="93">
        <f t="shared" si="4"/>
        <v>60.400000000000006</v>
      </c>
      <c r="S31" s="97">
        <v>2</v>
      </c>
      <c r="T31" s="95">
        <v>26244</v>
      </c>
      <c r="U31" s="85"/>
      <c r="V31" s="82" t="s">
        <v>81</v>
      </c>
      <c r="W31" s="73" t="s">
        <v>82</v>
      </c>
      <c r="X31" s="73" t="s">
        <v>18</v>
      </c>
      <c r="Y31" s="83">
        <v>23.6</v>
      </c>
      <c r="Z31" s="73" t="s">
        <v>85</v>
      </c>
      <c r="AA31" s="73" t="s">
        <v>86</v>
      </c>
      <c r="AB31" s="73" t="s">
        <v>18</v>
      </c>
      <c r="AC31" s="73">
        <v>9</v>
      </c>
      <c r="AD31" s="82" t="s">
        <v>84</v>
      </c>
      <c r="AE31" s="73" t="s">
        <v>20</v>
      </c>
      <c r="AF31" s="73" t="s">
        <v>12</v>
      </c>
      <c r="AG31" s="83">
        <v>27.8</v>
      </c>
      <c r="AL31" s="82"/>
      <c r="AO31" s="83"/>
      <c r="AP31" s="82"/>
      <c r="AS31" s="83"/>
      <c r="AW31" s="83"/>
      <c r="BA31" s="84"/>
    </row>
    <row r="32" spans="1:53" s="73" customFormat="1" x14ac:dyDescent="0.15">
      <c r="A32" s="102">
        <v>1972</v>
      </c>
      <c r="B32" s="85"/>
      <c r="C32" s="811" t="s">
        <v>199</v>
      </c>
      <c r="D32" s="811"/>
      <c r="E32" s="73">
        <v>20</v>
      </c>
      <c r="G32" s="123"/>
      <c r="H32" s="73">
        <v>16</v>
      </c>
      <c r="I32" s="73">
        <v>11</v>
      </c>
      <c r="J32" s="134">
        <v>27</v>
      </c>
      <c r="K32" s="92">
        <f t="shared" si="11"/>
        <v>0</v>
      </c>
      <c r="L32" s="92">
        <f t="shared" si="12"/>
        <v>59.259259259259252</v>
      </c>
      <c r="M32" s="92">
        <f t="shared" si="13"/>
        <v>40.74074074074074</v>
      </c>
      <c r="N32" s="125">
        <f t="shared" si="0"/>
        <v>100</v>
      </c>
      <c r="O32" s="91"/>
      <c r="P32" s="92">
        <v>32.6</v>
      </c>
      <c r="Q32" s="92">
        <v>27.8</v>
      </c>
      <c r="R32" s="93">
        <f t="shared" si="4"/>
        <v>60.400000000000006</v>
      </c>
      <c r="S32" s="97">
        <v>2</v>
      </c>
      <c r="T32" s="95"/>
      <c r="U32" s="85"/>
      <c r="V32" s="82" t="s">
        <v>81</v>
      </c>
      <c r="W32" s="73" t="s">
        <v>82</v>
      </c>
      <c r="X32" s="73" t="s">
        <v>18</v>
      </c>
      <c r="Y32" s="83">
        <v>23.6</v>
      </c>
      <c r="Z32" s="73" t="s">
        <v>85</v>
      </c>
      <c r="AA32" s="73" t="s">
        <v>86</v>
      </c>
      <c r="AB32" s="73" t="s">
        <v>18</v>
      </c>
      <c r="AC32" s="73">
        <v>9</v>
      </c>
      <c r="AD32" s="82" t="s">
        <v>84</v>
      </c>
      <c r="AE32" s="73" t="s">
        <v>20</v>
      </c>
      <c r="AF32" s="73" t="s">
        <v>12</v>
      </c>
      <c r="AG32" s="83">
        <v>27.8</v>
      </c>
      <c r="AL32" s="82"/>
      <c r="AO32" s="83"/>
      <c r="AP32" s="82"/>
      <c r="AS32" s="83"/>
      <c r="AW32" s="83"/>
      <c r="BA32" s="84"/>
    </row>
    <row r="33" spans="1:53" s="73" customFormat="1" x14ac:dyDescent="0.15">
      <c r="A33" s="102">
        <v>1972</v>
      </c>
      <c r="B33" s="135">
        <v>26319</v>
      </c>
      <c r="C33" s="811" t="s">
        <v>199</v>
      </c>
      <c r="D33" s="811"/>
      <c r="E33" s="73">
        <v>346</v>
      </c>
      <c r="F33" s="129">
        <v>0</v>
      </c>
      <c r="G33" s="123"/>
      <c r="H33" s="73">
        <v>10</v>
      </c>
      <c r="I33" s="73">
        <v>9</v>
      </c>
      <c r="J33" s="134">
        <v>19</v>
      </c>
      <c r="K33" s="92">
        <f t="shared" si="11"/>
        <v>0</v>
      </c>
      <c r="L33" s="92">
        <f t="shared" si="12"/>
        <v>52.631578947368418</v>
      </c>
      <c r="M33" s="92">
        <f t="shared" si="13"/>
        <v>47.368421052631575</v>
      </c>
      <c r="N33" s="125">
        <f t="shared" si="0"/>
        <v>100</v>
      </c>
      <c r="O33" s="91"/>
      <c r="P33" s="92">
        <v>32.6</v>
      </c>
      <c r="Q33" s="92">
        <v>27.8</v>
      </c>
      <c r="R33" s="93">
        <f t="shared" si="4"/>
        <v>60.400000000000006</v>
      </c>
      <c r="S33" s="97">
        <v>2</v>
      </c>
      <c r="T33" s="95"/>
      <c r="U33" s="85"/>
      <c r="V33" s="82" t="s">
        <v>81</v>
      </c>
      <c r="W33" s="73" t="s">
        <v>82</v>
      </c>
      <c r="X33" s="73" t="s">
        <v>18</v>
      </c>
      <c r="Y33" s="83">
        <v>23.6</v>
      </c>
      <c r="Z33" s="73" t="s">
        <v>85</v>
      </c>
      <c r="AA33" s="73" t="s">
        <v>86</v>
      </c>
      <c r="AB33" s="73" t="s">
        <v>18</v>
      </c>
      <c r="AC33" s="73">
        <v>9</v>
      </c>
      <c r="AD33" s="82" t="s">
        <v>84</v>
      </c>
      <c r="AE33" s="73" t="s">
        <v>20</v>
      </c>
      <c r="AF33" s="73" t="s">
        <v>12</v>
      </c>
      <c r="AG33" s="83">
        <v>27.8</v>
      </c>
      <c r="AL33" s="82"/>
      <c r="AO33" s="83"/>
      <c r="AP33" s="82"/>
      <c r="AS33" s="83"/>
      <c r="AW33" s="83"/>
      <c r="BA33" s="84"/>
    </row>
    <row r="34" spans="1:53" s="73" customFormat="1" x14ac:dyDescent="0.15">
      <c r="A34" s="102">
        <v>1973</v>
      </c>
      <c r="B34" s="85"/>
      <c r="C34" s="811" t="s">
        <v>199</v>
      </c>
      <c r="D34" s="811"/>
      <c r="E34" s="73">
        <v>25</v>
      </c>
      <c r="G34" s="123"/>
      <c r="H34" s="73">
        <v>10</v>
      </c>
      <c r="I34" s="73">
        <v>9</v>
      </c>
      <c r="J34" s="134">
        <v>19</v>
      </c>
      <c r="K34" s="92">
        <f t="shared" si="11"/>
        <v>0</v>
      </c>
      <c r="L34" s="92">
        <f t="shared" si="12"/>
        <v>52.631578947368418</v>
      </c>
      <c r="M34" s="92">
        <f t="shared" si="13"/>
        <v>47.368421052631575</v>
      </c>
      <c r="N34" s="125">
        <f t="shared" si="0"/>
        <v>100</v>
      </c>
      <c r="O34" s="91"/>
      <c r="P34" s="92">
        <v>32.6</v>
      </c>
      <c r="Q34" s="92">
        <v>27.8</v>
      </c>
      <c r="R34" s="93">
        <f t="shared" si="4"/>
        <v>60.400000000000006</v>
      </c>
      <c r="S34" s="97">
        <v>2</v>
      </c>
      <c r="T34" s="95"/>
      <c r="U34" s="85"/>
      <c r="V34" s="82" t="s">
        <v>81</v>
      </c>
      <c r="W34" s="73" t="s">
        <v>82</v>
      </c>
      <c r="X34" s="73" t="s">
        <v>18</v>
      </c>
      <c r="Y34" s="83">
        <v>23.6</v>
      </c>
      <c r="Z34" s="73" t="s">
        <v>85</v>
      </c>
      <c r="AA34" s="73" t="s">
        <v>86</v>
      </c>
      <c r="AB34" s="73" t="s">
        <v>18</v>
      </c>
      <c r="AC34" s="73">
        <v>9</v>
      </c>
      <c r="AD34" s="82" t="s">
        <v>84</v>
      </c>
      <c r="AE34" s="73" t="s">
        <v>20</v>
      </c>
      <c r="AF34" s="73" t="s">
        <v>12</v>
      </c>
      <c r="AG34" s="83">
        <v>27.8</v>
      </c>
      <c r="AL34" s="82"/>
      <c r="AO34" s="83"/>
      <c r="AP34" s="82"/>
      <c r="AS34" s="83"/>
      <c r="AW34" s="83"/>
      <c r="BA34" s="84"/>
    </row>
    <row r="35" spans="1:53" s="334" customFormat="1" x14ac:dyDescent="0.15">
      <c r="A35" s="386">
        <v>1973</v>
      </c>
      <c r="B35" s="355">
        <v>26690</v>
      </c>
      <c r="C35" s="785" t="s">
        <v>201</v>
      </c>
      <c r="D35" s="785"/>
      <c r="E35" s="334">
        <v>340</v>
      </c>
      <c r="F35" s="334">
        <v>7</v>
      </c>
      <c r="G35" s="419">
        <v>4</v>
      </c>
      <c r="H35" s="334">
        <v>9</v>
      </c>
      <c r="I35" s="334">
        <v>9</v>
      </c>
      <c r="J35" s="435">
        <v>22</v>
      </c>
      <c r="K35" s="384">
        <f t="shared" si="11"/>
        <v>18.181818181818183</v>
      </c>
      <c r="L35" s="384">
        <f t="shared" si="12"/>
        <v>40.909090909090914</v>
      </c>
      <c r="M35" s="384">
        <f t="shared" si="13"/>
        <v>40.909090909090914</v>
      </c>
      <c r="N35" s="421">
        <f t="shared" si="0"/>
        <v>100</v>
      </c>
      <c r="O35" s="383">
        <v>9.4</v>
      </c>
      <c r="P35" s="384">
        <v>31.6</v>
      </c>
      <c r="Q35" s="384">
        <v>28.8</v>
      </c>
      <c r="R35" s="385">
        <f t="shared" si="4"/>
        <v>69.8</v>
      </c>
      <c r="S35" s="388">
        <v>3</v>
      </c>
      <c r="T35" s="342"/>
      <c r="U35" s="355">
        <v>26690</v>
      </c>
      <c r="V35" s="343" t="s">
        <v>81</v>
      </c>
      <c r="W35" s="334" t="s">
        <v>82</v>
      </c>
      <c r="X35" s="334" t="s">
        <v>18</v>
      </c>
      <c r="Y35" s="344">
        <v>22.2</v>
      </c>
      <c r="Z35" s="334" t="s">
        <v>85</v>
      </c>
      <c r="AA35" s="334" t="s">
        <v>86</v>
      </c>
      <c r="AB35" s="334" t="s">
        <v>18</v>
      </c>
      <c r="AC35" s="334">
        <v>9.4</v>
      </c>
      <c r="AD35" s="343" t="s">
        <v>84</v>
      </c>
      <c r="AE35" s="334" t="s">
        <v>20</v>
      </c>
      <c r="AF35" s="334" t="s">
        <v>12</v>
      </c>
      <c r="AG35" s="344">
        <v>28.8</v>
      </c>
      <c r="AH35" s="334" t="s">
        <v>87</v>
      </c>
      <c r="AI35" s="334" t="s">
        <v>88</v>
      </c>
      <c r="AJ35" s="334" t="s">
        <v>11</v>
      </c>
      <c r="AK35" s="334">
        <v>9.4</v>
      </c>
      <c r="AL35" s="343"/>
      <c r="AO35" s="344"/>
      <c r="AP35" s="343"/>
      <c r="AS35" s="344"/>
      <c r="AW35" s="344"/>
      <c r="BA35" s="345"/>
    </row>
    <row r="36" spans="1:53" s="334" customFormat="1" x14ac:dyDescent="0.15">
      <c r="A36" s="386">
        <v>1974</v>
      </c>
      <c r="B36" s="355"/>
      <c r="C36" s="785" t="s">
        <v>201</v>
      </c>
      <c r="D36" s="785"/>
      <c r="E36" s="334">
        <v>114</v>
      </c>
      <c r="G36" s="419">
        <v>4</v>
      </c>
      <c r="H36" s="334">
        <v>9</v>
      </c>
      <c r="I36" s="334">
        <v>9</v>
      </c>
      <c r="J36" s="435">
        <v>22</v>
      </c>
      <c r="K36" s="384">
        <f>G36/J36*100</f>
        <v>18.181818181818183</v>
      </c>
      <c r="L36" s="384">
        <f>H36/J36*100</f>
        <v>40.909090909090914</v>
      </c>
      <c r="M36" s="384">
        <f>I36/J36*100</f>
        <v>40.909090909090914</v>
      </c>
      <c r="N36" s="421">
        <f t="shared" si="0"/>
        <v>100</v>
      </c>
      <c r="O36" s="383">
        <v>9.4</v>
      </c>
      <c r="P36" s="384">
        <v>31.6</v>
      </c>
      <c r="Q36" s="384">
        <v>28.8</v>
      </c>
      <c r="R36" s="385">
        <f t="shared" si="4"/>
        <v>69.8</v>
      </c>
      <c r="S36" s="388">
        <v>3</v>
      </c>
      <c r="T36" s="342"/>
      <c r="U36" s="355"/>
      <c r="V36" s="343" t="s">
        <v>81</v>
      </c>
      <c r="W36" s="334" t="s">
        <v>82</v>
      </c>
      <c r="X36" s="334" t="s">
        <v>18</v>
      </c>
      <c r="Y36" s="344">
        <v>22.2</v>
      </c>
      <c r="Z36" s="334" t="s">
        <v>85</v>
      </c>
      <c r="AA36" s="334" t="s">
        <v>86</v>
      </c>
      <c r="AB36" s="334" t="s">
        <v>18</v>
      </c>
      <c r="AC36" s="334">
        <v>9.4</v>
      </c>
      <c r="AD36" s="343" t="s">
        <v>84</v>
      </c>
      <c r="AE36" s="334" t="s">
        <v>20</v>
      </c>
      <c r="AF36" s="334" t="s">
        <v>12</v>
      </c>
      <c r="AG36" s="344">
        <v>28.8</v>
      </c>
      <c r="AH36" s="334" t="s">
        <v>87</v>
      </c>
      <c r="AI36" s="334" t="s">
        <v>88</v>
      </c>
      <c r="AJ36" s="334" t="s">
        <v>11</v>
      </c>
      <c r="AK36" s="334">
        <v>9.4</v>
      </c>
      <c r="AL36" s="343"/>
      <c r="AO36" s="344"/>
      <c r="AP36" s="343"/>
      <c r="AS36" s="344"/>
      <c r="AW36" s="344"/>
      <c r="BA36" s="345"/>
    </row>
    <row r="37" spans="1:53" s="73" customFormat="1" x14ac:dyDescent="0.15">
      <c r="A37" s="102">
        <v>1974</v>
      </c>
      <c r="B37" s="85">
        <v>27144</v>
      </c>
      <c r="C37" s="786" t="s">
        <v>202</v>
      </c>
      <c r="D37" s="786"/>
      <c r="E37" s="73">
        <v>48</v>
      </c>
      <c r="F37" s="73">
        <v>5</v>
      </c>
      <c r="G37" s="123">
        <v>6</v>
      </c>
      <c r="H37" s="73">
        <v>13</v>
      </c>
      <c r="J37" s="134">
        <v>19</v>
      </c>
      <c r="K37" s="92">
        <f>G37/J37*100</f>
        <v>31.578947368421051</v>
      </c>
      <c r="L37" s="92">
        <f>H37/J37*100</f>
        <v>68.421052631578945</v>
      </c>
      <c r="M37" s="92">
        <f>I37/J37*100</f>
        <v>0</v>
      </c>
      <c r="N37" s="125">
        <f t="shared" si="0"/>
        <v>100</v>
      </c>
      <c r="O37" s="91">
        <v>9.1999999999999993</v>
      </c>
      <c r="P37" s="92">
        <v>44.4</v>
      </c>
      <c r="Q37" s="92"/>
      <c r="R37" s="93">
        <f t="shared" si="4"/>
        <v>53.599999999999994</v>
      </c>
      <c r="S37" s="97">
        <v>2</v>
      </c>
      <c r="T37" s="95">
        <v>27098</v>
      </c>
      <c r="U37" s="85">
        <v>27144</v>
      </c>
      <c r="V37" s="82" t="s">
        <v>81</v>
      </c>
      <c r="W37" s="73" t="s">
        <v>82</v>
      </c>
      <c r="X37" s="73" t="s">
        <v>18</v>
      </c>
      <c r="Y37" s="83">
        <v>23.6</v>
      </c>
      <c r="Z37" s="73" t="s">
        <v>85</v>
      </c>
      <c r="AA37" s="73" t="s">
        <v>86</v>
      </c>
      <c r="AB37" s="73" t="s">
        <v>18</v>
      </c>
      <c r="AC37" s="73">
        <v>10.4</v>
      </c>
      <c r="AD37" s="82" t="s">
        <v>87</v>
      </c>
      <c r="AE37" s="73" t="s">
        <v>88</v>
      </c>
      <c r="AF37" s="73" t="s">
        <v>11</v>
      </c>
      <c r="AG37" s="83">
        <v>9.1999999999999993</v>
      </c>
      <c r="AH37" s="73" t="s">
        <v>89</v>
      </c>
      <c r="AI37" s="73" t="s">
        <v>90</v>
      </c>
      <c r="AJ37" s="73" t="s">
        <v>18</v>
      </c>
      <c r="AK37" s="73">
        <v>10.4</v>
      </c>
      <c r="AL37" s="82"/>
      <c r="AO37" s="83"/>
      <c r="AP37" s="82"/>
      <c r="AS37" s="83"/>
      <c r="AW37" s="83"/>
      <c r="BA37" s="84"/>
    </row>
    <row r="38" spans="1:53" s="334" customFormat="1" x14ac:dyDescent="0.15">
      <c r="A38" s="386">
        <v>1974</v>
      </c>
      <c r="B38" s="355">
        <v>27192</v>
      </c>
      <c r="C38" s="785" t="s">
        <v>203</v>
      </c>
      <c r="D38" s="785"/>
      <c r="E38" s="334">
        <v>203</v>
      </c>
      <c r="F38" s="334">
        <v>7</v>
      </c>
      <c r="G38" s="419">
        <v>6</v>
      </c>
      <c r="H38" s="334">
        <v>15</v>
      </c>
      <c r="J38" s="435">
        <v>21</v>
      </c>
      <c r="K38" s="384">
        <f t="shared" ref="K38:K43" si="14">G38/J38*100</f>
        <v>28.571428571428569</v>
      </c>
      <c r="L38" s="384">
        <f t="shared" ref="L38:L43" si="15">H38/J38*100</f>
        <v>71.428571428571431</v>
      </c>
      <c r="M38" s="384">
        <f t="shared" ref="M38:M43" si="16">I38/J38*100</f>
        <v>0</v>
      </c>
      <c r="N38" s="421">
        <f t="shared" si="0"/>
        <v>100</v>
      </c>
      <c r="O38" s="383">
        <v>9.1999999999999993</v>
      </c>
      <c r="P38" s="384">
        <v>50.5</v>
      </c>
      <c r="Q38" s="384"/>
      <c r="R38" s="385">
        <f t="shared" si="4"/>
        <v>59.7</v>
      </c>
      <c r="S38" s="388">
        <v>3</v>
      </c>
      <c r="T38" s="342"/>
      <c r="U38" s="355">
        <v>27192</v>
      </c>
      <c r="V38" s="343" t="s">
        <v>81</v>
      </c>
      <c r="W38" s="334" t="s">
        <v>82</v>
      </c>
      <c r="X38" s="334" t="s">
        <v>18</v>
      </c>
      <c r="Y38" s="344">
        <v>23.6</v>
      </c>
      <c r="Z38" s="334" t="s">
        <v>85</v>
      </c>
      <c r="AA38" s="334" t="s">
        <v>86</v>
      </c>
      <c r="AB38" s="334" t="s">
        <v>18</v>
      </c>
      <c r="AC38" s="334">
        <v>10.4</v>
      </c>
      <c r="AD38" s="343" t="s">
        <v>87</v>
      </c>
      <c r="AE38" s="334" t="s">
        <v>88</v>
      </c>
      <c r="AF38" s="334" t="s">
        <v>11</v>
      </c>
      <c r="AG38" s="344">
        <v>9.1999999999999993</v>
      </c>
      <c r="AH38" s="334" t="s">
        <v>89</v>
      </c>
      <c r="AI38" s="334" t="s">
        <v>90</v>
      </c>
      <c r="AJ38" s="334" t="s">
        <v>18</v>
      </c>
      <c r="AK38" s="334">
        <v>10.4</v>
      </c>
      <c r="AL38" s="343" t="s">
        <v>91</v>
      </c>
      <c r="AM38" s="334" t="s">
        <v>92</v>
      </c>
      <c r="AN38" s="334" t="s">
        <v>18</v>
      </c>
      <c r="AO38" s="344">
        <v>6.1</v>
      </c>
      <c r="AP38" s="343"/>
      <c r="AS38" s="344"/>
      <c r="AW38" s="344"/>
      <c r="BA38" s="345"/>
    </row>
    <row r="39" spans="1:53" s="334" customFormat="1" x14ac:dyDescent="0.15">
      <c r="A39" s="386">
        <v>1975</v>
      </c>
      <c r="B39" s="355"/>
      <c r="C39" s="785" t="s">
        <v>203</v>
      </c>
      <c r="D39" s="785"/>
      <c r="E39" s="334">
        <v>0</v>
      </c>
      <c r="G39" s="419">
        <v>6</v>
      </c>
      <c r="H39" s="334">
        <v>15</v>
      </c>
      <c r="J39" s="435">
        <v>21</v>
      </c>
      <c r="K39" s="384">
        <f t="shared" si="14"/>
        <v>28.571428571428569</v>
      </c>
      <c r="L39" s="384">
        <f t="shared" si="15"/>
        <v>71.428571428571431</v>
      </c>
      <c r="M39" s="384">
        <f t="shared" si="16"/>
        <v>0</v>
      </c>
      <c r="N39" s="421">
        <f t="shared" si="0"/>
        <v>100</v>
      </c>
      <c r="O39" s="383">
        <v>9.1999999999999993</v>
      </c>
      <c r="P39" s="384">
        <v>50.5</v>
      </c>
      <c r="Q39" s="384"/>
      <c r="R39" s="385">
        <f t="shared" si="4"/>
        <v>59.7</v>
      </c>
      <c r="S39" s="388">
        <v>3</v>
      </c>
      <c r="T39" s="342"/>
      <c r="U39" s="355"/>
      <c r="V39" s="343" t="s">
        <v>81</v>
      </c>
      <c r="W39" s="334" t="s">
        <v>82</v>
      </c>
      <c r="X39" s="334" t="s">
        <v>18</v>
      </c>
      <c r="Y39" s="344">
        <v>23.6</v>
      </c>
      <c r="Z39" s="334" t="s">
        <v>85</v>
      </c>
      <c r="AA39" s="334" t="s">
        <v>86</v>
      </c>
      <c r="AB39" s="334" t="s">
        <v>18</v>
      </c>
      <c r="AC39" s="334">
        <v>10.4</v>
      </c>
      <c r="AD39" s="343" t="s">
        <v>87</v>
      </c>
      <c r="AE39" s="334" t="s">
        <v>88</v>
      </c>
      <c r="AF39" s="334" t="s">
        <v>11</v>
      </c>
      <c r="AG39" s="344">
        <v>9.1999999999999993</v>
      </c>
      <c r="AH39" s="334" t="s">
        <v>89</v>
      </c>
      <c r="AI39" s="334" t="s">
        <v>90</v>
      </c>
      <c r="AJ39" s="334" t="s">
        <v>18</v>
      </c>
      <c r="AK39" s="334">
        <v>10.4</v>
      </c>
      <c r="AL39" s="343" t="s">
        <v>91</v>
      </c>
      <c r="AM39" s="334" t="s">
        <v>92</v>
      </c>
      <c r="AN39" s="334" t="s">
        <v>18</v>
      </c>
      <c r="AO39" s="344">
        <v>6.1</v>
      </c>
      <c r="AP39" s="343"/>
      <c r="AS39" s="344"/>
      <c r="AW39" s="344"/>
      <c r="BA39" s="345"/>
    </row>
    <row r="40" spans="1:53" s="334" customFormat="1" x14ac:dyDescent="0.15">
      <c r="A40" s="386">
        <v>1975</v>
      </c>
      <c r="B40" s="355"/>
      <c r="C40" s="785" t="s">
        <v>203</v>
      </c>
      <c r="D40" s="785"/>
      <c r="E40" s="334">
        <v>365</v>
      </c>
      <c r="G40" s="419">
        <v>6</v>
      </c>
      <c r="H40" s="334">
        <v>15</v>
      </c>
      <c r="J40" s="435">
        <v>21</v>
      </c>
      <c r="K40" s="384">
        <f t="shared" si="14"/>
        <v>28.571428571428569</v>
      </c>
      <c r="L40" s="384">
        <f t="shared" si="15"/>
        <v>71.428571428571431</v>
      </c>
      <c r="M40" s="384">
        <f t="shared" si="16"/>
        <v>0</v>
      </c>
      <c r="N40" s="421">
        <f t="shared" si="0"/>
        <v>100</v>
      </c>
      <c r="O40" s="383">
        <v>9.1999999999999993</v>
      </c>
      <c r="P40" s="384">
        <v>50.5</v>
      </c>
      <c r="Q40" s="384"/>
      <c r="R40" s="385">
        <f t="shared" si="4"/>
        <v>59.7</v>
      </c>
      <c r="S40" s="388">
        <v>3</v>
      </c>
      <c r="T40" s="342"/>
      <c r="U40" s="355"/>
      <c r="V40" s="343" t="s">
        <v>81</v>
      </c>
      <c r="W40" s="334" t="s">
        <v>82</v>
      </c>
      <c r="X40" s="334" t="s">
        <v>18</v>
      </c>
      <c r="Y40" s="344">
        <v>23.6</v>
      </c>
      <c r="Z40" s="334" t="s">
        <v>85</v>
      </c>
      <c r="AA40" s="334" t="s">
        <v>86</v>
      </c>
      <c r="AB40" s="334" t="s">
        <v>18</v>
      </c>
      <c r="AC40" s="334">
        <v>10.4</v>
      </c>
      <c r="AD40" s="343" t="s">
        <v>87</v>
      </c>
      <c r="AE40" s="334" t="s">
        <v>88</v>
      </c>
      <c r="AF40" s="334" t="s">
        <v>11</v>
      </c>
      <c r="AG40" s="344">
        <v>9.1999999999999993</v>
      </c>
      <c r="AH40" s="334" t="s">
        <v>89</v>
      </c>
      <c r="AI40" s="334" t="s">
        <v>90</v>
      </c>
      <c r="AJ40" s="334" t="s">
        <v>18</v>
      </c>
      <c r="AK40" s="334">
        <v>10.4</v>
      </c>
      <c r="AL40" s="343" t="s">
        <v>91</v>
      </c>
      <c r="AM40" s="334" t="s">
        <v>92</v>
      </c>
      <c r="AN40" s="334" t="s">
        <v>18</v>
      </c>
      <c r="AO40" s="344">
        <v>6.1</v>
      </c>
      <c r="AP40" s="343"/>
      <c r="AS40" s="344"/>
      <c r="AW40" s="344"/>
      <c r="BA40" s="345"/>
    </row>
    <row r="41" spans="1:53" s="334" customFormat="1" x14ac:dyDescent="0.15">
      <c r="A41" s="386">
        <v>1976</v>
      </c>
      <c r="B41" s="355"/>
      <c r="C41" s="785" t="s">
        <v>203</v>
      </c>
      <c r="D41" s="785"/>
      <c r="E41" s="334">
        <v>343</v>
      </c>
      <c r="G41" s="419">
        <v>6</v>
      </c>
      <c r="H41" s="334">
        <v>15</v>
      </c>
      <c r="J41" s="435">
        <v>21</v>
      </c>
      <c r="K41" s="384">
        <f t="shared" si="14"/>
        <v>28.571428571428569</v>
      </c>
      <c r="L41" s="384">
        <f t="shared" si="15"/>
        <v>71.428571428571431</v>
      </c>
      <c r="M41" s="384">
        <f t="shared" si="16"/>
        <v>0</v>
      </c>
      <c r="N41" s="421">
        <f t="shared" si="0"/>
        <v>100</v>
      </c>
      <c r="O41" s="383">
        <v>9.1999999999999993</v>
      </c>
      <c r="P41" s="384">
        <v>50.5</v>
      </c>
      <c r="Q41" s="384"/>
      <c r="R41" s="385">
        <f t="shared" si="4"/>
        <v>59.7</v>
      </c>
      <c r="S41" s="388">
        <v>3</v>
      </c>
      <c r="T41" s="342"/>
      <c r="U41" s="355"/>
      <c r="V41" s="343" t="s">
        <v>81</v>
      </c>
      <c r="W41" s="334" t="s">
        <v>82</v>
      </c>
      <c r="X41" s="334" t="s">
        <v>18</v>
      </c>
      <c r="Y41" s="344">
        <v>23.6</v>
      </c>
      <c r="Z41" s="334" t="s">
        <v>85</v>
      </c>
      <c r="AA41" s="334" t="s">
        <v>86</v>
      </c>
      <c r="AB41" s="334" t="s">
        <v>18</v>
      </c>
      <c r="AC41" s="334">
        <v>10.4</v>
      </c>
      <c r="AD41" s="343" t="s">
        <v>87</v>
      </c>
      <c r="AE41" s="334" t="s">
        <v>88</v>
      </c>
      <c r="AF41" s="334" t="s">
        <v>11</v>
      </c>
      <c r="AG41" s="344">
        <v>9.1999999999999993</v>
      </c>
      <c r="AH41" s="334" t="s">
        <v>89</v>
      </c>
      <c r="AI41" s="334" t="s">
        <v>90</v>
      </c>
      <c r="AJ41" s="334" t="s">
        <v>18</v>
      </c>
      <c r="AK41" s="334">
        <v>10.4</v>
      </c>
      <c r="AL41" s="343" t="s">
        <v>91</v>
      </c>
      <c r="AM41" s="334" t="s">
        <v>92</v>
      </c>
      <c r="AN41" s="334" t="s">
        <v>18</v>
      </c>
      <c r="AO41" s="344">
        <v>6.1</v>
      </c>
      <c r="AP41" s="343"/>
      <c r="AS41" s="344"/>
      <c r="AW41" s="344"/>
      <c r="BA41" s="345"/>
    </row>
    <row r="42" spans="1:53" s="334" customFormat="1" x14ac:dyDescent="0.15">
      <c r="A42" s="386">
        <v>1976</v>
      </c>
      <c r="B42" s="436">
        <v>28103</v>
      </c>
      <c r="C42" s="785" t="s">
        <v>203</v>
      </c>
      <c r="D42" s="785"/>
      <c r="E42" s="334">
        <v>23</v>
      </c>
      <c r="F42" s="360">
        <v>0</v>
      </c>
      <c r="G42" s="419">
        <v>8</v>
      </c>
      <c r="H42" s="334">
        <v>17</v>
      </c>
      <c r="J42" s="435">
        <v>25</v>
      </c>
      <c r="K42" s="384">
        <f t="shared" si="14"/>
        <v>32</v>
      </c>
      <c r="L42" s="384">
        <f t="shared" si="15"/>
        <v>68</v>
      </c>
      <c r="M42" s="384">
        <f t="shared" si="16"/>
        <v>0</v>
      </c>
      <c r="N42" s="421">
        <f t="shared" si="0"/>
        <v>100</v>
      </c>
      <c r="O42" s="383">
        <v>9.1999999999999993</v>
      </c>
      <c r="P42" s="384">
        <v>50.5</v>
      </c>
      <c r="Q42" s="384"/>
      <c r="R42" s="385">
        <f t="shared" si="4"/>
        <v>59.7</v>
      </c>
      <c r="S42" s="388">
        <v>3</v>
      </c>
      <c r="T42" s="342"/>
      <c r="U42" s="355"/>
      <c r="V42" s="343" t="s">
        <v>81</v>
      </c>
      <c r="W42" s="334" t="s">
        <v>82</v>
      </c>
      <c r="X42" s="334" t="s">
        <v>18</v>
      </c>
      <c r="Y42" s="344">
        <v>23.6</v>
      </c>
      <c r="Z42" s="334" t="s">
        <v>85</v>
      </c>
      <c r="AA42" s="334" t="s">
        <v>86</v>
      </c>
      <c r="AB42" s="334" t="s">
        <v>18</v>
      </c>
      <c r="AC42" s="334">
        <v>10.4</v>
      </c>
      <c r="AD42" s="343" t="s">
        <v>87</v>
      </c>
      <c r="AE42" s="334" t="s">
        <v>88</v>
      </c>
      <c r="AF42" s="334" t="s">
        <v>11</v>
      </c>
      <c r="AG42" s="344">
        <v>9.1999999999999993</v>
      </c>
      <c r="AH42" s="334" t="s">
        <v>89</v>
      </c>
      <c r="AI42" s="334" t="s">
        <v>90</v>
      </c>
      <c r="AJ42" s="334" t="s">
        <v>18</v>
      </c>
      <c r="AK42" s="334">
        <v>10.4</v>
      </c>
      <c r="AL42" s="343" t="s">
        <v>91</v>
      </c>
      <c r="AM42" s="334" t="s">
        <v>92</v>
      </c>
      <c r="AN42" s="334" t="s">
        <v>18</v>
      </c>
      <c r="AO42" s="344">
        <v>6.1</v>
      </c>
      <c r="AP42" s="343"/>
      <c r="AS42" s="344"/>
      <c r="AW42" s="344"/>
      <c r="BA42" s="345"/>
    </row>
    <row r="43" spans="1:53" s="334" customFormat="1" x14ac:dyDescent="0.15">
      <c r="A43" s="386">
        <v>1977</v>
      </c>
      <c r="B43" s="355"/>
      <c r="C43" s="785" t="s">
        <v>203</v>
      </c>
      <c r="D43" s="785"/>
      <c r="E43" s="334">
        <v>153</v>
      </c>
      <c r="G43" s="419">
        <v>8</v>
      </c>
      <c r="H43" s="334">
        <v>17</v>
      </c>
      <c r="J43" s="435">
        <v>25</v>
      </c>
      <c r="K43" s="384">
        <f t="shared" si="14"/>
        <v>32</v>
      </c>
      <c r="L43" s="384">
        <f t="shared" si="15"/>
        <v>68</v>
      </c>
      <c r="M43" s="384">
        <f t="shared" si="16"/>
        <v>0</v>
      </c>
      <c r="N43" s="421">
        <f t="shared" si="0"/>
        <v>100</v>
      </c>
      <c r="O43" s="383">
        <v>9.1999999999999993</v>
      </c>
      <c r="P43" s="384">
        <v>50.5</v>
      </c>
      <c r="Q43" s="384"/>
      <c r="R43" s="385">
        <f t="shared" si="4"/>
        <v>59.7</v>
      </c>
      <c r="S43" s="388">
        <v>3</v>
      </c>
      <c r="T43" s="342"/>
      <c r="U43" s="355"/>
      <c r="V43" s="343" t="s">
        <v>81</v>
      </c>
      <c r="W43" s="334" t="s">
        <v>82</v>
      </c>
      <c r="X43" s="334" t="s">
        <v>18</v>
      </c>
      <c r="Y43" s="344">
        <v>23.6</v>
      </c>
      <c r="Z43" s="334" t="s">
        <v>85</v>
      </c>
      <c r="AA43" s="334" t="s">
        <v>86</v>
      </c>
      <c r="AB43" s="334" t="s">
        <v>18</v>
      </c>
      <c r="AC43" s="334">
        <v>10.4</v>
      </c>
      <c r="AD43" s="343" t="s">
        <v>87</v>
      </c>
      <c r="AE43" s="334" t="s">
        <v>88</v>
      </c>
      <c r="AF43" s="334" t="s">
        <v>11</v>
      </c>
      <c r="AG43" s="344">
        <v>9.1999999999999993</v>
      </c>
      <c r="AH43" s="334" t="s">
        <v>89</v>
      </c>
      <c r="AI43" s="334" t="s">
        <v>90</v>
      </c>
      <c r="AJ43" s="334" t="s">
        <v>18</v>
      </c>
      <c r="AK43" s="334">
        <v>10.4</v>
      </c>
      <c r="AL43" s="343" t="s">
        <v>91</v>
      </c>
      <c r="AM43" s="334" t="s">
        <v>92</v>
      </c>
      <c r="AN43" s="334" t="s">
        <v>18</v>
      </c>
      <c r="AO43" s="344">
        <v>6.1</v>
      </c>
      <c r="AP43" s="343"/>
      <c r="AS43" s="344"/>
      <c r="AW43" s="344"/>
      <c r="BA43" s="345"/>
    </row>
    <row r="44" spans="1:53" s="73" customFormat="1" x14ac:dyDescent="0.15">
      <c r="A44" s="102">
        <v>1977</v>
      </c>
      <c r="B44" s="85">
        <v>28279</v>
      </c>
      <c r="C44" s="786" t="s">
        <v>204</v>
      </c>
      <c r="D44" s="786"/>
      <c r="E44" s="73">
        <v>212</v>
      </c>
      <c r="F44" s="73">
        <v>5</v>
      </c>
      <c r="G44" s="123"/>
      <c r="H44" s="73">
        <v>14</v>
      </c>
      <c r="I44" s="73">
        <v>9</v>
      </c>
      <c r="J44" s="134">
        <v>23</v>
      </c>
      <c r="K44" s="92">
        <f>G44/J44*100</f>
        <v>0</v>
      </c>
      <c r="L44" s="92">
        <f>H44/J44*100</f>
        <v>60.869565217391312</v>
      </c>
      <c r="M44" s="92">
        <f>I44/J44*100</f>
        <v>39.130434782608695</v>
      </c>
      <c r="N44" s="125">
        <f t="shared" si="0"/>
        <v>100</v>
      </c>
      <c r="O44" s="91"/>
      <c r="P44" s="92">
        <v>51.8</v>
      </c>
      <c r="Q44" s="92">
        <v>29.2</v>
      </c>
      <c r="R44" s="93">
        <f t="shared" si="4"/>
        <v>81</v>
      </c>
      <c r="S44" s="97">
        <v>3</v>
      </c>
      <c r="T44" s="95">
        <v>28232</v>
      </c>
      <c r="U44" s="85">
        <v>28279</v>
      </c>
      <c r="V44" s="82" t="s">
        <v>81</v>
      </c>
      <c r="W44" s="73" t="s">
        <v>82</v>
      </c>
      <c r="X44" s="73" t="s">
        <v>18</v>
      </c>
      <c r="Y44" s="83">
        <v>26.4</v>
      </c>
      <c r="Z44" s="73" t="s">
        <v>85</v>
      </c>
      <c r="AA44" s="73" t="s">
        <v>86</v>
      </c>
      <c r="AB44" s="73" t="s">
        <v>18</v>
      </c>
      <c r="AC44" s="73">
        <v>11.3</v>
      </c>
      <c r="AD44" s="82" t="s">
        <v>84</v>
      </c>
      <c r="AE44" s="73" t="s">
        <v>20</v>
      </c>
      <c r="AF44" s="73" t="s">
        <v>12</v>
      </c>
      <c r="AG44" s="83">
        <v>29.2</v>
      </c>
      <c r="AH44" s="73" t="s">
        <v>89</v>
      </c>
      <c r="AI44" s="73" t="s">
        <v>90</v>
      </c>
      <c r="AJ44" s="73" t="s">
        <v>18</v>
      </c>
      <c r="AK44" s="73">
        <v>9.4</v>
      </c>
      <c r="AL44" s="82" t="s">
        <v>93</v>
      </c>
      <c r="AM44" s="73" t="s">
        <v>94</v>
      </c>
      <c r="AN44" s="73" t="s">
        <v>18</v>
      </c>
      <c r="AO44" s="83">
        <v>4.7</v>
      </c>
      <c r="AP44" s="82"/>
      <c r="AS44" s="83"/>
      <c r="AW44" s="83"/>
      <c r="BA44" s="84"/>
    </row>
    <row r="45" spans="1:53" s="73" customFormat="1" x14ac:dyDescent="0.15">
      <c r="A45" s="102">
        <v>1978</v>
      </c>
      <c r="B45" s="85"/>
      <c r="C45" s="786" t="s">
        <v>204</v>
      </c>
      <c r="D45" s="786"/>
      <c r="E45" s="73">
        <v>292</v>
      </c>
      <c r="G45" s="123"/>
      <c r="H45" s="73">
        <v>14</v>
      </c>
      <c r="I45" s="73">
        <v>9</v>
      </c>
      <c r="J45" s="134">
        <v>23</v>
      </c>
      <c r="K45" s="92">
        <f t="shared" ref="K45:K52" si="17">G45/J45*100</f>
        <v>0</v>
      </c>
      <c r="L45" s="92">
        <f t="shared" ref="L45:L52" si="18">H45/J45*100</f>
        <v>60.869565217391312</v>
      </c>
      <c r="M45" s="92">
        <f t="shared" ref="M45:M52" si="19">I45/J45*100</f>
        <v>39.130434782608695</v>
      </c>
      <c r="N45" s="125">
        <f t="shared" si="0"/>
        <v>100</v>
      </c>
      <c r="O45" s="91"/>
      <c r="P45" s="92">
        <v>51.8</v>
      </c>
      <c r="Q45" s="92">
        <v>29.2</v>
      </c>
      <c r="R45" s="93">
        <f t="shared" si="4"/>
        <v>81</v>
      </c>
      <c r="S45" s="97">
        <v>3</v>
      </c>
      <c r="T45" s="95"/>
      <c r="U45" s="85"/>
      <c r="V45" s="82" t="s">
        <v>81</v>
      </c>
      <c r="W45" s="73" t="s">
        <v>82</v>
      </c>
      <c r="X45" s="73" t="s">
        <v>18</v>
      </c>
      <c r="Y45" s="83">
        <v>26.4</v>
      </c>
      <c r="Z45" s="73" t="s">
        <v>85</v>
      </c>
      <c r="AA45" s="73" t="s">
        <v>86</v>
      </c>
      <c r="AB45" s="73" t="s">
        <v>18</v>
      </c>
      <c r="AC45" s="73">
        <v>11.3</v>
      </c>
      <c r="AD45" s="82" t="s">
        <v>84</v>
      </c>
      <c r="AE45" s="73" t="s">
        <v>20</v>
      </c>
      <c r="AF45" s="73" t="s">
        <v>12</v>
      </c>
      <c r="AG45" s="83">
        <v>29.2</v>
      </c>
      <c r="AH45" s="73" t="s">
        <v>89</v>
      </c>
      <c r="AI45" s="73" t="s">
        <v>90</v>
      </c>
      <c r="AJ45" s="73" t="s">
        <v>18</v>
      </c>
      <c r="AK45" s="73">
        <v>9.4</v>
      </c>
      <c r="AL45" s="82" t="s">
        <v>93</v>
      </c>
      <c r="AM45" s="73" t="s">
        <v>94</v>
      </c>
      <c r="AN45" s="73" t="s">
        <v>18</v>
      </c>
      <c r="AO45" s="83">
        <v>4.7</v>
      </c>
      <c r="AP45" s="82"/>
      <c r="AS45" s="83"/>
      <c r="AW45" s="83"/>
      <c r="BA45" s="84"/>
    </row>
    <row r="46" spans="1:53" s="334" customFormat="1" x14ac:dyDescent="0.15">
      <c r="A46" s="386">
        <v>1978</v>
      </c>
      <c r="B46" s="355">
        <v>28783</v>
      </c>
      <c r="C46" s="785" t="s">
        <v>1204</v>
      </c>
      <c r="D46" s="785"/>
      <c r="E46" s="334">
        <v>73</v>
      </c>
      <c r="F46" s="334">
        <v>2</v>
      </c>
      <c r="G46" s="419"/>
      <c r="H46" s="334">
        <v>13</v>
      </c>
      <c r="I46" s="334">
        <v>9</v>
      </c>
      <c r="J46" s="435">
        <v>22</v>
      </c>
      <c r="K46" s="384">
        <f t="shared" si="17"/>
        <v>0</v>
      </c>
      <c r="L46" s="384">
        <f t="shared" si="18"/>
        <v>59.090909090909093</v>
      </c>
      <c r="M46" s="384">
        <f t="shared" si="19"/>
        <v>40.909090909090914</v>
      </c>
      <c r="N46" s="421">
        <f t="shared" si="0"/>
        <v>100</v>
      </c>
      <c r="O46" s="383"/>
      <c r="P46" s="384">
        <v>51.8</v>
      </c>
      <c r="Q46" s="384">
        <v>29.2</v>
      </c>
      <c r="R46" s="385">
        <f t="shared" si="4"/>
        <v>81</v>
      </c>
      <c r="S46" s="388">
        <v>6</v>
      </c>
      <c r="T46" s="342"/>
      <c r="U46" s="355">
        <v>28783</v>
      </c>
      <c r="V46" s="343" t="s">
        <v>81</v>
      </c>
      <c r="W46" s="334" t="s">
        <v>82</v>
      </c>
      <c r="X46" s="334" t="s">
        <v>18</v>
      </c>
      <c r="Y46" s="344">
        <v>26.4</v>
      </c>
      <c r="Z46" s="334" t="s">
        <v>85</v>
      </c>
      <c r="AA46" s="334" t="s">
        <v>86</v>
      </c>
      <c r="AB46" s="334" t="s">
        <v>18</v>
      </c>
      <c r="AC46" s="334">
        <v>11.3</v>
      </c>
      <c r="AD46" s="343" t="s">
        <v>84</v>
      </c>
      <c r="AE46" s="334" t="s">
        <v>20</v>
      </c>
      <c r="AF46" s="334" t="s">
        <v>12</v>
      </c>
      <c r="AG46" s="344">
        <v>29.2</v>
      </c>
      <c r="AH46" s="334" t="s">
        <v>89</v>
      </c>
      <c r="AI46" s="334" t="s">
        <v>90</v>
      </c>
      <c r="AJ46" s="334" t="s">
        <v>18</v>
      </c>
      <c r="AK46" s="334">
        <v>9.4</v>
      </c>
      <c r="AL46" s="343" t="s">
        <v>93</v>
      </c>
      <c r="AM46" s="334" t="s">
        <v>94</v>
      </c>
      <c r="AN46" s="334" t="s">
        <v>18</v>
      </c>
      <c r="AO46" s="344">
        <v>4.7</v>
      </c>
      <c r="AP46" s="343"/>
      <c r="AS46" s="344"/>
      <c r="AW46" s="344"/>
      <c r="BA46" s="345"/>
    </row>
    <row r="47" spans="1:53" s="334" customFormat="1" x14ac:dyDescent="0.15">
      <c r="A47" s="386">
        <v>1979</v>
      </c>
      <c r="B47" s="355"/>
      <c r="C47" s="785" t="s">
        <v>1204</v>
      </c>
      <c r="D47" s="785"/>
      <c r="E47" s="334">
        <v>92</v>
      </c>
      <c r="G47" s="419"/>
      <c r="H47" s="334">
        <v>13</v>
      </c>
      <c r="I47" s="334">
        <v>9</v>
      </c>
      <c r="J47" s="435">
        <v>22</v>
      </c>
      <c r="K47" s="384">
        <f t="shared" si="17"/>
        <v>0</v>
      </c>
      <c r="L47" s="384">
        <f t="shared" si="18"/>
        <v>59.090909090909093</v>
      </c>
      <c r="M47" s="384">
        <f t="shared" si="19"/>
        <v>40.909090909090914</v>
      </c>
      <c r="N47" s="421">
        <f t="shared" si="0"/>
        <v>100</v>
      </c>
      <c r="O47" s="383"/>
      <c r="P47" s="384">
        <v>51.8</v>
      </c>
      <c r="Q47" s="384">
        <v>29.2</v>
      </c>
      <c r="R47" s="385">
        <f t="shared" si="4"/>
        <v>81</v>
      </c>
      <c r="S47" s="388">
        <v>6</v>
      </c>
      <c r="T47" s="342">
        <v>28841</v>
      </c>
      <c r="U47" s="355"/>
      <c r="V47" s="343" t="s">
        <v>81</v>
      </c>
      <c r="W47" s="334" t="s">
        <v>82</v>
      </c>
      <c r="X47" s="334" t="s">
        <v>18</v>
      </c>
      <c r="Y47" s="344">
        <v>26.4</v>
      </c>
      <c r="Z47" s="334" t="s">
        <v>85</v>
      </c>
      <c r="AA47" s="334" t="s">
        <v>86</v>
      </c>
      <c r="AB47" s="334" t="s">
        <v>18</v>
      </c>
      <c r="AC47" s="334">
        <v>11.3</v>
      </c>
      <c r="AD47" s="343" t="s">
        <v>84</v>
      </c>
      <c r="AE47" s="334" t="s">
        <v>20</v>
      </c>
      <c r="AF47" s="334" t="s">
        <v>12</v>
      </c>
      <c r="AG47" s="344">
        <v>29.2</v>
      </c>
      <c r="AH47" s="334" t="s">
        <v>89</v>
      </c>
      <c r="AI47" s="334" t="s">
        <v>90</v>
      </c>
      <c r="AJ47" s="334" t="s">
        <v>18</v>
      </c>
      <c r="AK47" s="334">
        <v>9.4</v>
      </c>
      <c r="AL47" s="343" t="s">
        <v>93</v>
      </c>
      <c r="AM47" s="334" t="s">
        <v>94</v>
      </c>
      <c r="AN47" s="334" t="s">
        <v>18</v>
      </c>
      <c r="AO47" s="344">
        <v>4.7</v>
      </c>
      <c r="AP47" s="343"/>
      <c r="AS47" s="344"/>
      <c r="AW47" s="344"/>
      <c r="BA47" s="345"/>
    </row>
    <row r="48" spans="1:53" s="73" customFormat="1" x14ac:dyDescent="0.15">
      <c r="A48" s="102">
        <v>1979</v>
      </c>
      <c r="B48" s="85">
        <v>28948</v>
      </c>
      <c r="C48" s="786" t="s">
        <v>205</v>
      </c>
      <c r="D48" s="786"/>
      <c r="E48" s="73">
        <v>273</v>
      </c>
      <c r="F48" s="73">
        <v>1</v>
      </c>
      <c r="G48" s="123"/>
      <c r="H48" s="73">
        <v>15</v>
      </c>
      <c r="I48" s="73">
        <v>10</v>
      </c>
      <c r="J48" s="134">
        <v>25</v>
      </c>
      <c r="K48" s="92">
        <f t="shared" si="17"/>
        <v>0</v>
      </c>
      <c r="L48" s="92">
        <f t="shared" si="18"/>
        <v>60</v>
      </c>
      <c r="M48" s="92">
        <f t="shared" si="19"/>
        <v>40</v>
      </c>
      <c r="N48" s="125">
        <f t="shared" si="0"/>
        <v>100</v>
      </c>
      <c r="O48" s="91"/>
      <c r="P48" s="92">
        <v>43.9</v>
      </c>
      <c r="Q48" s="92">
        <v>27.4</v>
      </c>
      <c r="R48" s="93">
        <f t="shared" si="4"/>
        <v>71.3</v>
      </c>
      <c r="S48" s="97">
        <v>3</v>
      </c>
      <c r="T48" s="95"/>
      <c r="U48" s="85">
        <v>28948</v>
      </c>
      <c r="V48" s="82" t="s">
        <v>81</v>
      </c>
      <c r="W48" s="73" t="s">
        <v>82</v>
      </c>
      <c r="X48" s="73" t="s">
        <v>18</v>
      </c>
      <c r="Y48" s="83">
        <v>26.9</v>
      </c>
      <c r="Z48" s="73" t="s">
        <v>85</v>
      </c>
      <c r="AA48" s="73" t="s">
        <v>86</v>
      </c>
      <c r="AB48" s="73" t="s">
        <v>18</v>
      </c>
      <c r="AC48" s="73">
        <v>11.8</v>
      </c>
      <c r="AD48" s="82" t="s">
        <v>96</v>
      </c>
      <c r="AE48" s="73" t="s">
        <v>97</v>
      </c>
      <c r="AF48" s="73" t="s">
        <v>12</v>
      </c>
      <c r="AG48" s="83">
        <v>15.1</v>
      </c>
      <c r="AH48" s="82" t="s">
        <v>95</v>
      </c>
      <c r="AI48" s="73" t="s">
        <v>98</v>
      </c>
      <c r="AJ48" s="73" t="s">
        <v>12</v>
      </c>
      <c r="AK48" s="73">
        <v>12.3</v>
      </c>
      <c r="AL48" s="82" t="s">
        <v>93</v>
      </c>
      <c r="AM48" s="73" t="s">
        <v>94</v>
      </c>
      <c r="AN48" s="73" t="s">
        <v>18</v>
      </c>
      <c r="AO48" s="83">
        <v>5.2</v>
      </c>
      <c r="AP48" s="82"/>
      <c r="AS48" s="83"/>
      <c r="AW48" s="83"/>
      <c r="BA48" s="84"/>
    </row>
    <row r="49" spans="1:53" s="73" customFormat="1" x14ac:dyDescent="0.15">
      <c r="A49" s="102">
        <v>1980</v>
      </c>
      <c r="B49" s="85"/>
      <c r="C49" s="786" t="s">
        <v>205</v>
      </c>
      <c r="D49" s="786"/>
      <c r="E49" s="73">
        <v>22</v>
      </c>
      <c r="G49" s="123"/>
      <c r="H49" s="73">
        <v>15</v>
      </c>
      <c r="I49" s="73">
        <v>10</v>
      </c>
      <c r="J49" s="134">
        <v>25</v>
      </c>
      <c r="K49" s="92">
        <f t="shared" si="17"/>
        <v>0</v>
      </c>
      <c r="L49" s="92">
        <f t="shared" si="18"/>
        <v>60</v>
      </c>
      <c r="M49" s="92">
        <f t="shared" si="19"/>
        <v>40</v>
      </c>
      <c r="N49" s="125">
        <f t="shared" si="0"/>
        <v>100</v>
      </c>
      <c r="O49" s="91"/>
      <c r="P49" s="92">
        <v>43.9</v>
      </c>
      <c r="Q49" s="92">
        <v>27.4</v>
      </c>
      <c r="R49" s="93">
        <f t="shared" si="4"/>
        <v>71.3</v>
      </c>
      <c r="S49" s="97">
        <v>3</v>
      </c>
      <c r="T49" s="95"/>
      <c r="U49" s="85"/>
      <c r="V49" s="82" t="s">
        <v>81</v>
      </c>
      <c r="W49" s="73" t="s">
        <v>82</v>
      </c>
      <c r="X49" s="73" t="s">
        <v>18</v>
      </c>
      <c r="Y49" s="83">
        <v>26.9</v>
      </c>
      <c r="Z49" s="73" t="s">
        <v>85</v>
      </c>
      <c r="AA49" s="73" t="s">
        <v>86</v>
      </c>
      <c r="AB49" s="73" t="s">
        <v>18</v>
      </c>
      <c r="AC49" s="73">
        <v>11.8</v>
      </c>
      <c r="AD49" s="82" t="s">
        <v>96</v>
      </c>
      <c r="AE49" s="73" t="s">
        <v>97</v>
      </c>
      <c r="AF49" s="73" t="s">
        <v>12</v>
      </c>
      <c r="AG49" s="83">
        <v>15.1</v>
      </c>
      <c r="AH49" s="73" t="s">
        <v>95</v>
      </c>
      <c r="AI49" s="73" t="s">
        <v>98</v>
      </c>
      <c r="AJ49" s="73" t="s">
        <v>12</v>
      </c>
      <c r="AK49" s="73">
        <v>12.3</v>
      </c>
      <c r="AL49" s="82" t="s">
        <v>93</v>
      </c>
      <c r="AM49" s="73" t="s">
        <v>94</v>
      </c>
      <c r="AN49" s="73" t="s">
        <v>18</v>
      </c>
      <c r="AO49" s="83">
        <v>5.2</v>
      </c>
      <c r="AP49" s="82"/>
      <c r="AS49" s="83"/>
      <c r="AW49" s="83"/>
      <c r="BA49" s="84"/>
    </row>
    <row r="50" spans="1:53" s="334" customFormat="1" x14ac:dyDescent="0.15">
      <c r="A50" s="386">
        <v>1980</v>
      </c>
      <c r="B50" s="355">
        <v>29243</v>
      </c>
      <c r="C50" s="785" t="s">
        <v>206</v>
      </c>
      <c r="D50" s="785"/>
      <c r="E50" s="334">
        <v>116</v>
      </c>
      <c r="F50" s="334">
        <v>4</v>
      </c>
      <c r="G50" s="419"/>
      <c r="H50" s="334">
        <v>12</v>
      </c>
      <c r="I50" s="334">
        <v>12</v>
      </c>
      <c r="J50" s="435">
        <v>24</v>
      </c>
      <c r="K50" s="384">
        <f>G50/J50*100</f>
        <v>0</v>
      </c>
      <c r="L50" s="384">
        <f>H50/J50*100</f>
        <v>50</v>
      </c>
      <c r="M50" s="384">
        <f>I50/J50*100</f>
        <v>50</v>
      </c>
      <c r="N50" s="421">
        <f t="shared" si="0"/>
        <v>100</v>
      </c>
      <c r="O50" s="383"/>
      <c r="P50" s="384">
        <v>38.700000000000003</v>
      </c>
      <c r="Q50" s="384">
        <v>27.4</v>
      </c>
      <c r="R50" s="385">
        <f t="shared" si="4"/>
        <v>66.099999999999994</v>
      </c>
      <c r="S50" s="388">
        <v>3</v>
      </c>
      <c r="T50" s="342"/>
      <c r="U50" s="355">
        <v>29243</v>
      </c>
      <c r="V50" s="343" t="s">
        <v>81</v>
      </c>
      <c r="W50" s="334" t="s">
        <v>82</v>
      </c>
      <c r="X50" s="334" t="s">
        <v>18</v>
      </c>
      <c r="Y50" s="344">
        <v>26.9</v>
      </c>
      <c r="Z50" s="334" t="s">
        <v>85</v>
      </c>
      <c r="AA50" s="334" t="s">
        <v>86</v>
      </c>
      <c r="AB50" s="334" t="s">
        <v>18</v>
      </c>
      <c r="AC50" s="334">
        <v>11.8</v>
      </c>
      <c r="AD50" s="343" t="s">
        <v>96</v>
      </c>
      <c r="AE50" s="334" t="s">
        <v>97</v>
      </c>
      <c r="AF50" s="334" t="s">
        <v>12</v>
      </c>
      <c r="AG50" s="344">
        <v>15.1</v>
      </c>
      <c r="AH50" s="343" t="s">
        <v>95</v>
      </c>
      <c r="AI50" s="334" t="s">
        <v>98</v>
      </c>
      <c r="AJ50" s="334" t="s">
        <v>12</v>
      </c>
      <c r="AK50" s="334">
        <v>12.3</v>
      </c>
      <c r="AL50" s="343"/>
      <c r="AO50" s="344"/>
      <c r="AP50" s="343"/>
      <c r="AS50" s="344"/>
      <c r="AW50" s="344"/>
      <c r="BA50" s="345"/>
    </row>
    <row r="51" spans="1:53" s="73" customFormat="1" x14ac:dyDescent="0.15">
      <c r="A51" s="102">
        <v>1980</v>
      </c>
      <c r="B51" s="85">
        <v>29359</v>
      </c>
      <c r="C51" s="786" t="s">
        <v>207</v>
      </c>
      <c r="D51" s="786"/>
      <c r="E51" s="73">
        <v>157</v>
      </c>
      <c r="F51" s="73">
        <v>5</v>
      </c>
      <c r="G51" s="123">
        <v>5</v>
      </c>
      <c r="H51" s="73">
        <v>12</v>
      </c>
      <c r="I51" s="73">
        <v>10</v>
      </c>
      <c r="J51" s="134">
        <v>27</v>
      </c>
      <c r="K51" s="92">
        <f>G51/J51*100</f>
        <v>18.518518518518519</v>
      </c>
      <c r="L51" s="92">
        <f>H51/J51*100</f>
        <v>44.444444444444443</v>
      </c>
      <c r="M51" s="92">
        <f>I51/J51*100</f>
        <v>37.037037037037038</v>
      </c>
      <c r="N51" s="125">
        <f t="shared" si="0"/>
        <v>100</v>
      </c>
      <c r="O51" s="91">
        <v>10.4</v>
      </c>
      <c r="P51" s="92">
        <v>38.700000000000003</v>
      </c>
      <c r="Q51" s="92">
        <v>27.4</v>
      </c>
      <c r="R51" s="93">
        <f t="shared" si="4"/>
        <v>76.5</v>
      </c>
      <c r="S51" s="97">
        <v>3</v>
      </c>
      <c r="T51" s="95"/>
      <c r="U51" s="85">
        <v>29359</v>
      </c>
      <c r="V51" s="82" t="s">
        <v>81</v>
      </c>
      <c r="W51" s="73" t="s">
        <v>82</v>
      </c>
      <c r="X51" s="73" t="s">
        <v>18</v>
      </c>
      <c r="Y51" s="83">
        <v>26.9</v>
      </c>
      <c r="Z51" s="73" t="s">
        <v>85</v>
      </c>
      <c r="AA51" s="73" t="s">
        <v>86</v>
      </c>
      <c r="AB51" s="73" t="s">
        <v>18</v>
      </c>
      <c r="AC51" s="73">
        <v>11.8</v>
      </c>
      <c r="AD51" s="82" t="s">
        <v>96</v>
      </c>
      <c r="AE51" s="73" t="s">
        <v>97</v>
      </c>
      <c r="AF51" s="73" t="s">
        <v>12</v>
      </c>
      <c r="AG51" s="83">
        <v>15.1</v>
      </c>
      <c r="AH51" s="73" t="s">
        <v>95</v>
      </c>
      <c r="AI51" s="73" t="s">
        <v>98</v>
      </c>
      <c r="AJ51" s="73" t="s">
        <v>12</v>
      </c>
      <c r="AK51" s="73">
        <v>12.3</v>
      </c>
      <c r="AL51" s="82" t="s">
        <v>87</v>
      </c>
      <c r="AM51" s="73" t="s">
        <v>88</v>
      </c>
      <c r="AN51" s="73" t="s">
        <v>11</v>
      </c>
      <c r="AO51" s="83">
        <v>10.4</v>
      </c>
      <c r="AP51" s="82"/>
      <c r="AS51" s="83"/>
      <c r="AW51" s="83"/>
      <c r="BA51" s="84"/>
    </row>
    <row r="52" spans="1:53" s="334" customFormat="1" x14ac:dyDescent="0.15">
      <c r="A52" s="386">
        <v>1980</v>
      </c>
      <c r="B52" s="355">
        <v>29516</v>
      </c>
      <c r="C52" s="785" t="s">
        <v>208</v>
      </c>
      <c r="D52" s="785"/>
      <c r="E52" s="334">
        <v>71</v>
      </c>
      <c r="F52" s="334">
        <v>4</v>
      </c>
      <c r="G52" s="419"/>
      <c r="H52" s="334">
        <v>13</v>
      </c>
      <c r="I52" s="334">
        <v>12</v>
      </c>
      <c r="J52" s="435">
        <v>25</v>
      </c>
      <c r="K52" s="384">
        <f t="shared" si="17"/>
        <v>0</v>
      </c>
      <c r="L52" s="384">
        <f t="shared" si="18"/>
        <v>52</v>
      </c>
      <c r="M52" s="384">
        <f t="shared" si="19"/>
        <v>48</v>
      </c>
      <c r="N52" s="421">
        <f t="shared" si="0"/>
        <v>100</v>
      </c>
      <c r="O52" s="383"/>
      <c r="P52" s="384">
        <v>38.700000000000003</v>
      </c>
      <c r="Q52" s="384">
        <v>27.4</v>
      </c>
      <c r="R52" s="385">
        <f t="shared" si="4"/>
        <v>66.099999999999994</v>
      </c>
      <c r="S52" s="388">
        <v>3</v>
      </c>
      <c r="T52" s="342"/>
      <c r="U52" s="355">
        <v>29516</v>
      </c>
      <c r="V52" s="343" t="s">
        <v>81</v>
      </c>
      <c r="W52" s="334" t="s">
        <v>82</v>
      </c>
      <c r="X52" s="334" t="s">
        <v>18</v>
      </c>
      <c r="Y52" s="344">
        <v>26.9</v>
      </c>
      <c r="Z52" s="334" t="s">
        <v>85</v>
      </c>
      <c r="AA52" s="334" t="s">
        <v>86</v>
      </c>
      <c r="AB52" s="334" t="s">
        <v>18</v>
      </c>
      <c r="AC52" s="334">
        <v>11.8</v>
      </c>
      <c r="AD52" s="343" t="s">
        <v>96</v>
      </c>
      <c r="AE52" s="334" t="s">
        <v>97</v>
      </c>
      <c r="AF52" s="334" t="s">
        <v>12</v>
      </c>
      <c r="AG52" s="344">
        <v>15.1</v>
      </c>
      <c r="AH52" s="334" t="s">
        <v>95</v>
      </c>
      <c r="AI52" s="334" t="s">
        <v>98</v>
      </c>
      <c r="AJ52" s="334" t="s">
        <v>12</v>
      </c>
      <c r="AK52" s="334">
        <v>12.3</v>
      </c>
      <c r="AL52" s="343"/>
      <c r="AO52" s="344"/>
      <c r="AP52" s="343"/>
      <c r="AS52" s="344"/>
      <c r="AW52" s="344"/>
      <c r="BA52" s="345"/>
    </row>
    <row r="53" spans="1:53" s="334" customFormat="1" x14ac:dyDescent="0.15">
      <c r="A53" s="386">
        <v>1981</v>
      </c>
      <c r="B53" s="355"/>
      <c r="C53" s="785" t="s">
        <v>208</v>
      </c>
      <c r="D53" s="785"/>
      <c r="E53" s="334">
        <v>95</v>
      </c>
      <c r="G53" s="419"/>
      <c r="H53" s="334">
        <v>13</v>
      </c>
      <c r="I53" s="334">
        <v>12</v>
      </c>
      <c r="J53" s="435">
        <v>25</v>
      </c>
      <c r="K53" s="384">
        <f>G53/J53*100</f>
        <v>0</v>
      </c>
      <c r="L53" s="384">
        <f>H53/J53*100</f>
        <v>52</v>
      </c>
      <c r="M53" s="384">
        <f>I53/J53*100</f>
        <v>48</v>
      </c>
      <c r="N53" s="421">
        <f t="shared" si="0"/>
        <v>100</v>
      </c>
      <c r="O53" s="383"/>
      <c r="P53" s="384">
        <v>38.700000000000003</v>
      </c>
      <c r="Q53" s="384">
        <v>27.4</v>
      </c>
      <c r="R53" s="385">
        <f t="shared" si="4"/>
        <v>66.099999999999994</v>
      </c>
      <c r="S53" s="388">
        <v>3</v>
      </c>
      <c r="T53" s="342"/>
      <c r="U53" s="355"/>
      <c r="V53" s="343" t="s">
        <v>81</v>
      </c>
      <c r="W53" s="334" t="s">
        <v>82</v>
      </c>
      <c r="X53" s="334" t="s">
        <v>18</v>
      </c>
      <c r="Y53" s="344">
        <v>26.9</v>
      </c>
      <c r="Z53" s="334" t="s">
        <v>85</v>
      </c>
      <c r="AA53" s="334" t="s">
        <v>86</v>
      </c>
      <c r="AB53" s="334" t="s">
        <v>18</v>
      </c>
      <c r="AC53" s="334">
        <v>11.8</v>
      </c>
      <c r="AD53" s="343" t="s">
        <v>96</v>
      </c>
      <c r="AE53" s="334" t="s">
        <v>97</v>
      </c>
      <c r="AF53" s="334" t="s">
        <v>12</v>
      </c>
      <c r="AG53" s="344">
        <v>15.1</v>
      </c>
      <c r="AH53" s="343" t="s">
        <v>95</v>
      </c>
      <c r="AI53" s="334" t="s">
        <v>98</v>
      </c>
      <c r="AJ53" s="334" t="s">
        <v>12</v>
      </c>
      <c r="AK53" s="334">
        <v>12.3</v>
      </c>
      <c r="AL53" s="343"/>
      <c r="AO53" s="344"/>
      <c r="AP53" s="343"/>
      <c r="AS53" s="344"/>
      <c r="AW53" s="344"/>
      <c r="BA53" s="345"/>
    </row>
    <row r="54" spans="1:53" s="73" customFormat="1" x14ac:dyDescent="0.15">
      <c r="A54" s="102">
        <v>1981</v>
      </c>
      <c r="B54" s="85">
        <v>29682</v>
      </c>
      <c r="C54" s="786" t="s">
        <v>209</v>
      </c>
      <c r="D54" s="786"/>
      <c r="E54" s="73">
        <v>255</v>
      </c>
      <c r="F54" s="73">
        <v>4</v>
      </c>
      <c r="G54" s="123"/>
      <c r="H54" s="73">
        <v>13</v>
      </c>
      <c r="I54" s="73">
        <v>12</v>
      </c>
      <c r="J54" s="134">
        <v>25</v>
      </c>
      <c r="K54" s="92">
        <f>G54/J54*100</f>
        <v>0</v>
      </c>
      <c r="L54" s="92">
        <f>H54/J54*100</f>
        <v>52</v>
      </c>
      <c r="M54" s="92">
        <f>I54/J54*100</f>
        <v>48</v>
      </c>
      <c r="N54" s="125">
        <f t="shared" si="0"/>
        <v>100</v>
      </c>
      <c r="O54" s="91"/>
      <c r="P54" s="92">
        <v>38.700000000000003</v>
      </c>
      <c r="Q54" s="92">
        <v>27.4</v>
      </c>
      <c r="R54" s="93">
        <f t="shared" si="4"/>
        <v>66.099999999999994</v>
      </c>
      <c r="S54" s="97">
        <v>3</v>
      </c>
      <c r="T54" s="95"/>
      <c r="U54" s="85">
        <v>29682</v>
      </c>
      <c r="V54" s="82" t="s">
        <v>81</v>
      </c>
      <c r="W54" s="73" t="s">
        <v>82</v>
      </c>
      <c r="X54" s="73" t="s">
        <v>18</v>
      </c>
      <c r="Y54" s="83">
        <v>26.9</v>
      </c>
      <c r="Z54" s="73" t="s">
        <v>85</v>
      </c>
      <c r="AA54" s="73" t="s">
        <v>86</v>
      </c>
      <c r="AB54" s="73" t="s">
        <v>18</v>
      </c>
      <c r="AC54" s="73">
        <v>11.8</v>
      </c>
      <c r="AD54" s="82" t="s">
        <v>96</v>
      </c>
      <c r="AE54" s="73" t="s">
        <v>97</v>
      </c>
      <c r="AF54" s="73" t="s">
        <v>12</v>
      </c>
      <c r="AG54" s="83">
        <v>15.1</v>
      </c>
      <c r="AH54" s="73" t="s">
        <v>95</v>
      </c>
      <c r="AI54" s="73" t="s">
        <v>98</v>
      </c>
      <c r="AJ54" s="73" t="s">
        <v>12</v>
      </c>
      <c r="AK54" s="73">
        <v>12.3</v>
      </c>
      <c r="AL54" s="82"/>
      <c r="AO54" s="83"/>
      <c r="AP54" s="82"/>
      <c r="AS54" s="83"/>
      <c r="AW54" s="83"/>
      <c r="BA54" s="84"/>
    </row>
    <row r="55" spans="1:53" s="334" customFormat="1" x14ac:dyDescent="0.15">
      <c r="A55" s="386">
        <v>1981</v>
      </c>
      <c r="B55" s="355">
        <v>29937</v>
      </c>
      <c r="C55" s="785" t="s">
        <v>210</v>
      </c>
      <c r="D55" s="785"/>
      <c r="E55" s="334">
        <v>15</v>
      </c>
      <c r="F55" s="334">
        <v>4</v>
      </c>
      <c r="G55" s="419">
        <v>8</v>
      </c>
      <c r="H55" s="334">
        <v>8</v>
      </c>
      <c r="J55" s="435">
        <v>16</v>
      </c>
      <c r="K55" s="384">
        <f t="shared" ref="K55:K60" si="20">G55/J55*100</f>
        <v>50</v>
      </c>
      <c r="L55" s="384">
        <f t="shared" ref="L55:L60" si="21">H55/J55*100</f>
        <v>50</v>
      </c>
      <c r="M55" s="384">
        <f t="shared" ref="M55:M60" si="22">I55/J55*100</f>
        <v>0</v>
      </c>
      <c r="N55" s="421">
        <f t="shared" si="0"/>
        <v>100</v>
      </c>
      <c r="O55" s="383">
        <v>24.5</v>
      </c>
      <c r="P55" s="384">
        <v>28.8</v>
      </c>
      <c r="Q55" s="384"/>
      <c r="R55" s="385">
        <f t="shared" si="4"/>
        <v>53.3</v>
      </c>
      <c r="S55" s="388">
        <v>2</v>
      </c>
      <c r="T55" s="342">
        <v>29898</v>
      </c>
      <c r="U55" s="355">
        <v>29937</v>
      </c>
      <c r="V55" s="343" t="s">
        <v>81</v>
      </c>
      <c r="W55" s="334" t="s">
        <v>82</v>
      </c>
      <c r="X55" s="334" t="s">
        <v>18</v>
      </c>
      <c r="Y55" s="344">
        <v>20.3</v>
      </c>
      <c r="Z55" s="334" t="s">
        <v>85</v>
      </c>
      <c r="AA55" s="334" t="s">
        <v>86</v>
      </c>
      <c r="AB55" s="334" t="s">
        <v>18</v>
      </c>
      <c r="AC55" s="334">
        <v>8.5</v>
      </c>
      <c r="AD55" s="343" t="s">
        <v>87</v>
      </c>
      <c r="AE55" s="334" t="s">
        <v>88</v>
      </c>
      <c r="AF55" s="334" t="s">
        <v>11</v>
      </c>
      <c r="AG55" s="344">
        <v>13.2</v>
      </c>
      <c r="AH55" s="343" t="s">
        <v>99</v>
      </c>
      <c r="AI55" s="334" t="s">
        <v>100</v>
      </c>
      <c r="AJ55" s="334" t="s">
        <v>11</v>
      </c>
      <c r="AK55" s="334">
        <v>11.3</v>
      </c>
      <c r="AL55" s="343"/>
      <c r="AO55" s="344"/>
      <c r="AP55" s="343"/>
      <c r="AS55" s="344"/>
      <c r="AW55" s="344"/>
      <c r="BA55" s="345"/>
    </row>
    <row r="56" spans="1:53" s="334" customFormat="1" x14ac:dyDescent="0.15">
      <c r="A56" s="386">
        <v>1982</v>
      </c>
      <c r="B56" s="355"/>
      <c r="C56" s="785" t="s">
        <v>210</v>
      </c>
      <c r="D56" s="785"/>
      <c r="E56" s="334">
        <v>0</v>
      </c>
      <c r="G56" s="419">
        <v>8</v>
      </c>
      <c r="H56" s="334">
        <v>8</v>
      </c>
      <c r="J56" s="435">
        <v>16</v>
      </c>
      <c r="K56" s="384">
        <f t="shared" si="20"/>
        <v>50</v>
      </c>
      <c r="L56" s="384">
        <f t="shared" si="21"/>
        <v>50</v>
      </c>
      <c r="M56" s="384">
        <f t="shared" si="22"/>
        <v>0</v>
      </c>
      <c r="N56" s="421">
        <f t="shared" si="0"/>
        <v>100</v>
      </c>
      <c r="O56" s="383">
        <v>24.5</v>
      </c>
      <c r="P56" s="384">
        <v>28.8</v>
      </c>
      <c r="Q56" s="384"/>
      <c r="R56" s="385">
        <f t="shared" si="4"/>
        <v>53.3</v>
      </c>
      <c r="S56" s="388">
        <v>2</v>
      </c>
      <c r="T56" s="342"/>
      <c r="U56" s="355"/>
      <c r="V56" s="343" t="s">
        <v>81</v>
      </c>
      <c r="W56" s="334" t="s">
        <v>82</v>
      </c>
      <c r="X56" s="334" t="s">
        <v>18</v>
      </c>
      <c r="Y56" s="344">
        <v>20.3</v>
      </c>
      <c r="Z56" s="334" t="s">
        <v>85</v>
      </c>
      <c r="AA56" s="334" t="s">
        <v>86</v>
      </c>
      <c r="AB56" s="334" t="s">
        <v>18</v>
      </c>
      <c r="AC56" s="334">
        <v>8.5</v>
      </c>
      <c r="AD56" s="343" t="s">
        <v>87</v>
      </c>
      <c r="AE56" s="334" t="s">
        <v>88</v>
      </c>
      <c r="AF56" s="334" t="s">
        <v>11</v>
      </c>
      <c r="AG56" s="344">
        <v>13.2</v>
      </c>
      <c r="AH56" s="343" t="s">
        <v>99</v>
      </c>
      <c r="AI56" s="334" t="s">
        <v>100</v>
      </c>
      <c r="AJ56" s="334" t="s">
        <v>11</v>
      </c>
      <c r="AK56" s="334">
        <v>11.3</v>
      </c>
      <c r="AL56" s="343"/>
      <c r="AO56" s="344"/>
      <c r="AP56" s="343"/>
      <c r="AS56" s="344"/>
      <c r="AW56" s="344"/>
      <c r="BA56" s="345"/>
    </row>
    <row r="57" spans="1:53" s="334" customFormat="1" x14ac:dyDescent="0.15">
      <c r="A57" s="386">
        <v>1982</v>
      </c>
      <c r="B57" s="355"/>
      <c r="C57" s="785" t="s">
        <v>210</v>
      </c>
      <c r="D57" s="785"/>
      <c r="E57" s="334">
        <v>365</v>
      </c>
      <c r="G57" s="419">
        <v>8</v>
      </c>
      <c r="H57" s="334">
        <v>8</v>
      </c>
      <c r="J57" s="435">
        <v>16</v>
      </c>
      <c r="K57" s="384">
        <f t="shared" si="20"/>
        <v>50</v>
      </c>
      <c r="L57" s="384">
        <f t="shared" si="21"/>
        <v>50</v>
      </c>
      <c r="M57" s="384">
        <f t="shared" si="22"/>
        <v>0</v>
      </c>
      <c r="N57" s="421">
        <f t="shared" si="0"/>
        <v>100</v>
      </c>
      <c r="O57" s="383">
        <v>24.5</v>
      </c>
      <c r="P57" s="384">
        <v>28.8</v>
      </c>
      <c r="Q57" s="384"/>
      <c r="R57" s="385">
        <f t="shared" si="4"/>
        <v>53.3</v>
      </c>
      <c r="S57" s="388">
        <v>2</v>
      </c>
      <c r="T57" s="342"/>
      <c r="U57" s="355"/>
      <c r="V57" s="343" t="s">
        <v>81</v>
      </c>
      <c r="W57" s="334" t="s">
        <v>82</v>
      </c>
      <c r="X57" s="334" t="s">
        <v>18</v>
      </c>
      <c r="Y57" s="344">
        <v>20.3</v>
      </c>
      <c r="Z57" s="334" t="s">
        <v>85</v>
      </c>
      <c r="AA57" s="334" t="s">
        <v>86</v>
      </c>
      <c r="AB57" s="334" t="s">
        <v>18</v>
      </c>
      <c r="AC57" s="334">
        <v>8.5</v>
      </c>
      <c r="AD57" s="343" t="s">
        <v>87</v>
      </c>
      <c r="AE57" s="334" t="s">
        <v>88</v>
      </c>
      <c r="AF57" s="334" t="s">
        <v>11</v>
      </c>
      <c r="AG57" s="344">
        <v>13.2</v>
      </c>
      <c r="AH57" s="343" t="s">
        <v>99</v>
      </c>
      <c r="AI57" s="334" t="s">
        <v>100</v>
      </c>
      <c r="AJ57" s="334" t="s">
        <v>11</v>
      </c>
      <c r="AK57" s="334">
        <v>11.3</v>
      </c>
      <c r="AL57" s="343"/>
      <c r="AO57" s="344"/>
      <c r="AP57" s="343"/>
      <c r="AS57" s="344"/>
      <c r="AW57" s="344"/>
      <c r="BA57" s="345"/>
    </row>
    <row r="58" spans="1:53" s="334" customFormat="1" x14ac:dyDescent="0.15">
      <c r="A58" s="386">
        <v>1983</v>
      </c>
      <c r="B58" s="355"/>
      <c r="C58" s="785" t="s">
        <v>210</v>
      </c>
      <c r="D58" s="785"/>
      <c r="E58" s="334">
        <v>0</v>
      </c>
      <c r="G58" s="419">
        <v>8</v>
      </c>
      <c r="H58" s="334">
        <v>8</v>
      </c>
      <c r="J58" s="435">
        <v>16</v>
      </c>
      <c r="K58" s="384">
        <f t="shared" si="20"/>
        <v>50</v>
      </c>
      <c r="L58" s="384">
        <f t="shared" si="21"/>
        <v>50</v>
      </c>
      <c r="M58" s="384">
        <f t="shared" si="22"/>
        <v>0</v>
      </c>
      <c r="N58" s="421">
        <f t="shared" si="0"/>
        <v>100</v>
      </c>
      <c r="O58" s="383">
        <v>24.5</v>
      </c>
      <c r="P58" s="384">
        <v>28.8</v>
      </c>
      <c r="Q58" s="384"/>
      <c r="R58" s="385">
        <f t="shared" si="4"/>
        <v>53.3</v>
      </c>
      <c r="S58" s="388">
        <v>2</v>
      </c>
      <c r="T58" s="342"/>
      <c r="U58" s="355"/>
      <c r="V58" s="343" t="s">
        <v>81</v>
      </c>
      <c r="W58" s="334" t="s">
        <v>82</v>
      </c>
      <c r="X58" s="334" t="s">
        <v>18</v>
      </c>
      <c r="Y58" s="344">
        <v>20.3</v>
      </c>
      <c r="Z58" s="334" t="s">
        <v>85</v>
      </c>
      <c r="AA58" s="334" t="s">
        <v>86</v>
      </c>
      <c r="AB58" s="334" t="s">
        <v>18</v>
      </c>
      <c r="AC58" s="334">
        <v>8.5</v>
      </c>
      <c r="AD58" s="343" t="s">
        <v>87</v>
      </c>
      <c r="AE58" s="334" t="s">
        <v>88</v>
      </c>
      <c r="AF58" s="334" t="s">
        <v>11</v>
      </c>
      <c r="AG58" s="344">
        <v>13.2</v>
      </c>
      <c r="AH58" s="343" t="s">
        <v>99</v>
      </c>
      <c r="AI58" s="334" t="s">
        <v>100</v>
      </c>
      <c r="AJ58" s="334" t="s">
        <v>11</v>
      </c>
      <c r="AK58" s="334">
        <v>11.3</v>
      </c>
      <c r="AL58" s="343"/>
      <c r="AO58" s="344"/>
      <c r="AP58" s="343"/>
      <c r="AS58" s="344"/>
      <c r="AW58" s="344"/>
      <c r="BA58" s="345"/>
    </row>
    <row r="59" spans="1:53" s="334" customFormat="1" x14ac:dyDescent="0.15">
      <c r="A59" s="386">
        <v>1983</v>
      </c>
      <c r="B59" s="355"/>
      <c r="C59" s="785" t="s">
        <v>210</v>
      </c>
      <c r="D59" s="785"/>
      <c r="E59" s="334">
        <v>365</v>
      </c>
      <c r="G59" s="419">
        <v>8</v>
      </c>
      <c r="H59" s="334">
        <v>8</v>
      </c>
      <c r="J59" s="435">
        <v>16</v>
      </c>
      <c r="K59" s="384">
        <f t="shared" si="20"/>
        <v>50</v>
      </c>
      <c r="L59" s="384">
        <f t="shared" si="21"/>
        <v>50</v>
      </c>
      <c r="M59" s="384">
        <f t="shared" si="22"/>
        <v>0</v>
      </c>
      <c r="N59" s="421">
        <f t="shared" si="0"/>
        <v>100</v>
      </c>
      <c r="O59" s="383">
        <v>24.5</v>
      </c>
      <c r="P59" s="384">
        <v>28.8</v>
      </c>
      <c r="Q59" s="384"/>
      <c r="R59" s="385">
        <f t="shared" si="4"/>
        <v>53.3</v>
      </c>
      <c r="S59" s="388">
        <v>2</v>
      </c>
      <c r="T59" s="342"/>
      <c r="U59" s="355"/>
      <c r="V59" s="343" t="s">
        <v>81</v>
      </c>
      <c r="W59" s="334" t="s">
        <v>82</v>
      </c>
      <c r="X59" s="334" t="s">
        <v>18</v>
      </c>
      <c r="Y59" s="344">
        <v>20.3</v>
      </c>
      <c r="Z59" s="334" t="s">
        <v>85</v>
      </c>
      <c r="AA59" s="334" t="s">
        <v>86</v>
      </c>
      <c r="AB59" s="334" t="s">
        <v>18</v>
      </c>
      <c r="AC59" s="334">
        <v>8.5</v>
      </c>
      <c r="AD59" s="343" t="s">
        <v>87</v>
      </c>
      <c r="AE59" s="334" t="s">
        <v>88</v>
      </c>
      <c r="AF59" s="334" t="s">
        <v>11</v>
      </c>
      <c r="AG59" s="344">
        <v>13.2</v>
      </c>
      <c r="AH59" s="343" t="s">
        <v>99</v>
      </c>
      <c r="AI59" s="334" t="s">
        <v>100</v>
      </c>
      <c r="AJ59" s="334" t="s">
        <v>11</v>
      </c>
      <c r="AK59" s="334">
        <v>11.3</v>
      </c>
      <c r="AL59" s="343"/>
      <c r="AO59" s="344"/>
      <c r="AP59" s="343"/>
      <c r="AS59" s="344"/>
      <c r="AW59" s="344"/>
      <c r="BA59" s="345"/>
    </row>
    <row r="60" spans="1:53" s="334" customFormat="1" x14ac:dyDescent="0.15">
      <c r="A60" s="386">
        <v>1984</v>
      </c>
      <c r="B60" s="355"/>
      <c r="C60" s="785" t="s">
        <v>210</v>
      </c>
      <c r="D60" s="785"/>
      <c r="E60" s="334">
        <v>0</v>
      </c>
      <c r="G60" s="419">
        <v>8</v>
      </c>
      <c r="H60" s="334">
        <v>8</v>
      </c>
      <c r="J60" s="435">
        <v>16</v>
      </c>
      <c r="K60" s="384">
        <f t="shared" si="20"/>
        <v>50</v>
      </c>
      <c r="L60" s="384">
        <f t="shared" si="21"/>
        <v>50</v>
      </c>
      <c r="M60" s="384">
        <f t="shared" si="22"/>
        <v>0</v>
      </c>
      <c r="N60" s="421">
        <f t="shared" si="0"/>
        <v>100</v>
      </c>
      <c r="O60" s="383">
        <v>24.5</v>
      </c>
      <c r="P60" s="384">
        <v>28.8</v>
      </c>
      <c r="Q60" s="384"/>
      <c r="R60" s="385">
        <f t="shared" si="4"/>
        <v>53.3</v>
      </c>
      <c r="S60" s="388">
        <v>2</v>
      </c>
      <c r="T60" s="342"/>
      <c r="U60" s="355"/>
      <c r="V60" s="343" t="s">
        <v>81</v>
      </c>
      <c r="W60" s="334" t="s">
        <v>82</v>
      </c>
      <c r="X60" s="334" t="s">
        <v>18</v>
      </c>
      <c r="Y60" s="344">
        <v>20.3</v>
      </c>
      <c r="Z60" s="334" t="s">
        <v>85</v>
      </c>
      <c r="AA60" s="334" t="s">
        <v>86</v>
      </c>
      <c r="AB60" s="334" t="s">
        <v>18</v>
      </c>
      <c r="AC60" s="334">
        <v>8.5</v>
      </c>
      <c r="AD60" s="343" t="s">
        <v>87</v>
      </c>
      <c r="AE60" s="334" t="s">
        <v>88</v>
      </c>
      <c r="AF60" s="334" t="s">
        <v>11</v>
      </c>
      <c r="AG60" s="344">
        <v>13.2</v>
      </c>
      <c r="AH60" s="343" t="s">
        <v>99</v>
      </c>
      <c r="AI60" s="334" t="s">
        <v>100</v>
      </c>
      <c r="AJ60" s="334" t="s">
        <v>11</v>
      </c>
      <c r="AK60" s="334">
        <v>11.3</v>
      </c>
      <c r="AL60" s="343"/>
      <c r="AO60" s="344"/>
      <c r="AP60" s="343"/>
      <c r="AS60" s="344"/>
      <c r="AW60" s="344"/>
      <c r="BA60" s="345"/>
    </row>
    <row r="61" spans="1:53" s="334" customFormat="1" x14ac:dyDescent="0.15">
      <c r="A61" s="386">
        <v>1984</v>
      </c>
      <c r="B61" s="355"/>
      <c r="C61" s="785" t="s">
        <v>210</v>
      </c>
      <c r="D61" s="785"/>
      <c r="E61" s="334">
        <v>366</v>
      </c>
      <c r="G61" s="419">
        <v>8</v>
      </c>
      <c r="H61" s="334">
        <v>8</v>
      </c>
      <c r="J61" s="435">
        <v>16</v>
      </c>
      <c r="K61" s="384">
        <f>G61/J61*100</f>
        <v>50</v>
      </c>
      <c r="L61" s="384">
        <f>H61/J61*100</f>
        <v>50</v>
      </c>
      <c r="M61" s="384">
        <f>I61/J61*100</f>
        <v>0</v>
      </c>
      <c r="N61" s="421">
        <f t="shared" si="0"/>
        <v>100</v>
      </c>
      <c r="O61" s="383">
        <v>24.5</v>
      </c>
      <c r="P61" s="384">
        <v>28.8</v>
      </c>
      <c r="Q61" s="384"/>
      <c r="R61" s="385">
        <f t="shared" si="4"/>
        <v>53.3</v>
      </c>
      <c r="S61" s="388">
        <v>2</v>
      </c>
      <c r="T61" s="342"/>
      <c r="U61" s="355"/>
      <c r="V61" s="343" t="s">
        <v>81</v>
      </c>
      <c r="W61" s="334" t="s">
        <v>82</v>
      </c>
      <c r="X61" s="334" t="s">
        <v>18</v>
      </c>
      <c r="Y61" s="344">
        <v>20.3</v>
      </c>
      <c r="Z61" s="334" t="s">
        <v>85</v>
      </c>
      <c r="AA61" s="334" t="s">
        <v>86</v>
      </c>
      <c r="AB61" s="334" t="s">
        <v>18</v>
      </c>
      <c r="AC61" s="334">
        <v>8.5</v>
      </c>
      <c r="AD61" s="343" t="s">
        <v>87</v>
      </c>
      <c r="AE61" s="334" t="s">
        <v>88</v>
      </c>
      <c r="AF61" s="334" t="s">
        <v>11</v>
      </c>
      <c r="AG61" s="344">
        <v>13.2</v>
      </c>
      <c r="AH61" s="343" t="s">
        <v>99</v>
      </c>
      <c r="AI61" s="334" t="s">
        <v>100</v>
      </c>
      <c r="AJ61" s="334" t="s">
        <v>11</v>
      </c>
      <c r="AK61" s="334">
        <v>11.3</v>
      </c>
      <c r="AL61" s="343"/>
      <c r="AO61" s="344"/>
      <c r="AP61" s="343"/>
      <c r="AS61" s="344"/>
      <c r="AW61" s="344"/>
      <c r="BA61" s="345"/>
    </row>
    <row r="62" spans="1:53" s="334" customFormat="1" x14ac:dyDescent="0.15">
      <c r="A62" s="386">
        <v>1985</v>
      </c>
      <c r="B62" s="355"/>
      <c r="C62" s="785" t="s">
        <v>210</v>
      </c>
      <c r="D62" s="785"/>
      <c r="E62" s="334">
        <v>331</v>
      </c>
      <c r="G62" s="419">
        <v>8</v>
      </c>
      <c r="H62" s="334">
        <v>8</v>
      </c>
      <c r="J62" s="435">
        <v>16</v>
      </c>
      <c r="K62" s="384">
        <f>G62/J62*100</f>
        <v>50</v>
      </c>
      <c r="L62" s="384">
        <f>H62/J62*100</f>
        <v>50</v>
      </c>
      <c r="M62" s="384">
        <f>I62/J62*100</f>
        <v>0</v>
      </c>
      <c r="N62" s="421">
        <f t="shared" si="0"/>
        <v>100</v>
      </c>
      <c r="O62" s="383">
        <v>24.5</v>
      </c>
      <c r="P62" s="384">
        <v>28.8</v>
      </c>
      <c r="Q62" s="384"/>
      <c r="R62" s="385">
        <f t="shared" si="4"/>
        <v>53.3</v>
      </c>
      <c r="S62" s="388">
        <v>2</v>
      </c>
      <c r="T62" s="342"/>
      <c r="U62" s="355"/>
      <c r="V62" s="343" t="s">
        <v>81</v>
      </c>
      <c r="W62" s="334" t="s">
        <v>82</v>
      </c>
      <c r="X62" s="334" t="s">
        <v>18</v>
      </c>
      <c r="Y62" s="344">
        <v>20.3</v>
      </c>
      <c r="Z62" s="334" t="s">
        <v>85</v>
      </c>
      <c r="AA62" s="334" t="s">
        <v>86</v>
      </c>
      <c r="AB62" s="334" t="s">
        <v>18</v>
      </c>
      <c r="AC62" s="334">
        <v>8.5</v>
      </c>
      <c r="AD62" s="343" t="s">
        <v>87</v>
      </c>
      <c r="AE62" s="334" t="s">
        <v>88</v>
      </c>
      <c r="AF62" s="334" t="s">
        <v>11</v>
      </c>
      <c r="AG62" s="344">
        <v>13.2</v>
      </c>
      <c r="AH62" s="343" t="s">
        <v>99</v>
      </c>
      <c r="AI62" s="334" t="s">
        <v>100</v>
      </c>
      <c r="AJ62" s="334" t="s">
        <v>11</v>
      </c>
      <c r="AK62" s="334">
        <v>11.3</v>
      </c>
      <c r="AL62" s="343"/>
      <c r="AO62" s="344"/>
      <c r="AP62" s="343"/>
      <c r="AS62" s="344"/>
      <c r="AW62" s="344"/>
      <c r="BA62" s="345"/>
    </row>
    <row r="63" spans="1:53" s="73" customFormat="1" x14ac:dyDescent="0.15">
      <c r="A63" s="102">
        <v>1985</v>
      </c>
      <c r="B63" s="85">
        <v>31379</v>
      </c>
      <c r="C63" s="786" t="s">
        <v>211</v>
      </c>
      <c r="D63" s="786"/>
      <c r="E63" s="73">
        <v>34</v>
      </c>
      <c r="F63" s="73">
        <v>4</v>
      </c>
      <c r="G63" s="123">
        <v>7</v>
      </c>
      <c r="H63" s="73">
        <v>8</v>
      </c>
      <c r="J63" s="134">
        <v>15</v>
      </c>
      <c r="K63" s="92">
        <f>G63/J63*100</f>
        <v>46.666666666666664</v>
      </c>
      <c r="L63" s="92">
        <f>H63/J63*100</f>
        <v>53.333333333333336</v>
      </c>
      <c r="M63" s="92">
        <f>I63/J63*100</f>
        <v>0</v>
      </c>
      <c r="N63" s="125">
        <f t="shared" si="0"/>
        <v>100</v>
      </c>
      <c r="O63" s="91">
        <v>21.7</v>
      </c>
      <c r="P63" s="92">
        <v>32.5</v>
      </c>
      <c r="Q63" s="92"/>
      <c r="R63" s="93">
        <f t="shared" si="4"/>
        <v>54.2</v>
      </c>
      <c r="S63" s="97">
        <v>2</v>
      </c>
      <c r="T63" s="95">
        <v>31333</v>
      </c>
      <c r="U63" s="85">
        <v>31379</v>
      </c>
      <c r="V63" s="82" t="s">
        <v>81</v>
      </c>
      <c r="W63" s="73" t="s">
        <v>82</v>
      </c>
      <c r="X63" s="73" t="s">
        <v>18</v>
      </c>
      <c r="Y63" s="83">
        <v>23.1</v>
      </c>
      <c r="Z63" s="73" t="s">
        <v>85</v>
      </c>
      <c r="AA63" s="73" t="s">
        <v>86</v>
      </c>
      <c r="AB63" s="73" t="s">
        <v>18</v>
      </c>
      <c r="AC63" s="73">
        <v>9.4</v>
      </c>
      <c r="AD63" s="82" t="s">
        <v>87</v>
      </c>
      <c r="AE63" s="73" t="s">
        <v>88</v>
      </c>
      <c r="AF63" s="73" t="s">
        <v>11</v>
      </c>
      <c r="AG63" s="83">
        <v>10.4</v>
      </c>
      <c r="AH63" s="82" t="s">
        <v>99</v>
      </c>
      <c r="AI63" s="73" t="s">
        <v>100</v>
      </c>
      <c r="AJ63" s="73" t="s">
        <v>11</v>
      </c>
      <c r="AK63" s="73">
        <v>11.3</v>
      </c>
      <c r="AL63" s="82"/>
      <c r="AO63" s="83"/>
      <c r="AP63" s="82"/>
      <c r="AS63" s="83"/>
      <c r="AW63" s="83"/>
      <c r="BA63" s="84"/>
    </row>
    <row r="64" spans="1:53" s="73" customFormat="1" x14ac:dyDescent="0.15">
      <c r="A64" s="73">
        <v>1986</v>
      </c>
      <c r="B64" s="85"/>
      <c r="C64" s="786" t="s">
        <v>211</v>
      </c>
      <c r="D64" s="786"/>
      <c r="E64" s="73">
        <v>0</v>
      </c>
      <c r="G64" s="123">
        <v>7</v>
      </c>
      <c r="H64" s="73">
        <v>8</v>
      </c>
      <c r="J64" s="134">
        <v>15</v>
      </c>
      <c r="K64" s="92">
        <f>G64/J64*100</f>
        <v>46.666666666666664</v>
      </c>
      <c r="L64" s="92">
        <f>H64/J64*100</f>
        <v>53.333333333333336</v>
      </c>
      <c r="M64" s="92">
        <f>I64/J64*100</f>
        <v>0</v>
      </c>
      <c r="N64" s="125">
        <f t="shared" si="0"/>
        <v>100</v>
      </c>
      <c r="O64" s="91">
        <v>21.7</v>
      </c>
      <c r="P64" s="92">
        <v>32.5</v>
      </c>
      <c r="Q64" s="92"/>
      <c r="R64" s="93">
        <f t="shared" si="4"/>
        <v>54.2</v>
      </c>
      <c r="S64" s="97">
        <v>2</v>
      </c>
      <c r="T64" s="95"/>
      <c r="U64" s="85"/>
      <c r="V64" s="82" t="s">
        <v>81</v>
      </c>
      <c r="W64" s="73" t="s">
        <v>82</v>
      </c>
      <c r="X64" s="73" t="s">
        <v>18</v>
      </c>
      <c r="Y64" s="83">
        <v>23.1</v>
      </c>
      <c r="Z64" s="73" t="s">
        <v>85</v>
      </c>
      <c r="AA64" s="73" t="s">
        <v>86</v>
      </c>
      <c r="AB64" s="73" t="s">
        <v>18</v>
      </c>
      <c r="AC64" s="73">
        <v>9.4</v>
      </c>
      <c r="AD64" s="82" t="s">
        <v>87</v>
      </c>
      <c r="AE64" s="73" t="s">
        <v>88</v>
      </c>
      <c r="AF64" s="73" t="s">
        <v>11</v>
      </c>
      <c r="AG64" s="83">
        <v>10.4</v>
      </c>
      <c r="AH64" s="82" t="s">
        <v>99</v>
      </c>
      <c r="AI64" s="73" t="s">
        <v>100</v>
      </c>
      <c r="AJ64" s="73" t="s">
        <v>11</v>
      </c>
      <c r="AK64" s="73">
        <v>11.3</v>
      </c>
      <c r="AL64" s="82"/>
      <c r="AO64" s="83"/>
      <c r="AP64" s="82"/>
      <c r="AS64" s="83"/>
      <c r="AW64" s="83"/>
      <c r="BA64" s="84"/>
    </row>
    <row r="65" spans="1:53" s="73" customFormat="1" x14ac:dyDescent="0.15">
      <c r="A65" s="73">
        <v>1986</v>
      </c>
      <c r="B65" s="85"/>
      <c r="C65" s="786" t="s">
        <v>211</v>
      </c>
      <c r="D65" s="786"/>
      <c r="E65" s="73">
        <f>365-E64</f>
        <v>365</v>
      </c>
      <c r="G65" s="123">
        <v>7</v>
      </c>
      <c r="H65" s="73">
        <v>8</v>
      </c>
      <c r="J65" s="134">
        <v>15</v>
      </c>
      <c r="K65" s="92">
        <f t="shared" ref="K65:K72" si="23">G65/J65*100</f>
        <v>46.666666666666664</v>
      </c>
      <c r="L65" s="92">
        <f t="shared" ref="L65:L72" si="24">H65/J65*100</f>
        <v>53.333333333333336</v>
      </c>
      <c r="M65" s="92">
        <f t="shared" ref="M65:M72" si="25">I65/J65*100</f>
        <v>0</v>
      </c>
      <c r="N65" s="125">
        <f t="shared" si="0"/>
        <v>100</v>
      </c>
      <c r="O65" s="91">
        <v>21.7</v>
      </c>
      <c r="P65" s="92">
        <v>32.5</v>
      </c>
      <c r="Q65" s="92"/>
      <c r="R65" s="93">
        <f t="shared" si="4"/>
        <v>54.2</v>
      </c>
      <c r="S65" s="97">
        <v>2</v>
      </c>
      <c r="T65" s="95"/>
      <c r="U65" s="85"/>
      <c r="V65" s="82" t="s">
        <v>81</v>
      </c>
      <c r="W65" s="73" t="s">
        <v>82</v>
      </c>
      <c r="X65" s="73" t="s">
        <v>18</v>
      </c>
      <c r="Y65" s="83">
        <v>23.1</v>
      </c>
      <c r="Z65" s="73" t="s">
        <v>85</v>
      </c>
      <c r="AA65" s="73" t="s">
        <v>86</v>
      </c>
      <c r="AB65" s="73" t="s">
        <v>18</v>
      </c>
      <c r="AC65" s="73">
        <v>9.4</v>
      </c>
      <c r="AD65" s="82" t="s">
        <v>87</v>
      </c>
      <c r="AE65" s="73" t="s">
        <v>88</v>
      </c>
      <c r="AF65" s="73" t="s">
        <v>11</v>
      </c>
      <c r="AG65" s="83">
        <v>10.4</v>
      </c>
      <c r="AH65" s="82" t="s">
        <v>99</v>
      </c>
      <c r="AI65" s="73" t="s">
        <v>100</v>
      </c>
      <c r="AJ65" s="73" t="s">
        <v>11</v>
      </c>
      <c r="AK65" s="73">
        <v>11.3</v>
      </c>
      <c r="AL65" s="82"/>
      <c r="AO65" s="83"/>
      <c r="AP65" s="82"/>
      <c r="AS65" s="83"/>
      <c r="AW65" s="83"/>
      <c r="BA65" s="84"/>
    </row>
    <row r="66" spans="1:53" s="73" customFormat="1" x14ac:dyDescent="0.15">
      <c r="A66" s="73">
        <v>1987</v>
      </c>
      <c r="B66" s="85"/>
      <c r="C66" s="786" t="s">
        <v>211</v>
      </c>
      <c r="D66" s="786"/>
      <c r="E66" s="73">
        <v>292</v>
      </c>
      <c r="G66" s="123">
        <v>7</v>
      </c>
      <c r="H66" s="73">
        <v>8</v>
      </c>
      <c r="J66" s="134">
        <v>15</v>
      </c>
      <c r="K66" s="92">
        <f t="shared" si="23"/>
        <v>46.666666666666664</v>
      </c>
      <c r="L66" s="92">
        <f t="shared" si="24"/>
        <v>53.333333333333336</v>
      </c>
      <c r="M66" s="92">
        <f t="shared" si="25"/>
        <v>0</v>
      </c>
      <c r="N66" s="125">
        <f t="shared" si="0"/>
        <v>100</v>
      </c>
      <c r="O66" s="91">
        <v>21.7</v>
      </c>
      <c r="P66" s="92">
        <v>32.5</v>
      </c>
      <c r="Q66" s="92"/>
      <c r="R66" s="93">
        <f t="shared" si="4"/>
        <v>54.2</v>
      </c>
      <c r="S66" s="97">
        <v>2</v>
      </c>
      <c r="T66" s="95"/>
      <c r="U66" s="85"/>
      <c r="V66" s="82" t="s">
        <v>81</v>
      </c>
      <c r="W66" s="73" t="s">
        <v>82</v>
      </c>
      <c r="X66" s="73" t="s">
        <v>18</v>
      </c>
      <c r="Y66" s="83">
        <v>23.1</v>
      </c>
      <c r="Z66" s="73" t="s">
        <v>85</v>
      </c>
      <c r="AA66" s="73" t="s">
        <v>86</v>
      </c>
      <c r="AB66" s="73" t="s">
        <v>18</v>
      </c>
      <c r="AC66" s="73">
        <v>9.4</v>
      </c>
      <c r="AD66" s="82" t="s">
        <v>87</v>
      </c>
      <c r="AE66" s="73" t="s">
        <v>88</v>
      </c>
      <c r="AF66" s="73" t="s">
        <v>11</v>
      </c>
      <c r="AG66" s="83">
        <v>10.4</v>
      </c>
      <c r="AH66" s="82" t="s">
        <v>99</v>
      </c>
      <c r="AI66" s="73" t="s">
        <v>100</v>
      </c>
      <c r="AJ66" s="73" t="s">
        <v>11</v>
      </c>
      <c r="AK66" s="73">
        <v>11.3</v>
      </c>
      <c r="AL66" s="82"/>
      <c r="AO66" s="83"/>
      <c r="AP66" s="82"/>
      <c r="AS66" s="83"/>
      <c r="AW66" s="83"/>
      <c r="BA66" s="84"/>
    </row>
    <row r="67" spans="1:53" s="334" customFormat="1" x14ac:dyDescent="0.15">
      <c r="A67" s="334">
        <v>1987</v>
      </c>
      <c r="B67" s="355">
        <v>32070</v>
      </c>
      <c r="C67" s="785" t="s">
        <v>212</v>
      </c>
      <c r="D67" s="785"/>
      <c r="E67" s="334">
        <v>73</v>
      </c>
      <c r="F67" s="334">
        <v>4</v>
      </c>
      <c r="G67" s="419">
        <v>7</v>
      </c>
      <c r="H67" s="334">
        <v>9</v>
      </c>
      <c r="J67" s="435">
        <v>16</v>
      </c>
      <c r="K67" s="384">
        <f t="shared" si="23"/>
        <v>43.75</v>
      </c>
      <c r="L67" s="384">
        <f t="shared" si="24"/>
        <v>56.25</v>
      </c>
      <c r="M67" s="384">
        <f t="shared" si="25"/>
        <v>0</v>
      </c>
      <c r="N67" s="421">
        <f t="shared" si="0"/>
        <v>100</v>
      </c>
      <c r="O67" s="383">
        <v>22.6</v>
      </c>
      <c r="P67" s="384">
        <v>29.3</v>
      </c>
      <c r="Q67" s="384"/>
      <c r="R67" s="385">
        <f t="shared" si="4"/>
        <v>51.900000000000006</v>
      </c>
      <c r="S67" s="388">
        <v>6</v>
      </c>
      <c r="T67" s="342"/>
      <c r="U67" s="355">
        <v>32070</v>
      </c>
      <c r="V67" s="343" t="s">
        <v>81</v>
      </c>
      <c r="W67" s="334" t="s">
        <v>82</v>
      </c>
      <c r="X67" s="334" t="s">
        <v>18</v>
      </c>
      <c r="Y67" s="344">
        <v>23.1</v>
      </c>
      <c r="Z67" s="334" t="s">
        <v>85</v>
      </c>
      <c r="AA67" s="334" t="s">
        <v>86</v>
      </c>
      <c r="AB67" s="334" t="s">
        <v>18</v>
      </c>
      <c r="AC67" s="334">
        <v>9.4</v>
      </c>
      <c r="AD67" s="343" t="s">
        <v>87</v>
      </c>
      <c r="AE67" s="334" t="s">
        <v>88</v>
      </c>
      <c r="AF67" s="334" t="s">
        <v>11</v>
      </c>
      <c r="AG67" s="344">
        <v>10.4</v>
      </c>
      <c r="AH67" s="343" t="s">
        <v>99</v>
      </c>
      <c r="AI67" s="334" t="s">
        <v>100</v>
      </c>
      <c r="AJ67" s="334" t="s">
        <v>11</v>
      </c>
      <c r="AK67" s="334">
        <v>11.3</v>
      </c>
      <c r="AL67" s="343"/>
      <c r="AO67" s="344"/>
      <c r="AP67" s="343"/>
      <c r="AS67" s="344"/>
      <c r="AW67" s="344"/>
      <c r="BA67" s="345"/>
    </row>
    <row r="68" spans="1:53" s="334" customFormat="1" x14ac:dyDescent="0.15">
      <c r="A68" s="334">
        <v>1988</v>
      </c>
      <c r="B68" s="355"/>
      <c r="C68" s="785" t="s">
        <v>212</v>
      </c>
      <c r="D68" s="785"/>
      <c r="E68" s="334">
        <v>160</v>
      </c>
      <c r="G68" s="419">
        <v>7</v>
      </c>
      <c r="H68" s="334">
        <v>9</v>
      </c>
      <c r="J68" s="435">
        <v>16</v>
      </c>
      <c r="K68" s="384">
        <f t="shared" si="23"/>
        <v>43.75</v>
      </c>
      <c r="L68" s="384">
        <f t="shared" si="24"/>
        <v>56.25</v>
      </c>
      <c r="M68" s="384">
        <f t="shared" si="25"/>
        <v>0</v>
      </c>
      <c r="N68" s="421">
        <f t="shared" si="0"/>
        <v>100</v>
      </c>
      <c r="O68" s="383">
        <v>22.6</v>
      </c>
      <c r="P68" s="384">
        <v>29.3</v>
      </c>
      <c r="Q68" s="384"/>
      <c r="R68" s="385">
        <f t="shared" si="4"/>
        <v>51.900000000000006</v>
      </c>
      <c r="S68" s="388">
        <v>6</v>
      </c>
      <c r="T68" s="342">
        <v>32124</v>
      </c>
      <c r="U68" s="355"/>
      <c r="V68" s="343" t="s">
        <v>81</v>
      </c>
      <c r="W68" s="334" t="s">
        <v>82</v>
      </c>
      <c r="X68" s="334" t="s">
        <v>18</v>
      </c>
      <c r="Y68" s="344">
        <v>23.1</v>
      </c>
      <c r="Z68" s="334" t="s">
        <v>85</v>
      </c>
      <c r="AA68" s="334" t="s">
        <v>86</v>
      </c>
      <c r="AB68" s="334" t="s">
        <v>18</v>
      </c>
      <c r="AC68" s="334">
        <v>9.4</v>
      </c>
      <c r="AD68" s="343" t="s">
        <v>87</v>
      </c>
      <c r="AE68" s="334" t="s">
        <v>88</v>
      </c>
      <c r="AF68" s="334" t="s">
        <v>11</v>
      </c>
      <c r="AG68" s="344">
        <v>10.4</v>
      </c>
      <c r="AH68" s="343" t="s">
        <v>99</v>
      </c>
      <c r="AI68" s="334" t="s">
        <v>100</v>
      </c>
      <c r="AJ68" s="334" t="s">
        <v>11</v>
      </c>
      <c r="AK68" s="334">
        <v>11.3</v>
      </c>
      <c r="AL68" s="343"/>
      <c r="AO68" s="344"/>
      <c r="AP68" s="343"/>
      <c r="AS68" s="344"/>
      <c r="AW68" s="344"/>
      <c r="BA68" s="345"/>
    </row>
    <row r="69" spans="1:53" s="73" customFormat="1" x14ac:dyDescent="0.15">
      <c r="A69" s="73">
        <v>1988</v>
      </c>
      <c r="B69" s="85">
        <v>32303</v>
      </c>
      <c r="C69" s="786" t="s">
        <v>213</v>
      </c>
      <c r="D69" s="786"/>
      <c r="E69" s="73">
        <v>206</v>
      </c>
      <c r="F69" s="73">
        <v>1</v>
      </c>
      <c r="G69" s="123"/>
      <c r="H69" s="73">
        <v>9</v>
      </c>
      <c r="I69" s="73">
        <v>8</v>
      </c>
      <c r="J69" s="134">
        <v>17</v>
      </c>
      <c r="K69" s="92">
        <f t="shared" si="23"/>
        <v>0</v>
      </c>
      <c r="L69" s="92">
        <f t="shared" si="24"/>
        <v>52.941176470588239</v>
      </c>
      <c r="M69" s="92">
        <f t="shared" si="25"/>
        <v>47.058823529411761</v>
      </c>
      <c r="N69" s="125">
        <f t="shared" si="0"/>
        <v>100</v>
      </c>
      <c r="O69" s="91"/>
      <c r="P69" s="92">
        <v>36.799999999999997</v>
      </c>
      <c r="Q69" s="92">
        <v>34</v>
      </c>
      <c r="R69" s="93">
        <f t="shared" si="4"/>
        <v>70.8</v>
      </c>
      <c r="S69" s="97">
        <v>3</v>
      </c>
      <c r="T69" s="95"/>
      <c r="U69" s="85">
        <v>32303</v>
      </c>
      <c r="V69" s="82" t="s">
        <v>81</v>
      </c>
      <c r="W69" s="73" t="s">
        <v>82</v>
      </c>
      <c r="X69" s="73" t="s">
        <v>18</v>
      </c>
      <c r="Y69" s="83">
        <v>20.3</v>
      </c>
      <c r="Z69" s="73" t="s">
        <v>85</v>
      </c>
      <c r="AA69" s="73" t="s">
        <v>86</v>
      </c>
      <c r="AB69" s="73" t="s">
        <v>18</v>
      </c>
      <c r="AC69" s="73">
        <v>9</v>
      </c>
      <c r="AD69" s="82" t="s">
        <v>96</v>
      </c>
      <c r="AE69" s="73" t="s">
        <v>97</v>
      </c>
      <c r="AF69" s="73" t="s">
        <v>12</v>
      </c>
      <c r="AG69" s="83">
        <v>18.899999999999999</v>
      </c>
      <c r="AH69" s="73" t="s">
        <v>95</v>
      </c>
      <c r="AI69" s="73" t="s">
        <v>98</v>
      </c>
      <c r="AJ69" s="73" t="s">
        <v>12</v>
      </c>
      <c r="AK69" s="73">
        <v>15.1</v>
      </c>
      <c r="AL69" s="82" t="s">
        <v>89</v>
      </c>
      <c r="AM69" s="73" t="s">
        <v>90</v>
      </c>
      <c r="AN69" s="73" t="s">
        <v>18</v>
      </c>
      <c r="AO69" s="83">
        <v>7.5</v>
      </c>
      <c r="AP69" s="82"/>
      <c r="AS69" s="83"/>
      <c r="AW69" s="83"/>
      <c r="BA69" s="84"/>
    </row>
    <row r="70" spans="1:53" s="73" customFormat="1" x14ac:dyDescent="0.15">
      <c r="A70" s="73">
        <v>1989</v>
      </c>
      <c r="B70" s="85"/>
      <c r="C70" s="786" t="s">
        <v>213</v>
      </c>
      <c r="D70" s="786"/>
      <c r="E70" s="73">
        <v>0</v>
      </c>
      <c r="G70" s="123"/>
      <c r="H70" s="73">
        <v>9</v>
      </c>
      <c r="I70" s="73">
        <v>8</v>
      </c>
      <c r="J70" s="134">
        <v>17</v>
      </c>
      <c r="K70" s="92">
        <f t="shared" si="23"/>
        <v>0</v>
      </c>
      <c r="L70" s="92">
        <f t="shared" si="24"/>
        <v>52.941176470588239</v>
      </c>
      <c r="M70" s="92">
        <f t="shared" si="25"/>
        <v>47.058823529411761</v>
      </c>
      <c r="N70" s="125">
        <f t="shared" si="0"/>
        <v>100</v>
      </c>
      <c r="O70" s="91"/>
      <c r="P70" s="92">
        <v>36.799999999999997</v>
      </c>
      <c r="Q70" s="92">
        <v>34</v>
      </c>
      <c r="R70" s="93">
        <f t="shared" si="4"/>
        <v>70.8</v>
      </c>
      <c r="S70" s="97">
        <v>3</v>
      </c>
      <c r="T70" s="95"/>
      <c r="U70" s="85"/>
      <c r="V70" s="82" t="s">
        <v>81</v>
      </c>
      <c r="W70" s="73" t="s">
        <v>82</v>
      </c>
      <c r="X70" s="73" t="s">
        <v>18</v>
      </c>
      <c r="Y70" s="83">
        <v>20.3</v>
      </c>
      <c r="Z70" s="73" t="s">
        <v>85</v>
      </c>
      <c r="AA70" s="73" t="s">
        <v>86</v>
      </c>
      <c r="AB70" s="73" t="s">
        <v>18</v>
      </c>
      <c r="AC70" s="73">
        <v>9</v>
      </c>
      <c r="AD70" s="82" t="s">
        <v>96</v>
      </c>
      <c r="AE70" s="73" t="s">
        <v>97</v>
      </c>
      <c r="AF70" s="73" t="s">
        <v>12</v>
      </c>
      <c r="AG70" s="83">
        <v>18.899999999999999</v>
      </c>
      <c r="AH70" s="73" t="s">
        <v>95</v>
      </c>
      <c r="AI70" s="73" t="s">
        <v>98</v>
      </c>
      <c r="AJ70" s="73" t="s">
        <v>12</v>
      </c>
      <c r="AK70" s="73">
        <v>15.1</v>
      </c>
      <c r="AL70" s="82" t="s">
        <v>89</v>
      </c>
      <c r="AM70" s="73" t="s">
        <v>90</v>
      </c>
      <c r="AN70" s="73" t="s">
        <v>18</v>
      </c>
      <c r="AO70" s="83">
        <v>7.5</v>
      </c>
      <c r="AP70" s="82"/>
      <c r="AS70" s="83"/>
      <c r="AW70" s="83"/>
      <c r="BA70" s="84"/>
    </row>
    <row r="71" spans="1:53" s="136" customFormat="1" x14ac:dyDescent="0.15">
      <c r="A71" s="136">
        <v>1989</v>
      </c>
      <c r="B71" s="137"/>
      <c r="C71" s="821" t="s">
        <v>213</v>
      </c>
      <c r="D71" s="821"/>
      <c r="E71" s="136">
        <f>365-E70</f>
        <v>365</v>
      </c>
      <c r="G71" s="138"/>
      <c r="H71" s="136">
        <v>9</v>
      </c>
      <c r="I71" s="136">
        <v>8</v>
      </c>
      <c r="J71" s="139">
        <v>17</v>
      </c>
      <c r="K71" s="140">
        <f t="shared" si="23"/>
        <v>0</v>
      </c>
      <c r="L71" s="140">
        <f t="shared" si="24"/>
        <v>52.941176470588239</v>
      </c>
      <c r="M71" s="140">
        <f t="shared" si="25"/>
        <v>47.058823529411761</v>
      </c>
      <c r="N71" s="141">
        <f t="shared" si="0"/>
        <v>100</v>
      </c>
      <c r="O71" s="142"/>
      <c r="P71" s="140">
        <v>36.799999999999997</v>
      </c>
      <c r="Q71" s="140">
        <v>34</v>
      </c>
      <c r="R71" s="143">
        <f t="shared" si="4"/>
        <v>70.8</v>
      </c>
      <c r="S71" s="144">
        <v>3</v>
      </c>
      <c r="T71" s="145"/>
      <c r="U71" s="137"/>
      <c r="V71" s="146" t="s">
        <v>81</v>
      </c>
      <c r="W71" s="136" t="s">
        <v>82</v>
      </c>
      <c r="X71" s="136" t="s">
        <v>18</v>
      </c>
      <c r="Y71" s="147">
        <v>20.3</v>
      </c>
      <c r="Z71" s="136" t="s">
        <v>85</v>
      </c>
      <c r="AA71" s="136" t="s">
        <v>86</v>
      </c>
      <c r="AB71" s="136" t="s">
        <v>18</v>
      </c>
      <c r="AC71" s="136">
        <v>9</v>
      </c>
      <c r="AD71" s="146" t="s">
        <v>96</v>
      </c>
      <c r="AE71" s="136" t="s">
        <v>97</v>
      </c>
      <c r="AF71" s="136" t="s">
        <v>12</v>
      </c>
      <c r="AG71" s="147">
        <v>18.899999999999999</v>
      </c>
      <c r="AH71" s="136" t="s">
        <v>95</v>
      </c>
      <c r="AI71" s="136" t="s">
        <v>98</v>
      </c>
      <c r="AJ71" s="136" t="s">
        <v>12</v>
      </c>
      <c r="AK71" s="136">
        <v>15.1</v>
      </c>
      <c r="AL71" s="146" t="s">
        <v>89</v>
      </c>
      <c r="AM71" s="136" t="s">
        <v>90</v>
      </c>
      <c r="AN71" s="136" t="s">
        <v>18</v>
      </c>
      <c r="AO71" s="147">
        <v>7.5</v>
      </c>
      <c r="AP71" s="146"/>
      <c r="AS71" s="147"/>
      <c r="AW71" s="147"/>
      <c r="BA71" s="148"/>
    </row>
    <row r="72" spans="1:53" s="73" customFormat="1" x14ac:dyDescent="0.15">
      <c r="A72" s="73">
        <v>1990</v>
      </c>
      <c r="C72" s="786" t="s">
        <v>213</v>
      </c>
      <c r="D72" s="786"/>
      <c r="E72" s="73">
        <v>0</v>
      </c>
      <c r="G72" s="123"/>
      <c r="H72" s="73">
        <v>9</v>
      </c>
      <c r="I72" s="73">
        <v>8</v>
      </c>
      <c r="J72" s="134">
        <v>17</v>
      </c>
      <c r="K72" s="92">
        <f t="shared" si="23"/>
        <v>0</v>
      </c>
      <c r="L72" s="92">
        <f t="shared" si="24"/>
        <v>52.941176470588239</v>
      </c>
      <c r="M72" s="92">
        <f t="shared" si="25"/>
        <v>47.058823529411761</v>
      </c>
      <c r="N72" s="125">
        <f t="shared" ref="N72:N118" si="26">SUM(K72:M72)</f>
        <v>100</v>
      </c>
      <c r="O72" s="91"/>
      <c r="P72" s="92">
        <v>36.799999999999997</v>
      </c>
      <c r="Q72" s="92">
        <v>34</v>
      </c>
      <c r="R72" s="93">
        <f t="shared" si="4"/>
        <v>70.8</v>
      </c>
      <c r="S72" s="97">
        <v>3</v>
      </c>
      <c r="T72" s="95"/>
      <c r="U72" s="85"/>
      <c r="V72" s="82" t="s">
        <v>81</v>
      </c>
      <c r="W72" s="73" t="s">
        <v>82</v>
      </c>
      <c r="X72" s="73" t="s">
        <v>18</v>
      </c>
      <c r="Y72" s="83">
        <v>20.3</v>
      </c>
      <c r="Z72" s="73" t="s">
        <v>85</v>
      </c>
      <c r="AA72" s="73" t="s">
        <v>86</v>
      </c>
      <c r="AB72" s="73" t="s">
        <v>18</v>
      </c>
      <c r="AC72" s="73">
        <v>9</v>
      </c>
      <c r="AD72" s="82" t="s">
        <v>96</v>
      </c>
      <c r="AE72" s="73" t="s">
        <v>97</v>
      </c>
      <c r="AF72" s="73" t="s">
        <v>12</v>
      </c>
      <c r="AG72" s="83">
        <v>18.899999999999999</v>
      </c>
      <c r="AH72" s="73" t="s">
        <v>95</v>
      </c>
      <c r="AI72" s="73" t="s">
        <v>98</v>
      </c>
      <c r="AJ72" s="73" t="s">
        <v>12</v>
      </c>
      <c r="AK72" s="73">
        <v>15.1</v>
      </c>
      <c r="AL72" s="82" t="s">
        <v>89</v>
      </c>
      <c r="AM72" s="73" t="s">
        <v>90</v>
      </c>
      <c r="AN72" s="73" t="s">
        <v>18</v>
      </c>
      <c r="AO72" s="83">
        <v>7.5</v>
      </c>
      <c r="AP72" s="82"/>
      <c r="AS72" s="83"/>
      <c r="AW72" s="83"/>
      <c r="BA72" s="84"/>
    </row>
    <row r="73" spans="1:53" s="73" customFormat="1" x14ac:dyDescent="0.15">
      <c r="A73" s="73">
        <v>1990</v>
      </c>
      <c r="C73" s="786" t="s">
        <v>213</v>
      </c>
      <c r="D73" s="786"/>
      <c r="E73" s="73">
        <f>365-E72</f>
        <v>365</v>
      </c>
      <c r="G73" s="123"/>
      <c r="H73" s="73">
        <v>9</v>
      </c>
      <c r="I73" s="73">
        <v>8</v>
      </c>
      <c r="J73" s="134">
        <v>17</v>
      </c>
      <c r="K73" s="92">
        <f>G73/J73*100</f>
        <v>0</v>
      </c>
      <c r="L73" s="92">
        <f>H73/J73*100</f>
        <v>52.941176470588239</v>
      </c>
      <c r="M73" s="92">
        <f>I73/J73*100</f>
        <v>47.058823529411761</v>
      </c>
      <c r="N73" s="125">
        <f t="shared" si="26"/>
        <v>100</v>
      </c>
      <c r="O73" s="91"/>
      <c r="P73" s="92">
        <v>36.799999999999997</v>
      </c>
      <c r="Q73" s="92">
        <v>34</v>
      </c>
      <c r="R73" s="93">
        <f t="shared" ref="R73:R120" si="27">SUM(O73:Q73)</f>
        <v>70.8</v>
      </c>
      <c r="S73" s="97">
        <v>3</v>
      </c>
      <c r="T73" s="95"/>
      <c r="U73" s="85"/>
      <c r="V73" s="82" t="s">
        <v>81</v>
      </c>
      <c r="W73" s="73" t="s">
        <v>82</v>
      </c>
      <c r="X73" s="73" t="s">
        <v>18</v>
      </c>
      <c r="Y73" s="83">
        <v>20.3</v>
      </c>
      <c r="Z73" s="73" t="s">
        <v>85</v>
      </c>
      <c r="AA73" s="73" t="s">
        <v>86</v>
      </c>
      <c r="AB73" s="73" t="s">
        <v>18</v>
      </c>
      <c r="AC73" s="73">
        <v>9</v>
      </c>
      <c r="AD73" s="82" t="s">
        <v>96</v>
      </c>
      <c r="AE73" s="73" t="s">
        <v>97</v>
      </c>
      <c r="AF73" s="73" t="s">
        <v>12</v>
      </c>
      <c r="AG73" s="83">
        <v>18.899999999999999</v>
      </c>
      <c r="AH73" s="73" t="s">
        <v>95</v>
      </c>
      <c r="AI73" s="73" t="s">
        <v>98</v>
      </c>
      <c r="AJ73" s="73" t="s">
        <v>12</v>
      </c>
      <c r="AK73" s="73">
        <v>15.1</v>
      </c>
      <c r="AL73" s="82" t="s">
        <v>89</v>
      </c>
      <c r="AM73" s="73" t="s">
        <v>90</v>
      </c>
      <c r="AN73" s="73" t="s">
        <v>18</v>
      </c>
      <c r="AO73" s="83">
        <v>7.5</v>
      </c>
      <c r="AP73" s="82"/>
      <c r="AS73" s="83"/>
      <c r="AW73" s="83"/>
      <c r="BA73" s="84"/>
    </row>
    <row r="74" spans="1:53" s="73" customFormat="1" x14ac:dyDescent="0.15">
      <c r="A74" s="73">
        <v>1991</v>
      </c>
      <c r="C74" s="786" t="s">
        <v>213</v>
      </c>
      <c r="D74" s="786"/>
      <c r="E74" s="73">
        <v>275</v>
      </c>
      <c r="G74" s="123"/>
      <c r="H74" s="73">
        <v>9</v>
      </c>
      <c r="I74" s="73">
        <v>8</v>
      </c>
      <c r="J74" s="134">
        <v>17</v>
      </c>
      <c r="K74" s="92">
        <f>G74/J74*100</f>
        <v>0</v>
      </c>
      <c r="L74" s="92">
        <f>H74/J74*100</f>
        <v>52.941176470588239</v>
      </c>
      <c r="M74" s="92">
        <f>I74/J74*100</f>
        <v>47.058823529411761</v>
      </c>
      <c r="N74" s="125">
        <f t="shared" si="26"/>
        <v>100</v>
      </c>
      <c r="O74" s="91"/>
      <c r="P74" s="92">
        <v>36.799999999999997</v>
      </c>
      <c r="Q74" s="92">
        <v>34</v>
      </c>
      <c r="R74" s="93">
        <f t="shared" si="27"/>
        <v>70.8</v>
      </c>
      <c r="S74" s="97">
        <v>3</v>
      </c>
      <c r="T74" s="95"/>
      <c r="U74" s="85"/>
      <c r="V74" s="82" t="s">
        <v>81</v>
      </c>
      <c r="W74" s="73" t="s">
        <v>82</v>
      </c>
      <c r="X74" s="73" t="s">
        <v>18</v>
      </c>
      <c r="Y74" s="83">
        <v>20.3</v>
      </c>
      <c r="Z74" s="73" t="s">
        <v>85</v>
      </c>
      <c r="AA74" s="73" t="s">
        <v>86</v>
      </c>
      <c r="AB74" s="73" t="s">
        <v>18</v>
      </c>
      <c r="AC74" s="73">
        <v>9</v>
      </c>
      <c r="AD74" s="82" t="s">
        <v>96</v>
      </c>
      <c r="AE74" s="73" t="s">
        <v>97</v>
      </c>
      <c r="AF74" s="73" t="s">
        <v>12</v>
      </c>
      <c r="AG74" s="83">
        <v>18.899999999999999</v>
      </c>
      <c r="AH74" s="73" t="s">
        <v>95</v>
      </c>
      <c r="AI74" s="73" t="s">
        <v>98</v>
      </c>
      <c r="AJ74" s="73" t="s">
        <v>12</v>
      </c>
      <c r="AK74" s="73">
        <v>15.1</v>
      </c>
      <c r="AL74" s="82" t="s">
        <v>89</v>
      </c>
      <c r="AM74" s="73" t="s">
        <v>90</v>
      </c>
      <c r="AN74" s="73" t="s">
        <v>18</v>
      </c>
      <c r="AO74" s="83">
        <v>7.5</v>
      </c>
      <c r="AP74" s="82"/>
      <c r="AS74" s="83"/>
      <c r="AW74" s="83"/>
      <c r="BA74" s="84"/>
    </row>
    <row r="75" spans="1:53" s="334" customFormat="1" x14ac:dyDescent="0.15">
      <c r="A75" s="334">
        <v>1991</v>
      </c>
      <c r="B75" s="355">
        <v>33514</v>
      </c>
      <c r="C75" s="785" t="s">
        <v>214</v>
      </c>
      <c r="D75" s="785"/>
      <c r="E75" s="334">
        <f>365-E74</f>
        <v>90</v>
      </c>
      <c r="F75" s="334">
        <v>1</v>
      </c>
      <c r="G75" s="419"/>
      <c r="H75" s="334">
        <v>8</v>
      </c>
      <c r="I75" s="334">
        <v>9</v>
      </c>
      <c r="J75" s="435">
        <v>17</v>
      </c>
      <c r="K75" s="384">
        <f>G75/J75*100</f>
        <v>0</v>
      </c>
      <c r="L75" s="384">
        <f>H75/J75*100</f>
        <v>47.058823529411761</v>
      </c>
      <c r="M75" s="384">
        <f>I75/J75*100</f>
        <v>52.941176470588239</v>
      </c>
      <c r="N75" s="421">
        <f t="shared" si="26"/>
        <v>100</v>
      </c>
      <c r="O75" s="383"/>
      <c r="P75" s="384">
        <v>36.799999999999997</v>
      </c>
      <c r="Q75" s="384">
        <v>34</v>
      </c>
      <c r="R75" s="385">
        <f t="shared" si="27"/>
        <v>70.8</v>
      </c>
      <c r="S75" s="388">
        <v>3</v>
      </c>
      <c r="T75" s="342"/>
      <c r="U75" s="355">
        <v>33514</v>
      </c>
      <c r="V75" s="343" t="s">
        <v>81</v>
      </c>
      <c r="W75" s="334" t="s">
        <v>82</v>
      </c>
      <c r="X75" s="334" t="s">
        <v>18</v>
      </c>
      <c r="Y75" s="344">
        <v>20.3</v>
      </c>
      <c r="Z75" s="334" t="s">
        <v>85</v>
      </c>
      <c r="AA75" s="334" t="s">
        <v>86</v>
      </c>
      <c r="AB75" s="334" t="s">
        <v>18</v>
      </c>
      <c r="AC75" s="334">
        <v>9</v>
      </c>
      <c r="AD75" s="343" t="s">
        <v>96</v>
      </c>
      <c r="AE75" s="334" t="s">
        <v>97</v>
      </c>
      <c r="AF75" s="334" t="s">
        <v>12</v>
      </c>
      <c r="AG75" s="344">
        <v>18.899999999999999</v>
      </c>
      <c r="AH75" s="334" t="s">
        <v>95</v>
      </c>
      <c r="AI75" s="334" t="s">
        <v>98</v>
      </c>
      <c r="AJ75" s="334" t="s">
        <v>12</v>
      </c>
      <c r="AK75" s="334">
        <v>15.1</v>
      </c>
      <c r="AL75" s="343" t="s">
        <v>89</v>
      </c>
      <c r="AM75" s="334" t="s">
        <v>90</v>
      </c>
      <c r="AN75" s="334" t="s">
        <v>18</v>
      </c>
      <c r="AO75" s="344">
        <v>7.5</v>
      </c>
      <c r="AP75" s="343"/>
      <c r="AS75" s="344"/>
      <c r="AW75" s="344"/>
      <c r="BA75" s="345"/>
    </row>
    <row r="76" spans="1:53" s="334" customFormat="1" x14ac:dyDescent="0.15">
      <c r="A76" s="334">
        <v>1992</v>
      </c>
      <c r="C76" s="785" t="s">
        <v>214</v>
      </c>
      <c r="D76" s="785"/>
      <c r="E76" s="334">
        <v>72</v>
      </c>
      <c r="G76" s="419"/>
      <c r="H76" s="334">
        <v>8</v>
      </c>
      <c r="I76" s="334">
        <v>9</v>
      </c>
      <c r="J76" s="435">
        <v>17</v>
      </c>
      <c r="K76" s="384">
        <f>G76/J76*100</f>
        <v>0</v>
      </c>
      <c r="L76" s="384">
        <f>H76/J76*100</f>
        <v>47.058823529411761</v>
      </c>
      <c r="M76" s="384">
        <f>I76/J76*100</f>
        <v>52.941176470588239</v>
      </c>
      <c r="N76" s="421">
        <f t="shared" si="26"/>
        <v>100</v>
      </c>
      <c r="O76" s="383"/>
      <c r="P76" s="384">
        <v>36.799999999999997</v>
      </c>
      <c r="Q76" s="384">
        <v>34</v>
      </c>
      <c r="R76" s="385">
        <f t="shared" si="27"/>
        <v>70.8</v>
      </c>
      <c r="S76" s="388">
        <v>3</v>
      </c>
      <c r="T76" s="342">
        <v>33566</v>
      </c>
      <c r="V76" s="343" t="s">
        <v>81</v>
      </c>
      <c r="W76" s="334" t="s">
        <v>82</v>
      </c>
      <c r="X76" s="334" t="s">
        <v>18</v>
      </c>
      <c r="Y76" s="344">
        <v>20.3</v>
      </c>
      <c r="Z76" s="334" t="s">
        <v>85</v>
      </c>
      <c r="AA76" s="334" t="s">
        <v>86</v>
      </c>
      <c r="AB76" s="334" t="s">
        <v>18</v>
      </c>
      <c r="AC76" s="334">
        <v>9</v>
      </c>
      <c r="AD76" s="343" t="s">
        <v>96</v>
      </c>
      <c r="AE76" s="334" t="s">
        <v>97</v>
      </c>
      <c r="AF76" s="334" t="s">
        <v>12</v>
      </c>
      <c r="AG76" s="344">
        <v>18.899999999999999</v>
      </c>
      <c r="AH76" s="334" t="s">
        <v>95</v>
      </c>
      <c r="AI76" s="334" t="s">
        <v>98</v>
      </c>
      <c r="AJ76" s="334" t="s">
        <v>12</v>
      </c>
      <c r="AK76" s="334">
        <v>15.1</v>
      </c>
      <c r="AL76" s="343" t="s">
        <v>89</v>
      </c>
      <c r="AM76" s="334" t="s">
        <v>90</v>
      </c>
      <c r="AN76" s="334" t="s">
        <v>18</v>
      </c>
      <c r="AO76" s="344">
        <v>7.5</v>
      </c>
      <c r="AP76" s="343"/>
      <c r="AS76" s="344"/>
      <c r="AW76" s="344"/>
      <c r="BA76" s="345"/>
    </row>
    <row r="77" spans="1:53" s="73" customFormat="1" x14ac:dyDescent="0.15">
      <c r="A77" s="73">
        <v>1992</v>
      </c>
      <c r="B77" s="85">
        <v>33676</v>
      </c>
      <c r="C77" s="811" t="s">
        <v>215</v>
      </c>
      <c r="D77" s="811"/>
      <c r="E77" s="73">
        <v>294</v>
      </c>
      <c r="F77" s="73">
        <v>5</v>
      </c>
      <c r="G77" s="123"/>
      <c r="H77" s="73">
        <v>7</v>
      </c>
      <c r="I77" s="73">
        <v>8</v>
      </c>
      <c r="J77" s="134">
        <v>15</v>
      </c>
      <c r="K77" s="92">
        <f>G77/J77*100</f>
        <v>0</v>
      </c>
      <c r="L77" s="92">
        <f>H77/J77*100</f>
        <v>46.666666666666664</v>
      </c>
      <c r="M77" s="92">
        <f>I77/J77*100</f>
        <v>53.333333333333336</v>
      </c>
      <c r="N77" s="125">
        <f t="shared" si="26"/>
        <v>100</v>
      </c>
      <c r="O77" s="91"/>
      <c r="P77" s="92">
        <v>26.9</v>
      </c>
      <c r="Q77" s="92">
        <v>29.7</v>
      </c>
      <c r="R77" s="93">
        <f t="shared" si="27"/>
        <v>56.599999999999994</v>
      </c>
      <c r="S77" s="97">
        <v>2</v>
      </c>
      <c r="T77" s="95"/>
      <c r="U77" s="85">
        <v>33676</v>
      </c>
      <c r="V77" s="82" t="s">
        <v>81</v>
      </c>
      <c r="W77" s="73" t="s">
        <v>82</v>
      </c>
      <c r="X77" s="73" t="s">
        <v>18</v>
      </c>
      <c r="Y77" s="83">
        <v>18.399999999999999</v>
      </c>
      <c r="Z77" s="73" t="s">
        <v>85</v>
      </c>
      <c r="AA77" s="73" t="s">
        <v>86</v>
      </c>
      <c r="AB77" s="73" t="s">
        <v>18</v>
      </c>
      <c r="AC77" s="73">
        <v>8.5</v>
      </c>
      <c r="AD77" s="82" t="s">
        <v>96</v>
      </c>
      <c r="AE77" s="73" t="s">
        <v>97</v>
      </c>
      <c r="AF77" s="73" t="s">
        <v>12</v>
      </c>
      <c r="AG77" s="83">
        <v>16.5</v>
      </c>
      <c r="AH77" s="73" t="s">
        <v>95</v>
      </c>
      <c r="AI77" s="73" t="s">
        <v>98</v>
      </c>
      <c r="AJ77" s="73" t="s">
        <v>12</v>
      </c>
      <c r="AK77" s="73">
        <v>13.2</v>
      </c>
      <c r="AL77" s="82"/>
      <c r="AO77" s="83"/>
      <c r="AP77" s="82"/>
      <c r="AS77" s="83"/>
      <c r="AW77" s="83"/>
      <c r="BA77" s="84"/>
    </row>
    <row r="78" spans="1:53" s="73" customFormat="1" x14ac:dyDescent="0.15">
      <c r="A78" s="73">
        <v>1993</v>
      </c>
      <c r="C78" s="811" t="s">
        <v>215</v>
      </c>
      <c r="D78" s="811"/>
      <c r="E78" s="73">
        <v>0</v>
      </c>
      <c r="G78" s="123"/>
      <c r="H78" s="73">
        <v>7</v>
      </c>
      <c r="I78" s="73">
        <v>8</v>
      </c>
      <c r="J78" s="134">
        <v>15</v>
      </c>
      <c r="K78" s="92">
        <f t="shared" ref="K78:K101" si="28">G78/J78*100</f>
        <v>0</v>
      </c>
      <c r="L78" s="92">
        <f t="shared" ref="L78:L101" si="29">H78/J78*100</f>
        <v>46.666666666666664</v>
      </c>
      <c r="M78" s="92">
        <f t="shared" ref="M78:M101" si="30">I78/J78*100</f>
        <v>53.333333333333336</v>
      </c>
      <c r="N78" s="125">
        <f t="shared" si="26"/>
        <v>100</v>
      </c>
      <c r="O78" s="91"/>
      <c r="P78" s="92">
        <v>26.9</v>
      </c>
      <c r="Q78" s="92">
        <v>29.7</v>
      </c>
      <c r="R78" s="93">
        <f t="shared" si="27"/>
        <v>56.599999999999994</v>
      </c>
      <c r="S78" s="97">
        <v>2</v>
      </c>
      <c r="T78" s="95"/>
      <c r="V78" s="82" t="s">
        <v>81</v>
      </c>
      <c r="W78" s="73" t="s">
        <v>82</v>
      </c>
      <c r="X78" s="73" t="s">
        <v>18</v>
      </c>
      <c r="Y78" s="83">
        <v>18.399999999999999</v>
      </c>
      <c r="Z78" s="73" t="s">
        <v>85</v>
      </c>
      <c r="AA78" s="73" t="s">
        <v>86</v>
      </c>
      <c r="AB78" s="73" t="s">
        <v>18</v>
      </c>
      <c r="AC78" s="73">
        <v>8.5</v>
      </c>
      <c r="AD78" s="82" t="s">
        <v>96</v>
      </c>
      <c r="AE78" s="73" t="s">
        <v>97</v>
      </c>
      <c r="AF78" s="73" t="s">
        <v>12</v>
      </c>
      <c r="AG78" s="83">
        <v>16.5</v>
      </c>
      <c r="AH78" s="73" t="s">
        <v>95</v>
      </c>
      <c r="AI78" s="73" t="s">
        <v>98</v>
      </c>
      <c r="AJ78" s="73" t="s">
        <v>12</v>
      </c>
      <c r="AK78" s="73">
        <v>13.2</v>
      </c>
      <c r="AL78" s="82"/>
      <c r="AO78" s="83"/>
      <c r="AP78" s="82"/>
      <c r="AS78" s="83"/>
      <c r="AW78" s="83"/>
      <c r="BA78" s="84"/>
    </row>
    <row r="79" spans="1:53" s="73" customFormat="1" x14ac:dyDescent="0.15">
      <c r="A79" s="73">
        <v>1993</v>
      </c>
      <c r="C79" s="811" t="s">
        <v>215</v>
      </c>
      <c r="D79" s="811"/>
      <c r="E79" s="73">
        <f>365-E78</f>
        <v>365</v>
      </c>
      <c r="G79" s="123"/>
      <c r="H79" s="73">
        <v>7</v>
      </c>
      <c r="I79" s="73">
        <v>8</v>
      </c>
      <c r="J79" s="134">
        <v>15</v>
      </c>
      <c r="K79" s="92">
        <f t="shared" si="28"/>
        <v>0</v>
      </c>
      <c r="L79" s="92">
        <f t="shared" si="29"/>
        <v>46.666666666666664</v>
      </c>
      <c r="M79" s="92">
        <f t="shared" si="30"/>
        <v>53.333333333333336</v>
      </c>
      <c r="N79" s="125">
        <f t="shared" si="26"/>
        <v>100</v>
      </c>
      <c r="O79" s="91"/>
      <c r="P79" s="92">
        <v>26.9</v>
      </c>
      <c r="Q79" s="92">
        <v>29.7</v>
      </c>
      <c r="R79" s="93">
        <f t="shared" si="27"/>
        <v>56.599999999999994</v>
      </c>
      <c r="S79" s="97">
        <v>2</v>
      </c>
      <c r="T79" s="95"/>
      <c r="V79" s="82" t="s">
        <v>81</v>
      </c>
      <c r="W79" s="73" t="s">
        <v>82</v>
      </c>
      <c r="X79" s="73" t="s">
        <v>18</v>
      </c>
      <c r="Y79" s="83">
        <v>18.399999999999999</v>
      </c>
      <c r="Z79" s="73" t="s">
        <v>85</v>
      </c>
      <c r="AA79" s="73" t="s">
        <v>86</v>
      </c>
      <c r="AB79" s="73" t="s">
        <v>18</v>
      </c>
      <c r="AC79" s="73">
        <v>8.5</v>
      </c>
      <c r="AD79" s="82" t="s">
        <v>96</v>
      </c>
      <c r="AE79" s="73" t="s">
        <v>97</v>
      </c>
      <c r="AF79" s="73" t="s">
        <v>12</v>
      </c>
      <c r="AG79" s="83">
        <v>16.5</v>
      </c>
      <c r="AH79" s="73" t="s">
        <v>95</v>
      </c>
      <c r="AI79" s="73" t="s">
        <v>98</v>
      </c>
      <c r="AJ79" s="73" t="s">
        <v>12</v>
      </c>
      <c r="AK79" s="73">
        <v>13.2</v>
      </c>
      <c r="AL79" s="82"/>
      <c r="AO79" s="83"/>
      <c r="AP79" s="82"/>
      <c r="AS79" s="83"/>
      <c r="AW79" s="83"/>
      <c r="BA79" s="84"/>
    </row>
    <row r="80" spans="1:53" s="73" customFormat="1" x14ac:dyDescent="0.15">
      <c r="A80" s="73">
        <v>1994</v>
      </c>
      <c r="C80" s="811" t="s">
        <v>215</v>
      </c>
      <c r="D80" s="811"/>
      <c r="E80" s="73">
        <v>0</v>
      </c>
      <c r="G80" s="123"/>
      <c r="H80" s="73">
        <v>7</v>
      </c>
      <c r="I80" s="73">
        <v>8</v>
      </c>
      <c r="J80" s="134">
        <v>15</v>
      </c>
      <c r="K80" s="92">
        <f t="shared" si="28"/>
        <v>0</v>
      </c>
      <c r="L80" s="92">
        <f t="shared" si="29"/>
        <v>46.666666666666664</v>
      </c>
      <c r="M80" s="92">
        <f t="shared" si="30"/>
        <v>53.333333333333336</v>
      </c>
      <c r="N80" s="125">
        <f t="shared" si="26"/>
        <v>100</v>
      </c>
      <c r="O80" s="91"/>
      <c r="P80" s="92">
        <v>26.9</v>
      </c>
      <c r="Q80" s="92">
        <v>29.7</v>
      </c>
      <c r="R80" s="93">
        <f t="shared" si="27"/>
        <v>56.599999999999994</v>
      </c>
      <c r="S80" s="97">
        <v>2</v>
      </c>
      <c r="T80" s="95"/>
      <c r="V80" s="82" t="s">
        <v>81</v>
      </c>
      <c r="W80" s="73" t="s">
        <v>82</v>
      </c>
      <c r="X80" s="73" t="s">
        <v>18</v>
      </c>
      <c r="Y80" s="83">
        <v>18.399999999999999</v>
      </c>
      <c r="Z80" s="73" t="s">
        <v>85</v>
      </c>
      <c r="AA80" s="73" t="s">
        <v>86</v>
      </c>
      <c r="AB80" s="73" t="s">
        <v>18</v>
      </c>
      <c r="AC80" s="73">
        <v>8.5</v>
      </c>
      <c r="AD80" s="82" t="s">
        <v>96</v>
      </c>
      <c r="AE80" s="73" t="s">
        <v>97</v>
      </c>
      <c r="AF80" s="73" t="s">
        <v>12</v>
      </c>
      <c r="AG80" s="83">
        <v>16.5</v>
      </c>
      <c r="AH80" s="73" t="s">
        <v>95</v>
      </c>
      <c r="AI80" s="73" t="s">
        <v>98</v>
      </c>
      <c r="AJ80" s="73" t="s">
        <v>12</v>
      </c>
      <c r="AK80" s="73">
        <v>13.2</v>
      </c>
      <c r="AL80" s="82"/>
      <c r="AO80" s="83"/>
      <c r="AP80" s="82"/>
      <c r="AS80" s="83"/>
      <c r="AW80" s="83"/>
      <c r="BA80" s="84"/>
    </row>
    <row r="81" spans="1:53" s="73" customFormat="1" x14ac:dyDescent="0.15">
      <c r="A81" s="73">
        <v>1994</v>
      </c>
      <c r="C81" s="811" t="s">
        <v>215</v>
      </c>
      <c r="D81" s="811"/>
      <c r="E81" s="73">
        <f>365-E80</f>
        <v>365</v>
      </c>
      <c r="G81" s="123"/>
      <c r="H81" s="73">
        <v>7</v>
      </c>
      <c r="I81" s="73">
        <v>8</v>
      </c>
      <c r="J81" s="134">
        <v>15</v>
      </c>
      <c r="K81" s="92">
        <f t="shared" si="28"/>
        <v>0</v>
      </c>
      <c r="L81" s="92">
        <f t="shared" si="29"/>
        <v>46.666666666666664</v>
      </c>
      <c r="M81" s="92">
        <f t="shared" si="30"/>
        <v>53.333333333333336</v>
      </c>
      <c r="N81" s="125">
        <f t="shared" si="26"/>
        <v>100</v>
      </c>
      <c r="O81" s="91"/>
      <c r="P81" s="92">
        <v>26.9</v>
      </c>
      <c r="Q81" s="92">
        <v>29.7</v>
      </c>
      <c r="R81" s="93">
        <f t="shared" si="27"/>
        <v>56.599999999999994</v>
      </c>
      <c r="S81" s="97">
        <v>2</v>
      </c>
      <c r="T81" s="95"/>
      <c r="V81" s="82" t="s">
        <v>81</v>
      </c>
      <c r="W81" s="73" t="s">
        <v>82</v>
      </c>
      <c r="X81" s="73" t="s">
        <v>18</v>
      </c>
      <c r="Y81" s="83">
        <v>18.399999999999999</v>
      </c>
      <c r="Z81" s="73" t="s">
        <v>85</v>
      </c>
      <c r="AA81" s="73" t="s">
        <v>86</v>
      </c>
      <c r="AB81" s="73" t="s">
        <v>18</v>
      </c>
      <c r="AC81" s="73">
        <v>8.5</v>
      </c>
      <c r="AD81" s="82" t="s">
        <v>96</v>
      </c>
      <c r="AE81" s="73" t="s">
        <v>97</v>
      </c>
      <c r="AF81" s="73" t="s">
        <v>12</v>
      </c>
      <c r="AG81" s="83">
        <v>16.5</v>
      </c>
      <c r="AH81" s="73" t="s">
        <v>95</v>
      </c>
      <c r="AI81" s="73" t="s">
        <v>98</v>
      </c>
      <c r="AJ81" s="73" t="s">
        <v>12</v>
      </c>
      <c r="AK81" s="73">
        <v>13.2</v>
      </c>
      <c r="AL81" s="82"/>
      <c r="AO81" s="83"/>
      <c r="AP81" s="82"/>
      <c r="AS81" s="83"/>
      <c r="AW81" s="83"/>
      <c r="BA81" s="84"/>
    </row>
    <row r="82" spans="1:53" s="73" customFormat="1" x14ac:dyDescent="0.15">
      <c r="A82" s="73">
        <v>1995</v>
      </c>
      <c r="C82" s="811" t="s">
        <v>215</v>
      </c>
      <c r="D82" s="811"/>
      <c r="E82" s="73">
        <v>173</v>
      </c>
      <c r="G82" s="123"/>
      <c r="H82" s="73">
        <v>7</v>
      </c>
      <c r="I82" s="73">
        <v>8</v>
      </c>
      <c r="J82" s="134">
        <v>15</v>
      </c>
      <c r="K82" s="92">
        <f t="shared" si="28"/>
        <v>0</v>
      </c>
      <c r="L82" s="92">
        <f t="shared" si="29"/>
        <v>46.666666666666664</v>
      </c>
      <c r="M82" s="92">
        <f t="shared" si="30"/>
        <v>53.333333333333336</v>
      </c>
      <c r="N82" s="125">
        <f t="shared" si="26"/>
        <v>100</v>
      </c>
      <c r="O82" s="91"/>
      <c r="P82" s="92">
        <v>26.9</v>
      </c>
      <c r="Q82" s="92">
        <v>29.7</v>
      </c>
      <c r="R82" s="93">
        <f t="shared" si="27"/>
        <v>56.599999999999994</v>
      </c>
      <c r="S82" s="97">
        <v>2</v>
      </c>
      <c r="T82" s="95"/>
      <c r="V82" s="82" t="s">
        <v>81</v>
      </c>
      <c r="W82" s="73" t="s">
        <v>82</v>
      </c>
      <c r="X82" s="73" t="s">
        <v>18</v>
      </c>
      <c r="Y82" s="83">
        <v>18.399999999999999</v>
      </c>
      <c r="Z82" s="73" t="s">
        <v>85</v>
      </c>
      <c r="AA82" s="73" t="s">
        <v>86</v>
      </c>
      <c r="AB82" s="73" t="s">
        <v>18</v>
      </c>
      <c r="AC82" s="73">
        <v>8.5</v>
      </c>
      <c r="AD82" s="82" t="s">
        <v>96</v>
      </c>
      <c r="AE82" s="73" t="s">
        <v>97</v>
      </c>
      <c r="AF82" s="73" t="s">
        <v>12</v>
      </c>
      <c r="AG82" s="83">
        <v>16.5</v>
      </c>
      <c r="AH82" s="73" t="s">
        <v>95</v>
      </c>
      <c r="AI82" s="73" t="s">
        <v>98</v>
      </c>
      <c r="AJ82" s="73" t="s">
        <v>12</v>
      </c>
      <c r="AK82" s="73">
        <v>13.2</v>
      </c>
      <c r="AL82" s="82"/>
      <c r="AO82" s="83"/>
      <c r="AP82" s="82"/>
      <c r="AS82" s="83"/>
      <c r="AW82" s="83"/>
      <c r="BA82" s="84"/>
    </row>
    <row r="83" spans="1:53" s="334" customFormat="1" x14ac:dyDescent="0.15">
      <c r="A83" s="334">
        <v>1995</v>
      </c>
      <c r="B83" s="355">
        <v>34873</v>
      </c>
      <c r="C83" s="812" t="s">
        <v>216</v>
      </c>
      <c r="D83" s="812"/>
      <c r="E83" s="334">
        <f>365-E82</f>
        <v>192</v>
      </c>
      <c r="F83" s="334">
        <v>1</v>
      </c>
      <c r="G83" s="419"/>
      <c r="H83" s="334">
        <v>7</v>
      </c>
      <c r="I83" s="334">
        <v>8</v>
      </c>
      <c r="J83" s="435">
        <v>15</v>
      </c>
      <c r="K83" s="384">
        <f t="shared" si="28"/>
        <v>0</v>
      </c>
      <c r="L83" s="384">
        <f t="shared" si="29"/>
        <v>46.666666666666664</v>
      </c>
      <c r="M83" s="384">
        <f t="shared" si="30"/>
        <v>53.333333333333336</v>
      </c>
      <c r="N83" s="421">
        <f t="shared" si="26"/>
        <v>100</v>
      </c>
      <c r="O83" s="383"/>
      <c r="P83" s="384">
        <v>27.3</v>
      </c>
      <c r="Q83" s="384">
        <v>27.3</v>
      </c>
      <c r="R83" s="385">
        <f t="shared" si="27"/>
        <v>54.6</v>
      </c>
      <c r="S83" s="388">
        <v>2</v>
      </c>
      <c r="T83" s="342">
        <v>34840</v>
      </c>
      <c r="U83" s="355">
        <v>34873</v>
      </c>
      <c r="V83" s="343" t="s">
        <v>81</v>
      </c>
      <c r="W83" s="334" t="s">
        <v>82</v>
      </c>
      <c r="X83" s="334" t="s">
        <v>18</v>
      </c>
      <c r="Y83" s="344">
        <v>19.3</v>
      </c>
      <c r="Z83" s="334" t="s">
        <v>85</v>
      </c>
      <c r="AA83" s="334" t="s">
        <v>86</v>
      </c>
      <c r="AB83" s="334" t="s">
        <v>18</v>
      </c>
      <c r="AC83" s="334">
        <v>8</v>
      </c>
      <c r="AD83" s="343" t="s">
        <v>96</v>
      </c>
      <c r="AE83" s="334" t="s">
        <v>97</v>
      </c>
      <c r="AF83" s="334" t="s">
        <v>12</v>
      </c>
      <c r="AG83" s="344">
        <v>14</v>
      </c>
      <c r="AH83" s="334" t="s">
        <v>95</v>
      </c>
      <c r="AI83" s="334" t="s">
        <v>98</v>
      </c>
      <c r="AJ83" s="334" t="s">
        <v>12</v>
      </c>
      <c r="AK83" s="334">
        <v>13.3</v>
      </c>
      <c r="AL83" s="343"/>
      <c r="AO83" s="344"/>
      <c r="AP83" s="343"/>
      <c r="AS83" s="344"/>
      <c r="AW83" s="344"/>
      <c r="BA83" s="345"/>
    </row>
    <row r="84" spans="1:53" s="334" customFormat="1" x14ac:dyDescent="0.15">
      <c r="A84" s="334">
        <v>1996</v>
      </c>
      <c r="C84" s="812" t="s">
        <v>216</v>
      </c>
      <c r="D84" s="812"/>
      <c r="E84" s="334">
        <v>0</v>
      </c>
      <c r="G84" s="419"/>
      <c r="H84" s="334">
        <v>7</v>
      </c>
      <c r="I84" s="334">
        <v>8</v>
      </c>
      <c r="J84" s="435">
        <v>15</v>
      </c>
      <c r="K84" s="384">
        <f t="shared" si="28"/>
        <v>0</v>
      </c>
      <c r="L84" s="384">
        <f t="shared" si="29"/>
        <v>46.666666666666664</v>
      </c>
      <c r="M84" s="384">
        <f t="shared" si="30"/>
        <v>53.333333333333336</v>
      </c>
      <c r="N84" s="421">
        <f t="shared" si="26"/>
        <v>100</v>
      </c>
      <c r="O84" s="383"/>
      <c r="P84" s="384">
        <v>27.3</v>
      </c>
      <c r="Q84" s="384">
        <v>27.3</v>
      </c>
      <c r="R84" s="385">
        <f t="shared" si="27"/>
        <v>54.6</v>
      </c>
      <c r="S84" s="388">
        <v>2</v>
      </c>
      <c r="T84" s="342"/>
      <c r="V84" s="343" t="s">
        <v>81</v>
      </c>
      <c r="W84" s="334" t="s">
        <v>82</v>
      </c>
      <c r="X84" s="334" t="s">
        <v>18</v>
      </c>
      <c r="Y84" s="344">
        <v>19.3</v>
      </c>
      <c r="Z84" s="334" t="s">
        <v>85</v>
      </c>
      <c r="AA84" s="334" t="s">
        <v>86</v>
      </c>
      <c r="AB84" s="334" t="s">
        <v>18</v>
      </c>
      <c r="AC84" s="334">
        <v>8</v>
      </c>
      <c r="AD84" s="343" t="s">
        <v>96</v>
      </c>
      <c r="AE84" s="334" t="s">
        <v>97</v>
      </c>
      <c r="AF84" s="334" t="s">
        <v>12</v>
      </c>
      <c r="AG84" s="344">
        <v>14</v>
      </c>
      <c r="AH84" s="334" t="s">
        <v>95</v>
      </c>
      <c r="AI84" s="334" t="s">
        <v>98</v>
      </c>
      <c r="AJ84" s="334" t="s">
        <v>12</v>
      </c>
      <c r="AK84" s="334">
        <v>13.3</v>
      </c>
      <c r="AL84" s="343"/>
      <c r="AO84" s="344"/>
      <c r="AP84" s="343"/>
      <c r="AS84" s="344"/>
      <c r="AW84" s="344"/>
      <c r="BA84" s="345"/>
    </row>
    <row r="85" spans="1:53" s="334" customFormat="1" x14ac:dyDescent="0.15">
      <c r="A85" s="334">
        <v>1996</v>
      </c>
      <c r="C85" s="812" t="s">
        <v>216</v>
      </c>
      <c r="D85" s="812"/>
      <c r="E85" s="334">
        <v>366</v>
      </c>
      <c r="G85" s="419"/>
      <c r="H85" s="334">
        <v>7</v>
      </c>
      <c r="I85" s="334">
        <v>8</v>
      </c>
      <c r="J85" s="435">
        <v>15</v>
      </c>
      <c r="K85" s="384">
        <f t="shared" si="28"/>
        <v>0</v>
      </c>
      <c r="L85" s="384">
        <f t="shared" si="29"/>
        <v>46.666666666666664</v>
      </c>
      <c r="M85" s="384">
        <f t="shared" si="30"/>
        <v>53.333333333333336</v>
      </c>
      <c r="N85" s="421">
        <f t="shared" si="26"/>
        <v>100</v>
      </c>
      <c r="O85" s="383"/>
      <c r="P85" s="384">
        <v>27.3</v>
      </c>
      <c r="Q85" s="384">
        <v>27.3</v>
      </c>
      <c r="R85" s="385">
        <f t="shared" si="27"/>
        <v>54.6</v>
      </c>
      <c r="S85" s="388">
        <v>2</v>
      </c>
      <c r="T85" s="342"/>
      <c r="V85" s="343" t="s">
        <v>81</v>
      </c>
      <c r="W85" s="334" t="s">
        <v>82</v>
      </c>
      <c r="X85" s="334" t="s">
        <v>18</v>
      </c>
      <c r="Y85" s="344">
        <v>19.3</v>
      </c>
      <c r="Z85" s="334" t="s">
        <v>85</v>
      </c>
      <c r="AA85" s="334" t="s">
        <v>86</v>
      </c>
      <c r="AB85" s="334" t="s">
        <v>18</v>
      </c>
      <c r="AC85" s="334">
        <v>8</v>
      </c>
      <c r="AD85" s="343" t="s">
        <v>96</v>
      </c>
      <c r="AE85" s="334" t="s">
        <v>97</v>
      </c>
      <c r="AF85" s="334" t="s">
        <v>12</v>
      </c>
      <c r="AG85" s="344">
        <v>14</v>
      </c>
      <c r="AH85" s="334" t="s">
        <v>95</v>
      </c>
      <c r="AI85" s="334" t="s">
        <v>98</v>
      </c>
      <c r="AJ85" s="334" t="s">
        <v>12</v>
      </c>
      <c r="AK85" s="334">
        <v>13.3</v>
      </c>
      <c r="AL85" s="343"/>
      <c r="AO85" s="344"/>
      <c r="AP85" s="343"/>
      <c r="AS85" s="344"/>
      <c r="AW85" s="344"/>
      <c r="BA85" s="345"/>
    </row>
    <row r="86" spans="1:53" s="334" customFormat="1" x14ac:dyDescent="0.15">
      <c r="A86" s="334">
        <v>1997</v>
      </c>
      <c r="C86" s="812" t="s">
        <v>216</v>
      </c>
      <c r="D86" s="812"/>
      <c r="E86" s="334">
        <v>0</v>
      </c>
      <c r="G86" s="419"/>
      <c r="H86" s="334">
        <v>7</v>
      </c>
      <c r="I86" s="334">
        <v>8</v>
      </c>
      <c r="J86" s="435">
        <v>15</v>
      </c>
      <c r="K86" s="384">
        <f t="shared" si="28"/>
        <v>0</v>
      </c>
      <c r="L86" s="384">
        <f t="shared" si="29"/>
        <v>46.666666666666664</v>
      </c>
      <c r="M86" s="384">
        <f t="shared" si="30"/>
        <v>53.333333333333336</v>
      </c>
      <c r="N86" s="421">
        <f t="shared" si="26"/>
        <v>100</v>
      </c>
      <c r="O86" s="383"/>
      <c r="P86" s="384">
        <v>27.3</v>
      </c>
      <c r="Q86" s="384">
        <v>27.3</v>
      </c>
      <c r="R86" s="385">
        <f t="shared" si="27"/>
        <v>54.6</v>
      </c>
      <c r="S86" s="388">
        <v>2</v>
      </c>
      <c r="T86" s="342"/>
      <c r="V86" s="343" t="s">
        <v>81</v>
      </c>
      <c r="W86" s="334" t="s">
        <v>82</v>
      </c>
      <c r="X86" s="334" t="s">
        <v>18</v>
      </c>
      <c r="Y86" s="344">
        <v>19.3</v>
      </c>
      <c r="Z86" s="334" t="s">
        <v>85</v>
      </c>
      <c r="AA86" s="334" t="s">
        <v>86</v>
      </c>
      <c r="AB86" s="334" t="s">
        <v>18</v>
      </c>
      <c r="AC86" s="334">
        <v>8</v>
      </c>
      <c r="AD86" s="343" t="s">
        <v>96</v>
      </c>
      <c r="AE86" s="334" t="s">
        <v>97</v>
      </c>
      <c r="AF86" s="334" t="s">
        <v>12</v>
      </c>
      <c r="AG86" s="344">
        <v>14</v>
      </c>
      <c r="AH86" s="334" t="s">
        <v>95</v>
      </c>
      <c r="AI86" s="334" t="s">
        <v>98</v>
      </c>
      <c r="AJ86" s="334" t="s">
        <v>12</v>
      </c>
      <c r="AK86" s="334">
        <v>13.3</v>
      </c>
      <c r="AL86" s="343"/>
      <c r="AO86" s="344"/>
      <c r="AP86" s="343"/>
      <c r="AS86" s="344"/>
      <c r="AW86" s="344"/>
      <c r="BA86" s="345"/>
    </row>
    <row r="87" spans="1:53" s="334" customFormat="1" x14ac:dyDescent="0.15">
      <c r="A87" s="334">
        <v>1997</v>
      </c>
      <c r="C87" s="812" t="s">
        <v>216</v>
      </c>
      <c r="D87" s="812"/>
      <c r="E87" s="334">
        <f>365-E86</f>
        <v>365</v>
      </c>
      <c r="G87" s="419"/>
      <c r="H87" s="334">
        <v>7</v>
      </c>
      <c r="I87" s="334">
        <v>8</v>
      </c>
      <c r="J87" s="435">
        <v>15</v>
      </c>
      <c r="K87" s="384">
        <f t="shared" si="28"/>
        <v>0</v>
      </c>
      <c r="L87" s="384">
        <f t="shared" si="29"/>
        <v>46.666666666666664</v>
      </c>
      <c r="M87" s="384">
        <f t="shared" si="30"/>
        <v>53.333333333333336</v>
      </c>
      <c r="N87" s="421">
        <f t="shared" si="26"/>
        <v>100</v>
      </c>
      <c r="O87" s="383"/>
      <c r="P87" s="384">
        <v>27.3</v>
      </c>
      <c r="Q87" s="384">
        <v>27.3</v>
      </c>
      <c r="R87" s="385">
        <f t="shared" si="27"/>
        <v>54.6</v>
      </c>
      <c r="S87" s="388">
        <v>2</v>
      </c>
      <c r="T87" s="342"/>
      <c r="V87" s="343" t="s">
        <v>81</v>
      </c>
      <c r="W87" s="334" t="s">
        <v>82</v>
      </c>
      <c r="X87" s="334" t="s">
        <v>18</v>
      </c>
      <c r="Y87" s="344">
        <v>19.3</v>
      </c>
      <c r="Z87" s="334" t="s">
        <v>85</v>
      </c>
      <c r="AA87" s="334" t="s">
        <v>86</v>
      </c>
      <c r="AB87" s="334" t="s">
        <v>18</v>
      </c>
      <c r="AC87" s="334">
        <v>8</v>
      </c>
      <c r="AD87" s="343" t="s">
        <v>96</v>
      </c>
      <c r="AE87" s="334" t="s">
        <v>97</v>
      </c>
      <c r="AF87" s="334" t="s">
        <v>12</v>
      </c>
      <c r="AG87" s="344">
        <v>14</v>
      </c>
      <c r="AH87" s="334" t="s">
        <v>95</v>
      </c>
      <c r="AI87" s="334" t="s">
        <v>98</v>
      </c>
      <c r="AJ87" s="334" t="s">
        <v>12</v>
      </c>
      <c r="AK87" s="334">
        <v>13.3</v>
      </c>
      <c r="AL87" s="343"/>
      <c r="AO87" s="344"/>
      <c r="AP87" s="343"/>
      <c r="AS87" s="344"/>
      <c r="AW87" s="344"/>
      <c r="BA87" s="345"/>
    </row>
    <row r="88" spans="1:53" s="334" customFormat="1" x14ac:dyDescent="0.15">
      <c r="A88" s="334">
        <v>1998</v>
      </c>
      <c r="C88" s="812" t="s">
        <v>216</v>
      </c>
      <c r="D88" s="812"/>
      <c r="E88" s="334">
        <v>0</v>
      </c>
      <c r="G88" s="419"/>
      <c r="H88" s="334">
        <v>7</v>
      </c>
      <c r="I88" s="334">
        <v>8</v>
      </c>
      <c r="J88" s="435">
        <v>15</v>
      </c>
      <c r="K88" s="384">
        <f t="shared" si="28"/>
        <v>0</v>
      </c>
      <c r="L88" s="384">
        <f t="shared" si="29"/>
        <v>46.666666666666664</v>
      </c>
      <c r="M88" s="384">
        <f t="shared" si="30"/>
        <v>53.333333333333336</v>
      </c>
      <c r="N88" s="421">
        <f t="shared" si="26"/>
        <v>100</v>
      </c>
      <c r="O88" s="383"/>
      <c r="P88" s="384">
        <v>27.3</v>
      </c>
      <c r="Q88" s="384">
        <v>27.3</v>
      </c>
      <c r="R88" s="385">
        <f t="shared" si="27"/>
        <v>54.6</v>
      </c>
      <c r="S88" s="388">
        <v>2</v>
      </c>
      <c r="T88" s="342"/>
      <c r="V88" s="343" t="s">
        <v>81</v>
      </c>
      <c r="W88" s="334" t="s">
        <v>82</v>
      </c>
      <c r="X88" s="334" t="s">
        <v>18</v>
      </c>
      <c r="Y88" s="344">
        <v>19.3</v>
      </c>
      <c r="Z88" s="334" t="s">
        <v>85</v>
      </c>
      <c r="AA88" s="334" t="s">
        <v>86</v>
      </c>
      <c r="AB88" s="334" t="s">
        <v>18</v>
      </c>
      <c r="AC88" s="334">
        <v>8</v>
      </c>
      <c r="AD88" s="343" t="s">
        <v>96</v>
      </c>
      <c r="AE88" s="334" t="s">
        <v>97</v>
      </c>
      <c r="AF88" s="334" t="s">
        <v>12</v>
      </c>
      <c r="AG88" s="344">
        <v>14</v>
      </c>
      <c r="AH88" s="334" t="s">
        <v>95</v>
      </c>
      <c r="AI88" s="334" t="s">
        <v>98</v>
      </c>
      <c r="AJ88" s="334" t="s">
        <v>12</v>
      </c>
      <c r="AK88" s="334">
        <v>13.3</v>
      </c>
      <c r="AL88" s="343"/>
      <c r="AO88" s="344"/>
      <c r="AP88" s="343"/>
      <c r="AS88" s="344"/>
      <c r="AW88" s="344"/>
      <c r="BA88" s="345"/>
    </row>
    <row r="89" spans="1:53" s="334" customFormat="1" x14ac:dyDescent="0.15">
      <c r="A89" s="334">
        <v>1998</v>
      </c>
      <c r="C89" s="812" t="s">
        <v>216</v>
      </c>
      <c r="D89" s="812"/>
      <c r="E89" s="334">
        <f>365-E88</f>
        <v>365</v>
      </c>
      <c r="G89" s="419"/>
      <c r="H89" s="334">
        <v>7</v>
      </c>
      <c r="I89" s="334">
        <v>8</v>
      </c>
      <c r="J89" s="435">
        <v>15</v>
      </c>
      <c r="K89" s="384">
        <f t="shared" si="28"/>
        <v>0</v>
      </c>
      <c r="L89" s="384">
        <f t="shared" si="29"/>
        <v>46.666666666666664</v>
      </c>
      <c r="M89" s="384">
        <f t="shared" si="30"/>
        <v>53.333333333333336</v>
      </c>
      <c r="N89" s="421">
        <f t="shared" si="26"/>
        <v>100</v>
      </c>
      <c r="O89" s="383"/>
      <c r="P89" s="384">
        <v>27.3</v>
      </c>
      <c r="Q89" s="384">
        <v>27.3</v>
      </c>
      <c r="R89" s="385">
        <f t="shared" si="27"/>
        <v>54.6</v>
      </c>
      <c r="S89" s="388">
        <v>2</v>
      </c>
      <c r="T89" s="342"/>
      <c r="V89" s="343" t="s">
        <v>81</v>
      </c>
      <c r="W89" s="334" t="s">
        <v>82</v>
      </c>
      <c r="X89" s="334" t="s">
        <v>18</v>
      </c>
      <c r="Y89" s="344">
        <v>19.3</v>
      </c>
      <c r="Z89" s="334" t="s">
        <v>85</v>
      </c>
      <c r="AA89" s="334" t="s">
        <v>86</v>
      </c>
      <c r="AB89" s="334" t="s">
        <v>18</v>
      </c>
      <c r="AC89" s="334">
        <v>8</v>
      </c>
      <c r="AD89" s="343" t="s">
        <v>96</v>
      </c>
      <c r="AE89" s="334" t="s">
        <v>97</v>
      </c>
      <c r="AF89" s="334" t="s">
        <v>12</v>
      </c>
      <c r="AG89" s="344">
        <v>14</v>
      </c>
      <c r="AH89" s="334" t="s">
        <v>95</v>
      </c>
      <c r="AI89" s="334" t="s">
        <v>98</v>
      </c>
      <c r="AJ89" s="334" t="s">
        <v>12</v>
      </c>
      <c r="AK89" s="334">
        <v>13.3</v>
      </c>
      <c r="AL89" s="343"/>
      <c r="AO89" s="344"/>
      <c r="AP89" s="343"/>
      <c r="AS89" s="344"/>
      <c r="AW89" s="344"/>
      <c r="BA89" s="345"/>
    </row>
    <row r="90" spans="1:53" s="334" customFormat="1" x14ac:dyDescent="0.15">
      <c r="A90" s="334">
        <v>1999</v>
      </c>
      <c r="C90" s="812" t="s">
        <v>216</v>
      </c>
      <c r="D90" s="812"/>
      <c r="E90" s="334">
        <v>193</v>
      </c>
      <c r="G90" s="419"/>
      <c r="H90" s="334">
        <v>7</v>
      </c>
      <c r="I90" s="334">
        <v>8</v>
      </c>
      <c r="J90" s="435">
        <v>15</v>
      </c>
      <c r="K90" s="384">
        <f t="shared" si="28"/>
        <v>0</v>
      </c>
      <c r="L90" s="384">
        <f t="shared" si="29"/>
        <v>46.666666666666664</v>
      </c>
      <c r="M90" s="384">
        <f t="shared" si="30"/>
        <v>53.333333333333336</v>
      </c>
      <c r="N90" s="421">
        <f t="shared" si="26"/>
        <v>100</v>
      </c>
      <c r="O90" s="383"/>
      <c r="P90" s="384">
        <v>27.3</v>
      </c>
      <c r="Q90" s="384">
        <v>27.3</v>
      </c>
      <c r="R90" s="385">
        <f t="shared" si="27"/>
        <v>54.6</v>
      </c>
      <c r="S90" s="388">
        <v>2</v>
      </c>
      <c r="T90" s="342"/>
      <c r="V90" s="343" t="s">
        <v>81</v>
      </c>
      <c r="W90" s="334" t="s">
        <v>82</v>
      </c>
      <c r="X90" s="334" t="s">
        <v>18</v>
      </c>
      <c r="Y90" s="344">
        <v>19.3</v>
      </c>
      <c r="Z90" s="334" t="s">
        <v>85</v>
      </c>
      <c r="AA90" s="334" t="s">
        <v>86</v>
      </c>
      <c r="AB90" s="334" t="s">
        <v>18</v>
      </c>
      <c r="AC90" s="334">
        <v>8</v>
      </c>
      <c r="AD90" s="343" t="s">
        <v>96</v>
      </c>
      <c r="AE90" s="334" t="s">
        <v>97</v>
      </c>
      <c r="AF90" s="334" t="s">
        <v>12</v>
      </c>
      <c r="AG90" s="344">
        <v>14</v>
      </c>
      <c r="AH90" s="334" t="s">
        <v>95</v>
      </c>
      <c r="AI90" s="334" t="s">
        <v>98</v>
      </c>
      <c r="AJ90" s="334" t="s">
        <v>12</v>
      </c>
      <c r="AK90" s="334">
        <v>13.3</v>
      </c>
      <c r="AL90" s="343"/>
      <c r="AO90" s="344"/>
      <c r="AP90" s="343"/>
      <c r="AS90" s="344"/>
      <c r="AW90" s="344"/>
      <c r="BA90" s="345"/>
    </row>
    <row r="91" spans="1:53" s="73" customFormat="1" x14ac:dyDescent="0.15">
      <c r="A91" s="73">
        <v>1999</v>
      </c>
      <c r="B91" s="85">
        <v>36354</v>
      </c>
      <c r="C91" s="811" t="s">
        <v>217</v>
      </c>
      <c r="D91" s="811"/>
      <c r="E91" s="73">
        <f>365-E90</f>
        <v>172</v>
      </c>
      <c r="F91" s="73">
        <v>1</v>
      </c>
      <c r="G91" s="123">
        <v>7</v>
      </c>
      <c r="I91" s="73">
        <v>8</v>
      </c>
      <c r="J91" s="134">
        <v>15</v>
      </c>
      <c r="K91" s="92">
        <f t="shared" si="28"/>
        <v>46.666666666666664</v>
      </c>
      <c r="L91" s="92">
        <f t="shared" si="29"/>
        <v>0</v>
      </c>
      <c r="M91" s="92">
        <f t="shared" si="30"/>
        <v>53.333333333333336</v>
      </c>
      <c r="N91" s="125">
        <f t="shared" si="26"/>
        <v>100</v>
      </c>
      <c r="O91" s="91">
        <v>27.3</v>
      </c>
      <c r="P91" s="92"/>
      <c r="Q91" s="92">
        <v>35.299999999999997</v>
      </c>
      <c r="R91" s="93">
        <f t="shared" si="27"/>
        <v>62.599999999999994</v>
      </c>
      <c r="S91" s="97">
        <v>3</v>
      </c>
      <c r="T91" s="95">
        <v>36324</v>
      </c>
      <c r="U91" s="85">
        <v>36354</v>
      </c>
      <c r="V91" s="82" t="s">
        <v>218</v>
      </c>
      <c r="W91" s="73" t="s">
        <v>88</v>
      </c>
      <c r="X91" s="73" t="s">
        <v>11</v>
      </c>
      <c r="Y91" s="83">
        <v>15.3</v>
      </c>
      <c r="Z91" s="73" t="s">
        <v>96</v>
      </c>
      <c r="AA91" s="73" t="s">
        <v>97</v>
      </c>
      <c r="AB91" s="73" t="s">
        <v>12</v>
      </c>
      <c r="AC91" s="73">
        <v>12.7</v>
      </c>
      <c r="AD91" s="82" t="s">
        <v>99</v>
      </c>
      <c r="AE91" s="73" t="s">
        <v>100</v>
      </c>
      <c r="AF91" s="73" t="s">
        <v>11</v>
      </c>
      <c r="AG91" s="83">
        <v>12</v>
      </c>
      <c r="AH91" s="73" t="s">
        <v>95</v>
      </c>
      <c r="AI91" s="73" t="s">
        <v>98</v>
      </c>
      <c r="AJ91" s="73" t="s">
        <v>12</v>
      </c>
      <c r="AK91" s="73">
        <v>9.3000000000000007</v>
      </c>
      <c r="AL91" s="82" t="s">
        <v>219</v>
      </c>
      <c r="AM91" s="73" t="s">
        <v>221</v>
      </c>
      <c r="AN91" s="73" t="s">
        <v>12</v>
      </c>
      <c r="AO91" s="83">
        <v>7.3</v>
      </c>
      <c r="AP91" s="82" t="s">
        <v>220</v>
      </c>
      <c r="AQ91" s="73" t="s">
        <v>222</v>
      </c>
      <c r="AR91" s="73" t="s">
        <v>12</v>
      </c>
      <c r="AS91" s="83">
        <v>6</v>
      </c>
      <c r="AW91" s="83"/>
      <c r="BA91" s="84"/>
    </row>
    <row r="92" spans="1:53" s="73" customFormat="1" x14ac:dyDescent="0.15">
      <c r="A92" s="73">
        <v>2000</v>
      </c>
      <c r="C92" s="811" t="s">
        <v>217</v>
      </c>
      <c r="D92" s="811"/>
      <c r="E92" s="73">
        <v>0</v>
      </c>
      <c r="G92" s="123">
        <v>7</v>
      </c>
      <c r="I92" s="73">
        <v>8</v>
      </c>
      <c r="J92" s="134">
        <v>15</v>
      </c>
      <c r="K92" s="92">
        <f t="shared" si="28"/>
        <v>46.666666666666664</v>
      </c>
      <c r="L92" s="92">
        <f t="shared" si="29"/>
        <v>0</v>
      </c>
      <c r="M92" s="92">
        <f t="shared" si="30"/>
        <v>53.333333333333336</v>
      </c>
      <c r="N92" s="125">
        <f t="shared" si="26"/>
        <v>100</v>
      </c>
      <c r="O92" s="91">
        <v>27.3</v>
      </c>
      <c r="P92" s="92"/>
      <c r="Q92" s="92">
        <v>35.299999999999997</v>
      </c>
      <c r="R92" s="93">
        <f t="shared" si="27"/>
        <v>62.599999999999994</v>
      </c>
      <c r="S92" s="97">
        <v>3</v>
      </c>
      <c r="T92" s="95"/>
      <c r="V92" s="82" t="s">
        <v>218</v>
      </c>
      <c r="W92" s="73" t="s">
        <v>88</v>
      </c>
      <c r="X92" s="73" t="s">
        <v>11</v>
      </c>
      <c r="Y92" s="83">
        <v>15.3</v>
      </c>
      <c r="Z92" s="73" t="s">
        <v>96</v>
      </c>
      <c r="AA92" s="73" t="s">
        <v>97</v>
      </c>
      <c r="AB92" s="73" t="s">
        <v>12</v>
      </c>
      <c r="AC92" s="73">
        <v>12.7</v>
      </c>
      <c r="AD92" s="82" t="s">
        <v>99</v>
      </c>
      <c r="AE92" s="73" t="s">
        <v>100</v>
      </c>
      <c r="AF92" s="73" t="s">
        <v>11</v>
      </c>
      <c r="AG92" s="83">
        <v>12</v>
      </c>
      <c r="AH92" s="73" t="s">
        <v>95</v>
      </c>
      <c r="AI92" s="73" t="s">
        <v>98</v>
      </c>
      <c r="AJ92" s="73" t="s">
        <v>12</v>
      </c>
      <c r="AK92" s="73">
        <v>9.3000000000000007</v>
      </c>
      <c r="AL92" s="82" t="s">
        <v>219</v>
      </c>
      <c r="AM92" s="73" t="s">
        <v>221</v>
      </c>
      <c r="AN92" s="73" t="s">
        <v>12</v>
      </c>
      <c r="AO92" s="83">
        <v>7.3</v>
      </c>
      <c r="AP92" s="82" t="s">
        <v>220</v>
      </c>
      <c r="AQ92" s="73" t="s">
        <v>222</v>
      </c>
      <c r="AR92" s="73" t="s">
        <v>12</v>
      </c>
      <c r="AS92" s="83">
        <v>6</v>
      </c>
      <c r="AW92" s="83"/>
      <c r="BA92" s="84"/>
    </row>
    <row r="93" spans="1:53" s="73" customFormat="1" x14ac:dyDescent="0.15">
      <c r="A93" s="73">
        <v>2000</v>
      </c>
      <c r="C93" s="811" t="s">
        <v>217</v>
      </c>
      <c r="D93" s="811"/>
      <c r="E93" s="73">
        <v>366</v>
      </c>
      <c r="G93" s="123">
        <v>7</v>
      </c>
      <c r="I93" s="73">
        <v>8</v>
      </c>
      <c r="J93" s="134">
        <v>15</v>
      </c>
      <c r="K93" s="92">
        <f t="shared" si="28"/>
        <v>46.666666666666664</v>
      </c>
      <c r="L93" s="92">
        <f t="shared" si="29"/>
        <v>0</v>
      </c>
      <c r="M93" s="92">
        <f t="shared" si="30"/>
        <v>53.333333333333336</v>
      </c>
      <c r="N93" s="125">
        <f t="shared" si="26"/>
        <v>100</v>
      </c>
      <c r="O93" s="91">
        <v>27.3</v>
      </c>
      <c r="P93" s="92"/>
      <c r="Q93" s="92">
        <v>35.299999999999997</v>
      </c>
      <c r="R93" s="93">
        <f t="shared" si="27"/>
        <v>62.599999999999994</v>
      </c>
      <c r="S93" s="97">
        <v>3</v>
      </c>
      <c r="T93" s="95"/>
      <c r="V93" s="82" t="s">
        <v>218</v>
      </c>
      <c r="W93" s="73" t="s">
        <v>88</v>
      </c>
      <c r="X93" s="73" t="s">
        <v>11</v>
      </c>
      <c r="Y93" s="83">
        <v>15.3</v>
      </c>
      <c r="Z93" s="73" t="s">
        <v>96</v>
      </c>
      <c r="AA93" s="73" t="s">
        <v>97</v>
      </c>
      <c r="AB93" s="73" t="s">
        <v>12</v>
      </c>
      <c r="AC93" s="73">
        <v>12.7</v>
      </c>
      <c r="AD93" s="82" t="s">
        <v>99</v>
      </c>
      <c r="AE93" s="73" t="s">
        <v>100</v>
      </c>
      <c r="AF93" s="73" t="s">
        <v>11</v>
      </c>
      <c r="AG93" s="83">
        <v>12</v>
      </c>
      <c r="AH93" s="73" t="s">
        <v>95</v>
      </c>
      <c r="AI93" s="73" t="s">
        <v>98</v>
      </c>
      <c r="AJ93" s="73" t="s">
        <v>12</v>
      </c>
      <c r="AK93" s="73">
        <v>9.3000000000000007</v>
      </c>
      <c r="AL93" s="82" t="s">
        <v>219</v>
      </c>
      <c r="AM93" s="73" t="s">
        <v>221</v>
      </c>
      <c r="AN93" s="73" t="s">
        <v>12</v>
      </c>
      <c r="AO93" s="83">
        <v>7.3</v>
      </c>
      <c r="AP93" s="82" t="s">
        <v>220</v>
      </c>
      <c r="AQ93" s="73" t="s">
        <v>222</v>
      </c>
      <c r="AR93" s="73" t="s">
        <v>12</v>
      </c>
      <c r="AS93" s="83">
        <v>6</v>
      </c>
      <c r="AW93" s="83"/>
      <c r="BA93" s="84"/>
    </row>
    <row r="94" spans="1:53" s="73" customFormat="1" x14ac:dyDescent="0.15">
      <c r="A94" s="73">
        <v>2001</v>
      </c>
      <c r="C94" s="811" t="s">
        <v>217</v>
      </c>
      <c r="D94" s="811"/>
      <c r="E94" s="73">
        <v>0</v>
      </c>
      <c r="G94" s="123">
        <v>7</v>
      </c>
      <c r="I94" s="73">
        <v>8</v>
      </c>
      <c r="J94" s="134">
        <v>15</v>
      </c>
      <c r="K94" s="92">
        <f t="shared" si="28"/>
        <v>46.666666666666664</v>
      </c>
      <c r="L94" s="92">
        <f t="shared" si="29"/>
        <v>0</v>
      </c>
      <c r="M94" s="92">
        <f t="shared" si="30"/>
        <v>53.333333333333336</v>
      </c>
      <c r="N94" s="125">
        <f t="shared" si="26"/>
        <v>100</v>
      </c>
      <c r="O94" s="91">
        <v>27.3</v>
      </c>
      <c r="P94" s="92"/>
      <c r="Q94" s="92">
        <v>35.299999999999997</v>
      </c>
      <c r="R94" s="93">
        <f t="shared" si="27"/>
        <v>62.599999999999994</v>
      </c>
      <c r="S94" s="97">
        <v>3</v>
      </c>
      <c r="T94" s="95"/>
      <c r="V94" s="82" t="s">
        <v>218</v>
      </c>
      <c r="W94" s="73" t="s">
        <v>88</v>
      </c>
      <c r="X94" s="73" t="s">
        <v>11</v>
      </c>
      <c r="Y94" s="83">
        <v>15.3</v>
      </c>
      <c r="Z94" s="73" t="s">
        <v>96</v>
      </c>
      <c r="AA94" s="73" t="s">
        <v>97</v>
      </c>
      <c r="AB94" s="73" t="s">
        <v>12</v>
      </c>
      <c r="AC94" s="73">
        <v>12.7</v>
      </c>
      <c r="AD94" s="82" t="s">
        <v>99</v>
      </c>
      <c r="AE94" s="73" t="s">
        <v>100</v>
      </c>
      <c r="AF94" s="73" t="s">
        <v>11</v>
      </c>
      <c r="AG94" s="83">
        <v>12</v>
      </c>
      <c r="AH94" s="73" t="s">
        <v>95</v>
      </c>
      <c r="AI94" s="73" t="s">
        <v>98</v>
      </c>
      <c r="AJ94" s="73" t="s">
        <v>12</v>
      </c>
      <c r="AK94" s="73">
        <v>9.3000000000000007</v>
      </c>
      <c r="AL94" s="82" t="s">
        <v>219</v>
      </c>
      <c r="AM94" s="73" t="s">
        <v>221</v>
      </c>
      <c r="AN94" s="73" t="s">
        <v>12</v>
      </c>
      <c r="AO94" s="83">
        <v>7.3</v>
      </c>
      <c r="AP94" s="82" t="s">
        <v>220</v>
      </c>
      <c r="AQ94" s="73" t="s">
        <v>222</v>
      </c>
      <c r="AR94" s="73" t="s">
        <v>12</v>
      </c>
      <c r="AS94" s="83">
        <v>6</v>
      </c>
      <c r="AW94" s="83"/>
      <c r="BA94" s="84"/>
    </row>
    <row r="95" spans="1:53" s="73" customFormat="1" x14ac:dyDescent="0.15">
      <c r="A95" s="73">
        <v>2001</v>
      </c>
      <c r="C95" s="811" t="s">
        <v>217</v>
      </c>
      <c r="D95" s="811"/>
      <c r="E95" s="73">
        <f>365-E94</f>
        <v>365</v>
      </c>
      <c r="G95" s="123">
        <v>7</v>
      </c>
      <c r="I95" s="73">
        <v>8</v>
      </c>
      <c r="J95" s="134">
        <v>15</v>
      </c>
      <c r="K95" s="92">
        <f t="shared" si="28"/>
        <v>46.666666666666664</v>
      </c>
      <c r="L95" s="92">
        <f t="shared" si="29"/>
        <v>0</v>
      </c>
      <c r="M95" s="92">
        <f t="shared" si="30"/>
        <v>53.333333333333336</v>
      </c>
      <c r="N95" s="125">
        <f t="shared" si="26"/>
        <v>100</v>
      </c>
      <c r="O95" s="91">
        <v>27.3</v>
      </c>
      <c r="P95" s="92"/>
      <c r="Q95" s="92">
        <v>35.299999999999997</v>
      </c>
      <c r="R95" s="93">
        <f t="shared" si="27"/>
        <v>62.599999999999994</v>
      </c>
      <c r="S95" s="97">
        <v>3</v>
      </c>
      <c r="T95" s="95"/>
      <c r="V95" s="82" t="s">
        <v>218</v>
      </c>
      <c r="W95" s="73" t="s">
        <v>88</v>
      </c>
      <c r="X95" s="73" t="s">
        <v>11</v>
      </c>
      <c r="Y95" s="83">
        <v>15.3</v>
      </c>
      <c r="Z95" s="73" t="s">
        <v>96</v>
      </c>
      <c r="AA95" s="73" t="s">
        <v>97</v>
      </c>
      <c r="AB95" s="73" t="s">
        <v>12</v>
      </c>
      <c r="AC95" s="73">
        <v>12.7</v>
      </c>
      <c r="AD95" s="82" t="s">
        <v>99</v>
      </c>
      <c r="AE95" s="73" t="s">
        <v>100</v>
      </c>
      <c r="AF95" s="73" t="s">
        <v>11</v>
      </c>
      <c r="AG95" s="83">
        <v>12</v>
      </c>
      <c r="AH95" s="73" t="s">
        <v>95</v>
      </c>
      <c r="AI95" s="73" t="s">
        <v>98</v>
      </c>
      <c r="AJ95" s="73" t="s">
        <v>12</v>
      </c>
      <c r="AK95" s="73">
        <v>9.3000000000000007</v>
      </c>
      <c r="AL95" s="82" t="s">
        <v>219</v>
      </c>
      <c r="AM95" s="73" t="s">
        <v>221</v>
      </c>
      <c r="AN95" s="73" t="s">
        <v>12</v>
      </c>
      <c r="AO95" s="83">
        <v>7.3</v>
      </c>
      <c r="AP95" s="82" t="s">
        <v>220</v>
      </c>
      <c r="AQ95" s="73" t="s">
        <v>222</v>
      </c>
      <c r="AR95" s="73" t="s">
        <v>12</v>
      </c>
      <c r="AS95" s="83">
        <v>6</v>
      </c>
      <c r="AW95" s="83"/>
      <c r="BA95" s="84"/>
    </row>
    <row r="96" spans="1:53" s="73" customFormat="1" x14ac:dyDescent="0.15">
      <c r="A96" s="73">
        <v>2002</v>
      </c>
      <c r="C96" s="811" t="s">
        <v>217</v>
      </c>
      <c r="D96" s="811"/>
      <c r="E96" s="73">
        <v>0</v>
      </c>
      <c r="G96" s="123">
        <v>7</v>
      </c>
      <c r="I96" s="73">
        <v>8</v>
      </c>
      <c r="J96" s="134">
        <v>15</v>
      </c>
      <c r="K96" s="92">
        <f t="shared" si="28"/>
        <v>46.666666666666664</v>
      </c>
      <c r="L96" s="92">
        <f t="shared" si="29"/>
        <v>0</v>
      </c>
      <c r="M96" s="92">
        <f t="shared" si="30"/>
        <v>53.333333333333336</v>
      </c>
      <c r="N96" s="125">
        <f t="shared" si="26"/>
        <v>100</v>
      </c>
      <c r="O96" s="91">
        <v>27.3</v>
      </c>
      <c r="P96" s="92"/>
      <c r="Q96" s="92">
        <v>35.299999999999997</v>
      </c>
      <c r="R96" s="93">
        <f t="shared" si="27"/>
        <v>62.599999999999994</v>
      </c>
      <c r="S96" s="97">
        <v>3</v>
      </c>
      <c r="T96" s="95"/>
      <c r="V96" s="82" t="s">
        <v>218</v>
      </c>
      <c r="W96" s="73" t="s">
        <v>88</v>
      </c>
      <c r="X96" s="73" t="s">
        <v>11</v>
      </c>
      <c r="Y96" s="83">
        <v>15.3</v>
      </c>
      <c r="Z96" s="73" t="s">
        <v>96</v>
      </c>
      <c r="AA96" s="73" t="s">
        <v>97</v>
      </c>
      <c r="AB96" s="73" t="s">
        <v>12</v>
      </c>
      <c r="AC96" s="73">
        <v>12.7</v>
      </c>
      <c r="AD96" s="82" t="s">
        <v>99</v>
      </c>
      <c r="AE96" s="73" t="s">
        <v>100</v>
      </c>
      <c r="AF96" s="73" t="s">
        <v>11</v>
      </c>
      <c r="AG96" s="83">
        <v>12</v>
      </c>
      <c r="AH96" s="73" t="s">
        <v>95</v>
      </c>
      <c r="AI96" s="73" t="s">
        <v>98</v>
      </c>
      <c r="AJ96" s="73" t="s">
        <v>12</v>
      </c>
      <c r="AK96" s="73">
        <v>9.3000000000000007</v>
      </c>
      <c r="AL96" s="82" t="s">
        <v>219</v>
      </c>
      <c r="AM96" s="73" t="s">
        <v>221</v>
      </c>
      <c r="AN96" s="73" t="s">
        <v>12</v>
      </c>
      <c r="AO96" s="83">
        <v>7.3</v>
      </c>
      <c r="AP96" s="82" t="s">
        <v>220</v>
      </c>
      <c r="AQ96" s="73" t="s">
        <v>222</v>
      </c>
      <c r="AR96" s="73" t="s">
        <v>12</v>
      </c>
      <c r="AS96" s="83">
        <v>6</v>
      </c>
      <c r="AW96" s="83"/>
      <c r="BA96" s="84"/>
    </row>
    <row r="97" spans="1:53" s="73" customFormat="1" x14ac:dyDescent="0.15">
      <c r="A97" s="73">
        <v>2002</v>
      </c>
      <c r="C97" s="811" t="s">
        <v>217</v>
      </c>
      <c r="D97" s="811"/>
      <c r="E97" s="73">
        <f>365-E96</f>
        <v>365</v>
      </c>
      <c r="G97" s="123">
        <v>7</v>
      </c>
      <c r="I97" s="73">
        <v>8</v>
      </c>
      <c r="J97" s="134">
        <v>15</v>
      </c>
      <c r="K97" s="92">
        <f t="shared" si="28"/>
        <v>46.666666666666664</v>
      </c>
      <c r="L97" s="92">
        <f t="shared" si="29"/>
        <v>0</v>
      </c>
      <c r="M97" s="92">
        <f t="shared" si="30"/>
        <v>53.333333333333336</v>
      </c>
      <c r="N97" s="125">
        <f t="shared" si="26"/>
        <v>100</v>
      </c>
      <c r="O97" s="91">
        <v>27.3</v>
      </c>
      <c r="P97" s="92"/>
      <c r="Q97" s="92">
        <v>35.299999999999997</v>
      </c>
      <c r="R97" s="93">
        <f t="shared" si="27"/>
        <v>62.599999999999994</v>
      </c>
      <c r="S97" s="97">
        <v>3</v>
      </c>
      <c r="T97" s="95"/>
      <c r="V97" s="82" t="s">
        <v>218</v>
      </c>
      <c r="W97" s="73" t="s">
        <v>88</v>
      </c>
      <c r="X97" s="73" t="s">
        <v>11</v>
      </c>
      <c r="Y97" s="83">
        <v>15.3</v>
      </c>
      <c r="Z97" s="73" t="s">
        <v>96</v>
      </c>
      <c r="AA97" s="73" t="s">
        <v>97</v>
      </c>
      <c r="AB97" s="73" t="s">
        <v>12</v>
      </c>
      <c r="AC97" s="73">
        <v>12.7</v>
      </c>
      <c r="AD97" s="82" t="s">
        <v>99</v>
      </c>
      <c r="AE97" s="73" t="s">
        <v>100</v>
      </c>
      <c r="AF97" s="73" t="s">
        <v>11</v>
      </c>
      <c r="AG97" s="83">
        <v>12</v>
      </c>
      <c r="AH97" s="73" t="s">
        <v>95</v>
      </c>
      <c r="AI97" s="73" t="s">
        <v>98</v>
      </c>
      <c r="AJ97" s="73" t="s">
        <v>12</v>
      </c>
      <c r="AK97" s="73">
        <v>9.3000000000000007</v>
      </c>
      <c r="AL97" s="82" t="s">
        <v>219</v>
      </c>
      <c r="AM97" s="73" t="s">
        <v>221</v>
      </c>
      <c r="AN97" s="73" t="s">
        <v>12</v>
      </c>
      <c r="AO97" s="83">
        <v>7.3</v>
      </c>
      <c r="AP97" s="82" t="s">
        <v>220</v>
      </c>
      <c r="AQ97" s="73" t="s">
        <v>222</v>
      </c>
      <c r="AR97" s="73" t="s">
        <v>12</v>
      </c>
      <c r="AS97" s="83">
        <v>6</v>
      </c>
      <c r="AW97" s="83"/>
      <c r="BA97" s="84"/>
    </row>
    <row r="98" spans="1:53" s="73" customFormat="1" x14ac:dyDescent="0.15">
      <c r="A98" s="73">
        <v>2003</v>
      </c>
      <c r="C98" s="811" t="s">
        <v>217</v>
      </c>
      <c r="D98" s="811"/>
      <c r="E98" s="73">
        <v>192</v>
      </c>
      <c r="G98" s="123">
        <v>7</v>
      </c>
      <c r="I98" s="73">
        <v>8</v>
      </c>
      <c r="J98" s="134">
        <v>15</v>
      </c>
      <c r="K98" s="92">
        <f t="shared" si="28"/>
        <v>46.666666666666664</v>
      </c>
      <c r="L98" s="92">
        <f t="shared" si="29"/>
        <v>0</v>
      </c>
      <c r="M98" s="92">
        <f t="shared" si="30"/>
        <v>53.333333333333336</v>
      </c>
      <c r="N98" s="125">
        <f t="shared" si="26"/>
        <v>100</v>
      </c>
      <c r="O98" s="91">
        <v>27.3</v>
      </c>
      <c r="P98" s="92"/>
      <c r="Q98" s="92">
        <v>35.299999999999997</v>
      </c>
      <c r="R98" s="93">
        <f t="shared" si="27"/>
        <v>62.599999999999994</v>
      </c>
      <c r="S98" s="97">
        <v>3</v>
      </c>
      <c r="T98" s="95"/>
      <c r="V98" s="82" t="s">
        <v>218</v>
      </c>
      <c r="W98" s="73" t="s">
        <v>88</v>
      </c>
      <c r="X98" s="73" t="s">
        <v>11</v>
      </c>
      <c r="Y98" s="83">
        <v>15.3</v>
      </c>
      <c r="Z98" s="73" t="s">
        <v>96</v>
      </c>
      <c r="AA98" s="73" t="s">
        <v>97</v>
      </c>
      <c r="AB98" s="73" t="s">
        <v>12</v>
      </c>
      <c r="AC98" s="73">
        <v>12.7</v>
      </c>
      <c r="AD98" s="82" t="s">
        <v>99</v>
      </c>
      <c r="AE98" s="73" t="s">
        <v>100</v>
      </c>
      <c r="AF98" s="73" t="s">
        <v>11</v>
      </c>
      <c r="AG98" s="83">
        <v>12</v>
      </c>
      <c r="AH98" s="73" t="s">
        <v>95</v>
      </c>
      <c r="AI98" s="73" t="s">
        <v>98</v>
      </c>
      <c r="AJ98" s="73" t="s">
        <v>12</v>
      </c>
      <c r="AK98" s="73">
        <v>9.3000000000000007</v>
      </c>
      <c r="AL98" s="82" t="s">
        <v>219</v>
      </c>
      <c r="AM98" s="73" t="s">
        <v>221</v>
      </c>
      <c r="AN98" s="73" t="s">
        <v>12</v>
      </c>
      <c r="AO98" s="83">
        <v>7.3</v>
      </c>
      <c r="AP98" s="82" t="s">
        <v>220</v>
      </c>
      <c r="AQ98" s="73" t="s">
        <v>222</v>
      </c>
      <c r="AR98" s="73" t="s">
        <v>12</v>
      </c>
      <c r="AS98" s="83">
        <v>6</v>
      </c>
      <c r="AW98" s="83"/>
      <c r="BA98" s="84"/>
    </row>
    <row r="99" spans="1:53" s="334" customFormat="1" x14ac:dyDescent="0.15">
      <c r="A99" s="334">
        <v>2003</v>
      </c>
      <c r="B99" s="355">
        <v>37814</v>
      </c>
      <c r="C99" s="812" t="s">
        <v>223</v>
      </c>
      <c r="D99" s="812"/>
      <c r="E99" s="334">
        <v>173</v>
      </c>
      <c r="F99" s="334">
        <v>1</v>
      </c>
      <c r="G99" s="419">
        <v>7</v>
      </c>
      <c r="I99" s="334">
        <v>8</v>
      </c>
      <c r="J99" s="435">
        <v>15</v>
      </c>
      <c r="K99" s="384">
        <f t="shared" si="28"/>
        <v>46.666666666666664</v>
      </c>
      <c r="L99" s="384">
        <f t="shared" si="29"/>
        <v>0</v>
      </c>
      <c r="M99" s="384">
        <f t="shared" si="30"/>
        <v>53.333333333333336</v>
      </c>
      <c r="N99" s="421">
        <f t="shared" si="26"/>
        <v>100</v>
      </c>
      <c r="O99" s="383">
        <v>32.700000000000003</v>
      </c>
      <c r="P99" s="384"/>
      <c r="Q99" s="384">
        <v>32</v>
      </c>
      <c r="R99" s="385">
        <f t="shared" si="27"/>
        <v>64.7</v>
      </c>
      <c r="S99" s="388">
        <v>2</v>
      </c>
      <c r="T99" s="342">
        <v>37759</v>
      </c>
      <c r="U99" s="355">
        <v>37814</v>
      </c>
      <c r="V99" s="343" t="s">
        <v>218</v>
      </c>
      <c r="W99" s="334" t="s">
        <v>88</v>
      </c>
      <c r="X99" s="334" t="s">
        <v>11</v>
      </c>
      <c r="Y99" s="344">
        <v>16.7</v>
      </c>
      <c r="Z99" s="334" t="s">
        <v>96</v>
      </c>
      <c r="AA99" s="334" t="s">
        <v>97</v>
      </c>
      <c r="AB99" s="334" t="s">
        <v>12</v>
      </c>
      <c r="AC99" s="334">
        <v>16.7</v>
      </c>
      <c r="AD99" s="343" t="s">
        <v>224</v>
      </c>
      <c r="AE99" s="334" t="s">
        <v>100</v>
      </c>
      <c r="AF99" s="334" t="s">
        <v>11</v>
      </c>
      <c r="AG99" s="344">
        <v>16</v>
      </c>
      <c r="AH99" s="334" t="s">
        <v>95</v>
      </c>
      <c r="AI99" s="334" t="s">
        <v>98</v>
      </c>
      <c r="AJ99" s="334" t="s">
        <v>12</v>
      </c>
      <c r="AK99" s="334">
        <v>15.3</v>
      </c>
      <c r="AL99" s="343"/>
      <c r="AO99" s="344"/>
      <c r="AP99" s="343"/>
      <c r="AS99" s="344"/>
      <c r="AW99" s="344"/>
      <c r="BA99" s="345"/>
    </row>
    <row r="100" spans="1:53" s="334" customFormat="1" x14ac:dyDescent="0.15">
      <c r="A100" s="334">
        <v>2004</v>
      </c>
      <c r="C100" s="812" t="s">
        <v>223</v>
      </c>
      <c r="D100" s="812"/>
      <c r="E100" s="334">
        <v>0</v>
      </c>
      <c r="G100" s="419">
        <v>7</v>
      </c>
      <c r="I100" s="334">
        <v>8</v>
      </c>
      <c r="J100" s="435">
        <v>15</v>
      </c>
      <c r="K100" s="384">
        <f t="shared" si="28"/>
        <v>46.666666666666664</v>
      </c>
      <c r="L100" s="384">
        <f t="shared" si="29"/>
        <v>0</v>
      </c>
      <c r="M100" s="384">
        <f t="shared" si="30"/>
        <v>53.333333333333336</v>
      </c>
      <c r="N100" s="421">
        <f t="shared" si="26"/>
        <v>100</v>
      </c>
      <c r="O100" s="383">
        <v>32.700000000000003</v>
      </c>
      <c r="P100" s="384"/>
      <c r="Q100" s="384">
        <v>32</v>
      </c>
      <c r="R100" s="385">
        <f t="shared" si="27"/>
        <v>64.7</v>
      </c>
      <c r="S100" s="388">
        <v>2</v>
      </c>
      <c r="T100" s="342"/>
      <c r="V100" s="343" t="s">
        <v>218</v>
      </c>
      <c r="W100" s="334" t="s">
        <v>88</v>
      </c>
      <c r="X100" s="334" t="s">
        <v>11</v>
      </c>
      <c r="Y100" s="344">
        <v>16.7</v>
      </c>
      <c r="Z100" s="334" t="s">
        <v>96</v>
      </c>
      <c r="AA100" s="334" t="s">
        <v>97</v>
      </c>
      <c r="AB100" s="334" t="s">
        <v>12</v>
      </c>
      <c r="AC100" s="334">
        <v>16.7</v>
      </c>
      <c r="AD100" s="343" t="s">
        <v>224</v>
      </c>
      <c r="AE100" s="334" t="s">
        <v>100</v>
      </c>
      <c r="AF100" s="334" t="s">
        <v>11</v>
      </c>
      <c r="AG100" s="344">
        <v>16</v>
      </c>
      <c r="AH100" s="334" t="s">
        <v>95</v>
      </c>
      <c r="AI100" s="334" t="s">
        <v>98</v>
      </c>
      <c r="AJ100" s="334" t="s">
        <v>12</v>
      </c>
      <c r="AK100" s="334">
        <v>15.3</v>
      </c>
      <c r="AL100" s="343"/>
      <c r="AO100" s="344"/>
      <c r="AP100" s="343"/>
      <c r="AS100" s="344"/>
      <c r="AW100" s="344"/>
      <c r="BA100" s="345"/>
    </row>
    <row r="101" spans="1:53" s="334" customFormat="1" x14ac:dyDescent="0.15">
      <c r="A101" s="334">
        <v>2004</v>
      </c>
      <c r="C101" s="812" t="s">
        <v>223</v>
      </c>
      <c r="D101" s="812"/>
      <c r="E101" s="334">
        <v>366</v>
      </c>
      <c r="G101" s="419">
        <v>7</v>
      </c>
      <c r="I101" s="334">
        <v>8</v>
      </c>
      <c r="J101" s="435">
        <v>15</v>
      </c>
      <c r="K101" s="384">
        <f t="shared" si="28"/>
        <v>46.666666666666664</v>
      </c>
      <c r="L101" s="384">
        <f t="shared" si="29"/>
        <v>0</v>
      </c>
      <c r="M101" s="384">
        <f t="shared" si="30"/>
        <v>53.333333333333336</v>
      </c>
      <c r="N101" s="421">
        <f t="shared" si="26"/>
        <v>100</v>
      </c>
      <c r="O101" s="383">
        <v>32.700000000000003</v>
      </c>
      <c r="P101" s="384"/>
      <c r="Q101" s="384">
        <v>32</v>
      </c>
      <c r="R101" s="385">
        <f t="shared" si="27"/>
        <v>64.7</v>
      </c>
      <c r="S101" s="388">
        <v>2</v>
      </c>
      <c r="T101" s="342"/>
      <c r="V101" s="343" t="s">
        <v>218</v>
      </c>
      <c r="W101" s="334" t="s">
        <v>88</v>
      </c>
      <c r="X101" s="334" t="s">
        <v>11</v>
      </c>
      <c r="Y101" s="344">
        <v>16.7</v>
      </c>
      <c r="Z101" s="334" t="s">
        <v>96</v>
      </c>
      <c r="AA101" s="334" t="s">
        <v>97</v>
      </c>
      <c r="AB101" s="334" t="s">
        <v>12</v>
      </c>
      <c r="AC101" s="334">
        <v>16.7</v>
      </c>
      <c r="AD101" s="343" t="s">
        <v>224</v>
      </c>
      <c r="AE101" s="334" t="s">
        <v>100</v>
      </c>
      <c r="AF101" s="334" t="s">
        <v>11</v>
      </c>
      <c r="AG101" s="344">
        <v>16</v>
      </c>
      <c r="AH101" s="334" t="s">
        <v>95</v>
      </c>
      <c r="AI101" s="334" t="s">
        <v>98</v>
      </c>
      <c r="AJ101" s="334" t="s">
        <v>12</v>
      </c>
      <c r="AK101" s="334">
        <v>15.3</v>
      </c>
      <c r="AL101" s="343"/>
      <c r="AO101" s="344"/>
      <c r="AP101" s="343"/>
      <c r="AS101" s="344"/>
      <c r="AW101" s="344"/>
      <c r="BA101" s="345"/>
    </row>
    <row r="102" spans="1:53" s="334" customFormat="1" x14ac:dyDescent="0.15">
      <c r="A102" s="334">
        <v>2005</v>
      </c>
      <c r="C102" s="812" t="s">
        <v>223</v>
      </c>
      <c r="D102" s="812"/>
      <c r="E102" s="334">
        <v>0</v>
      </c>
      <c r="G102" s="419">
        <v>7</v>
      </c>
      <c r="I102" s="334">
        <v>8</v>
      </c>
      <c r="J102" s="435">
        <v>15</v>
      </c>
      <c r="K102" s="384">
        <f t="shared" ref="K102:K108" si="31">G102/J102*100</f>
        <v>46.666666666666664</v>
      </c>
      <c r="L102" s="384">
        <f t="shared" ref="L102:L108" si="32">H102/J102*100</f>
        <v>0</v>
      </c>
      <c r="M102" s="384">
        <f t="shared" ref="M102:M108" si="33">I102/J102*100</f>
        <v>53.333333333333336</v>
      </c>
      <c r="N102" s="421">
        <f t="shared" si="26"/>
        <v>100</v>
      </c>
      <c r="O102" s="383">
        <v>32.700000000000003</v>
      </c>
      <c r="P102" s="384"/>
      <c r="Q102" s="384">
        <v>32</v>
      </c>
      <c r="R102" s="385">
        <f t="shared" si="27"/>
        <v>64.7</v>
      </c>
      <c r="S102" s="388">
        <v>2</v>
      </c>
      <c r="T102" s="342"/>
      <c r="V102" s="343" t="s">
        <v>218</v>
      </c>
      <c r="W102" s="334" t="s">
        <v>88</v>
      </c>
      <c r="X102" s="334" t="s">
        <v>11</v>
      </c>
      <c r="Y102" s="344">
        <v>16.7</v>
      </c>
      <c r="Z102" s="334" t="s">
        <v>96</v>
      </c>
      <c r="AA102" s="334" t="s">
        <v>97</v>
      </c>
      <c r="AB102" s="334" t="s">
        <v>12</v>
      </c>
      <c r="AC102" s="334">
        <v>16.7</v>
      </c>
      <c r="AD102" s="343" t="s">
        <v>224</v>
      </c>
      <c r="AE102" s="334" t="s">
        <v>100</v>
      </c>
      <c r="AF102" s="334" t="s">
        <v>11</v>
      </c>
      <c r="AG102" s="344">
        <v>16</v>
      </c>
      <c r="AH102" s="334" t="s">
        <v>95</v>
      </c>
      <c r="AI102" s="334" t="s">
        <v>98</v>
      </c>
      <c r="AJ102" s="334" t="s">
        <v>12</v>
      </c>
      <c r="AK102" s="334">
        <v>15.3</v>
      </c>
      <c r="AL102" s="343"/>
      <c r="AO102" s="344"/>
      <c r="AP102" s="343"/>
      <c r="AS102" s="344"/>
      <c r="AW102" s="344"/>
      <c r="BA102" s="345"/>
    </row>
    <row r="103" spans="1:53" s="334" customFormat="1" x14ac:dyDescent="0.15">
      <c r="A103" s="334">
        <v>2005</v>
      </c>
      <c r="C103" s="812" t="s">
        <v>223</v>
      </c>
      <c r="D103" s="812"/>
      <c r="E103" s="334">
        <f>365-E102</f>
        <v>365</v>
      </c>
      <c r="G103" s="419">
        <v>7</v>
      </c>
      <c r="I103" s="334">
        <v>8</v>
      </c>
      <c r="J103" s="435">
        <v>15</v>
      </c>
      <c r="K103" s="384">
        <f t="shared" si="31"/>
        <v>46.666666666666664</v>
      </c>
      <c r="L103" s="384">
        <f t="shared" si="32"/>
        <v>0</v>
      </c>
      <c r="M103" s="384">
        <f t="shared" si="33"/>
        <v>53.333333333333336</v>
      </c>
      <c r="N103" s="421">
        <f t="shared" si="26"/>
        <v>100</v>
      </c>
      <c r="O103" s="383">
        <v>32.700000000000003</v>
      </c>
      <c r="P103" s="384"/>
      <c r="Q103" s="384">
        <v>32</v>
      </c>
      <c r="R103" s="385">
        <f t="shared" si="27"/>
        <v>64.7</v>
      </c>
      <c r="S103" s="388">
        <v>2</v>
      </c>
      <c r="T103" s="342"/>
      <c r="V103" s="343" t="s">
        <v>218</v>
      </c>
      <c r="W103" s="334" t="s">
        <v>88</v>
      </c>
      <c r="X103" s="334" t="s">
        <v>11</v>
      </c>
      <c r="Y103" s="344">
        <v>16.7</v>
      </c>
      <c r="Z103" s="334" t="s">
        <v>96</v>
      </c>
      <c r="AA103" s="334" t="s">
        <v>97</v>
      </c>
      <c r="AB103" s="334" t="s">
        <v>12</v>
      </c>
      <c r="AC103" s="334">
        <v>16.7</v>
      </c>
      <c r="AD103" s="343" t="s">
        <v>224</v>
      </c>
      <c r="AE103" s="334" t="s">
        <v>100</v>
      </c>
      <c r="AF103" s="334" t="s">
        <v>11</v>
      </c>
      <c r="AG103" s="344">
        <v>16</v>
      </c>
      <c r="AH103" s="334" t="s">
        <v>95</v>
      </c>
      <c r="AI103" s="334" t="s">
        <v>98</v>
      </c>
      <c r="AJ103" s="334" t="s">
        <v>12</v>
      </c>
      <c r="AK103" s="334">
        <v>15.3</v>
      </c>
      <c r="AL103" s="343"/>
      <c r="AO103" s="344"/>
      <c r="AP103" s="343"/>
      <c r="AS103" s="344"/>
      <c r="AW103" s="344"/>
      <c r="BA103" s="345"/>
    </row>
    <row r="104" spans="1:53" s="334" customFormat="1" x14ac:dyDescent="0.15">
      <c r="A104" s="334">
        <v>2006</v>
      </c>
      <c r="C104" s="812" t="s">
        <v>223</v>
      </c>
      <c r="D104" s="812"/>
      <c r="E104" s="334">
        <v>0</v>
      </c>
      <c r="G104" s="419">
        <v>7</v>
      </c>
      <c r="I104" s="334">
        <v>8</v>
      </c>
      <c r="J104" s="435">
        <v>15</v>
      </c>
      <c r="K104" s="384">
        <f>G104/J104*100</f>
        <v>46.666666666666664</v>
      </c>
      <c r="L104" s="384">
        <f t="shared" si="32"/>
        <v>0</v>
      </c>
      <c r="M104" s="384">
        <f t="shared" si="33"/>
        <v>53.333333333333336</v>
      </c>
      <c r="N104" s="421">
        <f t="shared" si="26"/>
        <v>100</v>
      </c>
      <c r="O104" s="383">
        <v>32.700000000000003</v>
      </c>
      <c r="P104" s="384"/>
      <c r="Q104" s="384">
        <v>32</v>
      </c>
      <c r="R104" s="385">
        <f t="shared" si="27"/>
        <v>64.7</v>
      </c>
      <c r="S104" s="388">
        <v>2</v>
      </c>
      <c r="T104" s="342"/>
      <c r="V104" s="343" t="s">
        <v>218</v>
      </c>
      <c r="W104" s="334" t="s">
        <v>88</v>
      </c>
      <c r="X104" s="334" t="s">
        <v>11</v>
      </c>
      <c r="Y104" s="344">
        <v>16.7</v>
      </c>
      <c r="Z104" s="334" t="s">
        <v>96</v>
      </c>
      <c r="AA104" s="334" t="s">
        <v>97</v>
      </c>
      <c r="AB104" s="334" t="s">
        <v>12</v>
      </c>
      <c r="AC104" s="334">
        <v>16.7</v>
      </c>
      <c r="AD104" s="343" t="s">
        <v>224</v>
      </c>
      <c r="AE104" s="334" t="s">
        <v>100</v>
      </c>
      <c r="AF104" s="334" t="s">
        <v>11</v>
      </c>
      <c r="AG104" s="344">
        <v>16</v>
      </c>
      <c r="AH104" s="334" t="s">
        <v>95</v>
      </c>
      <c r="AI104" s="334" t="s">
        <v>98</v>
      </c>
      <c r="AJ104" s="334" t="s">
        <v>12</v>
      </c>
      <c r="AK104" s="334">
        <v>15.3</v>
      </c>
      <c r="AL104" s="343"/>
      <c r="AO104" s="344"/>
      <c r="AP104" s="343"/>
      <c r="AS104" s="344"/>
      <c r="AW104" s="344"/>
      <c r="BA104" s="345"/>
    </row>
    <row r="105" spans="1:53" s="334" customFormat="1" x14ac:dyDescent="0.15">
      <c r="A105" s="334">
        <v>2006</v>
      </c>
      <c r="C105" s="812" t="s">
        <v>223</v>
      </c>
      <c r="D105" s="812"/>
      <c r="E105" s="334">
        <f>365-E104</f>
        <v>365</v>
      </c>
      <c r="G105" s="419">
        <v>7</v>
      </c>
      <c r="I105" s="334">
        <v>8</v>
      </c>
      <c r="J105" s="435">
        <v>15</v>
      </c>
      <c r="K105" s="384">
        <f t="shared" si="31"/>
        <v>46.666666666666664</v>
      </c>
      <c r="L105" s="384">
        <f t="shared" si="32"/>
        <v>0</v>
      </c>
      <c r="M105" s="384">
        <f t="shared" si="33"/>
        <v>53.333333333333336</v>
      </c>
      <c r="N105" s="421">
        <f t="shared" si="26"/>
        <v>100</v>
      </c>
      <c r="O105" s="383">
        <v>32.700000000000003</v>
      </c>
      <c r="P105" s="384"/>
      <c r="Q105" s="384">
        <v>32</v>
      </c>
      <c r="R105" s="385">
        <f t="shared" si="27"/>
        <v>64.7</v>
      </c>
      <c r="S105" s="388">
        <v>2</v>
      </c>
      <c r="T105" s="342"/>
      <c r="V105" s="343" t="s">
        <v>218</v>
      </c>
      <c r="W105" s="334" t="s">
        <v>88</v>
      </c>
      <c r="X105" s="334" t="s">
        <v>11</v>
      </c>
      <c r="Y105" s="344">
        <v>16.7</v>
      </c>
      <c r="Z105" s="334" t="s">
        <v>96</v>
      </c>
      <c r="AA105" s="334" t="s">
        <v>97</v>
      </c>
      <c r="AB105" s="334" t="s">
        <v>12</v>
      </c>
      <c r="AC105" s="334">
        <v>16.7</v>
      </c>
      <c r="AD105" s="343" t="s">
        <v>224</v>
      </c>
      <c r="AE105" s="334" t="s">
        <v>100</v>
      </c>
      <c r="AF105" s="334" t="s">
        <v>11</v>
      </c>
      <c r="AG105" s="344">
        <v>16</v>
      </c>
      <c r="AH105" s="334" t="s">
        <v>95</v>
      </c>
      <c r="AI105" s="334" t="s">
        <v>98</v>
      </c>
      <c r="AJ105" s="334" t="s">
        <v>12</v>
      </c>
      <c r="AK105" s="334">
        <v>15.3</v>
      </c>
      <c r="AL105" s="343"/>
      <c r="AO105" s="344"/>
      <c r="AP105" s="343"/>
      <c r="AS105" s="344"/>
      <c r="AW105" s="344"/>
      <c r="BA105" s="345"/>
    </row>
    <row r="106" spans="1:53" s="334" customFormat="1" x14ac:dyDescent="0.15">
      <c r="A106" s="334">
        <v>2007</v>
      </c>
      <c r="C106" s="812" t="s">
        <v>223</v>
      </c>
      <c r="D106" s="812"/>
      <c r="E106" s="334">
        <v>354</v>
      </c>
      <c r="G106" s="419">
        <v>7</v>
      </c>
      <c r="I106" s="334">
        <v>8</v>
      </c>
      <c r="J106" s="435">
        <v>15</v>
      </c>
      <c r="K106" s="384">
        <f t="shared" si="31"/>
        <v>46.666666666666664</v>
      </c>
      <c r="L106" s="384">
        <f t="shared" si="32"/>
        <v>0</v>
      </c>
      <c r="M106" s="384">
        <f t="shared" si="33"/>
        <v>53.333333333333336</v>
      </c>
      <c r="N106" s="421">
        <f t="shared" si="26"/>
        <v>100</v>
      </c>
      <c r="O106" s="383">
        <v>32.700000000000003</v>
      </c>
      <c r="P106" s="384"/>
      <c r="Q106" s="384">
        <v>32</v>
      </c>
      <c r="R106" s="385">
        <f t="shared" si="27"/>
        <v>64.7</v>
      </c>
      <c r="S106" s="388">
        <v>2</v>
      </c>
      <c r="T106" s="342"/>
      <c r="V106" s="343" t="s">
        <v>218</v>
      </c>
      <c r="W106" s="334" t="s">
        <v>88</v>
      </c>
      <c r="X106" s="334" t="s">
        <v>11</v>
      </c>
      <c r="Y106" s="344">
        <v>16.7</v>
      </c>
      <c r="Z106" s="334" t="s">
        <v>96</v>
      </c>
      <c r="AA106" s="334" t="s">
        <v>97</v>
      </c>
      <c r="AB106" s="334" t="s">
        <v>12</v>
      </c>
      <c r="AC106" s="334">
        <v>16.7</v>
      </c>
      <c r="AD106" s="343" t="s">
        <v>224</v>
      </c>
      <c r="AE106" s="334" t="s">
        <v>100</v>
      </c>
      <c r="AF106" s="334" t="s">
        <v>11</v>
      </c>
      <c r="AG106" s="344">
        <v>16</v>
      </c>
      <c r="AH106" s="334" t="s">
        <v>95</v>
      </c>
      <c r="AI106" s="334" t="s">
        <v>98</v>
      </c>
      <c r="AJ106" s="334" t="s">
        <v>12</v>
      </c>
      <c r="AK106" s="334">
        <v>15.3</v>
      </c>
      <c r="AL106" s="343"/>
      <c r="AO106" s="344"/>
      <c r="AP106" s="343"/>
      <c r="AS106" s="344"/>
      <c r="AW106" s="344"/>
      <c r="BA106" s="345"/>
    </row>
    <row r="107" spans="1:53" s="73" customFormat="1" x14ac:dyDescent="0.15">
      <c r="A107" s="73">
        <v>2007</v>
      </c>
      <c r="B107" s="85">
        <v>39437</v>
      </c>
      <c r="C107" s="811" t="s">
        <v>225</v>
      </c>
      <c r="D107" s="811"/>
      <c r="E107" s="73">
        <f>365-E106</f>
        <v>11</v>
      </c>
      <c r="F107" s="73">
        <v>1</v>
      </c>
      <c r="G107" s="123">
        <v>6</v>
      </c>
      <c r="H107" s="73">
        <v>5</v>
      </c>
      <c r="I107" s="73">
        <v>3</v>
      </c>
      <c r="J107" s="134">
        <v>14</v>
      </c>
      <c r="K107" s="92">
        <f t="shared" si="31"/>
        <v>42.857142857142854</v>
      </c>
      <c r="L107" s="92">
        <f t="shared" si="32"/>
        <v>35.714285714285715</v>
      </c>
      <c r="M107" s="92">
        <f t="shared" si="33"/>
        <v>21.428571428571427</v>
      </c>
      <c r="N107" s="125">
        <f t="shared" si="26"/>
        <v>100</v>
      </c>
      <c r="O107" s="91">
        <v>27.3</v>
      </c>
      <c r="P107" s="92">
        <v>26.7</v>
      </c>
      <c r="Q107" s="92">
        <v>13.3</v>
      </c>
      <c r="R107" s="93">
        <f t="shared" si="27"/>
        <v>67.3</v>
      </c>
      <c r="S107" s="97">
        <v>3</v>
      </c>
      <c r="T107" s="95">
        <v>39243</v>
      </c>
      <c r="U107" s="85">
        <v>39437</v>
      </c>
      <c r="V107" s="82" t="s">
        <v>218</v>
      </c>
      <c r="W107" s="73" t="s">
        <v>88</v>
      </c>
      <c r="X107" s="73" t="s">
        <v>11</v>
      </c>
      <c r="Y107" s="83">
        <v>12</v>
      </c>
      <c r="Z107" s="73" t="s">
        <v>226</v>
      </c>
      <c r="AA107" s="73" t="s">
        <v>82</v>
      </c>
      <c r="AB107" s="73" t="s">
        <v>18</v>
      </c>
      <c r="AC107" s="73">
        <v>20</v>
      </c>
      <c r="AD107" s="82" t="s">
        <v>224</v>
      </c>
      <c r="AE107" s="73" t="s">
        <v>100</v>
      </c>
      <c r="AF107" s="73" t="s">
        <v>11</v>
      </c>
      <c r="AG107" s="83">
        <v>15.3</v>
      </c>
      <c r="AH107" s="73" t="s">
        <v>96</v>
      </c>
      <c r="AI107" s="73" t="s">
        <v>97</v>
      </c>
      <c r="AJ107" s="73" t="s">
        <v>12</v>
      </c>
      <c r="AK107" s="73">
        <v>13.3</v>
      </c>
      <c r="AL107" s="82" t="s">
        <v>227</v>
      </c>
      <c r="AM107" s="73" t="s">
        <v>86</v>
      </c>
      <c r="AN107" s="73" t="s">
        <v>18</v>
      </c>
      <c r="AO107" s="83">
        <v>6.7</v>
      </c>
      <c r="AP107" s="82"/>
      <c r="AS107" s="83"/>
      <c r="AW107" s="83"/>
      <c r="BA107" s="84"/>
    </row>
    <row r="108" spans="1:53" s="73" customFormat="1" x14ac:dyDescent="0.15">
      <c r="A108" s="73">
        <v>2008</v>
      </c>
      <c r="C108" s="811" t="s">
        <v>225</v>
      </c>
      <c r="D108" s="811"/>
      <c r="E108" s="73">
        <v>79</v>
      </c>
      <c r="G108" s="123">
        <v>6</v>
      </c>
      <c r="H108" s="73">
        <v>5</v>
      </c>
      <c r="I108" s="73">
        <v>3</v>
      </c>
      <c r="J108" s="134">
        <v>14</v>
      </c>
      <c r="K108" s="92">
        <f t="shared" si="31"/>
        <v>42.857142857142854</v>
      </c>
      <c r="L108" s="92">
        <f t="shared" si="32"/>
        <v>35.714285714285715</v>
      </c>
      <c r="M108" s="92">
        <f t="shared" si="33"/>
        <v>21.428571428571427</v>
      </c>
      <c r="N108" s="125">
        <f t="shared" si="26"/>
        <v>100</v>
      </c>
      <c r="O108" s="91">
        <v>27.3</v>
      </c>
      <c r="P108" s="92">
        <v>26.7</v>
      </c>
      <c r="Q108" s="92">
        <v>13.3</v>
      </c>
      <c r="R108" s="93">
        <f t="shared" si="27"/>
        <v>67.3</v>
      </c>
      <c r="S108" s="97">
        <v>3</v>
      </c>
      <c r="T108" s="95"/>
      <c r="V108" s="82" t="s">
        <v>218</v>
      </c>
      <c r="W108" s="73" t="s">
        <v>88</v>
      </c>
      <c r="X108" s="73" t="s">
        <v>11</v>
      </c>
      <c r="Y108" s="83">
        <v>12</v>
      </c>
      <c r="Z108" s="73" t="s">
        <v>226</v>
      </c>
      <c r="AA108" s="73" t="s">
        <v>82</v>
      </c>
      <c r="AB108" s="73" t="s">
        <v>18</v>
      </c>
      <c r="AC108" s="73">
        <v>20</v>
      </c>
      <c r="AD108" s="82" t="s">
        <v>224</v>
      </c>
      <c r="AE108" s="73" t="s">
        <v>100</v>
      </c>
      <c r="AF108" s="73" t="s">
        <v>11</v>
      </c>
      <c r="AG108" s="83">
        <v>15.3</v>
      </c>
      <c r="AH108" s="73" t="s">
        <v>96</v>
      </c>
      <c r="AI108" s="73" t="s">
        <v>97</v>
      </c>
      <c r="AJ108" s="73" t="s">
        <v>12</v>
      </c>
      <c r="AK108" s="73">
        <v>13.3</v>
      </c>
      <c r="AL108" s="82" t="s">
        <v>227</v>
      </c>
      <c r="AM108" s="73" t="s">
        <v>86</v>
      </c>
      <c r="AN108" s="73" t="s">
        <v>18</v>
      </c>
      <c r="AO108" s="83">
        <v>6.7</v>
      </c>
      <c r="AP108" s="82"/>
      <c r="AS108" s="83"/>
      <c r="AW108" s="83"/>
      <c r="BA108" s="84"/>
    </row>
    <row r="109" spans="1:53" s="334" customFormat="1" x14ac:dyDescent="0.15">
      <c r="A109" s="334">
        <v>2008</v>
      </c>
      <c r="B109" s="355">
        <v>39527</v>
      </c>
      <c r="C109" s="812" t="s">
        <v>228</v>
      </c>
      <c r="D109" s="812"/>
      <c r="E109" s="334">
        <v>285</v>
      </c>
      <c r="F109" s="334">
        <v>2</v>
      </c>
      <c r="G109" s="419">
        <v>7</v>
      </c>
      <c r="H109" s="334">
        <v>5</v>
      </c>
      <c r="I109" s="334">
        <v>3</v>
      </c>
      <c r="J109" s="435">
        <f>G109+H109+I109</f>
        <v>15</v>
      </c>
      <c r="K109" s="384">
        <f t="shared" ref="K109:K115" si="34">G109/J109*100</f>
        <v>46.666666666666664</v>
      </c>
      <c r="L109" s="384">
        <f t="shared" ref="L109:L115" si="35">H109/J109*100</f>
        <v>33.333333333333329</v>
      </c>
      <c r="M109" s="384">
        <f t="shared" ref="M109:M115" si="36">I109/J109*100</f>
        <v>20</v>
      </c>
      <c r="N109" s="421">
        <f t="shared" si="26"/>
        <v>100</v>
      </c>
      <c r="O109" s="383">
        <v>27.3</v>
      </c>
      <c r="P109" s="384">
        <v>26.7</v>
      </c>
      <c r="Q109" s="384">
        <v>13.3</v>
      </c>
      <c r="R109" s="385">
        <f t="shared" si="27"/>
        <v>67.3</v>
      </c>
      <c r="S109" s="388">
        <v>3</v>
      </c>
      <c r="T109" s="342"/>
      <c r="U109" s="355">
        <v>39527</v>
      </c>
      <c r="V109" s="343" t="s">
        <v>226</v>
      </c>
      <c r="W109" s="334" t="s">
        <v>82</v>
      </c>
      <c r="X109" s="334" t="s">
        <v>18</v>
      </c>
      <c r="Y109" s="344">
        <v>20</v>
      </c>
      <c r="Z109" s="334" t="s">
        <v>218</v>
      </c>
      <c r="AA109" s="334" t="s">
        <v>88</v>
      </c>
      <c r="AB109" s="334" t="s">
        <v>11</v>
      </c>
      <c r="AC109" s="334">
        <v>12</v>
      </c>
      <c r="AD109" s="343" t="s">
        <v>224</v>
      </c>
      <c r="AE109" s="334" t="s">
        <v>100</v>
      </c>
      <c r="AF109" s="334" t="s">
        <v>11</v>
      </c>
      <c r="AG109" s="344">
        <v>15.3</v>
      </c>
      <c r="AH109" s="334" t="s">
        <v>96</v>
      </c>
      <c r="AI109" s="334" t="s">
        <v>97</v>
      </c>
      <c r="AJ109" s="334" t="s">
        <v>12</v>
      </c>
      <c r="AK109" s="334">
        <v>13.3</v>
      </c>
      <c r="AL109" s="343" t="s">
        <v>227</v>
      </c>
      <c r="AM109" s="334" t="s">
        <v>86</v>
      </c>
      <c r="AN109" s="334" t="s">
        <v>18</v>
      </c>
      <c r="AO109" s="344">
        <v>6.7</v>
      </c>
      <c r="AP109" s="343"/>
      <c r="AS109" s="344"/>
      <c r="AW109" s="344"/>
      <c r="BA109" s="345"/>
    </row>
    <row r="110" spans="1:53" s="73" customFormat="1" x14ac:dyDescent="0.15">
      <c r="A110" s="73">
        <v>2008</v>
      </c>
      <c r="B110" s="85">
        <v>39812</v>
      </c>
      <c r="C110" s="811" t="s">
        <v>229</v>
      </c>
      <c r="D110" s="811"/>
      <c r="E110" s="73">
        <v>2</v>
      </c>
      <c r="F110" s="73">
        <v>2</v>
      </c>
      <c r="G110" s="123">
        <v>7</v>
      </c>
      <c r="H110" s="73">
        <v>5</v>
      </c>
      <c r="I110" s="73">
        <v>3</v>
      </c>
      <c r="J110" s="134">
        <v>15</v>
      </c>
      <c r="K110" s="92">
        <f t="shared" si="34"/>
        <v>46.666666666666664</v>
      </c>
      <c r="L110" s="92">
        <f t="shared" si="35"/>
        <v>33.333333333333329</v>
      </c>
      <c r="M110" s="92">
        <f t="shared" si="36"/>
        <v>20</v>
      </c>
      <c r="N110" s="125">
        <f t="shared" si="26"/>
        <v>100</v>
      </c>
      <c r="O110" s="91">
        <v>27.3</v>
      </c>
      <c r="P110" s="92">
        <v>26.7</v>
      </c>
      <c r="Q110" s="92">
        <v>13.3</v>
      </c>
      <c r="R110" s="93">
        <f t="shared" si="27"/>
        <v>67.3</v>
      </c>
      <c r="S110" s="97">
        <v>3</v>
      </c>
      <c r="T110" s="95"/>
      <c r="U110" s="85">
        <v>39812</v>
      </c>
      <c r="V110" s="82" t="s">
        <v>226</v>
      </c>
      <c r="W110" s="73" t="s">
        <v>82</v>
      </c>
      <c r="X110" s="73" t="s">
        <v>18</v>
      </c>
      <c r="Y110" s="83">
        <v>20</v>
      </c>
      <c r="Z110" s="73" t="s">
        <v>218</v>
      </c>
      <c r="AA110" s="73" t="s">
        <v>88</v>
      </c>
      <c r="AB110" s="73" t="s">
        <v>11</v>
      </c>
      <c r="AC110" s="73">
        <v>12</v>
      </c>
      <c r="AD110" s="82" t="s">
        <v>224</v>
      </c>
      <c r="AE110" s="73" t="s">
        <v>100</v>
      </c>
      <c r="AF110" s="73" t="s">
        <v>11</v>
      </c>
      <c r="AG110" s="83">
        <v>15.3</v>
      </c>
      <c r="AH110" s="73" t="s">
        <v>96</v>
      </c>
      <c r="AI110" s="73" t="s">
        <v>97</v>
      </c>
      <c r="AJ110" s="73" t="s">
        <v>12</v>
      </c>
      <c r="AK110" s="73">
        <v>13.3</v>
      </c>
      <c r="AL110" s="82" t="s">
        <v>227</v>
      </c>
      <c r="AM110" s="73" t="s">
        <v>86</v>
      </c>
      <c r="AN110" s="73" t="s">
        <v>18</v>
      </c>
      <c r="AO110" s="83">
        <v>6.7</v>
      </c>
      <c r="AP110" s="82"/>
      <c r="AS110" s="83"/>
      <c r="AW110" s="83"/>
      <c r="BA110" s="84"/>
    </row>
    <row r="111" spans="1:53" s="73" customFormat="1" x14ac:dyDescent="0.15">
      <c r="A111" s="73">
        <v>2009</v>
      </c>
      <c r="B111" s="85"/>
      <c r="C111" s="811" t="s">
        <v>229</v>
      </c>
      <c r="D111" s="811"/>
      <c r="E111" s="73">
        <v>197</v>
      </c>
      <c r="G111" s="123">
        <v>7</v>
      </c>
      <c r="H111" s="73">
        <v>5</v>
      </c>
      <c r="I111" s="73">
        <v>3</v>
      </c>
      <c r="J111" s="134">
        <v>15</v>
      </c>
      <c r="K111" s="92">
        <f t="shared" si="34"/>
        <v>46.666666666666664</v>
      </c>
      <c r="L111" s="92">
        <f t="shared" si="35"/>
        <v>33.333333333333329</v>
      </c>
      <c r="M111" s="92">
        <f t="shared" si="36"/>
        <v>20</v>
      </c>
      <c r="N111" s="125">
        <f t="shared" si="26"/>
        <v>100</v>
      </c>
      <c r="O111" s="91">
        <v>27.3</v>
      </c>
      <c r="P111" s="92">
        <v>26.7</v>
      </c>
      <c r="Q111" s="92">
        <v>13.3</v>
      </c>
      <c r="R111" s="93">
        <f t="shared" si="27"/>
        <v>67.3</v>
      </c>
      <c r="S111" s="97">
        <v>3</v>
      </c>
      <c r="T111" s="95"/>
      <c r="U111" s="85"/>
      <c r="V111" s="82" t="s">
        <v>226</v>
      </c>
      <c r="W111" s="73" t="s">
        <v>82</v>
      </c>
      <c r="X111" s="73" t="s">
        <v>18</v>
      </c>
      <c r="Y111" s="83">
        <v>20</v>
      </c>
      <c r="Z111" s="73" t="s">
        <v>218</v>
      </c>
      <c r="AA111" s="73" t="s">
        <v>88</v>
      </c>
      <c r="AB111" s="73" t="s">
        <v>11</v>
      </c>
      <c r="AC111" s="73">
        <v>12</v>
      </c>
      <c r="AD111" s="82" t="s">
        <v>224</v>
      </c>
      <c r="AE111" s="73" t="s">
        <v>100</v>
      </c>
      <c r="AF111" s="73" t="s">
        <v>11</v>
      </c>
      <c r="AG111" s="83">
        <v>15.3</v>
      </c>
      <c r="AH111" s="73" t="s">
        <v>96</v>
      </c>
      <c r="AI111" s="73" t="s">
        <v>97</v>
      </c>
      <c r="AJ111" s="73" t="s">
        <v>12</v>
      </c>
      <c r="AK111" s="73">
        <v>13.3</v>
      </c>
      <c r="AL111" s="82" t="s">
        <v>227</v>
      </c>
      <c r="AM111" s="73" t="s">
        <v>86</v>
      </c>
      <c r="AN111" s="73" t="s">
        <v>18</v>
      </c>
      <c r="AO111" s="83">
        <v>6.7</v>
      </c>
      <c r="AP111" s="82"/>
      <c r="AS111" s="83"/>
      <c r="AW111" s="83"/>
      <c r="BA111" s="84"/>
    </row>
    <row r="112" spans="1:53" s="73" customFormat="1" x14ac:dyDescent="0.15">
      <c r="A112" s="73">
        <v>2009</v>
      </c>
      <c r="B112" s="149">
        <v>40011</v>
      </c>
      <c r="C112" s="811" t="s">
        <v>229</v>
      </c>
      <c r="D112" s="811"/>
      <c r="E112" s="73">
        <v>131</v>
      </c>
      <c r="F112" s="150">
        <v>0</v>
      </c>
      <c r="G112" s="123">
        <v>6</v>
      </c>
      <c r="H112" s="73">
        <v>6</v>
      </c>
      <c r="I112" s="73">
        <v>3</v>
      </c>
      <c r="J112" s="134">
        <v>15</v>
      </c>
      <c r="K112" s="92">
        <f t="shared" si="34"/>
        <v>40</v>
      </c>
      <c r="L112" s="92">
        <f t="shared" si="35"/>
        <v>40</v>
      </c>
      <c r="M112" s="92">
        <f t="shared" si="36"/>
        <v>20</v>
      </c>
      <c r="N112" s="125">
        <f t="shared" si="26"/>
        <v>100</v>
      </c>
      <c r="O112" s="91">
        <v>27.3</v>
      </c>
      <c r="P112" s="92">
        <v>26.7</v>
      </c>
      <c r="Q112" s="92">
        <v>13.3</v>
      </c>
      <c r="R112" s="93">
        <f t="shared" si="27"/>
        <v>67.3</v>
      </c>
      <c r="S112" s="97">
        <v>3</v>
      </c>
      <c r="T112" s="95"/>
      <c r="U112" s="85"/>
      <c r="V112" s="82" t="s">
        <v>226</v>
      </c>
      <c r="W112" s="73" t="s">
        <v>82</v>
      </c>
      <c r="X112" s="73" t="s">
        <v>18</v>
      </c>
      <c r="Y112" s="83">
        <v>20</v>
      </c>
      <c r="Z112" s="73" t="s">
        <v>218</v>
      </c>
      <c r="AA112" s="73" t="s">
        <v>88</v>
      </c>
      <c r="AB112" s="73" t="s">
        <v>11</v>
      </c>
      <c r="AC112" s="73">
        <v>12</v>
      </c>
      <c r="AD112" s="82" t="s">
        <v>224</v>
      </c>
      <c r="AE112" s="73" t="s">
        <v>100</v>
      </c>
      <c r="AF112" s="73" t="s">
        <v>11</v>
      </c>
      <c r="AG112" s="83">
        <v>15.3</v>
      </c>
      <c r="AH112" s="73" t="s">
        <v>96</v>
      </c>
      <c r="AI112" s="73" t="s">
        <v>97</v>
      </c>
      <c r="AJ112" s="73" t="s">
        <v>12</v>
      </c>
      <c r="AK112" s="73">
        <v>13.3</v>
      </c>
      <c r="AL112" s="82" t="s">
        <v>227</v>
      </c>
      <c r="AM112" s="73" t="s">
        <v>86</v>
      </c>
      <c r="AN112" s="73" t="s">
        <v>18</v>
      </c>
      <c r="AO112" s="83">
        <v>6.7</v>
      </c>
      <c r="AP112" s="82"/>
      <c r="AS112" s="83"/>
      <c r="AW112" s="83"/>
      <c r="BA112" s="84"/>
    </row>
    <row r="113" spans="1:53" s="334" customFormat="1" x14ac:dyDescent="0.15">
      <c r="A113" s="334">
        <v>2009</v>
      </c>
      <c r="B113" s="355">
        <v>40142</v>
      </c>
      <c r="C113" s="812" t="s">
        <v>230</v>
      </c>
      <c r="D113" s="812"/>
      <c r="E113" s="334">
        <v>37</v>
      </c>
      <c r="F113" s="334">
        <v>2</v>
      </c>
      <c r="G113" s="419">
        <v>6</v>
      </c>
      <c r="H113" s="334">
        <v>6</v>
      </c>
      <c r="I113" s="334">
        <v>3</v>
      </c>
      <c r="J113" s="435">
        <v>15</v>
      </c>
      <c r="K113" s="384">
        <f>G113/J113*100</f>
        <v>40</v>
      </c>
      <c r="L113" s="384">
        <f t="shared" si="35"/>
        <v>40</v>
      </c>
      <c r="M113" s="384">
        <f t="shared" si="36"/>
        <v>20</v>
      </c>
      <c r="N113" s="421">
        <f t="shared" si="26"/>
        <v>100</v>
      </c>
      <c r="O113" s="383">
        <v>27.3</v>
      </c>
      <c r="P113" s="384">
        <v>26.7</v>
      </c>
      <c r="Q113" s="384">
        <v>13.3</v>
      </c>
      <c r="R113" s="385">
        <f t="shared" si="27"/>
        <v>67.3</v>
      </c>
      <c r="S113" s="388">
        <v>3</v>
      </c>
      <c r="T113" s="342"/>
      <c r="U113" s="355">
        <v>40142</v>
      </c>
      <c r="V113" s="343" t="s">
        <v>226</v>
      </c>
      <c r="W113" s="334" t="s">
        <v>82</v>
      </c>
      <c r="X113" s="334" t="s">
        <v>18</v>
      </c>
      <c r="Y113" s="344">
        <v>20</v>
      </c>
      <c r="Z113" s="334" t="s">
        <v>218</v>
      </c>
      <c r="AA113" s="334" t="s">
        <v>88</v>
      </c>
      <c r="AB113" s="334" t="s">
        <v>11</v>
      </c>
      <c r="AC113" s="334">
        <v>12</v>
      </c>
      <c r="AD113" s="343" t="s">
        <v>224</v>
      </c>
      <c r="AE113" s="334" t="s">
        <v>100</v>
      </c>
      <c r="AF113" s="334" t="s">
        <v>11</v>
      </c>
      <c r="AG113" s="344">
        <v>15.3</v>
      </c>
      <c r="AH113" s="334" t="s">
        <v>96</v>
      </c>
      <c r="AI113" s="334" t="s">
        <v>97</v>
      </c>
      <c r="AJ113" s="334" t="s">
        <v>12</v>
      </c>
      <c r="AK113" s="334">
        <v>13.3</v>
      </c>
      <c r="AL113" s="343" t="s">
        <v>227</v>
      </c>
      <c r="AM113" s="334" t="s">
        <v>86</v>
      </c>
      <c r="AN113" s="334" t="s">
        <v>18</v>
      </c>
      <c r="AO113" s="344">
        <v>6.7</v>
      </c>
      <c r="AP113" s="343"/>
      <c r="AS113" s="344"/>
      <c r="AW113" s="344"/>
      <c r="BA113" s="345"/>
    </row>
    <row r="114" spans="1:53" s="334" customFormat="1" x14ac:dyDescent="0.15">
      <c r="A114" s="334">
        <v>2010</v>
      </c>
      <c r="C114" s="812" t="s">
        <v>230</v>
      </c>
      <c r="D114" s="812"/>
      <c r="E114" s="334">
        <v>163</v>
      </c>
      <c r="G114" s="419">
        <v>6</v>
      </c>
      <c r="H114" s="334">
        <v>6</v>
      </c>
      <c r="I114" s="334">
        <v>3</v>
      </c>
      <c r="J114" s="435">
        <v>15</v>
      </c>
      <c r="K114" s="384">
        <f t="shared" si="34"/>
        <v>40</v>
      </c>
      <c r="L114" s="384">
        <f t="shared" si="35"/>
        <v>40</v>
      </c>
      <c r="M114" s="384">
        <f t="shared" si="36"/>
        <v>20</v>
      </c>
      <c r="N114" s="421">
        <f t="shared" si="26"/>
        <v>100</v>
      </c>
      <c r="O114" s="383">
        <v>27.3</v>
      </c>
      <c r="P114" s="384">
        <v>26.7</v>
      </c>
      <c r="Q114" s="384">
        <v>13.3</v>
      </c>
      <c r="R114" s="385">
        <f t="shared" si="27"/>
        <v>67.3</v>
      </c>
      <c r="S114" s="388">
        <v>3</v>
      </c>
      <c r="T114" s="342"/>
      <c r="V114" s="343" t="s">
        <v>226</v>
      </c>
      <c r="W114" s="334" t="s">
        <v>82</v>
      </c>
      <c r="X114" s="334" t="s">
        <v>18</v>
      </c>
      <c r="Y114" s="344">
        <v>20</v>
      </c>
      <c r="Z114" s="334" t="s">
        <v>218</v>
      </c>
      <c r="AA114" s="334" t="s">
        <v>88</v>
      </c>
      <c r="AB114" s="334" t="s">
        <v>11</v>
      </c>
      <c r="AC114" s="334">
        <v>12</v>
      </c>
      <c r="AD114" s="343" t="s">
        <v>224</v>
      </c>
      <c r="AE114" s="334" t="s">
        <v>100</v>
      </c>
      <c r="AF114" s="334" t="s">
        <v>11</v>
      </c>
      <c r="AG114" s="344">
        <v>15.3</v>
      </c>
      <c r="AH114" s="334" t="s">
        <v>96</v>
      </c>
      <c r="AI114" s="334" t="s">
        <v>97</v>
      </c>
      <c r="AJ114" s="334" t="s">
        <v>12</v>
      </c>
      <c r="AK114" s="334">
        <v>13.3</v>
      </c>
      <c r="AL114" s="343" t="s">
        <v>227</v>
      </c>
      <c r="AM114" s="334" t="s">
        <v>86</v>
      </c>
      <c r="AN114" s="334" t="s">
        <v>18</v>
      </c>
      <c r="AO114" s="344">
        <v>6.7</v>
      </c>
      <c r="AP114" s="343"/>
      <c r="AS114" s="344"/>
      <c r="AW114" s="344"/>
      <c r="BA114" s="345"/>
    </row>
    <row r="115" spans="1:53" s="329" customFormat="1" x14ac:dyDescent="0.15">
      <c r="A115" s="329">
        <v>2010</v>
      </c>
      <c r="B115" s="328">
        <v>40342</v>
      </c>
      <c r="C115" s="811" t="s">
        <v>230</v>
      </c>
      <c r="D115" s="811"/>
      <c r="E115" s="329">
        <f>365-E114</f>
        <v>202</v>
      </c>
      <c r="F115" s="329">
        <v>1</v>
      </c>
      <c r="G115" s="123">
        <v>6</v>
      </c>
      <c r="H115" s="329">
        <v>6</v>
      </c>
      <c r="I115" s="329">
        <v>3</v>
      </c>
      <c r="J115" s="134">
        <v>15</v>
      </c>
      <c r="K115" s="92">
        <f t="shared" si="34"/>
        <v>40</v>
      </c>
      <c r="L115" s="92">
        <f t="shared" si="35"/>
        <v>40</v>
      </c>
      <c r="M115" s="92">
        <f t="shared" si="36"/>
        <v>20</v>
      </c>
      <c r="N115" s="125">
        <f t="shared" si="26"/>
        <v>100</v>
      </c>
      <c r="O115" s="91">
        <v>20.7</v>
      </c>
      <c r="P115" s="92">
        <v>17.3</v>
      </c>
      <c r="Q115" s="92">
        <v>17.3</v>
      </c>
      <c r="R115" s="93">
        <f t="shared" si="27"/>
        <v>55.3</v>
      </c>
      <c r="S115" s="97">
        <v>6</v>
      </c>
      <c r="T115" s="95">
        <v>40342</v>
      </c>
      <c r="U115" s="328">
        <v>40342</v>
      </c>
      <c r="V115" s="82" t="s">
        <v>226</v>
      </c>
      <c r="W115" s="329" t="s">
        <v>82</v>
      </c>
      <c r="X115" s="329" t="s">
        <v>18</v>
      </c>
      <c r="Y115" s="83">
        <v>11.3</v>
      </c>
      <c r="Z115" s="329" t="s">
        <v>218</v>
      </c>
      <c r="AA115" s="329" t="s">
        <v>88</v>
      </c>
      <c r="AB115" s="329" t="s">
        <v>11</v>
      </c>
      <c r="AC115" s="329">
        <v>8.6999999999999993</v>
      </c>
      <c r="AD115" s="82" t="s">
        <v>224</v>
      </c>
      <c r="AE115" s="329" t="s">
        <v>100</v>
      </c>
      <c r="AF115" s="329" t="s">
        <v>11</v>
      </c>
      <c r="AG115" s="83">
        <v>12</v>
      </c>
      <c r="AH115" s="329" t="s">
        <v>96</v>
      </c>
      <c r="AI115" s="329" t="s">
        <v>97</v>
      </c>
      <c r="AJ115" s="329" t="s">
        <v>12</v>
      </c>
      <c r="AK115" s="329">
        <v>17.3</v>
      </c>
      <c r="AL115" s="82" t="s">
        <v>227</v>
      </c>
      <c r="AM115" s="329" t="s">
        <v>86</v>
      </c>
      <c r="AN115" s="329" t="s">
        <v>18</v>
      </c>
      <c r="AO115" s="83">
        <v>6</v>
      </c>
      <c r="AP115" s="82"/>
      <c r="AS115" s="83"/>
      <c r="AW115" s="83"/>
      <c r="BA115" s="84"/>
    </row>
    <row r="116" spans="1:53" s="329" customFormat="1" x14ac:dyDescent="0.15">
      <c r="A116" s="329">
        <v>2011</v>
      </c>
      <c r="C116" s="811" t="s">
        <v>230</v>
      </c>
      <c r="D116" s="811"/>
      <c r="E116" s="329">
        <v>339</v>
      </c>
      <c r="G116" s="123">
        <v>6</v>
      </c>
      <c r="H116" s="329">
        <v>6</v>
      </c>
      <c r="I116" s="329">
        <v>3</v>
      </c>
      <c r="J116" s="134">
        <v>15</v>
      </c>
      <c r="K116" s="92">
        <f t="shared" ref="K116:K121" si="37">G116/J116*100</f>
        <v>40</v>
      </c>
      <c r="L116" s="92">
        <f t="shared" ref="L116:L122" si="38">H116/J116*100</f>
        <v>40</v>
      </c>
      <c r="M116" s="92">
        <f t="shared" ref="M116:M122" si="39">I116/J116*100</f>
        <v>20</v>
      </c>
      <c r="N116" s="125">
        <f t="shared" si="26"/>
        <v>100</v>
      </c>
      <c r="O116" s="91">
        <v>20.7</v>
      </c>
      <c r="P116" s="92">
        <v>17.3</v>
      </c>
      <c r="Q116" s="92">
        <v>17.3</v>
      </c>
      <c r="R116" s="93">
        <f t="shared" si="27"/>
        <v>55.3</v>
      </c>
      <c r="S116" s="97">
        <v>6</v>
      </c>
      <c r="T116" s="95"/>
      <c r="V116" s="82" t="s">
        <v>226</v>
      </c>
      <c r="W116" s="329" t="s">
        <v>82</v>
      </c>
      <c r="X116" s="329" t="s">
        <v>18</v>
      </c>
      <c r="Y116" s="83">
        <v>11.3</v>
      </c>
      <c r="Z116" s="329" t="s">
        <v>218</v>
      </c>
      <c r="AA116" s="329" t="s">
        <v>88</v>
      </c>
      <c r="AB116" s="329" t="s">
        <v>11</v>
      </c>
      <c r="AC116" s="329">
        <v>8.6999999999999993</v>
      </c>
      <c r="AD116" s="82" t="s">
        <v>224</v>
      </c>
      <c r="AE116" s="329" t="s">
        <v>100</v>
      </c>
      <c r="AF116" s="329" t="s">
        <v>11</v>
      </c>
      <c r="AG116" s="83">
        <v>12</v>
      </c>
      <c r="AH116" s="329" t="s">
        <v>96</v>
      </c>
      <c r="AI116" s="329" t="s">
        <v>97</v>
      </c>
      <c r="AJ116" s="329" t="s">
        <v>12</v>
      </c>
      <c r="AK116" s="329">
        <v>17.3</v>
      </c>
      <c r="AL116" s="82" t="s">
        <v>227</v>
      </c>
      <c r="AM116" s="329" t="s">
        <v>86</v>
      </c>
      <c r="AN116" s="329" t="s">
        <v>18</v>
      </c>
      <c r="AO116" s="83">
        <v>6</v>
      </c>
      <c r="AP116" s="82"/>
      <c r="AS116" s="83"/>
      <c r="AW116" s="83"/>
      <c r="BA116" s="84"/>
    </row>
    <row r="117" spans="1:53" s="334" customFormat="1" x14ac:dyDescent="0.15">
      <c r="A117" s="334">
        <v>2011</v>
      </c>
      <c r="B117" s="355">
        <v>40883</v>
      </c>
      <c r="C117" s="812" t="s">
        <v>231</v>
      </c>
      <c r="D117" s="812"/>
      <c r="E117" s="334">
        <v>26</v>
      </c>
      <c r="F117" s="334">
        <v>1</v>
      </c>
      <c r="G117" s="419">
        <v>5</v>
      </c>
      <c r="H117" s="334">
        <v>3</v>
      </c>
      <c r="I117" s="334">
        <v>5</v>
      </c>
      <c r="J117" s="435">
        <v>13</v>
      </c>
      <c r="K117" s="384">
        <f t="shared" si="37"/>
        <v>38.461538461538467</v>
      </c>
      <c r="L117" s="384">
        <f t="shared" si="38"/>
        <v>23.076923076923077</v>
      </c>
      <c r="M117" s="384">
        <f t="shared" si="39"/>
        <v>38.461538461538467</v>
      </c>
      <c r="N117" s="421">
        <f t="shared" si="26"/>
        <v>100.00000000000001</v>
      </c>
      <c r="O117" s="383">
        <v>20.7</v>
      </c>
      <c r="P117" s="384">
        <v>17.3</v>
      </c>
      <c r="Q117" s="384">
        <v>26</v>
      </c>
      <c r="R117" s="385">
        <f t="shared" si="27"/>
        <v>64</v>
      </c>
      <c r="S117" s="388">
        <v>3</v>
      </c>
      <c r="T117" s="342"/>
      <c r="U117" s="355">
        <v>40883</v>
      </c>
      <c r="V117" s="343" t="s">
        <v>96</v>
      </c>
      <c r="W117" s="334" t="s">
        <v>97</v>
      </c>
      <c r="X117" s="334" t="s">
        <v>12</v>
      </c>
      <c r="Y117" s="344">
        <v>17.3</v>
      </c>
      <c r="Z117" s="334" t="s">
        <v>226</v>
      </c>
      <c r="AA117" s="334" t="s">
        <v>82</v>
      </c>
      <c r="AB117" s="334" t="s">
        <v>18</v>
      </c>
      <c r="AC117" s="334">
        <v>11.3</v>
      </c>
      <c r="AD117" s="343" t="s">
        <v>224</v>
      </c>
      <c r="AE117" s="334" t="s">
        <v>100</v>
      </c>
      <c r="AF117" s="334" t="s">
        <v>11</v>
      </c>
      <c r="AG117" s="344">
        <v>12</v>
      </c>
      <c r="AH117" s="334" t="s">
        <v>218</v>
      </c>
      <c r="AI117" s="334" t="s">
        <v>88</v>
      </c>
      <c r="AJ117" s="334" t="s">
        <v>11</v>
      </c>
      <c r="AK117" s="334">
        <v>8.6999999999999993</v>
      </c>
      <c r="AL117" s="343" t="s">
        <v>95</v>
      </c>
      <c r="AM117" s="334" t="s">
        <v>98</v>
      </c>
      <c r="AN117" s="334" t="s">
        <v>12</v>
      </c>
      <c r="AO117" s="344">
        <v>8.6999999999999993</v>
      </c>
      <c r="AP117" s="343" t="s">
        <v>227</v>
      </c>
      <c r="AQ117" s="334" t="s">
        <v>86</v>
      </c>
      <c r="AR117" s="334" t="s">
        <v>18</v>
      </c>
      <c r="AS117" s="344">
        <v>6</v>
      </c>
      <c r="AW117" s="344"/>
      <c r="BA117" s="345"/>
    </row>
    <row r="118" spans="1:53" s="334" customFormat="1" x14ac:dyDescent="0.15">
      <c r="A118" s="334">
        <v>2012</v>
      </c>
      <c r="C118" s="812" t="s">
        <v>231</v>
      </c>
      <c r="D118" s="812"/>
      <c r="E118" s="334">
        <v>0</v>
      </c>
      <c r="G118" s="419">
        <v>5</v>
      </c>
      <c r="H118" s="334">
        <v>3</v>
      </c>
      <c r="I118" s="334">
        <v>5</v>
      </c>
      <c r="J118" s="435">
        <v>13</v>
      </c>
      <c r="K118" s="384">
        <f t="shared" si="37"/>
        <v>38.461538461538467</v>
      </c>
      <c r="L118" s="384">
        <f t="shared" si="38"/>
        <v>23.076923076923077</v>
      </c>
      <c r="M118" s="384">
        <f t="shared" si="39"/>
        <v>38.461538461538467</v>
      </c>
      <c r="N118" s="421">
        <f t="shared" si="26"/>
        <v>100.00000000000001</v>
      </c>
      <c r="O118" s="383">
        <v>20.7</v>
      </c>
      <c r="P118" s="384">
        <v>17.3</v>
      </c>
      <c r="Q118" s="384">
        <v>26</v>
      </c>
      <c r="R118" s="385">
        <f t="shared" si="27"/>
        <v>64</v>
      </c>
      <c r="S118" s="388">
        <v>3</v>
      </c>
      <c r="T118" s="342"/>
      <c r="V118" s="343" t="s">
        <v>96</v>
      </c>
      <c r="W118" s="334" t="s">
        <v>97</v>
      </c>
      <c r="X118" s="334" t="s">
        <v>12</v>
      </c>
      <c r="Y118" s="344">
        <v>17.3</v>
      </c>
      <c r="Z118" s="334" t="s">
        <v>226</v>
      </c>
      <c r="AA118" s="334" t="s">
        <v>82</v>
      </c>
      <c r="AB118" s="334" t="s">
        <v>18</v>
      </c>
      <c r="AC118" s="334">
        <v>11.3</v>
      </c>
      <c r="AD118" s="343" t="s">
        <v>224</v>
      </c>
      <c r="AE118" s="334" t="s">
        <v>100</v>
      </c>
      <c r="AF118" s="334" t="s">
        <v>11</v>
      </c>
      <c r="AG118" s="344">
        <v>12</v>
      </c>
      <c r="AH118" s="334" t="s">
        <v>218</v>
      </c>
      <c r="AI118" s="334" t="s">
        <v>88</v>
      </c>
      <c r="AJ118" s="334" t="s">
        <v>11</v>
      </c>
      <c r="AK118" s="334">
        <v>8.6999999999999993</v>
      </c>
      <c r="AL118" s="343" t="s">
        <v>95</v>
      </c>
      <c r="AM118" s="334" t="s">
        <v>98</v>
      </c>
      <c r="AN118" s="334" t="s">
        <v>12</v>
      </c>
      <c r="AO118" s="344">
        <v>8.6999999999999993</v>
      </c>
      <c r="AP118" s="343" t="s">
        <v>227</v>
      </c>
      <c r="AQ118" s="334" t="s">
        <v>86</v>
      </c>
      <c r="AR118" s="334" t="s">
        <v>18</v>
      </c>
      <c r="AS118" s="344">
        <v>6</v>
      </c>
      <c r="AW118" s="344"/>
      <c r="BA118" s="345"/>
    </row>
    <row r="119" spans="1:53" s="334" customFormat="1" x14ac:dyDescent="0.15">
      <c r="A119" s="334">
        <v>2012</v>
      </c>
      <c r="C119" s="812" t="s">
        <v>231</v>
      </c>
      <c r="D119" s="812"/>
      <c r="E119" s="334">
        <v>366</v>
      </c>
      <c r="G119" s="419">
        <v>5</v>
      </c>
      <c r="H119" s="334">
        <v>3</v>
      </c>
      <c r="I119" s="334">
        <v>5</v>
      </c>
      <c r="J119" s="435">
        <v>13</v>
      </c>
      <c r="K119" s="384">
        <f t="shared" si="37"/>
        <v>38.461538461538467</v>
      </c>
      <c r="L119" s="384">
        <f t="shared" si="38"/>
        <v>23.076923076923077</v>
      </c>
      <c r="M119" s="384">
        <f t="shared" si="39"/>
        <v>38.461538461538467</v>
      </c>
      <c r="N119" s="421">
        <f t="shared" ref="N119:N124" si="40">SUM(K119:M119)</f>
        <v>100.00000000000001</v>
      </c>
      <c r="O119" s="383">
        <v>20.7</v>
      </c>
      <c r="P119" s="384">
        <v>17.3</v>
      </c>
      <c r="Q119" s="384">
        <v>26</v>
      </c>
      <c r="R119" s="385">
        <f t="shared" si="27"/>
        <v>64</v>
      </c>
      <c r="S119" s="388">
        <v>3</v>
      </c>
      <c r="T119" s="342"/>
      <c r="V119" s="343" t="s">
        <v>96</v>
      </c>
      <c r="W119" s="334" t="s">
        <v>97</v>
      </c>
      <c r="X119" s="334" t="s">
        <v>12</v>
      </c>
      <c r="Y119" s="344">
        <v>17.3</v>
      </c>
      <c r="Z119" s="334" t="s">
        <v>226</v>
      </c>
      <c r="AA119" s="334" t="s">
        <v>82</v>
      </c>
      <c r="AB119" s="334" t="s">
        <v>18</v>
      </c>
      <c r="AC119" s="334">
        <v>11.3</v>
      </c>
      <c r="AD119" s="343" t="s">
        <v>224</v>
      </c>
      <c r="AE119" s="334" t="s">
        <v>100</v>
      </c>
      <c r="AF119" s="334" t="s">
        <v>11</v>
      </c>
      <c r="AG119" s="344">
        <v>12</v>
      </c>
      <c r="AH119" s="334" t="s">
        <v>218</v>
      </c>
      <c r="AI119" s="334" t="s">
        <v>88</v>
      </c>
      <c r="AJ119" s="334" t="s">
        <v>11</v>
      </c>
      <c r="AK119" s="334">
        <v>8.6999999999999993</v>
      </c>
      <c r="AL119" s="343" t="s">
        <v>95</v>
      </c>
      <c r="AM119" s="334" t="s">
        <v>98</v>
      </c>
      <c r="AN119" s="334" t="s">
        <v>12</v>
      </c>
      <c r="AO119" s="344">
        <v>8.6999999999999993</v>
      </c>
      <c r="AP119" s="343" t="s">
        <v>227</v>
      </c>
      <c r="AQ119" s="334" t="s">
        <v>86</v>
      </c>
      <c r="AR119" s="334" t="s">
        <v>18</v>
      </c>
      <c r="AS119" s="344">
        <v>6</v>
      </c>
      <c r="AW119" s="344"/>
      <c r="BA119" s="345"/>
    </row>
    <row r="120" spans="1:53" s="334" customFormat="1" x14ac:dyDescent="0.15">
      <c r="A120" s="334">
        <v>2013</v>
      </c>
      <c r="C120" s="812" t="s">
        <v>231</v>
      </c>
      <c r="D120" s="812"/>
      <c r="E120" s="334">
        <v>0</v>
      </c>
      <c r="G120" s="419">
        <v>5</v>
      </c>
      <c r="H120" s="334">
        <v>3</v>
      </c>
      <c r="I120" s="334">
        <v>5</v>
      </c>
      <c r="J120" s="435">
        <v>13</v>
      </c>
      <c r="K120" s="384">
        <f t="shared" si="37"/>
        <v>38.461538461538467</v>
      </c>
      <c r="L120" s="384">
        <f t="shared" si="38"/>
        <v>23.076923076923077</v>
      </c>
      <c r="M120" s="384">
        <f t="shared" si="39"/>
        <v>38.461538461538467</v>
      </c>
      <c r="N120" s="421">
        <f t="shared" si="40"/>
        <v>100.00000000000001</v>
      </c>
      <c r="O120" s="383">
        <v>20.7</v>
      </c>
      <c r="P120" s="384">
        <v>17.3</v>
      </c>
      <c r="Q120" s="384">
        <v>26</v>
      </c>
      <c r="R120" s="385">
        <f t="shared" si="27"/>
        <v>64</v>
      </c>
      <c r="S120" s="388">
        <v>3</v>
      </c>
      <c r="T120" s="342"/>
      <c r="V120" s="343" t="s">
        <v>96</v>
      </c>
      <c r="W120" s="334" t="s">
        <v>97</v>
      </c>
      <c r="X120" s="334" t="s">
        <v>12</v>
      </c>
      <c r="Y120" s="344">
        <v>17.3</v>
      </c>
      <c r="Z120" s="334" t="s">
        <v>226</v>
      </c>
      <c r="AA120" s="334" t="s">
        <v>82</v>
      </c>
      <c r="AB120" s="334" t="s">
        <v>18</v>
      </c>
      <c r="AC120" s="334">
        <v>11.3</v>
      </c>
      <c r="AD120" s="343" t="s">
        <v>224</v>
      </c>
      <c r="AE120" s="334" t="s">
        <v>100</v>
      </c>
      <c r="AF120" s="334" t="s">
        <v>11</v>
      </c>
      <c r="AG120" s="344">
        <v>12</v>
      </c>
      <c r="AH120" s="334" t="s">
        <v>218</v>
      </c>
      <c r="AI120" s="334" t="s">
        <v>88</v>
      </c>
      <c r="AJ120" s="334" t="s">
        <v>11</v>
      </c>
      <c r="AK120" s="334">
        <v>8.6999999999999993</v>
      </c>
      <c r="AL120" s="343" t="s">
        <v>95</v>
      </c>
      <c r="AM120" s="334" t="s">
        <v>98</v>
      </c>
      <c r="AN120" s="334" t="s">
        <v>12</v>
      </c>
      <c r="AO120" s="344">
        <v>8.6999999999999993</v>
      </c>
      <c r="AP120" s="343" t="s">
        <v>227</v>
      </c>
      <c r="AQ120" s="334" t="s">
        <v>86</v>
      </c>
      <c r="AR120" s="334" t="s">
        <v>18</v>
      </c>
      <c r="AS120" s="344">
        <v>6</v>
      </c>
      <c r="AW120" s="344"/>
      <c r="BA120" s="345"/>
    </row>
    <row r="121" spans="1:53" s="334" customFormat="1" x14ac:dyDescent="0.15">
      <c r="A121" s="334">
        <v>2013</v>
      </c>
      <c r="C121" s="812" t="s">
        <v>231</v>
      </c>
      <c r="D121" s="812"/>
      <c r="E121" s="334">
        <v>365</v>
      </c>
      <c r="G121" s="419">
        <v>5</v>
      </c>
      <c r="H121" s="334">
        <v>3</v>
      </c>
      <c r="I121" s="334">
        <v>5</v>
      </c>
      <c r="J121" s="435">
        <v>13</v>
      </c>
      <c r="K121" s="384">
        <f t="shared" si="37"/>
        <v>38.461538461538467</v>
      </c>
      <c r="L121" s="384">
        <f t="shared" si="38"/>
        <v>23.076923076923077</v>
      </c>
      <c r="M121" s="384">
        <f t="shared" si="39"/>
        <v>38.461538461538467</v>
      </c>
      <c r="N121" s="421">
        <f t="shared" si="40"/>
        <v>100.00000000000001</v>
      </c>
      <c r="O121" s="383">
        <v>20.7</v>
      </c>
      <c r="P121" s="384">
        <v>17.3</v>
      </c>
      <c r="Q121" s="384">
        <v>26</v>
      </c>
      <c r="R121" s="385">
        <f>SUM(O121:Q121)</f>
        <v>64</v>
      </c>
      <c r="S121" s="388">
        <v>3</v>
      </c>
      <c r="T121" s="342"/>
      <c r="V121" s="343" t="s">
        <v>96</v>
      </c>
      <c r="W121" s="334" t="s">
        <v>97</v>
      </c>
      <c r="X121" s="334" t="s">
        <v>12</v>
      </c>
      <c r="Y121" s="344">
        <v>17.3</v>
      </c>
      <c r="Z121" s="334" t="s">
        <v>226</v>
      </c>
      <c r="AA121" s="334" t="s">
        <v>82</v>
      </c>
      <c r="AB121" s="334" t="s">
        <v>18</v>
      </c>
      <c r="AC121" s="334">
        <v>11.3</v>
      </c>
      <c r="AD121" s="343" t="s">
        <v>224</v>
      </c>
      <c r="AE121" s="334" t="s">
        <v>100</v>
      </c>
      <c r="AF121" s="334" t="s">
        <v>11</v>
      </c>
      <c r="AG121" s="344">
        <v>12</v>
      </c>
      <c r="AH121" s="334" t="s">
        <v>218</v>
      </c>
      <c r="AI121" s="334" t="s">
        <v>88</v>
      </c>
      <c r="AJ121" s="334" t="s">
        <v>11</v>
      </c>
      <c r="AK121" s="334">
        <v>8.6999999999999993</v>
      </c>
      <c r="AL121" s="343" t="s">
        <v>95</v>
      </c>
      <c r="AM121" s="334" t="s">
        <v>98</v>
      </c>
      <c r="AN121" s="334" t="s">
        <v>12</v>
      </c>
      <c r="AO121" s="344">
        <v>8.6999999999999993</v>
      </c>
      <c r="AP121" s="343" t="s">
        <v>227</v>
      </c>
      <c r="AQ121" s="334" t="s">
        <v>86</v>
      </c>
      <c r="AR121" s="334" t="s">
        <v>18</v>
      </c>
      <c r="AS121" s="344">
        <v>6</v>
      </c>
      <c r="AW121" s="344"/>
      <c r="BA121" s="345"/>
    </row>
    <row r="122" spans="1:53" s="513" customFormat="1" x14ac:dyDescent="0.15">
      <c r="A122" s="513">
        <v>2014</v>
      </c>
      <c r="C122" s="812" t="s">
        <v>231</v>
      </c>
      <c r="D122" s="812"/>
      <c r="E122" s="513">
        <v>145</v>
      </c>
      <c r="G122" s="497">
        <v>5</v>
      </c>
      <c r="H122" s="513">
        <v>3</v>
      </c>
      <c r="I122" s="513">
        <v>5</v>
      </c>
      <c r="J122" s="499">
        <v>13</v>
      </c>
      <c r="K122" s="495">
        <f>G122/J122*100</f>
        <v>38.461538461538467</v>
      </c>
      <c r="L122" s="495">
        <f t="shared" si="38"/>
        <v>23.076923076923077</v>
      </c>
      <c r="M122" s="495">
        <f t="shared" si="39"/>
        <v>38.461538461538467</v>
      </c>
      <c r="N122" s="498">
        <f t="shared" si="40"/>
        <v>100.00000000000001</v>
      </c>
      <c r="O122" s="494">
        <v>20.7</v>
      </c>
      <c r="P122" s="495">
        <v>17.3</v>
      </c>
      <c r="Q122" s="495">
        <v>26</v>
      </c>
      <c r="R122" s="496">
        <f>SUM(O122:Q122)</f>
        <v>64</v>
      </c>
      <c r="S122" s="388">
        <v>3</v>
      </c>
      <c r="T122" s="487"/>
      <c r="V122" s="488" t="s">
        <v>96</v>
      </c>
      <c r="W122" s="513" t="s">
        <v>97</v>
      </c>
      <c r="X122" s="513" t="s">
        <v>12</v>
      </c>
      <c r="Y122" s="489">
        <v>17.3</v>
      </c>
      <c r="Z122" s="513" t="s">
        <v>226</v>
      </c>
      <c r="AA122" s="513" t="s">
        <v>82</v>
      </c>
      <c r="AB122" s="513" t="s">
        <v>18</v>
      </c>
      <c r="AC122" s="513">
        <v>11.3</v>
      </c>
      <c r="AD122" s="488" t="s">
        <v>224</v>
      </c>
      <c r="AE122" s="513" t="s">
        <v>100</v>
      </c>
      <c r="AF122" s="513" t="s">
        <v>11</v>
      </c>
      <c r="AG122" s="489">
        <v>12</v>
      </c>
      <c r="AH122" s="513" t="s">
        <v>218</v>
      </c>
      <c r="AI122" s="513" t="s">
        <v>88</v>
      </c>
      <c r="AJ122" s="513" t="s">
        <v>11</v>
      </c>
      <c r="AK122" s="513">
        <v>8.6999999999999993</v>
      </c>
      <c r="AL122" s="488" t="s">
        <v>95</v>
      </c>
      <c r="AM122" s="513" t="s">
        <v>98</v>
      </c>
      <c r="AN122" s="513" t="s">
        <v>12</v>
      </c>
      <c r="AO122" s="489">
        <v>8.6999999999999993</v>
      </c>
      <c r="AP122" s="488" t="s">
        <v>227</v>
      </c>
      <c r="AQ122" s="513" t="s">
        <v>86</v>
      </c>
      <c r="AR122" s="513" t="s">
        <v>18</v>
      </c>
      <c r="AS122" s="489">
        <v>6</v>
      </c>
      <c r="AW122" s="489"/>
      <c r="BA122" s="490"/>
    </row>
    <row r="123" spans="1:53" s="514" customFormat="1" x14ac:dyDescent="0.15">
      <c r="A123" s="514">
        <v>2014</v>
      </c>
      <c r="B123" s="510">
        <v>41785</v>
      </c>
      <c r="C123" s="811" t="s">
        <v>231</v>
      </c>
      <c r="D123" s="811"/>
      <c r="E123" s="514">
        <v>138</v>
      </c>
      <c r="F123" s="514">
        <v>1</v>
      </c>
      <c r="G123" s="480">
        <v>5</v>
      </c>
      <c r="H123" s="514">
        <v>3</v>
      </c>
      <c r="I123" s="514">
        <v>5</v>
      </c>
      <c r="J123" s="482">
        <v>13</v>
      </c>
      <c r="K123" s="477">
        <f>G123/J123*100</f>
        <v>38.461538461538467</v>
      </c>
      <c r="L123" s="477">
        <f>H123/J123*100</f>
        <v>23.076923076923077</v>
      </c>
      <c r="M123" s="477">
        <f>I123/J123*100</f>
        <v>38.461538461538467</v>
      </c>
      <c r="N123" s="481">
        <f t="shared" si="40"/>
        <v>100.00000000000001</v>
      </c>
      <c r="O123" s="476">
        <v>22.6</v>
      </c>
      <c r="P123" s="477">
        <v>18</v>
      </c>
      <c r="Q123" s="477">
        <v>24</v>
      </c>
      <c r="R123" s="478">
        <f>SUM(O123:Q123)</f>
        <v>64.599999999999994</v>
      </c>
      <c r="S123" s="97">
        <v>6</v>
      </c>
      <c r="T123" s="479">
        <v>41784</v>
      </c>
      <c r="U123" s="510">
        <v>41785</v>
      </c>
      <c r="V123" s="472" t="s">
        <v>96</v>
      </c>
      <c r="W123" s="514" t="s">
        <v>97</v>
      </c>
      <c r="X123" s="514" t="s">
        <v>12</v>
      </c>
      <c r="Y123" s="473">
        <v>15.3</v>
      </c>
      <c r="Z123" s="514" t="s">
        <v>226</v>
      </c>
      <c r="AA123" s="514" t="s">
        <v>82</v>
      </c>
      <c r="AB123" s="514" t="s">
        <v>18</v>
      </c>
      <c r="AC123" s="514">
        <v>12</v>
      </c>
      <c r="AD123" s="472" t="s">
        <v>224</v>
      </c>
      <c r="AE123" s="514" t="s">
        <v>100</v>
      </c>
      <c r="AF123" s="514" t="s">
        <v>11</v>
      </c>
      <c r="AG123" s="473">
        <v>13.3</v>
      </c>
      <c r="AH123" s="514" t="s">
        <v>218</v>
      </c>
      <c r="AI123" s="514" t="s">
        <v>88</v>
      </c>
      <c r="AJ123" s="514" t="s">
        <v>11</v>
      </c>
      <c r="AK123" s="514">
        <v>9.3000000000000007</v>
      </c>
      <c r="AL123" s="472" t="s">
        <v>95</v>
      </c>
      <c r="AM123" s="514" t="s">
        <v>98</v>
      </c>
      <c r="AN123" s="514" t="s">
        <v>12</v>
      </c>
      <c r="AO123" s="473">
        <v>8.6999999999999993</v>
      </c>
      <c r="AP123" s="472" t="s">
        <v>227</v>
      </c>
      <c r="AQ123" s="514" t="s">
        <v>86</v>
      </c>
      <c r="AR123" s="514" t="s">
        <v>18</v>
      </c>
      <c r="AS123" s="473">
        <v>6</v>
      </c>
      <c r="AW123" s="473"/>
      <c r="BA123" s="474"/>
    </row>
    <row r="124" spans="1:53" s="513" customFormat="1" x14ac:dyDescent="0.15">
      <c r="A124" s="513">
        <v>2014</v>
      </c>
      <c r="B124" s="511">
        <v>41923</v>
      </c>
      <c r="C124" s="812" t="s">
        <v>1298</v>
      </c>
      <c r="D124" s="812"/>
      <c r="E124" s="513">
        <v>82</v>
      </c>
      <c r="F124" s="513">
        <v>1</v>
      </c>
      <c r="G124" s="497">
        <v>9</v>
      </c>
      <c r="H124" s="513">
        <v>5</v>
      </c>
      <c r="J124" s="499">
        <v>14</v>
      </c>
      <c r="K124" s="495">
        <f>G124/J124*100</f>
        <v>64.285714285714292</v>
      </c>
      <c r="L124" s="495">
        <f>H124/J124*100</f>
        <v>35.714285714285715</v>
      </c>
      <c r="M124" s="495">
        <f>I124/J124*100</f>
        <v>0</v>
      </c>
      <c r="N124" s="498">
        <f t="shared" si="40"/>
        <v>100</v>
      </c>
      <c r="O124" s="494">
        <v>22.6</v>
      </c>
      <c r="P124" s="495">
        <v>34</v>
      </c>
      <c r="Q124" s="495"/>
      <c r="R124" s="496">
        <f>SUM(O124:Q124)</f>
        <v>56.6</v>
      </c>
      <c r="S124" s="388">
        <v>2</v>
      </c>
      <c r="T124" s="487"/>
      <c r="U124" s="511">
        <v>41923</v>
      </c>
      <c r="V124" s="488" t="s">
        <v>224</v>
      </c>
      <c r="W124" s="513" t="s">
        <v>100</v>
      </c>
      <c r="X124" s="513" t="s">
        <v>11</v>
      </c>
      <c r="Y124" s="489">
        <v>13.3</v>
      </c>
      <c r="Z124" s="513" t="s">
        <v>1299</v>
      </c>
      <c r="AA124" s="513" t="s">
        <v>90</v>
      </c>
      <c r="AB124" s="513" t="s">
        <v>18</v>
      </c>
      <c r="AC124" s="513">
        <v>22</v>
      </c>
      <c r="AD124" s="488" t="s">
        <v>226</v>
      </c>
      <c r="AE124" s="513" t="s">
        <v>82</v>
      </c>
      <c r="AF124" s="513" t="s">
        <v>18</v>
      </c>
      <c r="AG124" s="489">
        <v>12</v>
      </c>
      <c r="AH124" s="513" t="s">
        <v>218</v>
      </c>
      <c r="AI124" s="513" t="s">
        <v>88</v>
      </c>
      <c r="AJ124" s="513" t="s">
        <v>11</v>
      </c>
      <c r="AK124" s="513">
        <v>9.3000000000000007</v>
      </c>
      <c r="AL124" s="488"/>
      <c r="AO124" s="489"/>
      <c r="AP124" s="488"/>
      <c r="AS124" s="489"/>
      <c r="AW124" s="489"/>
      <c r="BA124" s="490"/>
    </row>
    <row r="125" spans="1:53" s="693" customFormat="1" x14ac:dyDescent="0.15">
      <c r="A125" s="693">
        <v>2015</v>
      </c>
      <c r="B125" s="688"/>
      <c r="C125" s="812" t="s">
        <v>1298</v>
      </c>
      <c r="D125" s="812"/>
      <c r="E125" s="693">
        <v>0</v>
      </c>
      <c r="G125" s="649">
        <v>9</v>
      </c>
      <c r="H125" s="693">
        <v>5</v>
      </c>
      <c r="J125" s="651">
        <v>14</v>
      </c>
      <c r="K125" s="647">
        <f t="shared" ref="K125:K126" si="41">G125/J125*100</f>
        <v>64.285714285714292</v>
      </c>
      <c r="L125" s="647">
        <f t="shared" ref="L125:L126" si="42">H125/J125*100</f>
        <v>35.714285714285715</v>
      </c>
      <c r="M125" s="647">
        <f t="shared" ref="M125:M126" si="43">I125/J125*100</f>
        <v>0</v>
      </c>
      <c r="N125" s="650">
        <f t="shared" ref="N125:N126" si="44">SUM(K125:M125)</f>
        <v>100</v>
      </c>
      <c r="O125" s="646">
        <v>22.6</v>
      </c>
      <c r="P125" s="647">
        <v>34</v>
      </c>
      <c r="Q125" s="647"/>
      <c r="R125" s="648">
        <f t="shared" ref="R125:R126" si="45">SUM(O125:Q125)</f>
        <v>56.6</v>
      </c>
      <c r="S125" s="388">
        <v>2</v>
      </c>
      <c r="T125" s="487"/>
      <c r="U125" s="688"/>
      <c r="V125" s="641" t="s">
        <v>224</v>
      </c>
      <c r="W125" s="693" t="s">
        <v>100</v>
      </c>
      <c r="X125" s="693" t="s">
        <v>11</v>
      </c>
      <c r="Y125" s="642">
        <v>13.3</v>
      </c>
      <c r="Z125" s="693" t="s">
        <v>1299</v>
      </c>
      <c r="AA125" s="693" t="s">
        <v>90</v>
      </c>
      <c r="AB125" s="693" t="s">
        <v>18</v>
      </c>
      <c r="AC125" s="693">
        <v>22</v>
      </c>
      <c r="AD125" s="641" t="s">
        <v>226</v>
      </c>
      <c r="AE125" s="693" t="s">
        <v>82</v>
      </c>
      <c r="AF125" s="693" t="s">
        <v>18</v>
      </c>
      <c r="AG125" s="642">
        <v>12</v>
      </c>
      <c r="AH125" s="693" t="s">
        <v>218</v>
      </c>
      <c r="AI125" s="693" t="s">
        <v>88</v>
      </c>
      <c r="AJ125" s="693" t="s">
        <v>11</v>
      </c>
      <c r="AK125" s="693">
        <v>9.3000000000000007</v>
      </c>
      <c r="AL125" s="641"/>
      <c r="AO125" s="642"/>
      <c r="AP125" s="641"/>
      <c r="AS125" s="642"/>
      <c r="AW125" s="642"/>
      <c r="BA125" s="643"/>
    </row>
    <row r="126" spans="1:53" s="693" customFormat="1" x14ac:dyDescent="0.15">
      <c r="A126" s="693">
        <v>2015</v>
      </c>
      <c r="B126" s="688"/>
      <c r="C126" s="812" t="s">
        <v>1298</v>
      </c>
      <c r="D126" s="812"/>
      <c r="E126" s="693">
        <v>365</v>
      </c>
      <c r="G126" s="649">
        <v>9</v>
      </c>
      <c r="H126" s="693">
        <v>5</v>
      </c>
      <c r="J126" s="651">
        <v>14</v>
      </c>
      <c r="K126" s="647">
        <f t="shared" si="41"/>
        <v>64.285714285714292</v>
      </c>
      <c r="L126" s="647">
        <f t="shared" si="42"/>
        <v>35.714285714285715</v>
      </c>
      <c r="M126" s="647">
        <f t="shared" si="43"/>
        <v>0</v>
      </c>
      <c r="N126" s="650">
        <f t="shared" si="44"/>
        <v>100</v>
      </c>
      <c r="O126" s="646">
        <v>22.6</v>
      </c>
      <c r="P126" s="647">
        <v>34</v>
      </c>
      <c r="Q126" s="647"/>
      <c r="R126" s="648">
        <f t="shared" si="45"/>
        <v>56.6</v>
      </c>
      <c r="S126" s="388">
        <v>2</v>
      </c>
      <c r="T126" s="487"/>
      <c r="U126" s="688"/>
      <c r="V126" s="641" t="s">
        <v>224</v>
      </c>
      <c r="W126" s="693" t="s">
        <v>100</v>
      </c>
      <c r="X126" s="693" t="s">
        <v>11</v>
      </c>
      <c r="Y126" s="642">
        <v>13.3</v>
      </c>
      <c r="Z126" s="693" t="s">
        <v>1299</v>
      </c>
      <c r="AA126" s="693" t="s">
        <v>90</v>
      </c>
      <c r="AB126" s="693" t="s">
        <v>18</v>
      </c>
      <c r="AC126" s="693">
        <v>22</v>
      </c>
      <c r="AD126" s="641" t="s">
        <v>226</v>
      </c>
      <c r="AE126" s="693" t="s">
        <v>82</v>
      </c>
      <c r="AF126" s="693" t="s">
        <v>18</v>
      </c>
      <c r="AG126" s="642">
        <v>12</v>
      </c>
      <c r="AH126" s="693" t="s">
        <v>218</v>
      </c>
      <c r="AI126" s="693" t="s">
        <v>88</v>
      </c>
      <c r="AJ126" s="693" t="s">
        <v>11</v>
      </c>
      <c r="AK126" s="693">
        <v>9.3000000000000007</v>
      </c>
      <c r="AL126" s="641"/>
      <c r="AO126" s="642"/>
      <c r="AP126" s="641"/>
      <c r="AS126" s="642"/>
      <c r="AW126" s="642"/>
      <c r="BA126" s="643"/>
    </row>
    <row r="129" spans="1:30" s="2" customFormat="1" ht="18" customHeight="1" x14ac:dyDescent="0.2">
      <c r="B129" s="437" t="s">
        <v>1284</v>
      </c>
    </row>
    <row r="130" spans="1:30" s="2" customFormat="1" ht="9" customHeight="1" x14ac:dyDescent="0.15"/>
    <row r="131" spans="1:30" s="364" customFormat="1" ht="9" customHeight="1" x14ac:dyDescent="0.15">
      <c r="A131" s="362"/>
      <c r="B131" s="363" t="s">
        <v>1235</v>
      </c>
      <c r="C131" s="363"/>
      <c r="D131" s="363"/>
      <c r="E131" s="363"/>
      <c r="F131" s="363"/>
      <c r="G131" s="363" t="s">
        <v>1236</v>
      </c>
      <c r="H131" s="363"/>
      <c r="I131" s="363"/>
      <c r="J131" s="363"/>
      <c r="K131" s="363"/>
      <c r="L131" s="363"/>
      <c r="M131" s="363"/>
      <c r="N131" s="363"/>
      <c r="R131" s="802" t="s">
        <v>1237</v>
      </c>
      <c r="S131" s="802"/>
      <c r="T131" s="802"/>
      <c r="U131" s="802"/>
      <c r="V131" s="802"/>
      <c r="W131" s="802"/>
      <c r="X131" s="365"/>
      <c r="Y131" s="365"/>
      <c r="AA131" s="365"/>
      <c r="AB131" s="365"/>
      <c r="AC131" s="365"/>
      <c r="AD131" s="365"/>
    </row>
    <row r="132" spans="1:30" s="369" customFormat="1" ht="9" customHeight="1" x14ac:dyDescent="0.15">
      <c r="A132" s="366"/>
      <c r="B132" s="367" t="s">
        <v>1239</v>
      </c>
      <c r="C132" s="368"/>
      <c r="D132" s="368"/>
      <c r="E132" s="368"/>
      <c r="F132" s="368"/>
      <c r="G132" s="367" t="s">
        <v>1238</v>
      </c>
      <c r="H132" s="368"/>
      <c r="I132" s="368"/>
      <c r="J132" s="368"/>
      <c r="K132" s="368"/>
      <c r="L132" s="368"/>
      <c r="M132" s="368"/>
      <c r="N132" s="368"/>
      <c r="R132" s="370" t="s">
        <v>1240</v>
      </c>
      <c r="S132" s="371"/>
      <c r="T132" s="372"/>
      <c r="U132" s="372"/>
      <c r="V132" s="372"/>
      <c r="W132" s="370" t="s">
        <v>1241</v>
      </c>
      <c r="X132" s="372"/>
      <c r="Y132" s="372"/>
      <c r="AA132" s="372"/>
      <c r="AB132" s="372"/>
      <c r="AC132" s="372"/>
      <c r="AD132" s="372"/>
    </row>
    <row r="133" spans="1:30" s="351" customFormat="1" ht="12" customHeight="1" x14ac:dyDescent="0.15">
      <c r="A133" s="373" t="s">
        <v>3</v>
      </c>
      <c r="B133" s="374" t="s">
        <v>8</v>
      </c>
      <c r="C133" s="374" t="s">
        <v>9</v>
      </c>
      <c r="D133" s="374" t="s">
        <v>10</v>
      </c>
      <c r="E133" s="375" t="s">
        <v>1215</v>
      </c>
      <c r="F133" s="374"/>
      <c r="G133" s="351" t="s">
        <v>3</v>
      </c>
      <c r="H133" s="803" t="s">
        <v>0</v>
      </c>
      <c r="I133" s="803"/>
      <c r="J133" s="803" t="s">
        <v>1</v>
      </c>
      <c r="K133" s="803"/>
      <c r="L133" s="803" t="s">
        <v>2</v>
      </c>
      <c r="M133" s="803"/>
      <c r="N133" s="804" t="s">
        <v>1215</v>
      </c>
      <c r="O133" s="804"/>
      <c r="P133" s="376"/>
      <c r="Q133" s="376"/>
      <c r="R133" s="377" t="s">
        <v>3</v>
      </c>
      <c r="S133" s="378" t="s">
        <v>136</v>
      </c>
      <c r="T133" s="376" t="s">
        <v>134</v>
      </c>
      <c r="U133" s="374" t="s">
        <v>135</v>
      </c>
      <c r="V133" s="376"/>
      <c r="W133" s="379" t="s">
        <v>26</v>
      </c>
    </row>
    <row r="134" spans="1:30" s="273" customFormat="1" x14ac:dyDescent="0.15">
      <c r="A134" s="263">
        <v>1959</v>
      </c>
      <c r="B134" s="260">
        <f>(K6*($E6/365))+(K7*($E7/365))</f>
        <v>33.333333333333329</v>
      </c>
      <c r="C134" s="260">
        <f>(L6*($E6/365))+(L7*($E7/365))</f>
        <v>66.666666666666657</v>
      </c>
      <c r="D134" s="260">
        <f>(M6*($E6/365))+(M7*($E7/365))</f>
        <v>0</v>
      </c>
      <c r="E134" s="261">
        <f>B134+C134+D134</f>
        <v>99.999999999999986</v>
      </c>
      <c r="G134" s="263">
        <v>1959</v>
      </c>
      <c r="H134" s="819">
        <f xml:space="preserve"> (O6/$R6*100*($E6/365))+(O7/$R7*100*($E7/365))</f>
        <v>16.779661016949156</v>
      </c>
      <c r="I134" s="819"/>
      <c r="J134" s="819">
        <f xml:space="preserve"> (P6/$R6*100*($E6/365))+(P7/$R7*100*($E7/365))</f>
        <v>83.220338983050851</v>
      </c>
      <c r="K134" s="819"/>
      <c r="L134" s="819">
        <f xml:space="preserve"> (Q6/$R6*100*($E6/365))+(Q7/$R7*100*($E7/365))</f>
        <v>0</v>
      </c>
      <c r="M134" s="819"/>
      <c r="N134" s="813">
        <f>H134+J134+K134</f>
        <v>100</v>
      </c>
      <c r="O134" s="813"/>
      <c r="R134" s="263">
        <v>1959</v>
      </c>
      <c r="S134" s="260">
        <f>(O6*($E6/365))+(O7*($E7/365))</f>
        <v>9.9</v>
      </c>
      <c r="T134" s="260">
        <f>(P6*($E6/365))+(P7*($E7/365))</f>
        <v>49.1</v>
      </c>
      <c r="U134" s="260">
        <f>(Q6*($E6/365))+(Q7*($E7/365))</f>
        <v>0</v>
      </c>
      <c r="V134" s="274"/>
      <c r="W134" s="260">
        <f>S134+T134+U134</f>
        <v>59</v>
      </c>
    </row>
    <row r="135" spans="1:30" x14ac:dyDescent="0.15">
      <c r="A135" s="20">
        <v>1960</v>
      </c>
      <c r="B135" s="8">
        <f>(K8*($E8/366))+(K9*($E9/366))</f>
        <v>33.884335154826957</v>
      </c>
      <c r="C135" s="8">
        <f>(L8*($E8/366))+(L9*($E9/366))</f>
        <v>66.115664845173029</v>
      </c>
      <c r="D135" s="8">
        <f>(M8*($E8/366))+(M9*($E9/366))</f>
        <v>0</v>
      </c>
      <c r="E135" s="31">
        <f t="shared" ref="E135:E166" si="46">SUM(B135:D135)</f>
        <v>99.999999999999986</v>
      </c>
      <c r="G135" s="20">
        <v>1960</v>
      </c>
      <c r="H135" s="809">
        <f>(O8/$R8*100*($E8/366))+(O9/$R9*100*($E9/366))</f>
        <v>16.779661016949156</v>
      </c>
      <c r="I135" s="809"/>
      <c r="J135" s="779">
        <f>(P8/$R8*100*($E8/366))+(P9/$R9*100*($E9/366))</f>
        <v>83.220338983050851</v>
      </c>
      <c r="K135" s="779"/>
      <c r="L135" s="779">
        <f>(Q8/$R8*100*($E8/366))+(Q9/$R9*100*($E9/366))</f>
        <v>0</v>
      </c>
      <c r="M135" s="779"/>
      <c r="N135" s="810">
        <f>SUM(H135:L135)</f>
        <v>100</v>
      </c>
      <c r="O135" s="810"/>
      <c r="P135" s="2"/>
      <c r="R135" s="20">
        <v>1960</v>
      </c>
      <c r="S135" s="8">
        <f>(O8*($E8/366))+(O9*($E9/366))</f>
        <v>9.8999999999999986</v>
      </c>
      <c r="T135" s="8">
        <f>(P8*($E8/366))+(P9*($E9/366))</f>
        <v>49.099999999999994</v>
      </c>
      <c r="U135" s="8">
        <f>(Q8*($E8/366))+(Q9*($E9/366))</f>
        <v>0</v>
      </c>
      <c r="V135" s="7"/>
      <c r="W135" s="8">
        <f>R8*(E8/366) + R9*(E9/366)</f>
        <v>59</v>
      </c>
    </row>
    <row r="136" spans="1:30" x14ac:dyDescent="0.15">
      <c r="A136" s="20">
        <v>1961</v>
      </c>
      <c r="B136" s="8">
        <f>(K10*($E10/365))+(K11*($E11/365))</f>
        <v>10.931506849315069</v>
      </c>
      <c r="C136" s="8">
        <f>(L10*($E10/365))+(L11*($E11/365))</f>
        <v>60.752618855761483</v>
      </c>
      <c r="D136" s="8">
        <f>(M10*($E10/365))+(M11*($E11/365))</f>
        <v>28.315874294923443</v>
      </c>
      <c r="E136" s="31">
        <f t="shared" si="46"/>
        <v>100</v>
      </c>
      <c r="G136" s="20">
        <v>1961</v>
      </c>
      <c r="H136" s="809">
        <f>(O10/$R10*100*($E10/365))+(O11/$R11*100*($E11/365))</f>
        <v>5.2407708381704214</v>
      </c>
      <c r="I136" s="809"/>
      <c r="J136" s="779">
        <f>(P10/$R10*100*($E10/365))+(P11/$R11*100*($E11/365))</f>
        <v>62.684104518816838</v>
      </c>
      <c r="K136" s="779"/>
      <c r="L136" s="779">
        <f>(Q10/$R10*100*($E10/365))+(Q11/$R11*100*($E11/365))</f>
        <v>32.075124643012728</v>
      </c>
      <c r="M136" s="779"/>
      <c r="N136" s="810">
        <f>SUM(H136:L136)</f>
        <v>99.999999999999986</v>
      </c>
      <c r="O136" s="810"/>
      <c r="R136" s="20">
        <v>1961</v>
      </c>
      <c r="S136" s="8">
        <f>(O10*($E10/365))+(O11*($E11/365))</f>
        <v>3.0920547945205481</v>
      </c>
      <c r="T136" s="8">
        <f>(P10*($E10/365))+(P11*($E11/365))</f>
        <v>46.48684931506849</v>
      </c>
      <c r="U136" s="8">
        <f>(Q10*($E10/365))+(Q11*($E11/365))</f>
        <v>27.231780821917809</v>
      </c>
      <c r="V136" s="7"/>
      <c r="W136" s="8">
        <f>R10*(E10/365) + R11*(E11/365)</f>
        <v>76.810684931506856</v>
      </c>
    </row>
    <row r="137" spans="1:30" x14ac:dyDescent="0.15">
      <c r="A137" s="20">
        <v>1962</v>
      </c>
      <c r="B137" s="8">
        <f>(K12*($E12/365))+(K13*($E13/365))</f>
        <v>0</v>
      </c>
      <c r="C137" s="8">
        <f>(L12*($E12/365))+(L13*($E13/365))</f>
        <v>58.82352941176471</v>
      </c>
      <c r="D137" s="8">
        <f>(M12*($E12/365))+(M13*($E13/365))</f>
        <v>41.17647058823529</v>
      </c>
      <c r="E137" s="31">
        <f t="shared" si="46"/>
        <v>100</v>
      </c>
      <c r="G137" s="20">
        <v>1962</v>
      </c>
      <c r="H137" s="809">
        <f>(O12/$R12*100*($E12/365))+(O13/$R13*100*($E13/365))</f>
        <v>0</v>
      </c>
      <c r="I137" s="809"/>
      <c r="J137" s="779">
        <f>(P12/$R12*100*($E12/365))+(P13/$R13*100*($E13/365))</f>
        <v>53.356890459363946</v>
      </c>
      <c r="K137" s="779"/>
      <c r="L137" s="779">
        <f>(Q12/$R12*100*($E12/365))+(Q13/$R13*100*($E13/365))</f>
        <v>46.64310954063604</v>
      </c>
      <c r="M137" s="779"/>
      <c r="N137" s="810">
        <f>SUM(H137:L137)</f>
        <v>99.999999999999986</v>
      </c>
      <c r="O137" s="810"/>
      <c r="R137" s="20">
        <v>1962</v>
      </c>
      <c r="S137" s="8">
        <f>(O12*($E12/365))+(O13*($E13/365))</f>
        <v>0</v>
      </c>
      <c r="T137" s="8">
        <f>(P12*($E12/365))+(P13*($E13/365))</f>
        <v>45.3</v>
      </c>
      <c r="U137" s="8">
        <f>(Q12*($E12/365))+(Q13*($E13/365))</f>
        <v>39.6</v>
      </c>
      <c r="V137" s="7"/>
      <c r="W137" s="8">
        <f>R12*(E12/365) + R13*(E13/365)</f>
        <v>84.9</v>
      </c>
    </row>
    <row r="138" spans="1:30" x14ac:dyDescent="0.15">
      <c r="A138" s="20">
        <v>1963</v>
      </c>
      <c r="B138" s="8">
        <f>(K14*($E14/365))+(K15*($E15/365))</f>
        <v>0</v>
      </c>
      <c r="C138" s="8">
        <f>(L14*($E14/365))+(L15*($E15/365))</f>
        <v>58.82352941176471</v>
      </c>
      <c r="D138" s="8">
        <f>(M14*($E14/365))+(M15*($E15/365))</f>
        <v>41.17647058823529</v>
      </c>
      <c r="E138" s="31">
        <f t="shared" si="46"/>
        <v>100</v>
      </c>
      <c r="G138" s="20">
        <v>1963</v>
      </c>
      <c r="H138" s="809">
        <f>(O14/$R14*100*($E14/365))+(O15/$R15*100*($E15/365))</f>
        <v>0</v>
      </c>
      <c r="I138" s="809"/>
      <c r="J138" s="779">
        <f>(P14/$R14*100*($E14/365))+(P15/$R15*100*($E15/365))</f>
        <v>53.356890459363946</v>
      </c>
      <c r="K138" s="779"/>
      <c r="L138" s="779">
        <f>(Q14/$R14*100*($E14/365))+(Q15/$R15*100*($E15/365))</f>
        <v>46.64310954063604</v>
      </c>
      <c r="M138" s="779"/>
      <c r="N138" s="810">
        <f t="shared" ref="N138:N187" si="47">SUM(H138:L138)</f>
        <v>99.999999999999986</v>
      </c>
      <c r="O138" s="810"/>
      <c r="R138" s="20">
        <v>1963</v>
      </c>
      <c r="S138" s="8">
        <f>(O14*($E14/365))+(O15*($E15/365))</f>
        <v>0</v>
      </c>
      <c r="T138" s="8">
        <f>(P14*($E14/365))+(P15*($E15/365))</f>
        <v>45.3</v>
      </c>
      <c r="U138" s="8">
        <f>(Q14*($E14/365))+(Q15*($E15/365))</f>
        <v>39.6</v>
      </c>
      <c r="V138" s="7"/>
      <c r="W138" s="8">
        <f>R14*(E14/365) + R15*(E15/365)</f>
        <v>84.9</v>
      </c>
    </row>
    <row r="139" spans="1:30" x14ac:dyDescent="0.15">
      <c r="A139" s="20">
        <v>1964</v>
      </c>
      <c r="B139" s="8">
        <f>(K16*($E16/366))+(K17*($E17/366))</f>
        <v>0</v>
      </c>
      <c r="C139" s="8">
        <f>(L16*($E16/366))+(L17*($E17/366))</f>
        <v>58.82352941176471</v>
      </c>
      <c r="D139" s="8">
        <f>(M16*($E16/366))+(M17*($E17/366))</f>
        <v>41.17647058823529</v>
      </c>
      <c r="E139" s="31">
        <f t="shared" si="46"/>
        <v>100</v>
      </c>
      <c r="G139" s="20">
        <v>1964</v>
      </c>
      <c r="H139" s="809">
        <f>(O16/$R16*100*($E16/366))+(O17/$R17*100*($E17/366))</f>
        <v>0</v>
      </c>
      <c r="I139" s="809"/>
      <c r="J139" s="779">
        <f>(P16/$R16*100*($E16/366))+(P17/$R17*100*($E17/366))</f>
        <v>53.356890459363946</v>
      </c>
      <c r="K139" s="779"/>
      <c r="L139" s="779">
        <f>(Q16/$R16*100*($E16/366))+(Q17/$R17*100*($E17/366))</f>
        <v>46.64310954063604</v>
      </c>
      <c r="M139" s="779"/>
      <c r="N139" s="810">
        <f t="shared" si="47"/>
        <v>99.999999999999986</v>
      </c>
      <c r="O139" s="810"/>
      <c r="R139" s="20">
        <v>1964</v>
      </c>
      <c r="S139" s="8">
        <f>(O16*($E16/366))+(O17*($E17/366))</f>
        <v>0</v>
      </c>
      <c r="T139" s="8">
        <f>(P16*($E16/366))+(P17*($E17/366))</f>
        <v>45.3</v>
      </c>
      <c r="U139" s="8">
        <f>(Q16*($E16/366))+(Q17*($E17/366))</f>
        <v>39.6</v>
      </c>
      <c r="V139" s="7"/>
      <c r="W139" s="8">
        <f>R16*(E16/366) + R17*(E17/366)</f>
        <v>84.9</v>
      </c>
    </row>
    <row r="140" spans="1:30" x14ac:dyDescent="0.15">
      <c r="A140" s="20">
        <v>1965</v>
      </c>
      <c r="B140" s="8">
        <f>(K18*($E18/365))+(K19*($E19/365))</f>
        <v>0</v>
      </c>
      <c r="C140" s="8">
        <f>(L18*($E18/365))+(L19*($E19/365))</f>
        <v>59.329572925060432</v>
      </c>
      <c r="D140" s="8">
        <f>(M18*($E18/365))+(M19*($E19/365))</f>
        <v>40.670427074939568</v>
      </c>
      <c r="E140" s="31">
        <f t="shared" si="46"/>
        <v>100</v>
      </c>
      <c r="G140" s="20">
        <v>1965</v>
      </c>
      <c r="H140" s="809">
        <f>(O18/$R18*100*($E18/365))+(O19/$R19*100*($E19/365))</f>
        <v>0</v>
      </c>
      <c r="I140" s="809"/>
      <c r="J140" s="779">
        <f>(P18/$R18*100*($E18/365))+(P19/$R19*100*($E19/365))</f>
        <v>53.885776447993493</v>
      </c>
      <c r="K140" s="779"/>
      <c r="L140" s="779">
        <f>(Q18/$R18*100*($E18/365))+(Q19/$R19*100*($E19/365))</f>
        <v>46.1142235520065</v>
      </c>
      <c r="M140" s="779"/>
      <c r="N140" s="810">
        <f t="shared" si="47"/>
        <v>100</v>
      </c>
      <c r="O140" s="810"/>
      <c r="R140" s="20">
        <v>1965</v>
      </c>
      <c r="S140" s="8">
        <f>(O18*($E18/365))+(O19*($E19/365))</f>
        <v>0</v>
      </c>
      <c r="T140" s="8">
        <f>(P18*($E18/365))+(P19*($E19/365))</f>
        <v>41.42876712328767</v>
      </c>
      <c r="U140" s="8">
        <f>(Q18*($E18/365))+(Q19*($E19/365))</f>
        <v>35.556712328767119</v>
      </c>
      <c r="V140" s="7"/>
      <c r="W140" s="8">
        <f>R18*(E18/365) + R19*(E19/365)</f>
        <v>76.985479452054804</v>
      </c>
    </row>
    <row r="141" spans="1:30" x14ac:dyDescent="0.15">
      <c r="A141" s="20">
        <v>1966</v>
      </c>
      <c r="B141" s="8">
        <f>(K20*($E20/365))+(K21*($E21/365))</f>
        <v>28.968997837058396</v>
      </c>
      <c r="C141" s="8">
        <f>(L20*($E20/365))+(L21*($E21/365))</f>
        <v>62.483056957462153</v>
      </c>
      <c r="D141" s="8">
        <f>(M20*($E20/365))+(M21*($E21/365))</f>
        <v>8.5479452054794525</v>
      </c>
      <c r="E141" s="31">
        <f t="shared" si="46"/>
        <v>100</v>
      </c>
      <c r="G141" s="20">
        <v>1966</v>
      </c>
      <c r="H141" s="809">
        <f>(O20/$R20*100*($E20/365))+(O21/$R21*100*($E21/365))</f>
        <v>30.170477010023955</v>
      </c>
      <c r="I141" s="809"/>
      <c r="J141" s="779">
        <f>(P20/$R20*100*($E20/365))+(P21/$R21*100*($E21/365))</f>
        <v>60.124713019845231</v>
      </c>
      <c r="K141" s="779"/>
      <c r="L141" s="779">
        <f>(Q20/$R20*100*($E20/365))+(Q21/$R21*100*($E21/365))</f>
        <v>9.7048099701308068</v>
      </c>
      <c r="M141" s="779"/>
      <c r="N141" s="810">
        <f t="shared" si="47"/>
        <v>100</v>
      </c>
      <c r="O141" s="810"/>
      <c r="R141" s="20">
        <v>1966</v>
      </c>
      <c r="S141" s="8">
        <f>(O20*($E20/365))+(O21*($E21/365))</f>
        <v>17.770410958904112</v>
      </c>
      <c r="T141" s="8">
        <f>(P20*($E20/365))+(P21*($E21/365))</f>
        <v>36.299999999999997</v>
      </c>
      <c r="U141" s="8">
        <f>(Q20*($E20/365))+(Q21*($E21/365))</f>
        <v>6.4536986301369863</v>
      </c>
      <c r="V141" s="7"/>
      <c r="W141" s="8">
        <f>R20*(E20/365) + R21*(E21/365)</f>
        <v>60.524109589041096</v>
      </c>
    </row>
    <row r="142" spans="1:30" x14ac:dyDescent="0.15">
      <c r="A142" s="20">
        <v>1967</v>
      </c>
      <c r="B142" s="8">
        <f>(K22*($E22/365))+(K23*($E23/365))</f>
        <v>36.84210526315789</v>
      </c>
      <c r="C142" s="8">
        <f>(L22*($E22/365))+(L23*($E23/365))</f>
        <v>63.157894736842103</v>
      </c>
      <c r="D142" s="8">
        <f>(M22*($E22/365))+(M23*($E23/365))</f>
        <v>0</v>
      </c>
      <c r="E142" s="31">
        <f t="shared" si="46"/>
        <v>100</v>
      </c>
      <c r="G142" s="20">
        <v>1967</v>
      </c>
      <c r="H142" s="809">
        <f>(O22/$R22*100*($E22/365))+(O23/$R23*100*($E23/365))</f>
        <v>38.370118845500848</v>
      </c>
      <c r="I142" s="809"/>
      <c r="J142" s="779">
        <f>(P22/$R22*100*($E22/365))+(P23/$R23*100*($E23/365))</f>
        <v>61.629881154499145</v>
      </c>
      <c r="K142" s="779"/>
      <c r="L142" s="779">
        <f>(Q22/$R22*100*($E22/365))+(Q23/$R23*100*($E23/365))</f>
        <v>0</v>
      </c>
      <c r="M142" s="779"/>
      <c r="N142" s="810">
        <f t="shared" si="47"/>
        <v>100</v>
      </c>
      <c r="O142" s="810"/>
      <c r="R142" s="20">
        <v>1967</v>
      </c>
      <c r="S142" s="8">
        <f>(O22*($E22/365))+(O23*($E23/365))</f>
        <v>22.6</v>
      </c>
      <c r="T142" s="8">
        <f>(P22*($E22/365))+(P23*($E23/365))</f>
        <v>36.299999999999997</v>
      </c>
      <c r="U142" s="8">
        <f>(Q22*($E22/365))+(Q23*($E23/365))</f>
        <v>0</v>
      </c>
      <c r="V142" s="7"/>
      <c r="W142" s="8">
        <f>R22*(E22/365) + R23*(E23/365)</f>
        <v>58.9</v>
      </c>
    </row>
    <row r="143" spans="1:30" x14ac:dyDescent="0.15">
      <c r="A143" s="20">
        <v>1968</v>
      </c>
      <c r="B143" s="8">
        <f>(K24*($E24/366))+(K25*($E25/366))</f>
        <v>17.011791774518262</v>
      </c>
      <c r="C143" s="8">
        <f>(L24*($E24/366))+(L25*($E25/366))</f>
        <v>61.059448865028386</v>
      </c>
      <c r="D143" s="8">
        <f>(M24*($E24/366))+(M25*($E25/366))</f>
        <v>21.928759360453352</v>
      </c>
      <c r="E143" s="31">
        <f t="shared" si="46"/>
        <v>100</v>
      </c>
      <c r="G143" s="20">
        <v>1968</v>
      </c>
      <c r="H143" s="809">
        <f>(O24/$R24*100*($E24/366))+(O25/$R25*100*($E25/366))</f>
        <v>17.717349958714873</v>
      </c>
      <c r="I143" s="809"/>
      <c r="J143" s="779">
        <f>(P24/$R24*100*($E24/366))+(P25/$R25*100*($E25/366))</f>
        <v>57.508828885420769</v>
      </c>
      <c r="K143" s="779"/>
      <c r="L143" s="779">
        <f>(Q24/$R24*100*($E24/366))+(Q25/$R25*100*($E25/366))</f>
        <v>24.773821155864368</v>
      </c>
      <c r="M143" s="779"/>
      <c r="N143" s="810">
        <f t="shared" si="47"/>
        <v>100.00000000000001</v>
      </c>
      <c r="O143" s="810"/>
      <c r="R143" s="20">
        <v>1968</v>
      </c>
      <c r="S143" s="8">
        <f>(O24*($E24/366))+(O25*($E25/366))</f>
        <v>10.435519125683062</v>
      </c>
      <c r="T143" s="8">
        <f>(P24*($E24/366))+(P25*($E25/366))</f>
        <v>34.308469945355199</v>
      </c>
      <c r="U143" s="8">
        <f>(Q24*($E24/366))+(Q25*($E25/366))</f>
        <v>14.963387978142078</v>
      </c>
      <c r="V143" s="7"/>
      <c r="W143" s="8">
        <f>R24*(E24/366) + R25*(E25/366)</f>
        <v>59.70737704918033</v>
      </c>
    </row>
    <row r="144" spans="1:30" x14ac:dyDescent="0.15">
      <c r="A144" s="20">
        <v>1969</v>
      </c>
      <c r="B144" s="8">
        <f>(K26*($E26/365))+(K27*($E27/365))</f>
        <v>0</v>
      </c>
      <c r="C144" s="8">
        <f>(L26*($E26/365))+(L27*($E27/365))</f>
        <v>59.259259259259252</v>
      </c>
      <c r="D144" s="8">
        <f>(M26*($E26/365))+(M27*($E27/365))</f>
        <v>40.74074074074074</v>
      </c>
      <c r="E144" s="31">
        <f t="shared" si="46"/>
        <v>100</v>
      </c>
      <c r="G144" s="20">
        <v>1969</v>
      </c>
      <c r="H144" s="809">
        <f>(O26/$R26*100*($E26/365))+(O27/$R27*100*($E27/365))</f>
        <v>0</v>
      </c>
      <c r="I144" s="809"/>
      <c r="J144" s="779">
        <f>(P26/$R26*100*($E26/365))+(P27/$R27*100*($E27/365))</f>
        <v>53.973509933774835</v>
      </c>
      <c r="K144" s="779"/>
      <c r="L144" s="779">
        <f>(Q26/$R26*100*($E26/365))+(Q27/$R27*100*($E27/365))</f>
        <v>46.026490066225165</v>
      </c>
      <c r="M144" s="779"/>
      <c r="N144" s="810">
        <f t="shared" si="47"/>
        <v>100</v>
      </c>
      <c r="O144" s="810"/>
      <c r="R144" s="20">
        <v>1969</v>
      </c>
      <c r="S144" s="8">
        <f>(O26*($E26/365))+(O27*($E27/365))</f>
        <v>0</v>
      </c>
      <c r="T144" s="8">
        <f>(P26*($E26/365))+(P27*($E27/365))</f>
        <v>32.6</v>
      </c>
      <c r="U144" s="8">
        <f>(Q26*($E26/365))+(Q27*($E27/365))</f>
        <v>27.8</v>
      </c>
      <c r="V144" s="7"/>
      <c r="W144" s="8">
        <f>R26*(E26/365) + R27*(E27/365)</f>
        <v>60.400000000000006</v>
      </c>
    </row>
    <row r="145" spans="1:23" x14ac:dyDescent="0.15">
      <c r="A145" s="20">
        <v>1970</v>
      </c>
      <c r="B145" s="8">
        <f>(K28*($E28/365))+(K29*($E29/365))</f>
        <v>0</v>
      </c>
      <c r="C145" s="8">
        <f>(L28*($E28/365))+(L29*($E29/365))</f>
        <v>59.259259259259252</v>
      </c>
      <c r="D145" s="8">
        <f>(M28*($E28/365))+(M29*($E29/365))</f>
        <v>40.74074074074074</v>
      </c>
      <c r="E145" s="31">
        <f t="shared" si="46"/>
        <v>100</v>
      </c>
      <c r="G145" s="20">
        <v>1970</v>
      </c>
      <c r="H145" s="809">
        <f>(O28/$R28*100*($E28/365))+(O29/$R29*100*($E29/365))</f>
        <v>0</v>
      </c>
      <c r="I145" s="809"/>
      <c r="J145" s="779">
        <f>(P28/$R28*100*($E28/365))+(P29/$R29*100*($E29/365))</f>
        <v>53.973509933774835</v>
      </c>
      <c r="K145" s="779"/>
      <c r="L145" s="779">
        <f>(Q28/$R28*100*($E28/365))+(Q29/$R29*100*($E29/365))</f>
        <v>46.026490066225165</v>
      </c>
      <c r="M145" s="779"/>
      <c r="N145" s="810">
        <f t="shared" si="47"/>
        <v>100</v>
      </c>
      <c r="O145" s="810"/>
      <c r="R145" s="20">
        <v>1970</v>
      </c>
      <c r="S145" s="8">
        <f>(O28*($E28/365))+(O29*($E29/365))</f>
        <v>0</v>
      </c>
      <c r="T145" s="8">
        <f>(P28*($E28/365))+(P29*($E29/365))</f>
        <v>32.6</v>
      </c>
      <c r="U145" s="8">
        <f>(Q28*($E28/365))+(Q29*($E29/365))</f>
        <v>27.8</v>
      </c>
      <c r="V145" s="7"/>
      <c r="W145" s="8">
        <f>R28*(E28/365) + R29*(E29/365)</f>
        <v>60.400000000000006</v>
      </c>
    </row>
    <row r="146" spans="1:23" x14ac:dyDescent="0.15">
      <c r="A146" s="20">
        <v>1971</v>
      </c>
      <c r="B146" s="8">
        <f>(K30*($E30/365))+(K31*($E31/365))</f>
        <v>0</v>
      </c>
      <c r="C146" s="8">
        <f>(L30*($E30/365))+(L31*($E31/365))</f>
        <v>59.259259259259252</v>
      </c>
      <c r="D146" s="8">
        <f>(M30*($E30/365))+(M31*($E31/365))</f>
        <v>40.74074074074074</v>
      </c>
      <c r="E146" s="31">
        <f t="shared" si="46"/>
        <v>100</v>
      </c>
      <c r="G146" s="20">
        <v>1971</v>
      </c>
      <c r="H146" s="809">
        <f>(O30/$R30*100*($E30/365))+(O31/$R31*100*($E31/365))</f>
        <v>0</v>
      </c>
      <c r="I146" s="809"/>
      <c r="J146" s="779">
        <f>(P30/$R30*100*($E30/365))+(P31/$R31*100*($E31/365))</f>
        <v>53.973509933774835</v>
      </c>
      <c r="K146" s="779"/>
      <c r="L146" s="779">
        <f>(Q30/$R30*100*($E30/365))+(Q31/$R31*100*($E31/365))</f>
        <v>46.026490066225165</v>
      </c>
      <c r="M146" s="779"/>
      <c r="N146" s="810">
        <f t="shared" si="47"/>
        <v>100</v>
      </c>
      <c r="O146" s="810"/>
      <c r="R146" s="20">
        <v>1971</v>
      </c>
      <c r="S146" s="8">
        <f>(O30*($E30/365))+(O31*($E31/365))</f>
        <v>0</v>
      </c>
      <c r="T146" s="8">
        <f>(P30*($E30/365))+(P31*($E31/365))</f>
        <v>32.6</v>
      </c>
      <c r="U146" s="8">
        <f>(Q30*($E30/365))+(Q31*($E31/365))</f>
        <v>27.8</v>
      </c>
      <c r="V146" s="7"/>
      <c r="W146" s="8">
        <f>R30*(E30/365) + R31*(E31/365)</f>
        <v>60.400000000000006</v>
      </c>
    </row>
    <row r="147" spans="1:23" x14ac:dyDescent="0.15">
      <c r="A147" s="20">
        <v>1972</v>
      </c>
      <c r="B147" s="8">
        <f>(K32*($E32/366))+(K33*($E33/366))</f>
        <v>0</v>
      </c>
      <c r="C147" s="8">
        <f>(L32*($E32/366))+(L33*($E33/366))</f>
        <v>52.993747270422567</v>
      </c>
      <c r="D147" s="8">
        <f>(M32*($E32/366))+(M33*($E33/366))</f>
        <v>47.006252729577433</v>
      </c>
      <c r="E147" s="31">
        <f t="shared" si="46"/>
        <v>100</v>
      </c>
      <c r="G147" s="20">
        <v>1972</v>
      </c>
      <c r="H147" s="809">
        <f>(O32/$R32*100*($E32/366))+(O33/$R33*100*($E33/366))</f>
        <v>0</v>
      </c>
      <c r="I147" s="809"/>
      <c r="J147" s="779">
        <f>(P32/$R32*100*($E32/366))+(P33/$R33*100*($E33/366))</f>
        <v>53.973509933774835</v>
      </c>
      <c r="K147" s="779"/>
      <c r="L147" s="779">
        <f>(Q32/$R32*100*($E32/366))+(Q33/$R33*100*($E33/366))</f>
        <v>46.026490066225165</v>
      </c>
      <c r="M147" s="779"/>
      <c r="N147" s="810">
        <f t="shared" si="47"/>
        <v>100</v>
      </c>
      <c r="O147" s="810"/>
      <c r="R147" s="20">
        <v>1972</v>
      </c>
      <c r="S147" s="8">
        <f>(O32*($E32/366))+(O33*($E33/366))</f>
        <v>0</v>
      </c>
      <c r="T147" s="8">
        <f>(P32*($E32/366))+(P33*($E33/366))</f>
        <v>32.6</v>
      </c>
      <c r="U147" s="8">
        <f>(Q32*($E32/366))+(Q33*($E33/366))</f>
        <v>27.800000000000004</v>
      </c>
      <c r="V147" s="7"/>
      <c r="W147" s="8">
        <f>R32*(E32/366) + R33*(E33/366)</f>
        <v>60.400000000000006</v>
      </c>
    </row>
    <row r="148" spans="1:23" x14ac:dyDescent="0.15">
      <c r="A148" s="20">
        <v>1973</v>
      </c>
      <c r="B148" s="8">
        <f>(K34*($E34/365))+(K35*($E35/365))</f>
        <v>16.936488169364882</v>
      </c>
      <c r="C148" s="8">
        <f>(L34*($E34/365))+(L35*($E35/365))</f>
        <v>41.712001048698959</v>
      </c>
      <c r="D148" s="8">
        <f>(M34*($E34/365))+(M35*($E35/365))</f>
        <v>41.351510781936156</v>
      </c>
      <c r="E148" s="31">
        <f t="shared" si="46"/>
        <v>100</v>
      </c>
      <c r="G148" s="20">
        <v>1973</v>
      </c>
      <c r="H148" s="809">
        <f>(O34/$R34*100*($E34/365))+(O35/$R35*100*($E35/365))</f>
        <v>12.544648113985163</v>
      </c>
      <c r="I148" s="809"/>
      <c r="J148" s="779">
        <f>(P34/$R34*100*($E34/365))+(P35/$R35*100*($E35/365))</f>
        <v>45.868186004413282</v>
      </c>
      <c r="K148" s="779"/>
      <c r="L148" s="779">
        <f>(Q34/$R34*100*($E34/365))+(Q35/$R35*100*($E35/365))</f>
        <v>41.587165881601564</v>
      </c>
      <c r="M148" s="779"/>
      <c r="N148" s="810">
        <f t="shared" si="47"/>
        <v>100</v>
      </c>
      <c r="O148" s="810"/>
      <c r="R148" s="20">
        <v>1973</v>
      </c>
      <c r="S148" s="8">
        <f>(O34*($E34/365))+(O35*($E35/365))</f>
        <v>8.7561643835616429</v>
      </c>
      <c r="T148" s="8">
        <f>(P34*($E34/365))+(P35*($E35/365))</f>
        <v>31.668493150684931</v>
      </c>
      <c r="U148" s="8">
        <f>(Q34*($E34/365))+(Q35*($E35/365))</f>
        <v>28.731506849315068</v>
      </c>
      <c r="V148" s="7"/>
      <c r="W148" s="8">
        <f>R34*(E34/365) + R35*(E35/365)</f>
        <v>69.156164383561631</v>
      </c>
    </row>
    <row r="149" spans="1:23" x14ac:dyDescent="0.15">
      <c r="A149" s="20">
        <v>1974</v>
      </c>
      <c r="B149" s="8">
        <f>(K36*($E36/365))+(K37*($E37/365))+(K38*($E38/365))</f>
        <v>25.721963688798585</v>
      </c>
      <c r="C149" s="8">
        <f>(L36*($E36/365))+(L37*($E37/365))+(L38*($E38/365))</f>
        <v>61.500950383430563</v>
      </c>
      <c r="D149" s="8">
        <f>(M36*($E36/365))+(M37*($E37/365))+(M38*($E38/365))</f>
        <v>12.777085927770861</v>
      </c>
      <c r="E149" s="31">
        <f t="shared" si="46"/>
        <v>100</v>
      </c>
      <c r="G149" s="20">
        <v>1974</v>
      </c>
      <c r="H149" s="809">
        <f>(O36/$R36*100*($E36/365))+(O37/$R37*100*($E37/365))+(O38/$R38*100*($E38/365))</f>
        <v>15.034061254051272</v>
      </c>
      <c r="I149" s="809"/>
      <c r="J149" s="779">
        <f>(P36/$R36*100*($E36/365))+(P37/$R37*100*($E37/365))+(P38/$R38*100*($E38/365))</f>
        <v>72.079021133984995</v>
      </c>
      <c r="K149" s="779"/>
      <c r="L149" s="779">
        <f>(Q36/$R36*100*($E36/365))+(Q37/$R37*100*($E37/365))+(Q38/$R38*100*($E38/365))</f>
        <v>12.886917611963733</v>
      </c>
      <c r="M149" s="779"/>
      <c r="N149" s="810">
        <f t="shared" si="47"/>
        <v>100</v>
      </c>
      <c r="O149" s="810"/>
      <c r="R149" s="20">
        <v>1974</v>
      </c>
      <c r="S149" s="8">
        <f>(O36*($E36/365))+(O37*($E37/365))+(O38*($E38/365))</f>
        <v>9.2624657534246566</v>
      </c>
      <c r="T149" s="8">
        <f>(P36*($E36/365))+(P37*($E37/365))+(P38*($E38/365))</f>
        <v>43.794794520547946</v>
      </c>
      <c r="U149" s="8">
        <f>(Q36*($E36/365))+(Q37*($E37/365))+(Q38*($E38/365))</f>
        <v>8.9950684931506846</v>
      </c>
      <c r="V149" s="7"/>
      <c r="W149" s="8">
        <f>R36*(E36/365) + R37*(E37/365)+R38*(E38/365)</f>
        <v>62.052328767123292</v>
      </c>
    </row>
    <row r="150" spans="1:23" x14ac:dyDescent="0.15">
      <c r="A150" s="20">
        <v>1975</v>
      </c>
      <c r="B150" s="8">
        <f>(K39*($E39/365))+(K40*($E40/365))</f>
        <v>28.571428571428569</v>
      </c>
      <c r="C150" s="8">
        <f>(L39*($E39/365))+(L40*($E40/365))</f>
        <v>71.428571428571431</v>
      </c>
      <c r="D150" s="8">
        <f>(M39*($E39/365))+(M40*($E40/365))</f>
        <v>0</v>
      </c>
      <c r="E150" s="31">
        <f t="shared" si="46"/>
        <v>100</v>
      </c>
      <c r="G150" s="20">
        <v>1975</v>
      </c>
      <c r="H150" s="809">
        <f>(O39/$R39*100*($E39/365))+(O40/$R40*100*($E40/365))</f>
        <v>15.410385259631489</v>
      </c>
      <c r="I150" s="809"/>
      <c r="J150" s="779">
        <f>(P39/$R39*100*($E39/365))+(P40/$R40*100*($E40/365))</f>
        <v>84.589614740368503</v>
      </c>
      <c r="K150" s="779"/>
      <c r="L150" s="779">
        <f>(Q39/$R39*100*($E39/365))+(Q40/$R40*100*($E40/365))</f>
        <v>0</v>
      </c>
      <c r="M150" s="779"/>
      <c r="N150" s="810">
        <f t="shared" si="47"/>
        <v>100</v>
      </c>
      <c r="O150" s="810"/>
      <c r="R150" s="20">
        <v>1975</v>
      </c>
      <c r="S150" s="8">
        <f>(O39*($E39/365))+(O40*($E40/365))</f>
        <v>9.1999999999999993</v>
      </c>
      <c r="T150" s="8">
        <f>(P39*($E39/365))+(P40*($E40/365))</f>
        <v>50.5</v>
      </c>
      <c r="U150" s="8">
        <f>(Q39*($E39/365))+(Q40*($E40/365))</f>
        <v>0</v>
      </c>
      <c r="V150" s="7"/>
      <c r="W150" s="8">
        <f>R39*(E39/365) + R40*(E40/365)</f>
        <v>59.7</v>
      </c>
    </row>
    <row r="151" spans="1:23" x14ac:dyDescent="0.15">
      <c r="A151" s="20">
        <v>1976</v>
      </c>
      <c r="B151" s="8">
        <f>(K41*($E41/366))+(K42*($E42/366))</f>
        <v>28.786885245901637</v>
      </c>
      <c r="C151" s="8">
        <f>(L41*($E41/366))+(L42*($E42/366))</f>
        <v>71.213114754098356</v>
      </c>
      <c r="D151" s="8">
        <f>(M41*($E41/366))+(M42*($E42/366))</f>
        <v>0</v>
      </c>
      <c r="E151" s="31">
        <f t="shared" si="46"/>
        <v>100</v>
      </c>
      <c r="G151" s="20">
        <v>1976</v>
      </c>
      <c r="H151" s="809">
        <f>(O41/$R41*100*($E41/366))+(O42/$R42*100*($E42/366))</f>
        <v>15.410385259631489</v>
      </c>
      <c r="I151" s="809"/>
      <c r="J151" s="779">
        <f>(P41/$R41*100*($E41/366))+(P42/$R42*100*($E42/366))</f>
        <v>84.589614740368518</v>
      </c>
      <c r="K151" s="779"/>
      <c r="L151" s="779">
        <f>(Q41/$R41*100*($E41/366))+(Q42/$R42*100*($E42/366))</f>
        <v>0</v>
      </c>
      <c r="M151" s="779"/>
      <c r="N151" s="810">
        <f t="shared" si="47"/>
        <v>100</v>
      </c>
      <c r="O151" s="810"/>
      <c r="R151" s="20">
        <v>1976</v>
      </c>
      <c r="S151" s="8">
        <f>(O41*($E41/366))+(O42*($E42/366))</f>
        <v>9.2000000000000011</v>
      </c>
      <c r="T151" s="8">
        <f>(P41*($E41/366))+(P42*($E42/366))</f>
        <v>50.500000000000007</v>
      </c>
      <c r="U151" s="8">
        <f>(Q41*($E41/366))+(Q42*($E42/366))</f>
        <v>0</v>
      </c>
      <c r="V151" s="7"/>
      <c r="W151" s="8">
        <f>R41*(E41/366) + R42*(E42/366)</f>
        <v>59.7</v>
      </c>
    </row>
    <row r="152" spans="1:23" x14ac:dyDescent="0.15">
      <c r="A152" s="20">
        <v>1977</v>
      </c>
      <c r="B152" s="8">
        <f>(K43*($E43/365))+(K44*($E44/365))</f>
        <v>13.413698630136986</v>
      </c>
      <c r="C152" s="8">
        <f>(L43*($E43/365))+(L44*($E44/365))</f>
        <v>63.85848719475878</v>
      </c>
      <c r="D152" s="8">
        <f>(M43*($E43/365))+(M44*($E44/365))</f>
        <v>22.727814175104225</v>
      </c>
      <c r="E152" s="31">
        <f t="shared" si="46"/>
        <v>100</v>
      </c>
      <c r="G152" s="20">
        <v>1977</v>
      </c>
      <c r="H152" s="809">
        <f>(O43/$R43*100*($E43/365))+(O44/$R44*100*($E44/365))</f>
        <v>6.4596957389688159</v>
      </c>
      <c r="I152" s="809"/>
      <c r="J152" s="779">
        <f>(P43/$R43*100*($E43/365))+(P44/$R44*100*($E44/365))</f>
        <v>72.602032656092916</v>
      </c>
      <c r="K152" s="779"/>
      <c r="L152" s="779">
        <f>(Q43/$R43*100*($E43/365))+(Q44/$R44*100*($E44/365))</f>
        <v>20.938271604938269</v>
      </c>
      <c r="M152" s="779"/>
      <c r="N152" s="810">
        <f t="shared" si="47"/>
        <v>100</v>
      </c>
      <c r="O152" s="810"/>
      <c r="R152" s="20">
        <v>1977</v>
      </c>
      <c r="S152" s="8">
        <f>(O43*($E43/365))+(O44*($E44/365))</f>
        <v>3.8564383561643831</v>
      </c>
      <c r="T152" s="8">
        <f>(P43*($E43/365))+(P44*($E44/365))</f>
        <v>51.255068493150681</v>
      </c>
      <c r="U152" s="8">
        <f>(Q43*($E43/365))+(Q44*($E44/365))</f>
        <v>16.959999999999997</v>
      </c>
      <c r="V152" s="7"/>
      <c r="W152" s="8">
        <f>R43*(E43/365) + R44*(E44/365)</f>
        <v>72.071506849315071</v>
      </c>
    </row>
    <row r="153" spans="1:23" x14ac:dyDescent="0.15">
      <c r="A153" s="20">
        <v>1978</v>
      </c>
      <c r="B153" s="8">
        <f>(K45*($E45/365))+(K46*($E46/365))</f>
        <v>0</v>
      </c>
      <c r="C153" s="8">
        <f>(L45*($E45/365))+(L46*($E46/365))</f>
        <v>60.513833992094874</v>
      </c>
      <c r="D153" s="8">
        <f>(M45*($E45/365))+(M46*($E46/365))</f>
        <v>39.48616600790514</v>
      </c>
      <c r="E153" s="31">
        <f t="shared" si="46"/>
        <v>100.00000000000001</v>
      </c>
      <c r="G153" s="20">
        <v>1978</v>
      </c>
      <c r="H153" s="809">
        <f>(O45/$R45*100*($E45/365))+(O46/$R46*100*($E46/365))</f>
        <v>0</v>
      </c>
      <c r="I153" s="809"/>
      <c r="J153" s="779">
        <f>(P45/$R45*100*($E45/365))+(P46/$R46*100*($E46/365))</f>
        <v>63.950617283950628</v>
      </c>
      <c r="K153" s="779"/>
      <c r="L153" s="779">
        <f>(Q45/$R45*100*($E45/365))+(Q46/$R46*100*($E46/365))</f>
        <v>36.049382716049379</v>
      </c>
      <c r="M153" s="779"/>
      <c r="N153" s="810">
        <f t="shared" si="47"/>
        <v>100</v>
      </c>
      <c r="O153" s="810"/>
      <c r="R153" s="20">
        <v>1978</v>
      </c>
      <c r="S153" s="8">
        <f>(O45*($E45/365))+(O46*($E46/365))</f>
        <v>0</v>
      </c>
      <c r="T153" s="8">
        <f>(P45*($E45/365))+(P46*($E46/365))</f>
        <v>51.8</v>
      </c>
      <c r="U153" s="8">
        <f>(Q45*($E45/365))+(Q46*($E46/365))</f>
        <v>29.2</v>
      </c>
      <c r="V153" s="7"/>
      <c r="W153" s="8">
        <f>R45*(E45/365) + R46*(E46/365)</f>
        <v>81</v>
      </c>
    </row>
    <row r="154" spans="1:23" x14ac:dyDescent="0.15">
      <c r="A154" s="20">
        <v>1979</v>
      </c>
      <c r="B154" s="8">
        <f>(K47*($E47/365))+(K48*($E48/365))</f>
        <v>0</v>
      </c>
      <c r="C154" s="8">
        <f>(L47*($E47/365))+(L48*($E48/365))</f>
        <v>59.770859277708595</v>
      </c>
      <c r="D154" s="8">
        <f>(M47*($E47/365))+(M48*($E48/365))</f>
        <v>40.229140722291412</v>
      </c>
      <c r="E154" s="31">
        <f t="shared" si="46"/>
        <v>100</v>
      </c>
      <c r="G154" s="20">
        <v>1979</v>
      </c>
      <c r="H154" s="809">
        <f>(O47/$R47*100*($E47/365))+(O48/$R48*100*($E48/365))</f>
        <v>0</v>
      </c>
      <c r="I154" s="809"/>
      <c r="J154" s="779">
        <f>(P47/$R47*100*($E47/365))+(P48/$R48*100*($E48/365))</f>
        <v>62.170664917128185</v>
      </c>
      <c r="K154" s="779"/>
      <c r="L154" s="779">
        <f>(Q47/$R47*100*($E47/365))+(Q48/$R48*100*($E48/365))</f>
        <v>37.829335082871815</v>
      </c>
      <c r="M154" s="779"/>
      <c r="N154" s="810">
        <f t="shared" si="47"/>
        <v>100</v>
      </c>
      <c r="O154" s="810"/>
      <c r="R154" s="20">
        <v>1979</v>
      </c>
      <c r="S154" s="8">
        <f>(O47*($E47/365))+(O48*($E48/365))</f>
        <v>0</v>
      </c>
      <c r="T154" s="8">
        <f>(P47*($E47/365))+(P48*($E48/365))</f>
        <v>45.89123287671233</v>
      </c>
      <c r="U154" s="8">
        <f>(Q47*($E47/365))+(Q48*($E48/365))</f>
        <v>27.853698630136986</v>
      </c>
      <c r="V154" s="7"/>
      <c r="W154" s="8">
        <f>R47*(E47/365) + R48*(E48/365)</f>
        <v>73.744931506849326</v>
      </c>
    </row>
    <row r="155" spans="1:23" x14ac:dyDescent="0.15">
      <c r="A155" s="20">
        <v>1980</v>
      </c>
      <c r="B155" s="8">
        <f>(K49*($E49/366))+(K50*($E50/366))+(K51*($E51/366))+(K52*($E52/366))</f>
        <v>7.9437360858125885</v>
      </c>
      <c r="C155" s="8">
        <f>(L49*($E49/366))+(L50*($E50/366))+(L51*($E51/366))+(L52*($E52/366))</f>
        <v>48.605950212507594</v>
      </c>
      <c r="D155" s="8">
        <f>(M49*($E49/366))+(M50*($E50/366))+(M51*($E51/366))+(M52*($E52/366))</f>
        <v>43.450313701679818</v>
      </c>
      <c r="E155" s="31">
        <f t="shared" si="46"/>
        <v>100</v>
      </c>
      <c r="G155" s="20">
        <v>1980</v>
      </c>
      <c r="H155" s="809">
        <f>(O49/$R49*100*($E49/366))+(O50/$R50*100*($E50/366))+(O51/$R51*100*($E51/366))+(O52/$R52*100*($E52/366))</f>
        <v>5.8316368441730067</v>
      </c>
      <c r="I155" s="809"/>
      <c r="J155" s="779">
        <f>(P49/$R49*100*($E49/366))+(P50/$R50*100*($E50/366))+(P51/$R51*100*($E51/366))+(P52/$R52*100*($E52/366))</f>
        <v>55.315089190370955</v>
      </c>
      <c r="K155" s="779"/>
      <c r="L155" s="779">
        <f>(Q49/$R49*100*($E49/366))+(Q50/$R50*100*($E50/366))+(Q51/$R51*100*($E51/366))+(Q52/$R52*100*($E52/366))</f>
        <v>38.853273965456047</v>
      </c>
      <c r="M155" s="779"/>
      <c r="N155" s="810">
        <f t="shared" si="47"/>
        <v>100</v>
      </c>
      <c r="O155" s="810"/>
      <c r="R155" s="20">
        <v>1980</v>
      </c>
      <c r="S155" s="8">
        <f>(O49*($E49/366))+(O50*($E50/366))+(O51*($E51/366))+(O52*($E52/366))</f>
        <v>4.4612021857923496</v>
      </c>
      <c r="T155" s="8">
        <f>(P49*($E49/366))+(P50*($E50/366))+(P51*($E51/366))+(P52*($E52/366))</f>
        <v>39.012568306010934</v>
      </c>
      <c r="U155" s="8">
        <f>(Q49*($E49/366))+(Q50*($E50/366))+(Q51*($E51/366))+(Q52*($E52/366))</f>
        <v>27.4</v>
      </c>
      <c r="V155" s="7"/>
      <c r="W155" s="8">
        <f>R49*(E49/366) + R50*(E50/366) + R51*(E51/366) + R52*(E52/366)</f>
        <v>70.87377049180327</v>
      </c>
    </row>
    <row r="156" spans="1:23" x14ac:dyDescent="0.15">
      <c r="A156" s="20">
        <v>1981</v>
      </c>
      <c r="B156" s="8">
        <f>(K53*($E53/365))+(K54*($E54/365))+(K55*($E55/365))</f>
        <v>2.054794520547945</v>
      </c>
      <c r="C156" s="8">
        <f>(L53*($E53/365))+(L54*($E54/365))+(L55*($E55/365))</f>
        <v>51.917808219178077</v>
      </c>
      <c r="D156" s="8">
        <f>(M53*($E53/365))+(M54*($E54/365))+(M55*($E55/365))</f>
        <v>46.027397260273972</v>
      </c>
      <c r="E156" s="31">
        <f t="shared" si="46"/>
        <v>100</v>
      </c>
      <c r="G156" s="20">
        <v>1981</v>
      </c>
      <c r="H156" s="809">
        <f>(O53/$R53*100*($E53/365))+(O54/$R54*100*($E54/365))+(O55/$R55*100*($E55/365))</f>
        <v>1.889023105194171</v>
      </c>
      <c r="I156" s="809"/>
      <c r="J156" s="779">
        <f>(P53/$R53*100*($E53/365))+(P54/$R54*100*($E54/365))+(P55/$R55*100*($E55/365))</f>
        <v>58.362152987484009</v>
      </c>
      <c r="K156" s="779"/>
      <c r="L156" s="779">
        <f>(Q53/$R53*100*($E53/365))+(Q54/$R54*100*($E54/365))+(Q55/$R55*100*($E55/365))</f>
        <v>39.748823907321821</v>
      </c>
      <c r="M156" s="779"/>
      <c r="N156" s="810">
        <f t="shared" si="47"/>
        <v>100</v>
      </c>
      <c r="O156" s="810"/>
      <c r="R156" s="20">
        <v>1981</v>
      </c>
      <c r="S156" s="8">
        <f>(O53*($E53/365))+(O54*($E54/365))+(O55*($E55/365))</f>
        <v>1.0068493150684932</v>
      </c>
      <c r="T156" s="8">
        <f>(P53*($E53/365))+(P54*($E54/365))+(P55*($E55/365))</f>
        <v>38.293150684931511</v>
      </c>
      <c r="U156" s="8">
        <f>(Q53*($E53/365))+(Q54*($E54/365))+(Q55*($E55/365))</f>
        <v>26.273972602739725</v>
      </c>
      <c r="V156" s="7"/>
      <c r="W156" s="8">
        <f>R53*(E53/365) + R54*(E54/365) + R55*(E55/365)</f>
        <v>65.573972602739715</v>
      </c>
    </row>
    <row r="157" spans="1:23" x14ac:dyDescent="0.15">
      <c r="A157" s="20">
        <v>1982</v>
      </c>
      <c r="B157" s="8">
        <f>(K56*($E56/365))+(K57*($E57/365))</f>
        <v>50</v>
      </c>
      <c r="C157" s="8">
        <f>(L56*($E56/365))+(L57*($E57/365))</f>
        <v>50</v>
      </c>
      <c r="D157" s="8">
        <f>(M56*($E56/365))+(M57*($E57/365))</f>
        <v>0</v>
      </c>
      <c r="E157" s="31">
        <f t="shared" si="46"/>
        <v>100</v>
      </c>
      <c r="G157" s="20">
        <v>1982</v>
      </c>
      <c r="H157" s="809">
        <f>(O56/$R56*100*($E56/365))+(O57/$R57*100*($E57/365))</f>
        <v>45.966228893058165</v>
      </c>
      <c r="I157" s="809"/>
      <c r="J157" s="779">
        <f>(P56/$R56*100*($E56/365))+(P57/$R57*100*($E57/365))</f>
        <v>54.033771106941842</v>
      </c>
      <c r="K157" s="779"/>
      <c r="L157" s="779">
        <f>(Q56/$R56*100*($E56/365))+(Q57/$R57*100*($E57/365))</f>
        <v>0</v>
      </c>
      <c r="M157" s="779"/>
      <c r="N157" s="810">
        <f t="shared" si="47"/>
        <v>100</v>
      </c>
      <c r="O157" s="810"/>
      <c r="R157" s="20">
        <v>1982</v>
      </c>
      <c r="S157" s="8">
        <f>(O56*($E56/365))+(O57*($E57/365))</f>
        <v>24.5</v>
      </c>
      <c r="T157" s="8">
        <f>(P56*($E56/365))+(P57*($E57/365))</f>
        <v>28.8</v>
      </c>
      <c r="U157" s="8">
        <f>(Q56*($E56/365))+(Q57*($E57/365))</f>
        <v>0</v>
      </c>
      <c r="V157" s="7"/>
      <c r="W157" s="8">
        <f>R56*(E56/365) + R57*(E57/365)</f>
        <v>53.3</v>
      </c>
    </row>
    <row r="158" spans="1:23" x14ac:dyDescent="0.15">
      <c r="A158" s="20">
        <v>1983</v>
      </c>
      <c r="B158" s="8">
        <f>(K58*($E58/365))+(K59*($E59/365))</f>
        <v>50</v>
      </c>
      <c r="C158" s="8">
        <f>(L58*($E58/365))+(L59*($E59/365))</f>
        <v>50</v>
      </c>
      <c r="D158" s="8">
        <f>(M58*($E58/365))+(M59*($E59/365))</f>
        <v>0</v>
      </c>
      <c r="E158" s="31">
        <f t="shared" si="46"/>
        <v>100</v>
      </c>
      <c r="G158" s="20">
        <v>1983</v>
      </c>
      <c r="H158" s="809">
        <f>(O58/$R58*100*($E58/365))+(O59/$R59*100*($E59/365))</f>
        <v>45.966228893058165</v>
      </c>
      <c r="I158" s="809"/>
      <c r="J158" s="779">
        <f>(P58/$R58*100*($E58/365))+(P59/$R59*100*($E59/365))</f>
        <v>54.033771106941842</v>
      </c>
      <c r="K158" s="779"/>
      <c r="L158" s="779">
        <f>(Q58/$R58*100*($E58/365))+(Q59/$R59*100*($E59/365))</f>
        <v>0</v>
      </c>
      <c r="M158" s="779"/>
      <c r="N158" s="810">
        <f t="shared" si="47"/>
        <v>100</v>
      </c>
      <c r="O158" s="810"/>
      <c r="R158" s="20">
        <v>1983</v>
      </c>
      <c r="S158" s="8">
        <f>(O58*($E58/365))+(O59*($E59/365))</f>
        <v>24.5</v>
      </c>
      <c r="T158" s="8">
        <f>(P58*($E58/365))+(P59*($E59/365))</f>
        <v>28.8</v>
      </c>
      <c r="U158" s="8">
        <f>(Q58*($E58/365))+(Q59*($E59/365))</f>
        <v>0</v>
      </c>
      <c r="V158" s="7"/>
      <c r="W158" s="8">
        <f>R58*(E58/365) + R59*(E59/365)</f>
        <v>53.3</v>
      </c>
    </row>
    <row r="159" spans="1:23" x14ac:dyDescent="0.15">
      <c r="A159" s="20">
        <v>1984</v>
      </c>
      <c r="B159" s="8">
        <f>(K60*($E60/366))+(K61*($E61/366))</f>
        <v>50</v>
      </c>
      <c r="C159" s="8">
        <f>(L60*($E60/366))+(L61*($E61/366))</f>
        <v>50</v>
      </c>
      <c r="D159" s="8">
        <f>(M60*($E60/366))+(M61*($E61/366))</f>
        <v>0</v>
      </c>
      <c r="E159" s="31">
        <f t="shared" si="46"/>
        <v>100</v>
      </c>
      <c r="G159" s="20">
        <v>1984</v>
      </c>
      <c r="H159" s="809">
        <f>(O60/$R60*100*($E60/366))+(O61/$R61*100*($E61/366))</f>
        <v>45.966228893058165</v>
      </c>
      <c r="I159" s="809"/>
      <c r="J159" s="779">
        <f>(P60/$R60*100*($E60/366))+(P61/$R61*100*($E61/366))</f>
        <v>54.033771106941842</v>
      </c>
      <c r="K159" s="779"/>
      <c r="L159" s="779">
        <f>(Q60/$R60*100*($E60/366))+(Q61/$R61*100*($E61/366))</f>
        <v>0</v>
      </c>
      <c r="M159" s="779"/>
      <c r="N159" s="810">
        <f t="shared" si="47"/>
        <v>100</v>
      </c>
      <c r="O159" s="810"/>
      <c r="R159" s="20">
        <v>1984</v>
      </c>
      <c r="S159" s="8">
        <f>(O60*($E60/366))+(O61*($E61/366))</f>
        <v>24.5</v>
      </c>
      <c r="T159" s="8">
        <f>(P60*($E60/366))+(P61*($E61/366))</f>
        <v>28.8</v>
      </c>
      <c r="U159" s="8">
        <f>(Q60*($E60/366))+(Q61*($E61/366))</f>
        <v>0</v>
      </c>
      <c r="V159" s="7"/>
      <c r="W159" s="8">
        <f>R60*(E60/366) + R61*(E61/366)</f>
        <v>53.3</v>
      </c>
    </row>
    <row r="160" spans="1:23" x14ac:dyDescent="0.15">
      <c r="A160" s="20">
        <v>1985</v>
      </c>
      <c r="B160" s="8">
        <f>(K62*($E62/365))+(K63*($E63/365))</f>
        <v>49.689497716894984</v>
      </c>
      <c r="C160" s="8">
        <f>(L62*($E62/365))+(L63*($E63/365))</f>
        <v>50.310502283105031</v>
      </c>
      <c r="D160" s="8">
        <f>(M62*($E62/365))+(M63*($E63/365))</f>
        <v>0</v>
      </c>
      <c r="E160" s="31">
        <f t="shared" si="46"/>
        <v>100.00000000000001</v>
      </c>
      <c r="G160" s="20">
        <v>1985</v>
      </c>
      <c r="H160" s="809">
        <f>(O62/$R62*100*($E62/365))+(O63/$R63*100*($E63/365))</f>
        <v>45.41390787985857</v>
      </c>
      <c r="I160" s="809"/>
      <c r="J160" s="779">
        <f>(P62/$R62*100*($E62/365))+(P63/$R63*100*($E63/365))</f>
        <v>54.586092120141437</v>
      </c>
      <c r="K160" s="779"/>
      <c r="L160" s="779">
        <f>(Q62/$R62*100*($E62/365))+(Q63/$R63*100*($E63/365))</f>
        <v>0</v>
      </c>
      <c r="M160" s="779"/>
      <c r="N160" s="810">
        <f t="shared" si="47"/>
        <v>100</v>
      </c>
      <c r="O160" s="810"/>
      <c r="R160" s="20">
        <v>1985</v>
      </c>
      <c r="S160" s="8">
        <f>(O62*($E62/365))+(O63*($E63/365))</f>
        <v>24.239178082191781</v>
      </c>
      <c r="T160" s="8">
        <f>(P62*($E62/365))+(P63*($E63/365))</f>
        <v>29.144657534246576</v>
      </c>
      <c r="U160" s="8">
        <f>(Q62*($E62/365))+(Q63*($E63/365))</f>
        <v>0</v>
      </c>
      <c r="V160" s="7"/>
      <c r="W160" s="8">
        <f>R62*(E62/365) + R63*(E63/365)</f>
        <v>53.383835616438361</v>
      </c>
    </row>
    <row r="161" spans="1:23" x14ac:dyDescent="0.15">
      <c r="A161" s="20">
        <v>1986</v>
      </c>
      <c r="B161" s="8">
        <f>(K64*($E64/365))+(K65*($E65/365))</f>
        <v>46.666666666666664</v>
      </c>
      <c r="C161" s="8">
        <f>(L64*($E64/365))+(L65*($E65/365))</f>
        <v>53.333333333333336</v>
      </c>
      <c r="D161" s="8">
        <f>(M64*($E64/365))+(M65*($E65/365))</f>
        <v>0</v>
      </c>
      <c r="E161" s="31">
        <f t="shared" si="46"/>
        <v>100</v>
      </c>
      <c r="G161" s="20">
        <v>1986</v>
      </c>
      <c r="H161" s="809">
        <f>(O64/$R64*100*($E64/365))+(O65/$R65*100*($E65/365))</f>
        <v>40.036900369003689</v>
      </c>
      <c r="I161" s="809"/>
      <c r="J161" s="779">
        <f>(P64/$R64*100*($E64/365))+(P65/$R65*100*($E65/365))</f>
        <v>59.963099630996311</v>
      </c>
      <c r="K161" s="779"/>
      <c r="L161" s="779">
        <f>(Q64/$R64*100*($E64/365))+(Q65/$R65*100*($E65/365))</f>
        <v>0</v>
      </c>
      <c r="M161" s="779"/>
      <c r="N161" s="810">
        <f t="shared" si="47"/>
        <v>100</v>
      </c>
      <c r="O161" s="810"/>
      <c r="R161" s="20">
        <v>1986</v>
      </c>
      <c r="S161" s="8">
        <f>(O64*($E64/365))+(O65*($E65/365))</f>
        <v>21.7</v>
      </c>
      <c r="T161" s="8">
        <f>(P64*($E64/365))+(P65*($E65/365))</f>
        <v>32.5</v>
      </c>
      <c r="U161" s="8">
        <f>(Q64*($E64/365))+(Q65*($E65/365))</f>
        <v>0</v>
      </c>
      <c r="V161" s="7"/>
      <c r="W161" s="8">
        <f>R64*(E64/365) + R65*(E65/365)</f>
        <v>54.2</v>
      </c>
    </row>
    <row r="162" spans="1:23" ht="9" customHeight="1" x14ac:dyDescent="0.15">
      <c r="A162" s="20">
        <v>1987</v>
      </c>
      <c r="B162" s="8">
        <f>(K66*($E66/365))+(K67*($E67/365))</f>
        <v>46.083333333333336</v>
      </c>
      <c r="C162" s="8">
        <f>(L66*($E66/365))+(L67*($E67/365))</f>
        <v>53.916666666666671</v>
      </c>
      <c r="D162" s="8">
        <f>(M66*($E66/365))+(M67*($E67/365))</f>
        <v>0</v>
      </c>
      <c r="E162" s="31">
        <f t="shared" si="46"/>
        <v>100</v>
      </c>
      <c r="G162" s="20">
        <v>1987</v>
      </c>
      <c r="H162" s="809">
        <f>(O66/$R66*100*($E66/365))+(O67/$R67*100*($E67/365))</f>
        <v>40.738576171888887</v>
      </c>
      <c r="I162" s="809"/>
      <c r="J162" s="779">
        <f>(P66/$R66*100*($E66/365))+(P67/$R67*100*($E67/365))</f>
        <v>59.261423828111113</v>
      </c>
      <c r="K162" s="779"/>
      <c r="L162" s="779">
        <f>(Q66/$R66*100*($E66/365))+(Q67/$R67*100*($E67/365))</f>
        <v>0</v>
      </c>
      <c r="M162" s="779"/>
      <c r="N162" s="810">
        <f t="shared" si="47"/>
        <v>100</v>
      </c>
      <c r="O162" s="810"/>
      <c r="R162" s="20">
        <v>1987</v>
      </c>
      <c r="S162" s="8">
        <f>(O66*($E66/365))+(O67*($E67/365))</f>
        <v>21.88</v>
      </c>
      <c r="T162" s="8">
        <f>(P66*($E66/365))+(P67*($E67/365))</f>
        <v>31.86</v>
      </c>
      <c r="U162" s="8">
        <f>(Q66*($E66/365))+(Q67*($E67/365))</f>
        <v>0</v>
      </c>
      <c r="V162" s="7"/>
      <c r="W162" s="8">
        <f>R66*(E66/365) + R67*(E67/365)</f>
        <v>53.740000000000009</v>
      </c>
    </row>
    <row r="163" spans="1:23" ht="9" customHeight="1" x14ac:dyDescent="0.15">
      <c r="A163" s="1">
        <v>1988</v>
      </c>
      <c r="B163" s="8">
        <f>(K68*($E68/366))+(K69*($E69/366))</f>
        <v>19.125683060109289</v>
      </c>
      <c r="C163" s="8">
        <f>(L68*($E68/366))+(L69*($E69/366))</f>
        <v>54.387656702025069</v>
      </c>
      <c r="D163" s="8">
        <f>(M68*($E68/366))+(M69*($E69/366))</f>
        <v>26.486660237865635</v>
      </c>
      <c r="E163" s="31">
        <f t="shared" si="46"/>
        <v>100</v>
      </c>
      <c r="F163" s="5"/>
      <c r="G163" s="1">
        <v>1988</v>
      </c>
      <c r="H163" s="809">
        <f>(O68/$R68*100*($E68/366))+(O69/$R69*100*($E69/366))</f>
        <v>19.036187708603133</v>
      </c>
      <c r="I163" s="809"/>
      <c r="J163" s="779">
        <f>(P68/$R68*100*($E68/366))+(P69/$R69*100*($E69/366))</f>
        <v>53.934699266173808</v>
      </c>
      <c r="K163" s="779"/>
      <c r="L163" s="779">
        <f>(Q68/$R68*100*($E68/366))+(Q69/$R69*100*($E69/366))</f>
        <v>27.029113025223054</v>
      </c>
      <c r="M163" s="779"/>
      <c r="N163" s="810">
        <f t="shared" si="47"/>
        <v>100</v>
      </c>
      <c r="O163" s="810"/>
      <c r="R163" s="1">
        <v>1988</v>
      </c>
      <c r="S163" s="8">
        <f>(O68*($E68/366))+(O69*($E69/366))</f>
        <v>9.8797814207650276</v>
      </c>
      <c r="T163" s="8">
        <f>(P68*($E68/366))+(P69*($E69/366))</f>
        <v>33.521311475409831</v>
      </c>
      <c r="U163" s="8">
        <f>(Q68*($E68/366))+(Q69*($E69/366))</f>
        <v>19.136612021857921</v>
      </c>
      <c r="V163" s="7"/>
      <c r="W163" s="8">
        <f>R68*(E68/366) + R69*(E69/366)</f>
        <v>62.537704918032787</v>
      </c>
    </row>
    <row r="164" spans="1:23" s="4" customFormat="1" ht="9" customHeight="1" x14ac:dyDescent="0.15">
      <c r="A164" s="4">
        <v>1989</v>
      </c>
      <c r="B164" s="11">
        <f>(K70*($E70/365))+(K71*($E71/365))</f>
        <v>0</v>
      </c>
      <c r="C164" s="11">
        <f>(L70*($E70/365))+(L71*($E71/365))</f>
        <v>52.941176470588239</v>
      </c>
      <c r="D164" s="11">
        <f>(M70*($E70/365))+(M71*($E71/365))</f>
        <v>47.058823529411761</v>
      </c>
      <c r="E164" s="62">
        <f t="shared" si="46"/>
        <v>100</v>
      </c>
      <c r="G164" s="4">
        <v>1989</v>
      </c>
      <c r="H164" s="820">
        <f>(O70*100*($E70/365)/($R70))+(O71*100*($E71/365)/($R71))</f>
        <v>0</v>
      </c>
      <c r="I164" s="820"/>
      <c r="J164" s="806">
        <f>(P70*100*($E70/365)/($R70))+(P71*100*($E71/365)/($R71))</f>
        <v>51.977401129943502</v>
      </c>
      <c r="K164" s="806"/>
      <c r="L164" s="806">
        <f>(Q70*100*($E70/365)/($R70))+(Q71*100*($E71/365)/($R71))</f>
        <v>48.022598870056498</v>
      </c>
      <c r="M164" s="806"/>
      <c r="N164" s="808">
        <f t="shared" si="47"/>
        <v>100</v>
      </c>
      <c r="O164" s="808"/>
      <c r="R164" s="4">
        <v>1989</v>
      </c>
      <c r="S164" s="11">
        <f>(O70*($E70/365))+(O71*($E71/365))</f>
        <v>0</v>
      </c>
      <c r="T164" s="11">
        <f>(P70*($E70/365))+(P71*($E71/365))</f>
        <v>36.799999999999997</v>
      </c>
      <c r="U164" s="11">
        <f>(Q70*($E70/365))+(Q71*($E71/365))</f>
        <v>34</v>
      </c>
      <c r="V164" s="11"/>
      <c r="W164" s="11">
        <f>R70*(E70/365) + R71*(E71/365)</f>
        <v>70.8</v>
      </c>
    </row>
    <row r="165" spans="1:23" ht="9" customHeight="1" x14ac:dyDescent="0.15">
      <c r="A165" s="1">
        <v>1990</v>
      </c>
      <c r="B165" s="8">
        <f>(K72*($E72/365))+(K73*($E73/365))</f>
        <v>0</v>
      </c>
      <c r="C165" s="8">
        <f>(L72*($E72/365))+(L73*($E73/365))</f>
        <v>52.941176470588239</v>
      </c>
      <c r="D165" s="8">
        <f>(M72*($E72/365))+(M73*($E73/365))</f>
        <v>47.058823529411761</v>
      </c>
      <c r="E165" s="31">
        <f t="shared" si="46"/>
        <v>100</v>
      </c>
      <c r="G165" s="1">
        <v>1990</v>
      </c>
      <c r="H165" s="809">
        <f>(O72*100*($E72/365)/($R72))+(O73*100*($E73/365)/($R73))</f>
        <v>0</v>
      </c>
      <c r="I165" s="809"/>
      <c r="J165" s="779">
        <f>(P72*100*($E72/365)/($R72))+(P73*100*($E73/365)/($R73))</f>
        <v>51.977401129943502</v>
      </c>
      <c r="K165" s="779"/>
      <c r="L165" s="779">
        <f>(Q72*100*($E72/365)/($R72))+(Q73*100*($E73/365)/($R73))</f>
        <v>48.022598870056498</v>
      </c>
      <c r="M165" s="779"/>
      <c r="N165" s="810">
        <f t="shared" si="47"/>
        <v>100</v>
      </c>
      <c r="O165" s="810"/>
      <c r="R165" s="1">
        <v>1990</v>
      </c>
      <c r="S165" s="8">
        <f>(O72*($E72/365))+(O73*($E73/365))</f>
        <v>0</v>
      </c>
      <c r="T165" s="8">
        <f>(P72*($E72/365))+(P73*($E73/365))</f>
        <v>36.799999999999997</v>
      </c>
      <c r="U165" s="8">
        <f>(Q72*($E72/365))+(Q73*($E73/365))</f>
        <v>34</v>
      </c>
      <c r="V165" s="7"/>
      <c r="W165" s="8">
        <f>R72*(E72/365) + R73*(E73/365)</f>
        <v>70.8</v>
      </c>
    </row>
    <row r="166" spans="1:23" ht="9" customHeight="1" x14ac:dyDescent="0.15">
      <c r="A166" s="1">
        <v>1991</v>
      </c>
      <c r="B166" s="8">
        <f>(K74*($E74/365))+(K75*($E75/365))</f>
        <v>0</v>
      </c>
      <c r="C166" s="8">
        <f>(L74*($E74/365))+(L75*($E75/365))</f>
        <v>51.490733279613217</v>
      </c>
      <c r="D166" s="8">
        <f>(M74*($E74/365))+(M75*($E75/365))</f>
        <v>48.509266720386783</v>
      </c>
      <c r="E166" s="31">
        <f t="shared" si="46"/>
        <v>100</v>
      </c>
      <c r="G166" s="1">
        <v>1991</v>
      </c>
      <c r="H166" s="822">
        <f>(O74*100*($E74/365)/($R74))+(O75*100*($E75/365)/($R75))</f>
        <v>0</v>
      </c>
      <c r="I166" s="822"/>
      <c r="J166" s="823">
        <f>(P74*100*($E74/365)/($R74))+(P75*100*($E75/365)/($R75))</f>
        <v>51.977401129943502</v>
      </c>
      <c r="K166" s="823"/>
      <c r="L166" s="823">
        <f>(Q74*100*($E74/365)/($R74))+(Q75*100*($E75/365)/($R75))</f>
        <v>48.022598870056498</v>
      </c>
      <c r="M166" s="823"/>
      <c r="N166" s="810">
        <f t="shared" si="47"/>
        <v>100</v>
      </c>
      <c r="O166" s="810"/>
      <c r="R166" s="1">
        <v>1991</v>
      </c>
      <c r="S166" s="8">
        <f>(O74*($E74/365))+(O75*($E75/365))</f>
        <v>0</v>
      </c>
      <c r="T166" s="8">
        <f>(P74*($E74/365))+(P75*($E75/365))</f>
        <v>36.799999999999997</v>
      </c>
      <c r="U166" s="8">
        <f>(Q74*($E74/365))+(Q75*($E75/365))</f>
        <v>34</v>
      </c>
      <c r="V166" s="7"/>
      <c r="W166" s="8">
        <f>R74*(E74/365) + R75*(E75/365)</f>
        <v>70.8</v>
      </c>
    </row>
    <row r="167" spans="1:23" ht="9" customHeight="1" x14ac:dyDescent="0.15">
      <c r="A167" s="1">
        <v>1992</v>
      </c>
      <c r="B167" s="8">
        <f>(K76*($E76/366))+(K77*($E77/366))</f>
        <v>0</v>
      </c>
      <c r="C167" s="8">
        <f>(L76*($E76/366))+(L77*($E77/366))</f>
        <v>46.743812279009958</v>
      </c>
      <c r="D167" s="8">
        <f>(M76*($E76/366))+(M77*($E77/366))</f>
        <v>53.256187720990042</v>
      </c>
      <c r="E167" s="31">
        <f t="shared" ref="E167:E186" si="48">SUM(B167:D167)</f>
        <v>100</v>
      </c>
      <c r="G167" s="1">
        <v>1992</v>
      </c>
      <c r="H167" s="822">
        <f>(O76*100*($E76/366)/($R76))+(O77*100*($E77/366)/($R77))</f>
        <v>0</v>
      </c>
      <c r="I167" s="822"/>
      <c r="J167" s="823">
        <f>(P76*100*($E76/366)/($R76))+(P77*100*($E77/366)/($R77))</f>
        <v>48.40208852675017</v>
      </c>
      <c r="K167" s="823"/>
      <c r="L167" s="823">
        <f>(Q76*100*($E76/366)/($R76))+(Q77*100*($E77/366)/($R77))</f>
        <v>51.597911473249837</v>
      </c>
      <c r="M167" s="823"/>
      <c r="N167" s="810">
        <f t="shared" si="47"/>
        <v>100</v>
      </c>
      <c r="O167" s="810"/>
      <c r="R167" s="1">
        <v>1992</v>
      </c>
      <c r="S167" s="8">
        <f>(O76*($E76/366))+(O77*($E77/366))</f>
        <v>0</v>
      </c>
      <c r="T167" s="8">
        <f>(P76*($E76/366))+(P77*($E77/366))</f>
        <v>28.847540983606557</v>
      </c>
      <c r="U167" s="8">
        <f>(Q76*($E76/366))+(Q77*($E77/366))</f>
        <v>30.545901639344265</v>
      </c>
      <c r="V167" s="7"/>
      <c r="W167" s="8">
        <f>R76*(E76/366) + R77*(E77/366)</f>
        <v>59.393442622950815</v>
      </c>
    </row>
    <row r="168" spans="1:23" ht="9" customHeight="1" x14ac:dyDescent="0.15">
      <c r="A168" s="1">
        <v>1993</v>
      </c>
      <c r="B168" s="8">
        <f>(K78*($E78/365))+(K79*($E79/365))</f>
        <v>0</v>
      </c>
      <c r="C168" s="8">
        <f>(L78*($E78/365))+(L79*($E79/365))</f>
        <v>46.666666666666664</v>
      </c>
      <c r="D168" s="8">
        <f>(M78*($E78/365))+(M79*($E79/365))</f>
        <v>53.333333333333336</v>
      </c>
      <c r="E168" s="31">
        <f t="shared" si="48"/>
        <v>100</v>
      </c>
      <c r="G168" s="1">
        <v>1993</v>
      </c>
      <c r="H168" s="822">
        <f>(O78*100*($E78/365)/($R78))+(O79*100*($E79/365)/($R79))</f>
        <v>0</v>
      </c>
      <c r="I168" s="822"/>
      <c r="J168" s="823">
        <f>(P78*100*($E78/365)/($R78))+(P79*100*($E79/365)/($R79))</f>
        <v>47.526501766784456</v>
      </c>
      <c r="K168" s="823"/>
      <c r="L168" s="823">
        <f>(Q78*100*($E78/365)/($R78))+(Q79*100*($E79/365)/($R79))</f>
        <v>52.473498233215551</v>
      </c>
      <c r="M168" s="823"/>
      <c r="N168" s="810">
        <f t="shared" si="47"/>
        <v>100</v>
      </c>
      <c r="O168" s="810"/>
      <c r="R168" s="1">
        <v>1993</v>
      </c>
      <c r="S168" s="8">
        <f>(O78*($E78/365))+(O79*($E79/365))</f>
        <v>0</v>
      </c>
      <c r="T168" s="8">
        <f>(P78*($E78/365))+(P79*($E79/365))</f>
        <v>26.9</v>
      </c>
      <c r="U168" s="8">
        <f>(Q78*($E78/365))+(Q79*($E79/365))</f>
        <v>29.7</v>
      </c>
      <c r="V168" s="7"/>
      <c r="W168" s="8">
        <f>R78*(E78/365) + R79*(E79/365)</f>
        <v>56.599999999999994</v>
      </c>
    </row>
    <row r="169" spans="1:23" ht="9" customHeight="1" x14ac:dyDescent="0.15">
      <c r="A169" s="1">
        <v>1994</v>
      </c>
      <c r="B169" s="8">
        <f>(K80*($E80/365))+(K81*($E81/365))</f>
        <v>0</v>
      </c>
      <c r="C169" s="8">
        <f>(L80*($E80/365))+(L81*($E81/365))</f>
        <v>46.666666666666664</v>
      </c>
      <c r="D169" s="8">
        <f>(M80*($E80/365))+(M81*($E81/365))</f>
        <v>53.333333333333336</v>
      </c>
      <c r="E169" s="31">
        <f t="shared" si="48"/>
        <v>100</v>
      </c>
      <c r="G169" s="1">
        <v>1994</v>
      </c>
      <c r="H169" s="822">
        <f>(O80*100*($E80/365)/($R80))+(O81*100*($E81/365)/($R81))</f>
        <v>0</v>
      </c>
      <c r="I169" s="822"/>
      <c r="J169" s="823">
        <f>(P80*100*($E80/365)/($R80))+(P81*100*($E81/365)/($R81))</f>
        <v>47.526501766784456</v>
      </c>
      <c r="K169" s="823"/>
      <c r="L169" s="823">
        <f>(Q80*100*($E80/365)/($R80))+(Q81*100*($E81/365)/($R81))</f>
        <v>52.473498233215551</v>
      </c>
      <c r="M169" s="823"/>
      <c r="N169" s="810">
        <f t="shared" si="47"/>
        <v>100</v>
      </c>
      <c r="O169" s="810"/>
      <c r="R169" s="1">
        <v>1994</v>
      </c>
      <c r="S169" s="8">
        <f>(O80*($E80/365))+(O81*($E81/365))</f>
        <v>0</v>
      </c>
      <c r="T169" s="8">
        <f>(P80*($E80/365))+(P81*($E81/365))</f>
        <v>26.9</v>
      </c>
      <c r="U169" s="8">
        <f>(Q80*($E80/365))+(Q81*($E81/365))</f>
        <v>29.7</v>
      </c>
      <c r="V169" s="7"/>
      <c r="W169" s="8">
        <f>R80*(E80/365) + R81*(E81/365)</f>
        <v>56.599999999999994</v>
      </c>
    </row>
    <row r="170" spans="1:23" ht="9" customHeight="1" x14ac:dyDescent="0.15">
      <c r="A170" s="1">
        <v>1995</v>
      </c>
      <c r="B170" s="8">
        <f>(K82*($E82/365))+(K83*($E83/365))</f>
        <v>0</v>
      </c>
      <c r="C170" s="8">
        <f>(L82*($E82/365))+(L83*($E83/365))</f>
        <v>46.666666666666657</v>
      </c>
      <c r="D170" s="8">
        <f>(M82*($E82/365))+(M83*($E83/365))</f>
        <v>53.333333333333329</v>
      </c>
      <c r="E170" s="31">
        <f t="shared" si="48"/>
        <v>99.999999999999986</v>
      </c>
      <c r="G170" s="1">
        <v>1995</v>
      </c>
      <c r="H170" s="822">
        <f>(O82*100*($E82/365)/($R82))+(O83*100*($E83/365)/($R83))</f>
        <v>0</v>
      </c>
      <c r="I170" s="822"/>
      <c r="J170" s="823">
        <f>(P82*100*($E82/365)/($R82))+(P83*100*($E83/365)/($R83))</f>
        <v>48.827629604530713</v>
      </c>
      <c r="K170" s="823"/>
      <c r="L170" s="823">
        <f>(Q82*100*($E82/365)/($R82))+(Q83*100*($E83/365)/($R83))</f>
        <v>51.172370395469287</v>
      </c>
      <c r="M170" s="823"/>
      <c r="N170" s="810">
        <f t="shared" si="47"/>
        <v>100</v>
      </c>
      <c r="O170" s="810"/>
      <c r="R170" s="1">
        <v>1995</v>
      </c>
      <c r="S170" s="8">
        <f>(O82*($E82/365))+(O83*($E83/365))</f>
        <v>0</v>
      </c>
      <c r="T170" s="8">
        <f>(P82*($E82/365))+(P83*($E83/365))</f>
        <v>27.110410958904108</v>
      </c>
      <c r="U170" s="8">
        <f>(Q82*($E82/365))+(Q83*($E83/365))</f>
        <v>28.437534246575339</v>
      </c>
      <c r="V170" s="7"/>
      <c r="W170" s="8">
        <f>R82*(E82/365) + R83*(E83/365)</f>
        <v>55.547945205479451</v>
      </c>
    </row>
    <row r="171" spans="1:23" ht="9" customHeight="1" x14ac:dyDescent="0.15">
      <c r="A171" s="1">
        <v>1996</v>
      </c>
      <c r="B171" s="8">
        <f>(K84*($E84/366))+(K85*($E85/366))</f>
        <v>0</v>
      </c>
      <c r="C171" s="8">
        <f>(L84*($E84/366))+(L85*($E85/366))</f>
        <v>46.666666666666664</v>
      </c>
      <c r="D171" s="8">
        <f>(M84*($E84/366))+(M85*($E85/366))</f>
        <v>53.333333333333336</v>
      </c>
      <c r="E171" s="31">
        <f t="shared" si="48"/>
        <v>100</v>
      </c>
      <c r="G171" s="1">
        <v>1996</v>
      </c>
      <c r="H171" s="822">
        <f>(O84*100*($E84/366)/($R84))+(O85*100*($E85/366)/($R85))</f>
        <v>0</v>
      </c>
      <c r="I171" s="822"/>
      <c r="J171" s="823">
        <f>(P84*100*($E84/366)/($R84))+(P85*100*($E85/366)/($R85))</f>
        <v>50</v>
      </c>
      <c r="K171" s="823"/>
      <c r="L171" s="823">
        <f>(Q84*100*($E84/366)/($R84))+(Q85*100*($E85/366)/($R85))</f>
        <v>50</v>
      </c>
      <c r="M171" s="823"/>
      <c r="N171" s="810">
        <f t="shared" si="47"/>
        <v>100</v>
      </c>
      <c r="O171" s="810"/>
      <c r="R171" s="1">
        <v>1996</v>
      </c>
      <c r="S171" s="8">
        <f>(O84*($E84/366))+(O85*($E85/366))</f>
        <v>0</v>
      </c>
      <c r="T171" s="8">
        <f>(P84*($E84/366))+(P85*($E85/366))</f>
        <v>27.3</v>
      </c>
      <c r="U171" s="8">
        <f>(Q84*($E84/366))+(Q85*($E85/366))</f>
        <v>27.3</v>
      </c>
      <c r="V171" s="7"/>
      <c r="W171" s="8">
        <f>R84*(E84/366) + R85*(E85/366)</f>
        <v>54.6</v>
      </c>
    </row>
    <row r="172" spans="1:23" ht="9" customHeight="1" x14ac:dyDescent="0.15">
      <c r="A172" s="1">
        <v>1997</v>
      </c>
      <c r="B172" s="8">
        <f>(K86*($E86/365))+(K87*($E87/365))</f>
        <v>0</v>
      </c>
      <c r="C172" s="8">
        <f>(L86*($E86/365))+(L87*($E87/365))</f>
        <v>46.666666666666664</v>
      </c>
      <c r="D172" s="8">
        <f>(M86*($E86/365))+(M87*($E87/365))</f>
        <v>53.333333333333336</v>
      </c>
      <c r="E172" s="31">
        <f t="shared" si="48"/>
        <v>100</v>
      </c>
      <c r="G172" s="1">
        <v>1997</v>
      </c>
      <c r="H172" s="822">
        <f>(O86*100*($E86/365)/($R86))+(O87*100*($E87/365)/($R87))</f>
        <v>0</v>
      </c>
      <c r="I172" s="822"/>
      <c r="J172" s="823">
        <f>(P86*100*($E86/365)/($R86))+(P87*100*($E87/365)/($R87))</f>
        <v>50</v>
      </c>
      <c r="K172" s="823"/>
      <c r="L172" s="823">
        <f>(Q86*100*($E86/365)/($R86))+(Q87*100*($E87/365)/($R87))</f>
        <v>50</v>
      </c>
      <c r="M172" s="823"/>
      <c r="N172" s="810">
        <f t="shared" si="47"/>
        <v>100</v>
      </c>
      <c r="O172" s="810"/>
      <c r="R172" s="1">
        <v>1997</v>
      </c>
      <c r="S172" s="8">
        <f>(O86*($E86/365))+(O87*($E87/365))</f>
        <v>0</v>
      </c>
      <c r="T172" s="8">
        <f>(P86*($E86/365))+(P87*($E87/365))</f>
        <v>27.3</v>
      </c>
      <c r="U172" s="8">
        <f>(Q86*($E86/365))+(Q87*($E87/365))</f>
        <v>27.3</v>
      </c>
      <c r="V172" s="7"/>
      <c r="W172" s="8">
        <f>R86*(E86/365) + R87*(E87/365)</f>
        <v>54.6</v>
      </c>
    </row>
    <row r="173" spans="1:23" ht="9" customHeight="1" x14ac:dyDescent="0.15">
      <c r="A173" s="1">
        <v>1998</v>
      </c>
      <c r="B173" s="8">
        <f>(K88*($E88/365))+(K89*($E89/365))</f>
        <v>0</v>
      </c>
      <c r="C173" s="8">
        <f>(L88*($E88/365))+(L89*($E89/365))</f>
        <v>46.666666666666664</v>
      </c>
      <c r="D173" s="8">
        <f>(M88*($E88/365))+(M89*($E89/365))</f>
        <v>53.333333333333336</v>
      </c>
      <c r="E173" s="31">
        <f t="shared" si="48"/>
        <v>100</v>
      </c>
      <c r="G173" s="1">
        <v>1998</v>
      </c>
      <c r="H173" s="822">
        <f>(O88*100*($E88/365)/($R88))+(O89*100*($E89/365)/($R89))</f>
        <v>0</v>
      </c>
      <c r="I173" s="822"/>
      <c r="J173" s="823">
        <f>(P88*100*($E88/365)/($R88))+(P89*100*($E89/365)/($R89))</f>
        <v>50</v>
      </c>
      <c r="K173" s="823"/>
      <c r="L173" s="823">
        <f>(Q88*100*($E88/365)/($R88))+(Q89*100*($E89/365)/($R89))</f>
        <v>50</v>
      </c>
      <c r="M173" s="823"/>
      <c r="N173" s="810">
        <f t="shared" si="47"/>
        <v>100</v>
      </c>
      <c r="O173" s="810"/>
      <c r="R173" s="1">
        <v>1998</v>
      </c>
      <c r="S173" s="8">
        <f>(O88*($E88/365))+(O89*($E89/365))</f>
        <v>0</v>
      </c>
      <c r="T173" s="8">
        <f>(P88*($E88/365))+(P89*($E89/365))</f>
        <v>27.3</v>
      </c>
      <c r="U173" s="8">
        <f>(Q88*($E88/365))+(Q89*($E89/365))</f>
        <v>27.3</v>
      </c>
      <c r="V173" s="7"/>
      <c r="W173" s="8">
        <f>R88*(E88/365) + R89*(E89/365)</f>
        <v>54.6</v>
      </c>
    </row>
    <row r="174" spans="1:23" ht="9" customHeight="1" x14ac:dyDescent="0.15">
      <c r="A174" s="1">
        <v>1999</v>
      </c>
      <c r="B174" s="8">
        <f>(K90*($E90/365))+(K91*($E91/365))</f>
        <v>21.990867579908674</v>
      </c>
      <c r="C174" s="8">
        <f>(L90*($E90/365))+(L91*($E91/365))</f>
        <v>24.675799086757991</v>
      </c>
      <c r="D174" s="8">
        <f>(M90*($E90/365))+(M91*($E91/365))</f>
        <v>53.333333333333343</v>
      </c>
      <c r="E174" s="31">
        <f t="shared" si="48"/>
        <v>100</v>
      </c>
      <c r="G174" s="1">
        <v>1999</v>
      </c>
      <c r="H174" s="822">
        <f>(O90*100*($E90/365)/($R90))+(O91*100*($E91/365)/($R91))</f>
        <v>20.550571140968973</v>
      </c>
      <c r="I174" s="822"/>
      <c r="J174" s="823">
        <f>(P90*100*($E90/365)/($R90))+(P91*100*($E91/365)/($R91))</f>
        <v>26.438356164383563</v>
      </c>
      <c r="K174" s="823"/>
      <c r="L174" s="823">
        <f>(Q90*100*($E90/365)/($R90))+(Q91*100*($E91/365)/($R91))</f>
        <v>53.011072694647467</v>
      </c>
      <c r="M174" s="823"/>
      <c r="N174" s="810">
        <f t="shared" si="47"/>
        <v>100</v>
      </c>
      <c r="O174" s="810"/>
      <c r="R174" s="1">
        <v>1999</v>
      </c>
      <c r="S174" s="8">
        <f>(O90*($E90/365))+(O91*($E91/365))</f>
        <v>12.864657534246575</v>
      </c>
      <c r="T174" s="8">
        <f>(P90*($E90/365))+(P91*($E91/365))</f>
        <v>14.435342465753426</v>
      </c>
      <c r="U174" s="8">
        <f>(Q90*($E90/365))+(Q91*($E91/365))</f>
        <v>31.06986301369863</v>
      </c>
      <c r="V174" s="7"/>
      <c r="W174" s="8">
        <f>R90*(E90/365) + R91*(E91/365)</f>
        <v>58.369863013698634</v>
      </c>
    </row>
    <row r="175" spans="1:23" ht="9" customHeight="1" x14ac:dyDescent="0.15">
      <c r="A175" s="1">
        <v>2000</v>
      </c>
      <c r="B175" s="8">
        <f>(K92*($E92/366))+(K93*($E93/366))</f>
        <v>46.666666666666664</v>
      </c>
      <c r="C175" s="8">
        <f>(L92*($E92/366))+(L93*($E93/366))</f>
        <v>0</v>
      </c>
      <c r="D175" s="8">
        <f>(M92*($E92/366))+(M93*($E93/366))</f>
        <v>53.333333333333336</v>
      </c>
      <c r="E175" s="31">
        <f t="shared" si="48"/>
        <v>100</v>
      </c>
      <c r="G175" s="1">
        <v>2000</v>
      </c>
      <c r="H175" s="822">
        <f>(O92*100*($E92/366)/($R92))+(O93*100*($E93/366)/($R93))</f>
        <v>43.610223642172528</v>
      </c>
      <c r="I175" s="822"/>
      <c r="J175" s="823">
        <f>(P92*100*($E92/366)/($R92))+(P93*100*($E93/366)/($R93))</f>
        <v>0</v>
      </c>
      <c r="K175" s="823"/>
      <c r="L175" s="823">
        <f>(Q92*100*($E92/366)/($R92))+(Q93*100*($E93/366)/($R93))</f>
        <v>56.389776357827472</v>
      </c>
      <c r="M175" s="823"/>
      <c r="N175" s="810">
        <f t="shared" si="47"/>
        <v>100</v>
      </c>
      <c r="O175" s="810"/>
      <c r="R175" s="1">
        <v>2000</v>
      </c>
      <c r="S175" s="8">
        <f>(O92*($E92/366))+(O93*($E93/366))</f>
        <v>27.3</v>
      </c>
      <c r="T175" s="8">
        <f>(P92*($E92/366))+(P93*($E93/366))</f>
        <v>0</v>
      </c>
      <c r="U175" s="8">
        <f>(Q92*($E92/366))+(Q93*($E93/366))</f>
        <v>35.299999999999997</v>
      </c>
      <c r="V175" s="7"/>
      <c r="W175" s="8">
        <f>R92*(E92/366) + R93*(E93/366)</f>
        <v>62.599999999999994</v>
      </c>
    </row>
    <row r="176" spans="1:23" ht="9" customHeight="1" x14ac:dyDescent="0.15">
      <c r="A176" s="1">
        <v>2001</v>
      </c>
      <c r="B176" s="8">
        <f>(K94*($E94/365))+(K95*($E95/365))</f>
        <v>46.666666666666664</v>
      </c>
      <c r="C176" s="8">
        <f>(L94*($E94/365))+(L95*($E95/365))</f>
        <v>0</v>
      </c>
      <c r="D176" s="8">
        <f>(M94*($E94/365))+(M95*($E95/365))</f>
        <v>53.333333333333336</v>
      </c>
      <c r="E176" s="31">
        <f t="shared" si="48"/>
        <v>100</v>
      </c>
      <c r="G176" s="1">
        <v>2001</v>
      </c>
      <c r="H176" s="822">
        <f>(O94*100*($E94/365)/($R94))+(O95*100*($E95/365)/($R95))</f>
        <v>43.610223642172528</v>
      </c>
      <c r="I176" s="822"/>
      <c r="J176" s="823">
        <f>(P94*100*($E94/365)/($R94))+(P95*100*($E95/365)/($R95))</f>
        <v>0</v>
      </c>
      <c r="K176" s="823"/>
      <c r="L176" s="823">
        <f>(Q94*100*($E94/365)/($R94))+(Q95*100*($E95/365)/($R95))</f>
        <v>56.389776357827472</v>
      </c>
      <c r="M176" s="823"/>
      <c r="N176" s="810">
        <f t="shared" si="47"/>
        <v>100</v>
      </c>
      <c r="O176" s="810"/>
      <c r="R176" s="1">
        <v>2001</v>
      </c>
      <c r="S176" s="8">
        <f>(O94*($E94/365))+(O95*($E95/365))</f>
        <v>27.3</v>
      </c>
      <c r="T176" s="8">
        <f>(P94*($E94/365))+(P95*($E95/365))</f>
        <v>0</v>
      </c>
      <c r="U176" s="8">
        <f>(Q94*($E94/365))+(Q95*($E95/365))</f>
        <v>35.299999999999997</v>
      </c>
      <c r="V176" s="7"/>
      <c r="W176" s="8">
        <f>R94*(E94/365) + R95*(E95/365)</f>
        <v>62.599999999999994</v>
      </c>
    </row>
    <row r="177" spans="1:23" ht="9" customHeight="1" x14ac:dyDescent="0.15">
      <c r="A177" s="1">
        <v>2002</v>
      </c>
      <c r="B177" s="8">
        <f>(K96*($E96/365))+(K97*($E97/365))</f>
        <v>46.666666666666664</v>
      </c>
      <c r="C177" s="8">
        <f>(L96*($E96/365))+(L97*($E97/365))</f>
        <v>0</v>
      </c>
      <c r="D177" s="8">
        <f>(M96*($E96/365))+(M97*($E97/365))</f>
        <v>53.333333333333336</v>
      </c>
      <c r="E177" s="31">
        <f t="shared" si="48"/>
        <v>100</v>
      </c>
      <c r="G177" s="1">
        <v>2002</v>
      </c>
      <c r="H177" s="822">
        <f>(O96*100*($E96/365)/($R96))+(O97*100*($E97/365)/($R97))</f>
        <v>43.610223642172528</v>
      </c>
      <c r="I177" s="822"/>
      <c r="J177" s="823">
        <f>(P96*100*($E96/365)/($R96))+(P97*100*($E97/365)/($R97))</f>
        <v>0</v>
      </c>
      <c r="K177" s="823"/>
      <c r="L177" s="823">
        <f>(Q96*100*($E96/365)/($R96))+(Q97*100*($E97/365)/($R97))</f>
        <v>56.389776357827472</v>
      </c>
      <c r="M177" s="823"/>
      <c r="N177" s="810">
        <f t="shared" si="47"/>
        <v>100</v>
      </c>
      <c r="O177" s="810"/>
      <c r="R177" s="1">
        <v>2002</v>
      </c>
      <c r="S177" s="8">
        <f>(O96*($E96/365))+(O97*($E97/365))</f>
        <v>27.3</v>
      </c>
      <c r="T177" s="8">
        <f>(P96*($E96/365))+(P97*($E97/365))</f>
        <v>0</v>
      </c>
      <c r="U177" s="8">
        <f>(Q96*($E96/365))+(Q97*($E97/365))</f>
        <v>35.299999999999997</v>
      </c>
      <c r="V177" s="7"/>
      <c r="W177" s="8">
        <f>R96*(E96/365) + R97*(E97/365)</f>
        <v>62.599999999999994</v>
      </c>
    </row>
    <row r="178" spans="1:23" ht="9" customHeight="1" x14ac:dyDescent="0.15">
      <c r="A178" s="1">
        <v>2003</v>
      </c>
      <c r="B178" s="8">
        <f>(K98*($E98/365))+(K99*($E99/365))</f>
        <v>46.666666666666657</v>
      </c>
      <c r="C178" s="8">
        <f>(L98*($E98/365))+(L99*($E99/365))</f>
        <v>0</v>
      </c>
      <c r="D178" s="8">
        <f>(M98*($E98/365))+(M99*($E99/365))</f>
        <v>53.333333333333329</v>
      </c>
      <c r="E178" s="31">
        <f t="shared" si="48"/>
        <v>99.999999999999986</v>
      </c>
      <c r="G178" s="1">
        <v>2003</v>
      </c>
      <c r="H178" s="822">
        <f>(O98*100*($E98/365)/($R98))+(O99*100*($E99/365)/($R99))</f>
        <v>46.895201972116794</v>
      </c>
      <c r="I178" s="822"/>
      <c r="J178" s="823">
        <f>(P98*100*($E98/365)/($R98))+(P99*100*($E99/365)/($R99))</f>
        <v>0</v>
      </c>
      <c r="K178" s="823"/>
      <c r="L178" s="823">
        <f>(Q98*100*($E98/365)/($R98))+(Q99*100*($E99/365)/($R99))</f>
        <v>53.104798027883206</v>
      </c>
      <c r="M178" s="823"/>
      <c r="N178" s="810">
        <f t="shared" si="47"/>
        <v>100</v>
      </c>
      <c r="O178" s="810"/>
      <c r="R178" s="1">
        <v>2003</v>
      </c>
      <c r="S178" s="8">
        <f>(O98*($E98/365))+(O99*($E99/365))</f>
        <v>29.859452054794524</v>
      </c>
      <c r="T178" s="8">
        <f>(P98*($E98/365))+(P99*($E99/365))</f>
        <v>0</v>
      </c>
      <c r="U178" s="8">
        <f>(Q98*($E98/365))+(Q99*($E99/365))</f>
        <v>33.735890410958902</v>
      </c>
      <c r="V178" s="7"/>
      <c r="W178" s="8">
        <f>R98*(E98/365) + R99*(E99/365)</f>
        <v>63.595342465753419</v>
      </c>
    </row>
    <row r="179" spans="1:23" ht="9" customHeight="1" x14ac:dyDescent="0.15">
      <c r="A179" s="1">
        <v>2004</v>
      </c>
      <c r="B179" s="8">
        <f>(K100*($E100/366))+(K101*($E101/366))</f>
        <v>46.666666666666664</v>
      </c>
      <c r="C179" s="8">
        <f>(L100*($E100/366))+(L101*($E101/366))</f>
        <v>0</v>
      </c>
      <c r="D179" s="8">
        <f>(M100*($E100/366))+(M101*($E101/366))</f>
        <v>53.333333333333336</v>
      </c>
      <c r="E179" s="31">
        <f t="shared" si="48"/>
        <v>100</v>
      </c>
      <c r="G179" s="1">
        <v>2004</v>
      </c>
      <c r="H179" s="822">
        <f>(O100*100*($E100/366)/($R100))+(O101*100*($E101/366)/($R101))</f>
        <v>50.540958268933544</v>
      </c>
      <c r="I179" s="822"/>
      <c r="J179" s="823">
        <f>(P100*100*($E100/366)/($R100))+(P101*100*($E101/366)/($R101))</f>
        <v>0</v>
      </c>
      <c r="K179" s="823"/>
      <c r="L179" s="823">
        <f>(Q100*100*($E100/366)/($R100))+(Q101*100*($E101/366)/($R101))</f>
        <v>49.459041731066456</v>
      </c>
      <c r="M179" s="823"/>
      <c r="N179" s="810">
        <f t="shared" si="47"/>
        <v>100</v>
      </c>
      <c r="O179" s="810"/>
      <c r="R179" s="1">
        <v>2004</v>
      </c>
      <c r="S179" s="8">
        <f>(O100*($E100/366))+(O101*($E101/366))</f>
        <v>32.700000000000003</v>
      </c>
      <c r="T179" s="8">
        <f>(P100*($E100/366))+(P101*($E101/366))</f>
        <v>0</v>
      </c>
      <c r="U179" s="8">
        <f>(Q100*($E100/366))+(Q101*($E101/366))</f>
        <v>32</v>
      </c>
      <c r="V179" s="7"/>
      <c r="W179" s="8">
        <f>R100*(E100/366) + R101*(E101/366)</f>
        <v>64.7</v>
      </c>
    </row>
    <row r="180" spans="1:23" ht="9" customHeight="1" x14ac:dyDescent="0.15">
      <c r="A180" s="1">
        <v>2005</v>
      </c>
      <c r="B180" s="8">
        <f>(K102*($E102/365))+(K103*($E103/365))</f>
        <v>46.666666666666664</v>
      </c>
      <c r="C180" s="8">
        <f>(L102*($E102/365))+(L103*($E103/365))</f>
        <v>0</v>
      </c>
      <c r="D180" s="8">
        <f>(M102*($E102/365))+(M103*($E103/365))</f>
        <v>53.333333333333336</v>
      </c>
      <c r="E180" s="31">
        <f t="shared" si="48"/>
        <v>100</v>
      </c>
      <c r="G180" s="1">
        <v>2005</v>
      </c>
      <c r="H180" s="822">
        <f>(O102*100*($E102/365)/($R102))+(O103*100*($E103/365)/($R103))</f>
        <v>50.540958268933544</v>
      </c>
      <c r="I180" s="822"/>
      <c r="J180" s="823">
        <f>(P102*100*($E102/365)/($R102))+(P103*100*($E103/365)/($R103))</f>
        <v>0</v>
      </c>
      <c r="K180" s="823"/>
      <c r="L180" s="823">
        <f>(Q102*100*($E102/365)/($R102))+(Q103*100*($E103/365)/($R103))</f>
        <v>49.459041731066456</v>
      </c>
      <c r="M180" s="823"/>
      <c r="N180" s="810">
        <f t="shared" si="47"/>
        <v>100</v>
      </c>
      <c r="O180" s="810"/>
      <c r="R180" s="1">
        <v>2005</v>
      </c>
      <c r="S180" s="8">
        <f>(O102*($E102/365))+(O103*($E103/365))</f>
        <v>32.700000000000003</v>
      </c>
      <c r="T180" s="8">
        <f>(P102*($E102/365))+(P103*($E103/365))</f>
        <v>0</v>
      </c>
      <c r="U180" s="8">
        <f>(Q102*($E102/365))+(Q103*($E103/365))</f>
        <v>32</v>
      </c>
      <c r="V180" s="7"/>
      <c r="W180" s="8">
        <f>R102*(E102/365) + R103*(E103/365)</f>
        <v>64.7</v>
      </c>
    </row>
    <row r="181" spans="1:23" ht="9" customHeight="1" x14ac:dyDescent="0.15">
      <c r="A181" s="1">
        <v>2006</v>
      </c>
      <c r="B181" s="8">
        <f>(K104*($E104/365))+(K105*($E105/365))</f>
        <v>46.666666666666664</v>
      </c>
      <c r="C181" s="8">
        <f>(L104*($E104/365))+(L105*($E105/365))</f>
        <v>0</v>
      </c>
      <c r="D181" s="8">
        <f>(M104*($E104/365))+(M105*($E105/365))</f>
        <v>53.333333333333336</v>
      </c>
      <c r="E181" s="31">
        <f t="shared" si="48"/>
        <v>100</v>
      </c>
      <c r="G181" s="1">
        <v>2006</v>
      </c>
      <c r="H181" s="822">
        <f>(O104*100*($E104/365)/($R104))+(O105*100*($E105/365)/($R105))</f>
        <v>50.540958268933544</v>
      </c>
      <c r="I181" s="822"/>
      <c r="J181" s="823">
        <f>(P104*100*($E104/365)/($R104))+(P105*100*($E105/365)/($R105))</f>
        <v>0</v>
      </c>
      <c r="K181" s="823"/>
      <c r="L181" s="823">
        <f>(Q104*100*($E104/365)/($R104))+(Q105*100*($E105/365)/($R105))</f>
        <v>49.459041731066456</v>
      </c>
      <c r="M181" s="823"/>
      <c r="N181" s="810">
        <f t="shared" si="47"/>
        <v>100</v>
      </c>
      <c r="O181" s="810"/>
      <c r="R181" s="1">
        <v>2006</v>
      </c>
      <c r="S181" s="8">
        <f>(O104*($E104/365))+(O105*($E105/365))</f>
        <v>32.700000000000003</v>
      </c>
      <c r="T181" s="8">
        <f>(P104*($E104/365))+(P105*($E105/365))</f>
        <v>0</v>
      </c>
      <c r="U181" s="8">
        <f>(Q104*($E104/365))+(Q105*($E105/365))</f>
        <v>32</v>
      </c>
      <c r="V181" s="7"/>
      <c r="W181" s="8">
        <f>R104*(E104/365) + R105*(E105/365)</f>
        <v>64.7</v>
      </c>
    </row>
    <row r="182" spans="1:23" ht="9" customHeight="1" x14ac:dyDescent="0.15">
      <c r="A182" s="1">
        <v>2007</v>
      </c>
      <c r="B182" s="8">
        <f>(K106*($E106/365))+(K107*($E107/365))</f>
        <v>46.551859099804304</v>
      </c>
      <c r="C182" s="8">
        <f>(L106*($E106/365))+(L107*($E107/365))</f>
        <v>1.076320939334638</v>
      </c>
      <c r="D182" s="8">
        <f>(M106*($E106/365))+(M107*($E107/365))</f>
        <v>52.37181996086106</v>
      </c>
      <c r="E182" s="31">
        <f t="shared" si="48"/>
        <v>100</v>
      </c>
      <c r="G182" s="1">
        <v>2007</v>
      </c>
      <c r="H182" s="822">
        <f>(O106*100*($E106/365)/($R106))+(O107*100*($E107/365)/($R107))</f>
        <v>50.240301980122801</v>
      </c>
      <c r="I182" s="822"/>
      <c r="J182" s="823">
        <f>(P106*100*($E106/365)/($R106))+(P107*100*($E107/365)/($R107))</f>
        <v>1.1956278369191313</v>
      </c>
      <c r="K182" s="823"/>
      <c r="L182" s="823">
        <f>(Q106*100*($E106/365)/($R106))+(Q107*100*($E107/365)/($R107))</f>
        <v>48.564070182958069</v>
      </c>
      <c r="M182" s="823"/>
      <c r="N182" s="810">
        <f t="shared" si="47"/>
        <v>100</v>
      </c>
      <c r="O182" s="810"/>
      <c r="R182" s="1">
        <v>2007</v>
      </c>
      <c r="S182" s="8">
        <f>(O106*($E106/365))+(O107*($E107/365))</f>
        <v>32.537260273972606</v>
      </c>
      <c r="T182" s="8">
        <f>(P106*($E106/365))+(P107*($E107/365))</f>
        <v>0.80465753424657538</v>
      </c>
      <c r="U182" s="8">
        <f>(Q106*($E106/365))+(Q107*($E107/365))</f>
        <v>31.436438356164384</v>
      </c>
      <c r="V182" s="7"/>
      <c r="W182" s="8">
        <f>R106*(E106/365) + R107*(E107/365)</f>
        <v>64.778356164383567</v>
      </c>
    </row>
    <row r="183" spans="1:23" ht="9" customHeight="1" x14ac:dyDescent="0.15">
      <c r="A183" s="1">
        <v>2008</v>
      </c>
      <c r="B183" s="7">
        <f>(K108*($E108/366))+(K109*($E109/366))+(K110*($E110/366))</f>
        <v>45.844392401769447</v>
      </c>
      <c r="C183" s="7">
        <f>(L108*($E108/366))+(L109*($E109/366))+(L110*($E110/366))</f>
        <v>33.847254748894088</v>
      </c>
      <c r="D183" s="7">
        <f>(M108*($E108/366))+(M109*($E109/366))+(M110*($E110/366))</f>
        <v>20.308352849336458</v>
      </c>
      <c r="E183" s="31">
        <f t="shared" si="48"/>
        <v>99.999999999999986</v>
      </c>
      <c r="G183" s="1">
        <v>2008</v>
      </c>
      <c r="H183" s="822">
        <f>(O108*100*($E108/366)/($R108))+(O109*100*($E109/366)/($R109))+(O110*100*($E110/366)/($R110))</f>
        <v>40.564635958395243</v>
      </c>
      <c r="I183" s="822"/>
      <c r="J183" s="823">
        <f>(P108*100*($E108/366)/($R108))+(P109*100*($E109/366)/($R109))+(P110*100*($E110/366)/($R110))</f>
        <v>39.673105497771168</v>
      </c>
      <c r="K183" s="823"/>
      <c r="L183" s="823">
        <f>(Q108*100*($E108/366)/($R108))+(Q109*100*($E109/366)/($R109))+(Q110*100*($E110/366)/($R110))</f>
        <v>19.762258543833578</v>
      </c>
      <c r="M183" s="823"/>
      <c r="N183" s="810">
        <f t="shared" si="47"/>
        <v>100</v>
      </c>
      <c r="O183" s="810"/>
      <c r="R183" s="1">
        <v>2008</v>
      </c>
      <c r="S183" s="7">
        <f>(O108*($E108/366))+(O109*($E109/366))+(O110*($E110/366))</f>
        <v>27.299999999999997</v>
      </c>
      <c r="T183" s="7">
        <f>(P108*($E108/366))+(P109*($E109/366))+(P110*($E110/366))</f>
        <v>26.7</v>
      </c>
      <c r="U183" s="7">
        <f>(Q108*($E108/366))+(Q109*($E109/366))+(Q110*($E110/366))</f>
        <v>13.299999999999999</v>
      </c>
      <c r="V183" s="7"/>
      <c r="W183" s="8">
        <f>R108*(E108/366) + R109*(E109/366) + R110*(E110/366)</f>
        <v>67.3</v>
      </c>
    </row>
    <row r="184" spans="1:23" ht="9" customHeight="1" x14ac:dyDescent="0.15">
      <c r="A184" s="1">
        <v>2009</v>
      </c>
      <c r="B184" s="7">
        <f>(K111*($E111/365))+(K112*($E112/365))+(K113*($E113/365))</f>
        <v>43.598173515981735</v>
      </c>
      <c r="C184" s="7">
        <f>(L111*($E111/365))+(L112*($E112/365))+(L113*($E113/365))</f>
        <v>36.401826484018258</v>
      </c>
      <c r="D184" s="7">
        <f>(M111*($E111/365))+(M112*($E112/365))+(M113*($E113/365))</f>
        <v>20</v>
      </c>
      <c r="E184" s="31">
        <f t="shared" si="48"/>
        <v>100</v>
      </c>
      <c r="G184" s="1">
        <v>2009</v>
      </c>
      <c r="H184" s="822">
        <f>(O111*100*($E111/365)/($R111))+(O112*100*($E112/365)/($R112))+(O113*100*($E113/365)/($R113))</f>
        <v>40.564635958395243</v>
      </c>
      <c r="I184" s="822"/>
      <c r="J184" s="823">
        <f>(P111*100*($E111/365)/($R111))+(P112*100*($E112/365)/($R112))+(P113*100*($E113/365)/($R113))</f>
        <v>39.673105497771175</v>
      </c>
      <c r="K184" s="823"/>
      <c r="L184" s="823">
        <f>(Q111*100*($E111/365)/($R111))+(Q112*100*($E112/365)/($R112))+(Q113*100*($E113/365)/($R113))</f>
        <v>19.762258543833582</v>
      </c>
      <c r="M184" s="823"/>
      <c r="N184" s="810">
        <f t="shared" si="47"/>
        <v>100</v>
      </c>
      <c r="O184" s="810"/>
      <c r="R184" s="1">
        <v>2009</v>
      </c>
      <c r="S184" s="7">
        <f>(O111*($E111/365))+(O112*($E112/365))+(O113*($E113/365))</f>
        <v>27.300000000000004</v>
      </c>
      <c r="T184" s="7">
        <f>(P111*($E111/365))+(P112*($E112/365))+(P113*($E113/365))</f>
        <v>26.700000000000003</v>
      </c>
      <c r="U184" s="7">
        <f>(Q111*($E111/365))+(Q112*($E112/365))+(Q113*($E113/365))</f>
        <v>13.3</v>
      </c>
      <c r="V184" s="7"/>
      <c r="W184" s="8">
        <f>R111*(E111/365) + R112*(E112/365) + R113*(E113/365)</f>
        <v>67.300000000000011</v>
      </c>
    </row>
    <row r="185" spans="1:23" s="15" customFormat="1" ht="9" customHeight="1" x14ac:dyDescent="0.15">
      <c r="A185" s="15">
        <v>2010</v>
      </c>
      <c r="B185" s="46">
        <f>(K114*($E114/365))+(K115*($E115/365))</f>
        <v>40</v>
      </c>
      <c r="C185" s="46">
        <f>(L114*($E114/365))+(L115*($E115/365))</f>
        <v>40</v>
      </c>
      <c r="D185" s="46">
        <f>(M114*($E114/365))+(M115*($E115/365))</f>
        <v>20</v>
      </c>
      <c r="E185" s="228">
        <f t="shared" si="48"/>
        <v>100</v>
      </c>
      <c r="G185" s="15">
        <v>2010</v>
      </c>
      <c r="H185" s="824">
        <f>(O114*100*($E114/365)/($R114))+(O115*100*($E115/365)/($R115))</f>
        <v>38.831062055804153</v>
      </c>
      <c r="I185" s="824"/>
      <c r="J185" s="824">
        <f>(P114*100*($E114/365)/($R114))+(P115*100*($E115/365)/($R115))</f>
        <v>35.030315620716863</v>
      </c>
      <c r="K185" s="824"/>
      <c r="L185" s="824">
        <f>(Q114*100*($E114/365)/($R114))+(Q115*100*($E115/365)/($R115))</f>
        <v>26.13862232347898</v>
      </c>
      <c r="M185" s="824"/>
      <c r="N185" s="825">
        <f t="shared" si="47"/>
        <v>100</v>
      </c>
      <c r="O185" s="825"/>
      <c r="R185" s="15">
        <v>2010</v>
      </c>
      <c r="S185" s="46">
        <f>(O114*($E114/365))+(O115*($E115/365))</f>
        <v>23.647397260273969</v>
      </c>
      <c r="T185" s="46">
        <f>(P114*($E114/365))+(P115*($E115/365))</f>
        <v>21.497808219178083</v>
      </c>
      <c r="U185" s="46">
        <f>(Q114*($E114/365))+(Q115*($E115/365))</f>
        <v>15.513698630136986</v>
      </c>
      <c r="V185" s="46"/>
      <c r="W185" s="196">
        <f>R114*(E114/365) + R115*(E115/365)</f>
        <v>60.658904109589038</v>
      </c>
    </row>
    <row r="186" spans="1:23" s="15" customFormat="1" ht="9" customHeight="1" x14ac:dyDescent="0.15">
      <c r="A186" s="15">
        <v>2011</v>
      </c>
      <c r="B186" s="46">
        <f>(K116*($E116/365))+(K117*($E117/365))</f>
        <v>39.890410958904106</v>
      </c>
      <c r="C186" s="46">
        <f>(L116*($E116/365))+(L117*($E117/365))</f>
        <v>38.794520547945204</v>
      </c>
      <c r="D186" s="46">
        <f>(M116*($E116/365))+(M117*($E117/365))</f>
        <v>21.315068493150683</v>
      </c>
      <c r="E186" s="228">
        <f t="shared" si="48"/>
        <v>100</v>
      </c>
      <c r="G186" s="15">
        <v>2011</v>
      </c>
      <c r="H186" s="824">
        <f>(O116*100*($E116/365)/($R116))+(O117*100*($E117/365)/($R117))</f>
        <v>37.069723983749903</v>
      </c>
      <c r="I186" s="824"/>
      <c r="J186" s="824">
        <f>(P116*100*($E116/365)/($R116))+(P117*100*($E117/365)/($R117))</f>
        <v>30.98097704922094</v>
      </c>
      <c r="K186" s="824"/>
      <c r="L186" s="824">
        <f>(Q116*100*($E116/365)/($R116))+(Q117*100*($E117/365)/($R117))</f>
        <v>31.949298967029158</v>
      </c>
      <c r="M186" s="824"/>
      <c r="N186" s="825">
        <f t="shared" si="47"/>
        <v>100</v>
      </c>
      <c r="O186" s="825"/>
      <c r="R186" s="15">
        <v>2011</v>
      </c>
      <c r="S186" s="46">
        <f>(O116*($E116/365))+(O117*($E117/365))</f>
        <v>20.699999999999996</v>
      </c>
      <c r="T186" s="46">
        <f>(P116*($E116/365))+(P117*($E117/365))</f>
        <v>17.3</v>
      </c>
      <c r="U186" s="46">
        <f>(Q116*($E116/365))+(Q117*($E117/365))</f>
        <v>17.91972602739726</v>
      </c>
      <c r="V186" s="46"/>
      <c r="W186" s="196">
        <f>R116*(E116/365) + R117*(E117/365)</f>
        <v>55.91972602739726</v>
      </c>
    </row>
    <row r="187" spans="1:23" ht="9" customHeight="1" x14ac:dyDescent="0.15">
      <c r="A187" s="1">
        <v>2012</v>
      </c>
      <c r="B187" s="7">
        <f>(K118*($E118/366))+(K119*($E119/366))</f>
        <v>38.461538461538467</v>
      </c>
      <c r="C187" s="7">
        <f>(L118*($E118/366))+(L119*($E119/366))</f>
        <v>23.076923076923077</v>
      </c>
      <c r="D187" s="7">
        <f>(M118*($E118/366))+(M119*($E119/366))</f>
        <v>38.461538461538467</v>
      </c>
      <c r="E187" s="31">
        <f>SUM(B187:D187)</f>
        <v>100.00000000000001</v>
      </c>
      <c r="G187" s="1">
        <v>2012</v>
      </c>
      <c r="H187" s="822">
        <f>(O118*100*($E118/366)/($R118))+(O119*100*($E119/366)/($R119))</f>
        <v>32.34375</v>
      </c>
      <c r="I187" s="822"/>
      <c r="J187" s="823">
        <f>(P118*100*($E118/366)/($R118))+(P119*100*($E119/366)/($R119))</f>
        <v>27.03125</v>
      </c>
      <c r="K187" s="823"/>
      <c r="L187" s="823">
        <f>(Q118*100*($E118/366)/($R118))+(Q119*100*($E119/366)/($R119))</f>
        <v>40.625</v>
      </c>
      <c r="M187" s="823"/>
      <c r="N187" s="810">
        <f t="shared" si="47"/>
        <v>100</v>
      </c>
      <c r="O187" s="810"/>
      <c r="R187" s="1">
        <v>2012</v>
      </c>
      <c r="S187" s="7">
        <f>(O118*($E118/366))+(O119*($E119/366))</f>
        <v>20.7</v>
      </c>
      <c r="T187" s="7">
        <f>(P118*($E118/366))+(P119*($E119/366))</f>
        <v>17.3</v>
      </c>
      <c r="U187" s="7">
        <f>(Q118*($E118/366))+(Q119*($E119/366))</f>
        <v>26</v>
      </c>
      <c r="V187" s="7"/>
      <c r="W187" s="8">
        <f>R118*(E118/366) + R119*(E119/366)</f>
        <v>64</v>
      </c>
    </row>
    <row r="188" spans="1:23" x14ac:dyDescent="0.15">
      <c r="A188" s="1">
        <v>2013</v>
      </c>
      <c r="B188" s="7">
        <f>(K120*($E120/365))+(K121*($E121/365))</f>
        <v>38.461538461538467</v>
      </c>
      <c r="C188" s="7">
        <f>(L120*($E120/365))+(L121*($E121/365))</f>
        <v>23.076923076923077</v>
      </c>
      <c r="D188" s="7">
        <f>(M120*($E120/365))+(M121*($E121/365))</f>
        <v>38.461538461538467</v>
      </c>
      <c r="E188" s="293">
        <f>SUM(B188:D188)</f>
        <v>100.00000000000001</v>
      </c>
      <c r="G188" s="1">
        <v>2013</v>
      </c>
      <c r="H188" s="822">
        <f>(O120*100*($E120/365)/($R120))+(O121*100*($E121/365)/($R121))</f>
        <v>32.34375</v>
      </c>
      <c r="I188" s="822"/>
      <c r="J188" s="823">
        <f>(P120*100*($E120/365)/($R120))+(P121*100*($E121/365)/($R121))</f>
        <v>27.03125</v>
      </c>
      <c r="K188" s="823"/>
      <c r="L188" s="823">
        <f>(Q120*100*($E120/365)/($R120))+(Q121*100*($E121/365)/($R121))</f>
        <v>40.625</v>
      </c>
      <c r="M188" s="823"/>
      <c r="N188" s="810">
        <f>SUM(H188:L188)</f>
        <v>100</v>
      </c>
      <c r="O188" s="810"/>
      <c r="R188" s="1">
        <v>2013</v>
      </c>
      <c r="S188" s="7">
        <f>(O120*($E120/365))+(O121*($E121/365))</f>
        <v>20.7</v>
      </c>
      <c r="T188" s="7">
        <f>(P120*($E120/365))+(P121*($E121/365))</f>
        <v>17.3</v>
      </c>
      <c r="U188" s="7">
        <f>(Q120*($E120/365))+(Q121*($E121/365))</f>
        <v>26</v>
      </c>
      <c r="W188" s="8">
        <f>R120*(E120/365) + R121*(E121/365)</f>
        <v>64</v>
      </c>
    </row>
    <row r="189" spans="1:23" x14ac:dyDescent="0.15">
      <c r="A189" s="1">
        <v>2014</v>
      </c>
      <c r="B189" s="7">
        <f>(K122*($E122/365))+(K123*($E123/365))+(K124*($E124/365))</f>
        <v>44.263134126147833</v>
      </c>
      <c r="C189" s="7">
        <f>(L122*($E122/365))+(L123*($E123/365))+(L124*($E124/365))</f>
        <v>25.916001806412766</v>
      </c>
      <c r="D189" s="7">
        <f>(M122*($E122/365))+(M123*($E123/365))+(M124*($E124/365))</f>
        <v>29.820864067439413</v>
      </c>
      <c r="E189" s="512">
        <f>SUM(B189:D189)</f>
        <v>100.00000000000001</v>
      </c>
      <c r="G189" s="1">
        <v>2014</v>
      </c>
      <c r="H189" s="822">
        <f>(O122*100*($E122/365)/($R122))+(O123*100*($E123/365)/($R123))+(O124*100*($E124/365)/($R124))</f>
        <v>35.046335545441778</v>
      </c>
      <c r="I189" s="822"/>
      <c r="J189" s="823">
        <f>(P122*100*($E122/365)/($R122))+(P123*100*($E123/365)/($R123))+(P124*100*($E124/365)/($R124))</f>
        <v>34.768568606557878</v>
      </c>
      <c r="K189" s="823"/>
      <c r="L189" s="823">
        <f>(Q122*100*($E122/365)/($R122))+(Q123*100*($E123/365)/($R123))+(Q124*100*($E124/365)/($R124))</f>
        <v>30.185095848000341</v>
      </c>
      <c r="M189" s="823"/>
      <c r="N189" s="810">
        <f>SUM(H189:L189)</f>
        <v>100</v>
      </c>
      <c r="O189" s="810"/>
      <c r="R189" s="1">
        <v>2014</v>
      </c>
      <c r="S189" s="7">
        <f>(O122*($E122/365))+(O123*($E123/365))+(O124*($E124/365))</f>
        <v>21.845205479452055</v>
      </c>
      <c r="T189" s="7">
        <f>(P122*($E122/365))+(P123*($E123/365))+(P124*($E124/365))</f>
        <v>21.316438356164383</v>
      </c>
      <c r="U189" s="7">
        <f>(Q122*($E122/365))+(Q123*($E123/365))+(Q124*($E124/365))</f>
        <v>19.402739726027399</v>
      </c>
      <c r="W189" s="8">
        <f>R122*(E122/365) + R123*(E123/365) + R124*(E124/365)</f>
        <v>62.564383561643837</v>
      </c>
    </row>
    <row r="190" spans="1:23" s="696" customFormat="1" x14ac:dyDescent="0.15">
      <c r="A190" s="696">
        <v>2015</v>
      </c>
      <c r="B190" s="695">
        <f>(K125*($E125/365))+(K126*($E126/365))</f>
        <v>64.285714285714292</v>
      </c>
      <c r="C190" s="695">
        <f>(L125*($E125/365))+(L126*($E126/365))</f>
        <v>35.714285714285715</v>
      </c>
      <c r="D190" s="695">
        <f>(M125*($E125/365))+(M126*($E126/365))</f>
        <v>0</v>
      </c>
      <c r="E190" s="691">
        <f>SUM(B190:D190)</f>
        <v>100</v>
      </c>
      <c r="G190" s="696">
        <v>2015</v>
      </c>
      <c r="H190" s="822">
        <f>(O125*100*($E125/365)/($R125))+(O126*100*($E126/365)/($R126))</f>
        <v>39.929328621908127</v>
      </c>
      <c r="I190" s="822"/>
      <c r="J190" s="823">
        <f>(P125*100*($E125/365)/($R125))+(P126*100*($E126/365)/($R126))</f>
        <v>60.070671378091873</v>
      </c>
      <c r="K190" s="823"/>
      <c r="L190" s="823">
        <f>(Q125*100*($E125/365)/($R125))+(Q126*100*($E126/365)/($R126))</f>
        <v>0</v>
      </c>
      <c r="M190" s="823"/>
      <c r="N190" s="810">
        <f>SUM(H190:L190)</f>
        <v>100</v>
      </c>
      <c r="O190" s="810"/>
      <c r="R190" s="696">
        <v>2015</v>
      </c>
      <c r="S190" s="695">
        <f>(O125*($E125/365))+(O126*($E126/365))</f>
        <v>22.6</v>
      </c>
      <c r="T190" s="695">
        <f>(P125*($E125/365))+(P126*($E126/365))</f>
        <v>34</v>
      </c>
      <c r="U190" s="695">
        <f>(Q125*($E125/365))+(Q126*($E126/365))</f>
        <v>0</v>
      </c>
      <c r="W190" s="690">
        <f>R125*(E125/365) + R126*(E126/365)</f>
        <v>56.6</v>
      </c>
    </row>
    <row r="191" spans="1:23" s="696" customFormat="1" x14ac:dyDescent="0.15"/>
    <row r="192" spans="1:23" s="696" customFormat="1" x14ac:dyDescent="0.15">
      <c r="B192" s="695"/>
      <c r="C192" s="695"/>
      <c r="D192" s="695"/>
      <c r="E192" s="691"/>
      <c r="H192" s="822"/>
      <c r="I192" s="822"/>
      <c r="J192" s="823"/>
      <c r="K192" s="823"/>
      <c r="L192" s="823"/>
      <c r="M192" s="823"/>
      <c r="N192" s="810"/>
      <c r="O192" s="810"/>
      <c r="S192" s="695"/>
      <c r="T192" s="695"/>
      <c r="U192" s="695"/>
      <c r="W192" s="690"/>
    </row>
    <row r="193" spans="2:23" s="696" customFormat="1" x14ac:dyDescent="0.15">
      <c r="B193" s="695"/>
      <c r="C193" s="695"/>
      <c r="D193" s="695"/>
      <c r="E193" s="691"/>
      <c r="H193" s="822"/>
      <c r="I193" s="822"/>
      <c r="J193" s="823"/>
      <c r="K193" s="823"/>
      <c r="L193" s="823"/>
      <c r="M193" s="823"/>
      <c r="N193" s="810"/>
      <c r="O193" s="810"/>
      <c r="S193" s="695"/>
      <c r="T193" s="695"/>
      <c r="U193" s="695"/>
      <c r="W193" s="690"/>
    </row>
    <row r="194" spans="2:23" s="696" customFormat="1" x14ac:dyDescent="0.15">
      <c r="B194" s="695"/>
      <c r="C194" s="695"/>
      <c r="D194" s="695"/>
      <c r="E194" s="691"/>
      <c r="H194" s="822"/>
      <c r="I194" s="822"/>
      <c r="J194" s="823"/>
      <c r="K194" s="823"/>
      <c r="L194" s="823"/>
      <c r="M194" s="823"/>
      <c r="N194" s="810"/>
      <c r="O194" s="810"/>
      <c r="S194" s="695"/>
      <c r="T194" s="695"/>
      <c r="U194" s="695"/>
      <c r="W194" s="690"/>
    </row>
    <row r="195" spans="2:23" s="696" customFormat="1" x14ac:dyDescent="0.15">
      <c r="B195" s="695"/>
      <c r="C195" s="695"/>
      <c r="D195" s="695"/>
      <c r="E195" s="691"/>
      <c r="H195" s="822"/>
      <c r="I195" s="822"/>
      <c r="J195" s="823"/>
      <c r="K195" s="823"/>
      <c r="L195" s="823"/>
      <c r="M195" s="823"/>
      <c r="N195" s="810"/>
      <c r="O195" s="810"/>
      <c r="S195" s="695"/>
      <c r="T195" s="695"/>
      <c r="U195" s="695"/>
      <c r="W195" s="690"/>
    </row>
    <row r="196" spans="2:23" s="696" customFormat="1" x14ac:dyDescent="0.15">
      <c r="B196" s="695"/>
      <c r="C196" s="695"/>
      <c r="D196" s="695"/>
      <c r="E196" s="691"/>
      <c r="H196" s="822"/>
      <c r="I196" s="822"/>
      <c r="J196" s="823"/>
      <c r="K196" s="823"/>
      <c r="L196" s="823"/>
      <c r="M196" s="823"/>
      <c r="N196" s="810"/>
      <c r="O196" s="810"/>
      <c r="S196" s="695"/>
      <c r="T196" s="695"/>
      <c r="U196" s="695"/>
      <c r="W196" s="690"/>
    </row>
  </sheetData>
  <mergeCells count="395">
    <mergeCell ref="H196:I196"/>
    <mergeCell ref="J196:K196"/>
    <mergeCell ref="L196:M196"/>
    <mergeCell ref="N196:O196"/>
    <mergeCell ref="H193:I193"/>
    <mergeCell ref="J193:K193"/>
    <mergeCell ref="L193:M193"/>
    <mergeCell ref="N193:O193"/>
    <mergeCell ref="H194:I194"/>
    <mergeCell ref="J194:K194"/>
    <mergeCell ref="L194:M194"/>
    <mergeCell ref="N194:O194"/>
    <mergeCell ref="H195:I195"/>
    <mergeCell ref="J195:K195"/>
    <mergeCell ref="L195:M195"/>
    <mergeCell ref="N195:O195"/>
    <mergeCell ref="H190:I190"/>
    <mergeCell ref="J190:K190"/>
    <mergeCell ref="L190:M190"/>
    <mergeCell ref="N190:O190"/>
    <mergeCell ref="H192:I192"/>
    <mergeCell ref="J192:K192"/>
    <mergeCell ref="L192:M192"/>
    <mergeCell ref="N192:O192"/>
    <mergeCell ref="N189:O189"/>
    <mergeCell ref="H189:I189"/>
    <mergeCell ref="J189:K189"/>
    <mergeCell ref="L189:M189"/>
    <mergeCell ref="AT4:AW4"/>
    <mergeCell ref="N180:O180"/>
    <mergeCell ref="N181:O181"/>
    <mergeCell ref="N182:O182"/>
    <mergeCell ref="N183:O183"/>
    <mergeCell ref="N161:O161"/>
    <mergeCell ref="N162:O162"/>
    <mergeCell ref="N163:O163"/>
    <mergeCell ref="N164:O164"/>
    <mergeCell ref="N165:O165"/>
    <mergeCell ref="N154:O154"/>
    <mergeCell ref="N155:O155"/>
    <mergeCell ref="N156:O156"/>
    <mergeCell ref="N157:O157"/>
    <mergeCell ref="N158:O158"/>
    <mergeCell ref="N159:O159"/>
    <mergeCell ref="N148:O148"/>
    <mergeCell ref="N149:O149"/>
    <mergeCell ref="N150:O150"/>
    <mergeCell ref="N151:O151"/>
    <mergeCell ref="N152:O152"/>
    <mergeCell ref="N153:O153"/>
    <mergeCell ref="N142:O142"/>
    <mergeCell ref="N143:O143"/>
    <mergeCell ref="AX4:BA4"/>
    <mergeCell ref="N188:O188"/>
    <mergeCell ref="C120:D120"/>
    <mergeCell ref="C121:D121"/>
    <mergeCell ref="H188:I188"/>
    <mergeCell ref="N178:O178"/>
    <mergeCell ref="N185:O185"/>
    <mergeCell ref="N186:O186"/>
    <mergeCell ref="N187:O187"/>
    <mergeCell ref="N179:O179"/>
    <mergeCell ref="N184:O184"/>
    <mergeCell ref="N172:O172"/>
    <mergeCell ref="N173:O173"/>
    <mergeCell ref="N174:O174"/>
    <mergeCell ref="N175:O175"/>
    <mergeCell ref="N176:O176"/>
    <mergeCell ref="N177:O177"/>
    <mergeCell ref="N166:O166"/>
    <mergeCell ref="N167:O167"/>
    <mergeCell ref="N168:O168"/>
    <mergeCell ref="N169:O169"/>
    <mergeCell ref="N170:O170"/>
    <mergeCell ref="N171:O171"/>
    <mergeCell ref="N160:O160"/>
    <mergeCell ref="N144:O144"/>
    <mergeCell ref="N145:O145"/>
    <mergeCell ref="N146:O146"/>
    <mergeCell ref="N147:O147"/>
    <mergeCell ref="N135:O135"/>
    <mergeCell ref="N136:O136"/>
    <mergeCell ref="N137:O137"/>
    <mergeCell ref="N138:O138"/>
    <mergeCell ref="N139:O139"/>
    <mergeCell ref="N140:O140"/>
    <mergeCell ref="N141:O141"/>
    <mergeCell ref="L140:M140"/>
    <mergeCell ref="L188:M188"/>
    <mergeCell ref="L179:M179"/>
    <mergeCell ref="L180:M180"/>
    <mergeCell ref="L181:M181"/>
    <mergeCell ref="L182:M182"/>
    <mergeCell ref="L183:M183"/>
    <mergeCell ref="L165:M165"/>
    <mergeCell ref="L166:M166"/>
    <mergeCell ref="L172:M172"/>
    <mergeCell ref="L173:M173"/>
    <mergeCell ref="L186:M186"/>
    <mergeCell ref="L187:M187"/>
    <mergeCell ref="L184:M184"/>
    <mergeCell ref="L185:M185"/>
    <mergeCell ref="L167:M167"/>
    <mergeCell ref="L168:M168"/>
    <mergeCell ref="L169:M169"/>
    <mergeCell ref="L153:M153"/>
    <mergeCell ref="L154:M154"/>
    <mergeCell ref="L155:M155"/>
    <mergeCell ref="L156:M156"/>
    <mergeCell ref="L157:M157"/>
    <mergeCell ref="L141:M141"/>
    <mergeCell ref="L142:M142"/>
    <mergeCell ref="L143:M143"/>
    <mergeCell ref="L144:M144"/>
    <mergeCell ref="L145:M145"/>
    <mergeCell ref="J163:K163"/>
    <mergeCell ref="L174:M174"/>
    <mergeCell ref="L175:M175"/>
    <mergeCell ref="L146:M146"/>
    <mergeCell ref="L147:M147"/>
    <mergeCell ref="L148:M148"/>
    <mergeCell ref="L149:M149"/>
    <mergeCell ref="L150:M150"/>
    <mergeCell ref="L151:M151"/>
    <mergeCell ref="L176:M176"/>
    <mergeCell ref="L177:M177"/>
    <mergeCell ref="L178:M178"/>
    <mergeCell ref="L158:M158"/>
    <mergeCell ref="L159:M159"/>
    <mergeCell ref="L160:M160"/>
    <mergeCell ref="L152:M152"/>
    <mergeCell ref="L170:M170"/>
    <mergeCell ref="L171:M171"/>
    <mergeCell ref="L161:M161"/>
    <mergeCell ref="L162:M162"/>
    <mergeCell ref="L163:M163"/>
    <mergeCell ref="L164:M164"/>
    <mergeCell ref="J188:K188"/>
    <mergeCell ref="J176:K176"/>
    <mergeCell ref="J177:K177"/>
    <mergeCell ref="J178:K178"/>
    <mergeCell ref="J179:K179"/>
    <mergeCell ref="J180:K180"/>
    <mergeCell ref="J157:K157"/>
    <mergeCell ref="J158:K158"/>
    <mergeCell ref="J159:K159"/>
    <mergeCell ref="J160:K160"/>
    <mergeCell ref="J174:K174"/>
    <mergeCell ref="J175:K175"/>
    <mergeCell ref="J167:K167"/>
    <mergeCell ref="J168:K168"/>
    <mergeCell ref="J161:K161"/>
    <mergeCell ref="J162:K162"/>
    <mergeCell ref="J185:K185"/>
    <mergeCell ref="J186:K186"/>
    <mergeCell ref="J187:K187"/>
    <mergeCell ref="J181:K181"/>
    <mergeCell ref="J182:K182"/>
    <mergeCell ref="J183:K183"/>
    <mergeCell ref="J184:K184"/>
    <mergeCell ref="H186:I186"/>
    <mergeCell ref="H187:I187"/>
    <mergeCell ref="J150:K150"/>
    <mergeCell ref="J151:K151"/>
    <mergeCell ref="J152:K152"/>
    <mergeCell ref="J153:K153"/>
    <mergeCell ref="J154:K154"/>
    <mergeCell ref="J155:K155"/>
    <mergeCell ref="J169:K169"/>
    <mergeCell ref="J170:K170"/>
    <mergeCell ref="H180:I180"/>
    <mergeCell ref="H181:I181"/>
    <mergeCell ref="H178:I178"/>
    <mergeCell ref="H182:I182"/>
    <mergeCell ref="H183:I183"/>
    <mergeCell ref="H185:I185"/>
    <mergeCell ref="H184:I184"/>
    <mergeCell ref="H174:I174"/>
    <mergeCell ref="H175:I175"/>
    <mergeCell ref="H176:I176"/>
    <mergeCell ref="H177:I177"/>
    <mergeCell ref="H172:I172"/>
    <mergeCell ref="H179:I179"/>
    <mergeCell ref="H169:I169"/>
    <mergeCell ref="H170:I170"/>
    <mergeCell ref="H171:I171"/>
    <mergeCell ref="H173:I173"/>
    <mergeCell ref="J171:K171"/>
    <mergeCell ref="J172:K172"/>
    <mergeCell ref="J173:K173"/>
    <mergeCell ref="J156:K156"/>
    <mergeCell ref="J142:K142"/>
    <mergeCell ref="J143:K143"/>
    <mergeCell ref="J144:K144"/>
    <mergeCell ref="J145:K145"/>
    <mergeCell ref="J146:K146"/>
    <mergeCell ref="J147:K147"/>
    <mergeCell ref="H163:I163"/>
    <mergeCell ref="H164:I164"/>
    <mergeCell ref="H165:I165"/>
    <mergeCell ref="H166:I166"/>
    <mergeCell ref="J164:K164"/>
    <mergeCell ref="J165:K165"/>
    <mergeCell ref="J166:K166"/>
    <mergeCell ref="H167:I167"/>
    <mergeCell ref="H168:I168"/>
    <mergeCell ref="H145:I145"/>
    <mergeCell ref="H146:I146"/>
    <mergeCell ref="J139:K139"/>
    <mergeCell ref="J140:K140"/>
    <mergeCell ref="J141:K141"/>
    <mergeCell ref="H160:I160"/>
    <mergeCell ref="H161:I161"/>
    <mergeCell ref="H162:I162"/>
    <mergeCell ref="H154:I154"/>
    <mergeCell ref="H155:I155"/>
    <mergeCell ref="H156:I156"/>
    <mergeCell ref="H157:I157"/>
    <mergeCell ref="H158:I158"/>
    <mergeCell ref="H159:I159"/>
    <mergeCell ref="H148:I148"/>
    <mergeCell ref="H149:I149"/>
    <mergeCell ref="H150:I150"/>
    <mergeCell ref="H151:I151"/>
    <mergeCell ref="H152:I152"/>
    <mergeCell ref="H153:I153"/>
    <mergeCell ref="H142:I142"/>
    <mergeCell ref="H143:I143"/>
    <mergeCell ref="H144:I144"/>
    <mergeCell ref="H147:I147"/>
    <mergeCell ref="J148:K148"/>
    <mergeCell ref="J149:K149"/>
    <mergeCell ref="H136:I136"/>
    <mergeCell ref="H137:I137"/>
    <mergeCell ref="H138:I138"/>
    <mergeCell ref="H139:I139"/>
    <mergeCell ref="H140:I140"/>
    <mergeCell ref="H141:I141"/>
    <mergeCell ref="R131:W131"/>
    <mergeCell ref="H133:I133"/>
    <mergeCell ref="J133:K133"/>
    <mergeCell ref="L133:M133"/>
    <mergeCell ref="N133:O133"/>
    <mergeCell ref="H135:I135"/>
    <mergeCell ref="J135:K135"/>
    <mergeCell ref="L135:M135"/>
    <mergeCell ref="H134:I134"/>
    <mergeCell ref="J134:K134"/>
    <mergeCell ref="N134:O134"/>
    <mergeCell ref="L136:M136"/>
    <mergeCell ref="L137:M137"/>
    <mergeCell ref="L138:M138"/>
    <mergeCell ref="L139:M139"/>
    <mergeCell ref="J136:K136"/>
    <mergeCell ref="J137:K137"/>
    <mergeCell ref="J138:K138"/>
    <mergeCell ref="G3:M3"/>
    <mergeCell ref="O3:Q3"/>
    <mergeCell ref="C9:D9"/>
    <mergeCell ref="C10:D10"/>
    <mergeCell ref="A4:A5"/>
    <mergeCell ref="B4:B5"/>
    <mergeCell ref="C4:D5"/>
    <mergeCell ref="E4:E5"/>
    <mergeCell ref="F4:F5"/>
    <mergeCell ref="G4:J4"/>
    <mergeCell ref="AP4:AS4"/>
    <mergeCell ref="C8:D8"/>
    <mergeCell ref="K4:N4"/>
    <mergeCell ref="O4:R4"/>
    <mergeCell ref="S4:S5"/>
    <mergeCell ref="T4:T5"/>
    <mergeCell ref="C13:D13"/>
    <mergeCell ref="C14:D14"/>
    <mergeCell ref="C15:D15"/>
    <mergeCell ref="C11:D11"/>
    <mergeCell ref="C12:D12"/>
    <mergeCell ref="Z4:AC4"/>
    <mergeCell ref="AD4:AG4"/>
    <mergeCell ref="AH4:AK4"/>
    <mergeCell ref="AL4:AO4"/>
    <mergeCell ref="U4:U5"/>
    <mergeCell ref="V4:Y4"/>
    <mergeCell ref="C7:D7"/>
    <mergeCell ref="C6:D6"/>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13:D113"/>
    <mergeCell ref="C114:D114"/>
    <mergeCell ref="C115:D115"/>
    <mergeCell ref="C103:D103"/>
    <mergeCell ref="C104:D104"/>
    <mergeCell ref="C105:D105"/>
    <mergeCell ref="C106:D106"/>
    <mergeCell ref="C107:D107"/>
    <mergeCell ref="C108:D108"/>
    <mergeCell ref="C116:D116"/>
    <mergeCell ref="C109:D109"/>
    <mergeCell ref="C110:D110"/>
    <mergeCell ref="C117:D117"/>
    <mergeCell ref="C118:D118"/>
    <mergeCell ref="C119:D119"/>
    <mergeCell ref="C111:D111"/>
    <mergeCell ref="C112:D112"/>
    <mergeCell ref="L134:M134"/>
    <mergeCell ref="C125:D125"/>
    <mergeCell ref="C126:D126"/>
    <mergeCell ref="C122:D122"/>
    <mergeCell ref="C123:D123"/>
    <mergeCell ref="C124:D124"/>
  </mergeCells>
  <phoneticPr fontId="0" type="noConversion"/>
  <pageMargins left="0.78740157499999996" right="0.78740157499999996" top="0.984251969" bottom="0.984251969" header="0.4921259845" footer="0.4921259845"/>
  <pageSetup paperSize="9" orientation="portrait" r:id="rId1"/>
  <headerFooter alignWithMargins="0"/>
  <drawing r:id="rId2"/>
  <legacyDrawing r:id="rId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26"/>
  <sheetViews>
    <sheetView zoomScale="120" zoomScaleNormal="120" workbookViewId="0">
      <pane xSplit="1" ySplit="5" topLeftCell="B52" activePane="bottomRight" state="frozen"/>
      <selection pane="topRight" activeCell="B1" sqref="B1"/>
      <selection pane="bottomLeft" activeCell="A6" sqref="A6"/>
      <selection pane="bottomRight" activeCell="T97" sqref="S97:U97"/>
    </sheetView>
  </sheetViews>
  <sheetFormatPr baseColWidth="10" defaultColWidth="10.7109375" defaultRowHeight="9" x14ac:dyDescent="0.15"/>
  <cols>
    <col min="1" max="1" width="5.85546875" style="1" customWidth="1"/>
    <col min="2" max="6" width="7.85546875" style="1" customWidth="1"/>
    <col min="7" max="18" width="4.5703125" style="1" customWidth="1"/>
    <col min="19" max="21" width="7.85546875" style="1" customWidth="1"/>
    <col min="22" max="53" width="5.7109375" style="1" customWidth="1"/>
    <col min="54" max="16384" width="10.7109375" style="1"/>
  </cols>
  <sheetData>
    <row r="1" spans="1:53" s="2" customFormat="1" ht="15" customHeight="1" x14ac:dyDescent="0.2">
      <c r="B1" s="22" t="s">
        <v>14</v>
      </c>
    </row>
    <row r="2" spans="1:53" s="2" customFormat="1" ht="15" customHeight="1" x14ac:dyDescent="0.2">
      <c r="B2" s="22" t="s">
        <v>146</v>
      </c>
    </row>
    <row r="3" spans="1:53" s="2" customFormat="1" x14ac:dyDescent="0.15">
      <c r="G3" s="814"/>
      <c r="H3" s="814"/>
      <c r="I3" s="814"/>
      <c r="J3" s="814"/>
      <c r="K3" s="814"/>
      <c r="L3" s="814"/>
      <c r="M3" s="814"/>
      <c r="O3" s="814"/>
      <c r="P3" s="814"/>
      <c r="Q3" s="814"/>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1" t="s">
        <v>23</v>
      </c>
      <c r="AU5" s="351" t="s">
        <v>24</v>
      </c>
      <c r="AV5" s="351" t="s">
        <v>25</v>
      </c>
      <c r="AW5" s="353" t="s">
        <v>1217</v>
      </c>
      <c r="AX5" s="351" t="s">
        <v>23</v>
      </c>
      <c r="AY5" s="351" t="s">
        <v>24</v>
      </c>
      <c r="AZ5" s="351" t="s">
        <v>25</v>
      </c>
      <c r="BA5" s="354" t="s">
        <v>1217</v>
      </c>
    </row>
    <row r="6" spans="1:53" s="208" customFormat="1" x14ac:dyDescent="0.15">
      <c r="A6" s="208">
        <v>1990</v>
      </c>
      <c r="C6" s="826" t="s">
        <v>1283</v>
      </c>
      <c r="D6" s="826"/>
      <c r="E6" s="208">
        <v>177</v>
      </c>
      <c r="G6" s="600"/>
      <c r="H6" s="663"/>
      <c r="I6" s="663"/>
      <c r="J6" s="602"/>
      <c r="K6" s="597"/>
      <c r="L6" s="597"/>
      <c r="M6" s="597"/>
      <c r="N6" s="601"/>
      <c r="O6" s="596"/>
      <c r="P6" s="597"/>
      <c r="Q6" s="597"/>
      <c r="R6" s="598"/>
      <c r="T6" s="95"/>
      <c r="V6" s="82"/>
      <c r="Y6" s="83"/>
      <c r="AD6" s="82"/>
      <c r="AG6" s="83"/>
      <c r="AL6" s="82"/>
      <c r="AO6" s="83"/>
      <c r="AP6" s="82"/>
      <c r="AS6" s="83"/>
      <c r="AW6" s="83"/>
      <c r="BA6" s="84"/>
    </row>
    <row r="7" spans="1:53" s="334" customFormat="1" x14ac:dyDescent="0.15">
      <c r="A7" s="334">
        <v>1990</v>
      </c>
      <c r="B7" s="355">
        <v>33051</v>
      </c>
      <c r="C7" s="812" t="s">
        <v>1085</v>
      </c>
      <c r="D7" s="812"/>
      <c r="E7" s="334">
        <v>188</v>
      </c>
      <c r="F7" s="334" t="s">
        <v>348</v>
      </c>
      <c r="G7" s="649">
        <v>15</v>
      </c>
      <c r="H7" s="664">
        <v>8</v>
      </c>
      <c r="I7" s="664"/>
      <c r="J7" s="651">
        <v>23</v>
      </c>
      <c r="K7" s="647">
        <f>G7/J7*100</f>
        <v>65.217391304347828</v>
      </c>
      <c r="L7" s="647">
        <f>H7/J7*100</f>
        <v>34.782608695652172</v>
      </c>
      <c r="M7" s="647">
        <f>I7/J7*100</f>
        <v>0</v>
      </c>
      <c r="N7" s="650">
        <f>K7+L7+M7</f>
        <v>100</v>
      </c>
      <c r="O7" s="646">
        <v>36.700000000000003</v>
      </c>
      <c r="P7" s="647">
        <v>20.7</v>
      </c>
      <c r="Q7" s="647"/>
      <c r="R7" s="648">
        <f t="shared" ref="R7:R60" si="0">SUM(O7:Q7)</f>
        <v>57.400000000000006</v>
      </c>
      <c r="S7" s="334">
        <v>3</v>
      </c>
      <c r="T7" s="342">
        <v>33033</v>
      </c>
      <c r="U7" s="355">
        <v>33051</v>
      </c>
      <c r="V7" s="343" t="s">
        <v>1070</v>
      </c>
      <c r="W7" s="334" t="s">
        <v>22</v>
      </c>
      <c r="X7" s="334" t="s">
        <v>11</v>
      </c>
      <c r="Y7" s="344">
        <v>32</v>
      </c>
      <c r="Z7" s="334" t="s">
        <v>901</v>
      </c>
      <c r="AA7" s="334" t="s">
        <v>17</v>
      </c>
      <c r="AB7" s="334" t="s">
        <v>18</v>
      </c>
      <c r="AC7" s="334">
        <v>20.7</v>
      </c>
      <c r="AD7" s="343" t="s">
        <v>1071</v>
      </c>
      <c r="AE7" s="334" t="s">
        <v>88</v>
      </c>
      <c r="AF7" s="334" t="s">
        <v>11</v>
      </c>
      <c r="AG7" s="344">
        <v>4.7</v>
      </c>
      <c r="AL7" s="343"/>
      <c r="AO7" s="344"/>
      <c r="AP7" s="343"/>
      <c r="AS7" s="344"/>
      <c r="AW7" s="344"/>
      <c r="BA7" s="345"/>
    </row>
    <row r="8" spans="1:53" s="334" customFormat="1" x14ac:dyDescent="0.15">
      <c r="A8" s="334">
        <v>1991</v>
      </c>
      <c r="C8" s="812" t="s">
        <v>1085</v>
      </c>
      <c r="D8" s="812"/>
      <c r="E8" s="334">
        <v>112</v>
      </c>
      <c r="G8" s="649">
        <v>15</v>
      </c>
      <c r="H8" s="664">
        <v>8</v>
      </c>
      <c r="I8" s="664"/>
      <c r="J8" s="651">
        <v>23</v>
      </c>
      <c r="K8" s="647">
        <f>G8/J8*100</f>
        <v>65.217391304347828</v>
      </c>
      <c r="L8" s="647">
        <f>H8/J8*100</f>
        <v>34.782608695652172</v>
      </c>
      <c r="M8" s="647">
        <f>I8/J8*100</f>
        <v>0</v>
      </c>
      <c r="N8" s="650">
        <f>K8+L8+M8</f>
        <v>100</v>
      </c>
      <c r="O8" s="646">
        <v>36.700000000000003</v>
      </c>
      <c r="P8" s="647">
        <v>20.7</v>
      </c>
      <c r="Q8" s="647"/>
      <c r="R8" s="648">
        <f t="shared" si="0"/>
        <v>57.400000000000006</v>
      </c>
      <c r="S8" s="334">
        <v>3</v>
      </c>
      <c r="T8" s="342"/>
      <c r="V8" s="343" t="s">
        <v>1070</v>
      </c>
      <c r="W8" s="334" t="s">
        <v>22</v>
      </c>
      <c r="X8" s="334" t="s">
        <v>11</v>
      </c>
      <c r="Y8" s="344">
        <v>32</v>
      </c>
      <c r="Z8" s="334" t="s">
        <v>901</v>
      </c>
      <c r="AA8" s="334" t="s">
        <v>17</v>
      </c>
      <c r="AB8" s="334" t="s">
        <v>18</v>
      </c>
      <c r="AC8" s="334">
        <v>20.7</v>
      </c>
      <c r="AD8" s="343" t="s">
        <v>1071</v>
      </c>
      <c r="AE8" s="334" t="s">
        <v>88</v>
      </c>
      <c r="AF8" s="334" t="s">
        <v>11</v>
      </c>
      <c r="AG8" s="344">
        <v>4.7</v>
      </c>
      <c r="AL8" s="343"/>
      <c r="AO8" s="344"/>
      <c r="AP8" s="343"/>
      <c r="AS8" s="344"/>
      <c r="AW8" s="344"/>
      <c r="BA8" s="345"/>
    </row>
    <row r="9" spans="1:53" s="208" customFormat="1" x14ac:dyDescent="0.15">
      <c r="A9" s="208">
        <v>1991</v>
      </c>
      <c r="B9" s="207">
        <v>33351</v>
      </c>
      <c r="C9" s="811" t="s">
        <v>1086</v>
      </c>
      <c r="D9" s="811"/>
      <c r="E9" s="208">
        <v>253</v>
      </c>
      <c r="F9" s="208">
        <v>5</v>
      </c>
      <c r="G9" s="600">
        <v>14</v>
      </c>
      <c r="H9" s="663">
        <v>9</v>
      </c>
      <c r="I9" s="663"/>
      <c r="J9" s="602">
        <v>23</v>
      </c>
      <c r="K9" s="597">
        <f>G9/J9*100</f>
        <v>60.869565217391312</v>
      </c>
      <c r="L9" s="597">
        <f>H9/J9*100</f>
        <v>39.130434782608695</v>
      </c>
      <c r="M9" s="597">
        <f>I9/J9*100</f>
        <v>0</v>
      </c>
      <c r="N9" s="601">
        <f>K9+L9+M9</f>
        <v>100</v>
      </c>
      <c r="O9" s="596">
        <v>36.700000000000003</v>
      </c>
      <c r="P9" s="597">
        <v>20.7</v>
      </c>
      <c r="Q9" s="597"/>
      <c r="R9" s="598">
        <f t="shared" si="0"/>
        <v>57.400000000000006</v>
      </c>
      <c r="S9" s="208">
        <v>3</v>
      </c>
      <c r="T9" s="81"/>
      <c r="U9" s="207">
        <v>33351</v>
      </c>
      <c r="V9" s="82" t="s">
        <v>1070</v>
      </c>
      <c r="W9" s="208" t="s">
        <v>22</v>
      </c>
      <c r="X9" s="208" t="s">
        <v>11</v>
      </c>
      <c r="Y9" s="83">
        <v>32</v>
      </c>
      <c r="Z9" s="208" t="s">
        <v>901</v>
      </c>
      <c r="AA9" s="208" t="s">
        <v>17</v>
      </c>
      <c r="AB9" s="208" t="s">
        <v>18</v>
      </c>
      <c r="AC9" s="208">
        <v>20.7</v>
      </c>
      <c r="AD9" s="82" t="s">
        <v>1071</v>
      </c>
      <c r="AE9" s="208" t="s">
        <v>88</v>
      </c>
      <c r="AF9" s="208" t="s">
        <v>11</v>
      </c>
      <c r="AG9" s="83">
        <v>4.7</v>
      </c>
      <c r="AL9" s="82"/>
      <c r="AO9" s="83"/>
      <c r="AP9" s="82"/>
      <c r="AS9" s="83"/>
      <c r="AW9" s="83"/>
      <c r="BA9" s="84"/>
    </row>
    <row r="10" spans="1:53" s="208" customFormat="1" x14ac:dyDescent="0.15">
      <c r="A10" s="208">
        <v>1992</v>
      </c>
      <c r="C10" s="811" t="s">
        <v>1086</v>
      </c>
      <c r="D10" s="811"/>
      <c r="E10" s="208">
        <v>175</v>
      </c>
      <c r="G10" s="600">
        <v>14</v>
      </c>
      <c r="H10" s="663">
        <v>9</v>
      </c>
      <c r="I10" s="663"/>
      <c r="J10" s="602">
        <v>23</v>
      </c>
      <c r="K10" s="597">
        <f>G10/J10*100</f>
        <v>60.869565217391312</v>
      </c>
      <c r="L10" s="597">
        <f>H10/J10*100</f>
        <v>39.130434782608695</v>
      </c>
      <c r="M10" s="597">
        <f>I10/J10*100</f>
        <v>0</v>
      </c>
      <c r="N10" s="601">
        <f>K10+L10+M10</f>
        <v>100</v>
      </c>
      <c r="O10" s="596">
        <v>36.700000000000003</v>
      </c>
      <c r="P10" s="597">
        <v>20.7</v>
      </c>
      <c r="Q10" s="597"/>
      <c r="R10" s="598">
        <f t="shared" si="0"/>
        <v>57.400000000000006</v>
      </c>
      <c r="S10" s="208">
        <v>3</v>
      </c>
      <c r="T10" s="81"/>
      <c r="V10" s="82" t="s">
        <v>1070</v>
      </c>
      <c r="W10" s="208" t="s">
        <v>22</v>
      </c>
      <c r="X10" s="208" t="s">
        <v>11</v>
      </c>
      <c r="Y10" s="83">
        <v>32</v>
      </c>
      <c r="Z10" s="208" t="s">
        <v>901</v>
      </c>
      <c r="AA10" s="208" t="s">
        <v>17</v>
      </c>
      <c r="AB10" s="208" t="s">
        <v>18</v>
      </c>
      <c r="AC10" s="208">
        <v>20.7</v>
      </c>
      <c r="AD10" s="82" t="s">
        <v>1071</v>
      </c>
      <c r="AE10" s="208" t="s">
        <v>88</v>
      </c>
      <c r="AF10" s="208" t="s">
        <v>11</v>
      </c>
      <c r="AG10" s="83">
        <v>4.7</v>
      </c>
      <c r="AL10" s="82"/>
      <c r="AO10" s="83"/>
      <c r="AP10" s="82"/>
      <c r="AS10" s="83"/>
      <c r="AW10" s="83"/>
      <c r="BA10" s="84"/>
    </row>
    <row r="11" spans="1:53" s="334" customFormat="1" x14ac:dyDescent="0.15">
      <c r="A11" s="334">
        <v>1992</v>
      </c>
      <c r="B11" s="335">
        <v>33779</v>
      </c>
      <c r="C11" s="812" t="s">
        <v>897</v>
      </c>
      <c r="D11" s="812"/>
      <c r="E11" s="334">
        <v>191</v>
      </c>
      <c r="F11" s="334">
        <v>1</v>
      </c>
      <c r="G11" s="649">
        <v>17</v>
      </c>
      <c r="H11" s="664"/>
      <c r="I11" s="664"/>
      <c r="J11" s="651">
        <v>17</v>
      </c>
      <c r="K11" s="647">
        <f t="shared" ref="K11:K54" si="1">G11/J11*100</f>
        <v>100</v>
      </c>
      <c r="L11" s="647">
        <f>H11/J11*100</f>
        <v>0</v>
      </c>
      <c r="M11" s="647">
        <f t="shared" ref="M11:M54" si="2">I11/J11*100</f>
        <v>0</v>
      </c>
      <c r="N11" s="650">
        <f t="shared" ref="N11:N60" si="3">SUM(K11:M11)</f>
        <v>100</v>
      </c>
      <c r="O11" s="646">
        <v>59.3</v>
      </c>
      <c r="P11" s="647"/>
      <c r="Q11" s="647"/>
      <c r="R11" s="648">
        <f t="shared" si="0"/>
        <v>59.3</v>
      </c>
      <c r="S11" s="334">
        <v>2</v>
      </c>
      <c r="T11" s="342">
        <v>33761</v>
      </c>
      <c r="U11" s="335">
        <v>33779</v>
      </c>
      <c r="V11" s="343" t="s">
        <v>895</v>
      </c>
      <c r="W11" s="334" t="s">
        <v>307</v>
      </c>
      <c r="X11" s="334" t="s">
        <v>11</v>
      </c>
      <c r="Y11" s="344">
        <v>49.3</v>
      </c>
      <c r="Z11" s="334" t="s">
        <v>896</v>
      </c>
      <c r="AA11" s="334" t="s">
        <v>27</v>
      </c>
      <c r="AB11" s="334" t="s">
        <v>11</v>
      </c>
      <c r="AC11" s="334">
        <v>10</v>
      </c>
      <c r="AD11" s="343"/>
      <c r="AG11" s="344"/>
      <c r="AL11" s="343"/>
      <c r="AO11" s="344"/>
      <c r="AP11" s="343"/>
      <c r="AS11" s="344"/>
      <c r="AW11" s="344"/>
      <c r="BA11" s="345"/>
    </row>
    <row r="12" spans="1:53" s="334" customFormat="1" x14ac:dyDescent="0.15">
      <c r="A12" s="334">
        <v>1993</v>
      </c>
      <c r="C12" s="812" t="s">
        <v>897</v>
      </c>
      <c r="D12" s="812"/>
      <c r="E12" s="334">
        <v>11</v>
      </c>
      <c r="G12" s="649">
        <v>17</v>
      </c>
      <c r="H12" s="664"/>
      <c r="I12" s="664"/>
      <c r="J12" s="651">
        <v>17</v>
      </c>
      <c r="K12" s="647">
        <f t="shared" si="1"/>
        <v>100</v>
      </c>
      <c r="L12" s="647">
        <f t="shared" ref="L12:L54" si="4">H12/J12*100</f>
        <v>0</v>
      </c>
      <c r="M12" s="647">
        <f t="shared" si="2"/>
        <v>0</v>
      </c>
      <c r="N12" s="650">
        <f t="shared" si="3"/>
        <v>100</v>
      </c>
      <c r="O12" s="646">
        <v>59.3</v>
      </c>
      <c r="P12" s="647"/>
      <c r="Q12" s="647"/>
      <c r="R12" s="648">
        <f t="shared" si="0"/>
        <v>59.3</v>
      </c>
      <c r="S12" s="334">
        <v>2</v>
      </c>
      <c r="T12" s="357"/>
      <c r="V12" s="343" t="s">
        <v>895</v>
      </c>
      <c r="W12" s="334" t="s">
        <v>307</v>
      </c>
      <c r="X12" s="334" t="s">
        <v>11</v>
      </c>
      <c r="Y12" s="344">
        <v>49.3</v>
      </c>
      <c r="Z12" s="334" t="s">
        <v>896</v>
      </c>
      <c r="AA12" s="334" t="s">
        <v>27</v>
      </c>
      <c r="AB12" s="334" t="s">
        <v>11</v>
      </c>
      <c r="AC12" s="334">
        <v>10</v>
      </c>
      <c r="AD12" s="343"/>
      <c r="AG12" s="344"/>
      <c r="AL12" s="343"/>
      <c r="AO12" s="344"/>
      <c r="AP12" s="343"/>
      <c r="AS12" s="344"/>
      <c r="AW12" s="344"/>
      <c r="BA12" s="345"/>
    </row>
    <row r="13" spans="1:53" s="334" customFormat="1" x14ac:dyDescent="0.15">
      <c r="A13" s="334">
        <v>1993</v>
      </c>
      <c r="B13" s="440">
        <v>33981</v>
      </c>
      <c r="C13" s="812" t="s">
        <v>897</v>
      </c>
      <c r="D13" s="812"/>
      <c r="E13" s="334">
        <v>66</v>
      </c>
      <c r="F13" s="441">
        <v>0</v>
      </c>
      <c r="G13" s="649">
        <v>19</v>
      </c>
      <c r="H13" s="664"/>
      <c r="I13" s="664"/>
      <c r="J13" s="651">
        <v>19</v>
      </c>
      <c r="K13" s="647">
        <f t="shared" si="1"/>
        <v>100</v>
      </c>
      <c r="L13" s="647">
        <f t="shared" si="4"/>
        <v>0</v>
      </c>
      <c r="M13" s="647">
        <f t="shared" si="2"/>
        <v>0</v>
      </c>
      <c r="N13" s="650">
        <f t="shared" si="3"/>
        <v>100</v>
      </c>
      <c r="O13" s="646">
        <v>59.3</v>
      </c>
      <c r="P13" s="647"/>
      <c r="Q13" s="647"/>
      <c r="R13" s="648">
        <f t="shared" si="0"/>
        <v>59.3</v>
      </c>
      <c r="S13" s="334">
        <v>2</v>
      </c>
      <c r="T13" s="357"/>
      <c r="U13" s="335"/>
      <c r="V13" s="343" t="s">
        <v>895</v>
      </c>
      <c r="W13" s="334" t="s">
        <v>307</v>
      </c>
      <c r="X13" s="334" t="s">
        <v>11</v>
      </c>
      <c r="Y13" s="344">
        <v>49.3</v>
      </c>
      <c r="Z13" s="334" t="s">
        <v>896</v>
      </c>
      <c r="AA13" s="334" t="s">
        <v>27</v>
      </c>
      <c r="AB13" s="334" t="s">
        <v>11</v>
      </c>
      <c r="AC13" s="334">
        <v>10</v>
      </c>
      <c r="AD13" s="343"/>
      <c r="AG13" s="344"/>
      <c r="AL13" s="343"/>
      <c r="AO13" s="344"/>
      <c r="AP13" s="343"/>
      <c r="AS13" s="344"/>
      <c r="AW13" s="344"/>
      <c r="BA13" s="345"/>
    </row>
    <row r="14" spans="1:53" s="208" customFormat="1" x14ac:dyDescent="0.15">
      <c r="A14" s="208">
        <v>1993</v>
      </c>
      <c r="B14" s="121">
        <v>34047</v>
      </c>
      <c r="C14" s="811" t="s">
        <v>898</v>
      </c>
      <c r="D14" s="811"/>
      <c r="E14" s="208">
        <v>243</v>
      </c>
      <c r="F14" s="208">
        <v>4</v>
      </c>
      <c r="G14" s="600">
        <v>16</v>
      </c>
      <c r="H14" s="663"/>
      <c r="I14" s="663"/>
      <c r="J14" s="602">
        <v>16</v>
      </c>
      <c r="K14" s="597">
        <f t="shared" si="1"/>
        <v>100</v>
      </c>
      <c r="L14" s="597">
        <f t="shared" si="4"/>
        <v>0</v>
      </c>
      <c r="M14" s="597">
        <f t="shared" si="2"/>
        <v>0</v>
      </c>
      <c r="N14" s="601">
        <f t="shared" si="3"/>
        <v>100</v>
      </c>
      <c r="O14" s="596">
        <v>49.3</v>
      </c>
      <c r="P14" s="597"/>
      <c r="Q14" s="597"/>
      <c r="R14" s="598">
        <f t="shared" si="0"/>
        <v>49.3</v>
      </c>
      <c r="S14" s="208">
        <v>4</v>
      </c>
      <c r="T14" s="81"/>
      <c r="U14" s="121">
        <v>34047</v>
      </c>
      <c r="V14" s="82" t="s">
        <v>895</v>
      </c>
      <c r="W14" s="208" t="s">
        <v>307</v>
      </c>
      <c r="X14" s="208" t="s">
        <v>11</v>
      </c>
      <c r="Y14" s="83">
        <v>49.3</v>
      </c>
      <c r="AD14" s="82"/>
      <c r="AG14" s="83"/>
      <c r="AL14" s="82"/>
      <c r="AO14" s="83"/>
      <c r="AP14" s="82"/>
      <c r="AS14" s="83"/>
      <c r="AW14" s="83"/>
      <c r="BA14" s="84"/>
    </row>
    <row r="15" spans="1:53" s="334" customFormat="1" x14ac:dyDescent="0.15">
      <c r="A15" s="334">
        <v>1993</v>
      </c>
      <c r="B15" s="335">
        <v>34290</v>
      </c>
      <c r="C15" s="812" t="s">
        <v>899</v>
      </c>
      <c r="D15" s="812"/>
      <c r="E15" s="334">
        <f xml:space="preserve"> 365-E14-E13-E12</f>
        <v>45</v>
      </c>
      <c r="F15" s="334">
        <v>7</v>
      </c>
      <c r="G15" s="649">
        <v>19</v>
      </c>
      <c r="H15" s="664"/>
      <c r="I15" s="664"/>
      <c r="J15" s="651">
        <v>19</v>
      </c>
      <c r="K15" s="647">
        <f t="shared" si="1"/>
        <v>100</v>
      </c>
      <c r="L15" s="647">
        <f t="shared" si="4"/>
        <v>0</v>
      </c>
      <c r="M15" s="647">
        <f t="shared" si="2"/>
        <v>0</v>
      </c>
      <c r="N15" s="650">
        <f t="shared" si="3"/>
        <v>100</v>
      </c>
      <c r="O15" s="646">
        <v>59.3</v>
      </c>
      <c r="P15" s="647"/>
      <c r="Q15" s="647"/>
      <c r="R15" s="648">
        <f t="shared" si="0"/>
        <v>59.3</v>
      </c>
      <c r="S15" s="334">
        <v>2</v>
      </c>
      <c r="T15" s="357"/>
      <c r="U15" s="335">
        <v>34290</v>
      </c>
      <c r="V15" s="343" t="s">
        <v>895</v>
      </c>
      <c r="W15" s="334" t="s">
        <v>307</v>
      </c>
      <c r="X15" s="334" t="s">
        <v>11</v>
      </c>
      <c r="Y15" s="344">
        <v>49.3</v>
      </c>
      <c r="Z15" s="334" t="s">
        <v>896</v>
      </c>
      <c r="AA15" s="334" t="s">
        <v>27</v>
      </c>
      <c r="AB15" s="334" t="s">
        <v>11</v>
      </c>
      <c r="AC15" s="334">
        <v>10</v>
      </c>
      <c r="AD15" s="343"/>
      <c r="AG15" s="344"/>
      <c r="AL15" s="343"/>
      <c r="AO15" s="344"/>
      <c r="AP15" s="343"/>
      <c r="AS15" s="344"/>
      <c r="AW15" s="344"/>
      <c r="BA15" s="345"/>
    </row>
    <row r="16" spans="1:53" s="334" customFormat="1" x14ac:dyDescent="0.15">
      <c r="A16" s="334">
        <v>1994</v>
      </c>
      <c r="B16" s="335"/>
      <c r="C16" s="812" t="s">
        <v>899</v>
      </c>
      <c r="D16" s="812"/>
      <c r="E16" s="334">
        <v>74</v>
      </c>
      <c r="G16" s="649">
        <v>19</v>
      </c>
      <c r="H16" s="664"/>
      <c r="I16" s="664"/>
      <c r="J16" s="651">
        <v>19</v>
      </c>
      <c r="K16" s="647">
        <f t="shared" si="1"/>
        <v>100</v>
      </c>
      <c r="L16" s="647">
        <f t="shared" si="4"/>
        <v>0</v>
      </c>
      <c r="M16" s="647">
        <f t="shared" si="2"/>
        <v>0</v>
      </c>
      <c r="N16" s="650">
        <f t="shared" si="3"/>
        <v>100</v>
      </c>
      <c r="O16" s="646">
        <v>59.3</v>
      </c>
      <c r="P16" s="647"/>
      <c r="Q16" s="647"/>
      <c r="R16" s="648">
        <f t="shared" si="0"/>
        <v>59.3</v>
      </c>
      <c r="S16" s="334">
        <v>2</v>
      </c>
      <c r="T16" s="357"/>
      <c r="U16" s="335"/>
      <c r="V16" s="343" t="s">
        <v>895</v>
      </c>
      <c r="W16" s="334" t="s">
        <v>307</v>
      </c>
      <c r="X16" s="334" t="s">
        <v>11</v>
      </c>
      <c r="Y16" s="344">
        <v>49.3</v>
      </c>
      <c r="Z16" s="334" t="s">
        <v>896</v>
      </c>
      <c r="AA16" s="334" t="s">
        <v>27</v>
      </c>
      <c r="AB16" s="334" t="s">
        <v>11</v>
      </c>
      <c r="AC16" s="334">
        <v>10</v>
      </c>
      <c r="AD16" s="343"/>
      <c r="AG16" s="344"/>
      <c r="AL16" s="343"/>
      <c r="AO16" s="344"/>
      <c r="AP16" s="343"/>
      <c r="AS16" s="344"/>
      <c r="AW16" s="344"/>
      <c r="BA16" s="345"/>
    </row>
    <row r="17" spans="1:53" s="208" customFormat="1" x14ac:dyDescent="0.15">
      <c r="A17" s="208">
        <v>1994</v>
      </c>
      <c r="B17" s="121">
        <v>34409</v>
      </c>
      <c r="C17" s="811" t="s">
        <v>1222</v>
      </c>
      <c r="D17" s="811"/>
      <c r="E17" s="208">
        <v>271</v>
      </c>
      <c r="F17" s="208">
        <v>5</v>
      </c>
      <c r="G17" s="600">
        <v>6</v>
      </c>
      <c r="H17" s="663">
        <v>5</v>
      </c>
      <c r="I17" s="663">
        <v>7</v>
      </c>
      <c r="J17" s="602">
        <v>18</v>
      </c>
      <c r="K17" s="597">
        <f t="shared" si="1"/>
        <v>33.333333333333329</v>
      </c>
      <c r="L17" s="597">
        <f t="shared" si="4"/>
        <v>27.777777777777779</v>
      </c>
      <c r="M17" s="597">
        <f t="shared" si="2"/>
        <v>38.888888888888893</v>
      </c>
      <c r="N17" s="601">
        <f t="shared" si="3"/>
        <v>100</v>
      </c>
      <c r="O17" s="596">
        <v>13.3</v>
      </c>
      <c r="P17" s="597">
        <v>12</v>
      </c>
      <c r="Q17" s="597">
        <v>19.3</v>
      </c>
      <c r="R17" s="598">
        <f t="shared" si="0"/>
        <v>44.6</v>
      </c>
      <c r="S17" s="208">
        <v>5</v>
      </c>
      <c r="T17" s="81"/>
      <c r="U17" s="121">
        <v>34409</v>
      </c>
      <c r="V17" s="82" t="s">
        <v>900</v>
      </c>
      <c r="W17" s="208" t="s">
        <v>909</v>
      </c>
      <c r="X17" s="208" t="s">
        <v>12</v>
      </c>
      <c r="Y17" s="83">
        <v>19.3</v>
      </c>
      <c r="Z17" s="208" t="s">
        <v>901</v>
      </c>
      <c r="AA17" s="208" t="s">
        <v>17</v>
      </c>
      <c r="AB17" s="208" t="s">
        <v>18</v>
      </c>
      <c r="AC17" s="208">
        <v>12</v>
      </c>
      <c r="AD17" s="82" t="s">
        <v>1223</v>
      </c>
      <c r="AE17" s="208" t="s">
        <v>340</v>
      </c>
      <c r="AF17" s="208" t="s">
        <v>11</v>
      </c>
      <c r="AG17" s="83">
        <v>5.3</v>
      </c>
      <c r="AH17" s="208" t="s">
        <v>1072</v>
      </c>
      <c r="AI17" s="208" t="s">
        <v>107</v>
      </c>
      <c r="AJ17" s="208" t="s">
        <v>11</v>
      </c>
      <c r="AK17" s="208">
        <v>4.7</v>
      </c>
      <c r="AL17" s="82" t="s">
        <v>1224</v>
      </c>
      <c r="AM17" s="208" t="s">
        <v>340</v>
      </c>
      <c r="AN17" s="208" t="s">
        <v>11</v>
      </c>
      <c r="AO17" s="83">
        <v>3.3</v>
      </c>
      <c r="AP17" s="82"/>
      <c r="AS17" s="83"/>
      <c r="AW17" s="83"/>
      <c r="BA17" s="84"/>
    </row>
    <row r="18" spans="1:53" s="334" customFormat="1" x14ac:dyDescent="0.15">
      <c r="A18" s="334">
        <v>1994</v>
      </c>
      <c r="B18" s="335">
        <v>34680</v>
      </c>
      <c r="C18" s="812" t="s">
        <v>1225</v>
      </c>
      <c r="D18" s="812"/>
      <c r="E18" s="334">
        <f>365-E17-E16</f>
        <v>20</v>
      </c>
      <c r="F18" s="334">
        <v>1</v>
      </c>
      <c r="G18" s="649">
        <v>14</v>
      </c>
      <c r="H18" s="664"/>
      <c r="I18" s="664">
        <v>4</v>
      </c>
      <c r="J18" s="651">
        <v>18</v>
      </c>
      <c r="K18" s="647">
        <f t="shared" si="1"/>
        <v>77.777777777777786</v>
      </c>
      <c r="L18" s="647">
        <f t="shared" si="4"/>
        <v>0</v>
      </c>
      <c r="M18" s="647">
        <f t="shared" si="2"/>
        <v>22.222222222222221</v>
      </c>
      <c r="N18" s="650">
        <f t="shared" si="3"/>
        <v>100</v>
      </c>
      <c r="O18" s="646">
        <v>46.5</v>
      </c>
      <c r="P18" s="647"/>
      <c r="Q18" s="647">
        <v>8.1</v>
      </c>
      <c r="R18" s="648">
        <f t="shared" si="0"/>
        <v>54.6</v>
      </c>
      <c r="S18" s="334">
        <v>2</v>
      </c>
      <c r="T18" s="342">
        <v>34608</v>
      </c>
      <c r="U18" s="335">
        <v>34680</v>
      </c>
      <c r="V18" s="343" t="s">
        <v>895</v>
      </c>
      <c r="W18" s="334" t="s">
        <v>307</v>
      </c>
      <c r="X18" s="334" t="s">
        <v>11</v>
      </c>
      <c r="Y18" s="344">
        <v>40.5</v>
      </c>
      <c r="Z18" s="334" t="s">
        <v>905</v>
      </c>
      <c r="AA18" s="334" t="s">
        <v>318</v>
      </c>
      <c r="AB18" s="334" t="s">
        <v>12</v>
      </c>
      <c r="AC18" s="334">
        <v>8.1</v>
      </c>
      <c r="AD18" s="343" t="s">
        <v>896</v>
      </c>
      <c r="AE18" s="334" t="s">
        <v>27</v>
      </c>
      <c r="AF18" s="334" t="s">
        <v>11</v>
      </c>
      <c r="AG18" s="344">
        <v>6</v>
      </c>
      <c r="AL18" s="343"/>
      <c r="AO18" s="344"/>
      <c r="AP18" s="343"/>
      <c r="AS18" s="344"/>
      <c r="AW18" s="344"/>
      <c r="BA18" s="345"/>
    </row>
    <row r="19" spans="1:53" s="334" customFormat="1" x14ac:dyDescent="0.15">
      <c r="A19" s="334">
        <v>1995</v>
      </c>
      <c r="B19" s="335"/>
      <c r="C19" s="812" t="s">
        <v>1225</v>
      </c>
      <c r="D19" s="812"/>
      <c r="E19" s="334">
        <v>0</v>
      </c>
      <c r="G19" s="649">
        <v>14</v>
      </c>
      <c r="H19" s="664"/>
      <c r="I19" s="664">
        <v>4</v>
      </c>
      <c r="J19" s="651">
        <v>18</v>
      </c>
      <c r="K19" s="647">
        <f t="shared" si="1"/>
        <v>77.777777777777786</v>
      </c>
      <c r="L19" s="647">
        <f t="shared" si="4"/>
        <v>0</v>
      </c>
      <c r="M19" s="647">
        <f t="shared" si="2"/>
        <v>22.222222222222221</v>
      </c>
      <c r="N19" s="650">
        <f t="shared" si="3"/>
        <v>100</v>
      </c>
      <c r="O19" s="646">
        <v>46.5</v>
      </c>
      <c r="P19" s="647"/>
      <c r="Q19" s="647">
        <v>8.1</v>
      </c>
      <c r="R19" s="648">
        <f t="shared" si="0"/>
        <v>54.6</v>
      </c>
      <c r="S19" s="334">
        <v>2</v>
      </c>
      <c r="T19" s="357"/>
      <c r="V19" s="343" t="s">
        <v>895</v>
      </c>
      <c r="W19" s="334" t="s">
        <v>307</v>
      </c>
      <c r="X19" s="334" t="s">
        <v>11</v>
      </c>
      <c r="Y19" s="344">
        <v>40.5</v>
      </c>
      <c r="Z19" s="334" t="s">
        <v>905</v>
      </c>
      <c r="AA19" s="334" t="s">
        <v>318</v>
      </c>
      <c r="AB19" s="334" t="s">
        <v>12</v>
      </c>
      <c r="AC19" s="334">
        <v>8.1</v>
      </c>
      <c r="AD19" s="343" t="s">
        <v>896</v>
      </c>
      <c r="AE19" s="334" t="s">
        <v>27</v>
      </c>
      <c r="AF19" s="334" t="s">
        <v>11</v>
      </c>
      <c r="AG19" s="344">
        <v>6</v>
      </c>
      <c r="AL19" s="343"/>
      <c r="AO19" s="344"/>
      <c r="AP19" s="343"/>
      <c r="AS19" s="344"/>
      <c r="AW19" s="344"/>
      <c r="BA19" s="345"/>
    </row>
    <row r="20" spans="1:53" s="334" customFormat="1" x14ac:dyDescent="0.15">
      <c r="A20" s="334">
        <v>1995</v>
      </c>
      <c r="B20" s="335"/>
      <c r="C20" s="812" t="s">
        <v>1225</v>
      </c>
      <c r="D20" s="812"/>
      <c r="E20" s="334">
        <v>365</v>
      </c>
      <c r="G20" s="649">
        <v>14</v>
      </c>
      <c r="H20" s="664"/>
      <c r="I20" s="664">
        <v>4</v>
      </c>
      <c r="J20" s="651">
        <v>18</v>
      </c>
      <c r="K20" s="647">
        <f t="shared" si="1"/>
        <v>77.777777777777786</v>
      </c>
      <c r="L20" s="647">
        <f t="shared" si="4"/>
        <v>0</v>
      </c>
      <c r="M20" s="647">
        <f t="shared" si="2"/>
        <v>22.222222222222221</v>
      </c>
      <c r="N20" s="650">
        <f t="shared" si="3"/>
        <v>100</v>
      </c>
      <c r="O20" s="646">
        <v>46.5</v>
      </c>
      <c r="P20" s="647"/>
      <c r="Q20" s="647">
        <v>8.1</v>
      </c>
      <c r="R20" s="648">
        <f t="shared" si="0"/>
        <v>54.6</v>
      </c>
      <c r="S20" s="334">
        <v>2</v>
      </c>
      <c r="T20" s="357"/>
      <c r="V20" s="343" t="s">
        <v>895</v>
      </c>
      <c r="W20" s="334" t="s">
        <v>307</v>
      </c>
      <c r="X20" s="334" t="s">
        <v>11</v>
      </c>
      <c r="Y20" s="344">
        <v>40.5</v>
      </c>
      <c r="Z20" s="334" t="s">
        <v>905</v>
      </c>
      <c r="AA20" s="334" t="s">
        <v>318</v>
      </c>
      <c r="AB20" s="334" t="s">
        <v>12</v>
      </c>
      <c r="AC20" s="334">
        <v>8.1</v>
      </c>
      <c r="AD20" s="343" t="s">
        <v>896</v>
      </c>
      <c r="AE20" s="334" t="s">
        <v>27</v>
      </c>
      <c r="AF20" s="334" t="s">
        <v>11</v>
      </c>
      <c r="AG20" s="344">
        <v>6</v>
      </c>
      <c r="AL20" s="343"/>
      <c r="AO20" s="344"/>
      <c r="AP20" s="343"/>
      <c r="AS20" s="344"/>
      <c r="AW20" s="344"/>
      <c r="BA20" s="345"/>
    </row>
    <row r="21" spans="1:53" s="334" customFormat="1" x14ac:dyDescent="0.15">
      <c r="A21" s="334">
        <v>1996</v>
      </c>
      <c r="B21" s="335"/>
      <c r="C21" s="812" t="s">
        <v>1225</v>
      </c>
      <c r="D21" s="812"/>
      <c r="E21" s="334">
        <v>0</v>
      </c>
      <c r="G21" s="649">
        <v>14</v>
      </c>
      <c r="H21" s="664"/>
      <c r="I21" s="664">
        <v>4</v>
      </c>
      <c r="J21" s="651">
        <v>18</v>
      </c>
      <c r="K21" s="647">
        <f t="shared" si="1"/>
        <v>77.777777777777786</v>
      </c>
      <c r="L21" s="647">
        <f t="shared" si="4"/>
        <v>0</v>
      </c>
      <c r="M21" s="647">
        <f t="shared" si="2"/>
        <v>22.222222222222221</v>
      </c>
      <c r="N21" s="650">
        <f t="shared" si="3"/>
        <v>100</v>
      </c>
      <c r="O21" s="646">
        <v>46.5</v>
      </c>
      <c r="P21" s="647"/>
      <c r="Q21" s="647">
        <v>8.1</v>
      </c>
      <c r="R21" s="648">
        <f t="shared" si="0"/>
        <v>54.6</v>
      </c>
      <c r="S21" s="334">
        <v>2</v>
      </c>
      <c r="T21" s="357"/>
      <c r="V21" s="343" t="s">
        <v>895</v>
      </c>
      <c r="W21" s="334" t="s">
        <v>307</v>
      </c>
      <c r="X21" s="334" t="s">
        <v>11</v>
      </c>
      <c r="Y21" s="344">
        <v>40.5</v>
      </c>
      <c r="Z21" s="334" t="s">
        <v>905</v>
      </c>
      <c r="AA21" s="334" t="s">
        <v>318</v>
      </c>
      <c r="AB21" s="334" t="s">
        <v>12</v>
      </c>
      <c r="AC21" s="334">
        <v>8.1</v>
      </c>
      <c r="AD21" s="343" t="s">
        <v>896</v>
      </c>
      <c r="AE21" s="334" t="s">
        <v>27</v>
      </c>
      <c r="AF21" s="334" t="s">
        <v>11</v>
      </c>
      <c r="AG21" s="344">
        <v>6</v>
      </c>
      <c r="AL21" s="343"/>
      <c r="AO21" s="344"/>
      <c r="AP21" s="343"/>
      <c r="AS21" s="344"/>
      <c r="AW21" s="344"/>
      <c r="BA21" s="345"/>
    </row>
    <row r="22" spans="1:53" s="334" customFormat="1" x14ac:dyDescent="0.15">
      <c r="A22" s="334">
        <v>1996</v>
      </c>
      <c r="B22" s="335"/>
      <c r="C22" s="812" t="s">
        <v>1225</v>
      </c>
      <c r="D22" s="812"/>
      <c r="E22" s="334">
        <v>366</v>
      </c>
      <c r="G22" s="649">
        <v>14</v>
      </c>
      <c r="H22" s="664"/>
      <c r="I22" s="664">
        <v>4</v>
      </c>
      <c r="J22" s="651">
        <v>18</v>
      </c>
      <c r="K22" s="647">
        <f t="shared" si="1"/>
        <v>77.777777777777786</v>
      </c>
      <c r="L22" s="647">
        <f t="shared" si="4"/>
        <v>0</v>
      </c>
      <c r="M22" s="647">
        <f t="shared" si="2"/>
        <v>22.222222222222221</v>
      </c>
      <c r="N22" s="650">
        <f t="shared" si="3"/>
        <v>100</v>
      </c>
      <c r="O22" s="646">
        <v>46.5</v>
      </c>
      <c r="P22" s="647"/>
      <c r="Q22" s="647">
        <v>8.1</v>
      </c>
      <c r="R22" s="648">
        <f t="shared" si="0"/>
        <v>54.6</v>
      </c>
      <c r="S22" s="334">
        <v>2</v>
      </c>
      <c r="T22" s="357"/>
      <c r="V22" s="343" t="s">
        <v>895</v>
      </c>
      <c r="W22" s="334" t="s">
        <v>307</v>
      </c>
      <c r="X22" s="334" t="s">
        <v>11</v>
      </c>
      <c r="Y22" s="344">
        <v>40.5</v>
      </c>
      <c r="Z22" s="334" t="s">
        <v>905</v>
      </c>
      <c r="AA22" s="334" t="s">
        <v>318</v>
      </c>
      <c r="AB22" s="334" t="s">
        <v>12</v>
      </c>
      <c r="AC22" s="334">
        <v>8.1</v>
      </c>
      <c r="AD22" s="343" t="s">
        <v>896</v>
      </c>
      <c r="AE22" s="334" t="s">
        <v>27</v>
      </c>
      <c r="AF22" s="334" t="s">
        <v>11</v>
      </c>
      <c r="AG22" s="344">
        <v>6</v>
      </c>
      <c r="AL22" s="343"/>
      <c r="AO22" s="344"/>
      <c r="AP22" s="343"/>
      <c r="AS22" s="344"/>
      <c r="AW22" s="344"/>
      <c r="BA22" s="345"/>
    </row>
    <row r="23" spans="1:53" s="334" customFormat="1" x14ac:dyDescent="0.15">
      <c r="A23" s="334">
        <v>1997</v>
      </c>
      <c r="B23" s="335"/>
      <c r="C23" s="812" t="s">
        <v>1225</v>
      </c>
      <c r="D23" s="812"/>
      <c r="E23" s="334">
        <v>0</v>
      </c>
      <c r="G23" s="649">
        <v>14</v>
      </c>
      <c r="H23" s="664"/>
      <c r="I23" s="664">
        <v>4</v>
      </c>
      <c r="J23" s="651">
        <v>18</v>
      </c>
      <c r="K23" s="647">
        <f t="shared" si="1"/>
        <v>77.777777777777786</v>
      </c>
      <c r="L23" s="647">
        <f t="shared" si="4"/>
        <v>0</v>
      </c>
      <c r="M23" s="647">
        <f t="shared" si="2"/>
        <v>22.222222222222221</v>
      </c>
      <c r="N23" s="650">
        <f t="shared" si="3"/>
        <v>100</v>
      </c>
      <c r="O23" s="646">
        <v>46.5</v>
      </c>
      <c r="P23" s="647"/>
      <c r="Q23" s="647">
        <v>8.1</v>
      </c>
      <c r="R23" s="648">
        <f t="shared" si="0"/>
        <v>54.6</v>
      </c>
      <c r="S23" s="334">
        <v>2</v>
      </c>
      <c r="T23" s="357"/>
      <c r="V23" s="343" t="s">
        <v>895</v>
      </c>
      <c r="W23" s="334" t="s">
        <v>307</v>
      </c>
      <c r="X23" s="334" t="s">
        <v>11</v>
      </c>
      <c r="Y23" s="344">
        <v>40.5</v>
      </c>
      <c r="Z23" s="334" t="s">
        <v>905</v>
      </c>
      <c r="AA23" s="334" t="s">
        <v>318</v>
      </c>
      <c r="AB23" s="334" t="s">
        <v>12</v>
      </c>
      <c r="AC23" s="334">
        <v>8.1</v>
      </c>
      <c r="AD23" s="343" t="s">
        <v>896</v>
      </c>
      <c r="AE23" s="334" t="s">
        <v>27</v>
      </c>
      <c r="AF23" s="334" t="s">
        <v>11</v>
      </c>
      <c r="AG23" s="344">
        <v>6</v>
      </c>
      <c r="AL23" s="343"/>
      <c r="AO23" s="344"/>
      <c r="AP23" s="343"/>
      <c r="AS23" s="344"/>
      <c r="AW23" s="344"/>
      <c r="BA23" s="345"/>
    </row>
    <row r="24" spans="1:53" s="334" customFormat="1" x14ac:dyDescent="0.15">
      <c r="A24" s="334">
        <v>1997</v>
      </c>
      <c r="B24" s="335"/>
      <c r="C24" s="812" t="s">
        <v>1225</v>
      </c>
      <c r="D24" s="812"/>
      <c r="E24" s="334">
        <v>365</v>
      </c>
      <c r="G24" s="649">
        <v>14</v>
      </c>
      <c r="H24" s="664"/>
      <c r="I24" s="664">
        <v>4</v>
      </c>
      <c r="J24" s="651">
        <v>18</v>
      </c>
      <c r="K24" s="647">
        <f t="shared" si="1"/>
        <v>77.777777777777786</v>
      </c>
      <c r="L24" s="647">
        <f t="shared" si="4"/>
        <v>0</v>
      </c>
      <c r="M24" s="647">
        <f t="shared" si="2"/>
        <v>22.222222222222221</v>
      </c>
      <c r="N24" s="650">
        <f t="shared" si="3"/>
        <v>100</v>
      </c>
      <c r="O24" s="646">
        <v>46.5</v>
      </c>
      <c r="P24" s="647"/>
      <c r="Q24" s="647">
        <v>8.1</v>
      </c>
      <c r="R24" s="648">
        <f t="shared" si="0"/>
        <v>54.6</v>
      </c>
      <c r="S24" s="334">
        <v>2</v>
      </c>
      <c r="T24" s="357"/>
      <c r="V24" s="343" t="s">
        <v>895</v>
      </c>
      <c r="W24" s="334" t="s">
        <v>307</v>
      </c>
      <c r="X24" s="334" t="s">
        <v>11</v>
      </c>
      <c r="Y24" s="344">
        <v>40.5</v>
      </c>
      <c r="Z24" s="334" t="s">
        <v>905</v>
      </c>
      <c r="AA24" s="334" t="s">
        <v>318</v>
      </c>
      <c r="AB24" s="334" t="s">
        <v>12</v>
      </c>
      <c r="AC24" s="334">
        <v>8.1</v>
      </c>
      <c r="AD24" s="343" t="s">
        <v>896</v>
      </c>
      <c r="AE24" s="334" t="s">
        <v>27</v>
      </c>
      <c r="AF24" s="334" t="s">
        <v>11</v>
      </c>
      <c r="AG24" s="344">
        <v>6</v>
      </c>
      <c r="AL24" s="343"/>
      <c r="AO24" s="344"/>
      <c r="AP24" s="343"/>
      <c r="AS24" s="344"/>
      <c r="AW24" s="344"/>
      <c r="BA24" s="345"/>
    </row>
    <row r="25" spans="1:53" s="334" customFormat="1" x14ac:dyDescent="0.15">
      <c r="A25" s="334">
        <v>1998</v>
      </c>
      <c r="B25" s="335"/>
      <c r="C25" s="812" t="s">
        <v>1225</v>
      </c>
      <c r="D25" s="812"/>
      <c r="E25" s="334">
        <v>57</v>
      </c>
      <c r="G25" s="649">
        <v>14</v>
      </c>
      <c r="H25" s="664"/>
      <c r="I25" s="664">
        <v>4</v>
      </c>
      <c r="J25" s="651">
        <v>18</v>
      </c>
      <c r="K25" s="647">
        <f t="shared" si="1"/>
        <v>77.777777777777786</v>
      </c>
      <c r="L25" s="647">
        <f t="shared" si="4"/>
        <v>0</v>
      </c>
      <c r="M25" s="647">
        <f t="shared" si="2"/>
        <v>22.222222222222221</v>
      </c>
      <c r="N25" s="650">
        <f t="shared" si="3"/>
        <v>100</v>
      </c>
      <c r="O25" s="646">
        <v>46.5</v>
      </c>
      <c r="P25" s="647"/>
      <c r="Q25" s="647">
        <v>8.1</v>
      </c>
      <c r="R25" s="648">
        <f t="shared" si="0"/>
        <v>54.6</v>
      </c>
      <c r="S25" s="334">
        <v>2</v>
      </c>
      <c r="T25" s="357"/>
      <c r="V25" s="343" t="s">
        <v>895</v>
      </c>
      <c r="W25" s="334" t="s">
        <v>307</v>
      </c>
      <c r="X25" s="334" t="s">
        <v>11</v>
      </c>
      <c r="Y25" s="344">
        <v>40.5</v>
      </c>
      <c r="Z25" s="334" t="s">
        <v>905</v>
      </c>
      <c r="AA25" s="334" t="s">
        <v>318</v>
      </c>
      <c r="AB25" s="334" t="s">
        <v>12</v>
      </c>
      <c r="AC25" s="334">
        <v>8.1</v>
      </c>
      <c r="AD25" s="343" t="s">
        <v>896</v>
      </c>
      <c r="AE25" s="334" t="s">
        <v>27</v>
      </c>
      <c r="AF25" s="334" t="s">
        <v>11</v>
      </c>
      <c r="AG25" s="344">
        <v>6</v>
      </c>
      <c r="AL25" s="343"/>
      <c r="AO25" s="344"/>
      <c r="AP25" s="343"/>
      <c r="AS25" s="344"/>
      <c r="AW25" s="344"/>
      <c r="BA25" s="345"/>
    </row>
    <row r="26" spans="1:53" s="334" customFormat="1" x14ac:dyDescent="0.15">
      <c r="A26" s="334">
        <v>1998</v>
      </c>
      <c r="B26" s="440">
        <v>35853</v>
      </c>
      <c r="C26" s="812" t="s">
        <v>1225</v>
      </c>
      <c r="D26" s="812"/>
      <c r="E26" s="334">
        <v>221</v>
      </c>
      <c r="F26" s="441">
        <v>0</v>
      </c>
      <c r="G26" s="649">
        <v>13</v>
      </c>
      <c r="H26" s="664"/>
      <c r="I26" s="664">
        <v>4</v>
      </c>
      <c r="J26" s="651">
        <v>18</v>
      </c>
      <c r="K26" s="647">
        <f>G26/J26*100</f>
        <v>72.222222222222214</v>
      </c>
      <c r="L26" s="647">
        <f>H26/J26*100</f>
        <v>0</v>
      </c>
      <c r="M26" s="647">
        <f>I26/J26*100</f>
        <v>22.222222222222221</v>
      </c>
      <c r="N26" s="650">
        <f>SUM(K26:M26)</f>
        <v>94.444444444444429</v>
      </c>
      <c r="O26" s="646">
        <v>46.5</v>
      </c>
      <c r="P26" s="647"/>
      <c r="Q26" s="647">
        <v>8.1</v>
      </c>
      <c r="R26" s="648">
        <f>SUM(O26:Q26)</f>
        <v>54.6</v>
      </c>
      <c r="S26" s="334">
        <v>2</v>
      </c>
      <c r="T26" s="357"/>
      <c r="V26" s="343" t="s">
        <v>895</v>
      </c>
      <c r="W26" s="334" t="s">
        <v>307</v>
      </c>
      <c r="X26" s="334" t="s">
        <v>11</v>
      </c>
      <c r="Y26" s="344">
        <v>40.5</v>
      </c>
      <c r="Z26" s="334" t="s">
        <v>905</v>
      </c>
      <c r="AA26" s="334" t="s">
        <v>318</v>
      </c>
      <c r="AB26" s="334" t="s">
        <v>12</v>
      </c>
      <c r="AC26" s="334">
        <v>8.1</v>
      </c>
      <c r="AD26" s="343" t="s">
        <v>896</v>
      </c>
      <c r="AE26" s="334" t="s">
        <v>27</v>
      </c>
      <c r="AF26" s="334" t="s">
        <v>11</v>
      </c>
      <c r="AG26" s="344">
        <v>6</v>
      </c>
      <c r="AL26" s="343"/>
      <c r="AO26" s="344"/>
      <c r="AP26" s="343"/>
      <c r="AS26" s="344"/>
      <c r="AW26" s="344"/>
      <c r="BA26" s="345"/>
    </row>
    <row r="27" spans="1:53" s="334" customFormat="1" x14ac:dyDescent="0.15">
      <c r="A27" s="334">
        <v>1998</v>
      </c>
      <c r="B27" s="440">
        <v>36074</v>
      </c>
      <c r="C27" s="812" t="s">
        <v>1225</v>
      </c>
      <c r="D27" s="812"/>
      <c r="E27" s="334">
        <v>55</v>
      </c>
      <c r="F27" s="441">
        <v>0</v>
      </c>
      <c r="G27" s="649">
        <v>12</v>
      </c>
      <c r="H27" s="664"/>
      <c r="I27" s="664">
        <v>5</v>
      </c>
      <c r="J27" s="651">
        <v>18</v>
      </c>
      <c r="K27" s="647">
        <f t="shared" si="1"/>
        <v>66.666666666666657</v>
      </c>
      <c r="L27" s="647">
        <f t="shared" si="4"/>
        <v>0</v>
      </c>
      <c r="M27" s="647">
        <f t="shared" si="2"/>
        <v>27.777777777777779</v>
      </c>
      <c r="N27" s="650">
        <f t="shared" si="3"/>
        <v>94.444444444444429</v>
      </c>
      <c r="O27" s="646">
        <v>46.5</v>
      </c>
      <c r="P27" s="647"/>
      <c r="Q27" s="647">
        <v>8.1</v>
      </c>
      <c r="R27" s="648">
        <f t="shared" si="0"/>
        <v>54.6</v>
      </c>
      <c r="S27" s="334">
        <v>2</v>
      </c>
      <c r="T27" s="357"/>
      <c r="V27" s="343" t="s">
        <v>895</v>
      </c>
      <c r="W27" s="334" t="s">
        <v>307</v>
      </c>
      <c r="X27" s="334" t="s">
        <v>11</v>
      </c>
      <c r="Y27" s="344">
        <v>40.5</v>
      </c>
      <c r="Z27" s="334" t="s">
        <v>905</v>
      </c>
      <c r="AA27" s="334" t="s">
        <v>318</v>
      </c>
      <c r="AB27" s="334" t="s">
        <v>12</v>
      </c>
      <c r="AC27" s="334">
        <v>8.1</v>
      </c>
      <c r="AD27" s="343" t="s">
        <v>896</v>
      </c>
      <c r="AE27" s="334" t="s">
        <v>27</v>
      </c>
      <c r="AF27" s="334" t="s">
        <v>11</v>
      </c>
      <c r="AG27" s="344">
        <v>6</v>
      </c>
      <c r="AL27" s="343"/>
      <c r="AO27" s="344"/>
      <c r="AP27" s="343"/>
      <c r="AS27" s="344"/>
      <c r="AW27" s="344"/>
      <c r="BA27" s="345"/>
    </row>
    <row r="28" spans="1:53" s="208" customFormat="1" x14ac:dyDescent="0.15">
      <c r="A28" s="208">
        <v>1998</v>
      </c>
      <c r="B28" s="121">
        <v>36129</v>
      </c>
      <c r="C28" s="811" t="s">
        <v>904</v>
      </c>
      <c r="D28" s="811"/>
      <c r="E28" s="208">
        <v>32</v>
      </c>
      <c r="F28" s="208">
        <v>1</v>
      </c>
      <c r="G28" s="600">
        <v>11</v>
      </c>
      <c r="H28" s="663">
        <v>3</v>
      </c>
      <c r="I28" s="663">
        <v>6</v>
      </c>
      <c r="J28" s="602">
        <v>20</v>
      </c>
      <c r="K28" s="597">
        <f t="shared" si="1"/>
        <v>55.000000000000007</v>
      </c>
      <c r="L28" s="597">
        <f t="shared" si="4"/>
        <v>15</v>
      </c>
      <c r="M28" s="597">
        <f t="shared" si="2"/>
        <v>30</v>
      </c>
      <c r="N28" s="601">
        <f t="shared" si="3"/>
        <v>100</v>
      </c>
      <c r="O28" s="596">
        <v>36.700000000000003</v>
      </c>
      <c r="P28" s="597">
        <v>10</v>
      </c>
      <c r="Q28" s="597">
        <v>15.3</v>
      </c>
      <c r="R28" s="598">
        <f t="shared" si="0"/>
        <v>62</v>
      </c>
      <c r="S28" s="208">
        <v>3</v>
      </c>
      <c r="T28" s="95">
        <v>36069</v>
      </c>
      <c r="U28" s="121">
        <v>36129</v>
      </c>
      <c r="V28" s="82" t="s">
        <v>902</v>
      </c>
      <c r="W28" s="208" t="s">
        <v>319</v>
      </c>
      <c r="X28" s="208" t="s">
        <v>11</v>
      </c>
      <c r="Y28" s="83">
        <v>28</v>
      </c>
      <c r="Z28" s="208" t="s">
        <v>900</v>
      </c>
      <c r="AA28" s="208" t="s">
        <v>116</v>
      </c>
      <c r="AB28" s="208" t="s">
        <v>12</v>
      </c>
      <c r="AC28" s="208">
        <v>15.3</v>
      </c>
      <c r="AD28" s="82" t="s">
        <v>910</v>
      </c>
      <c r="AE28" s="208" t="s">
        <v>94</v>
      </c>
      <c r="AF28" s="208" t="s">
        <v>18</v>
      </c>
      <c r="AG28" s="83">
        <v>10</v>
      </c>
      <c r="AH28" s="208" t="s">
        <v>906</v>
      </c>
      <c r="AI28" s="208" t="s">
        <v>911</v>
      </c>
      <c r="AJ28" s="208" t="s">
        <v>11</v>
      </c>
      <c r="AK28" s="208">
        <v>8.6999999999999993</v>
      </c>
      <c r="AL28" s="82"/>
      <c r="AO28" s="83"/>
      <c r="AP28" s="82"/>
      <c r="AS28" s="83"/>
      <c r="AW28" s="83"/>
      <c r="BA28" s="84"/>
    </row>
    <row r="29" spans="1:53" s="208" customFormat="1" x14ac:dyDescent="0.15">
      <c r="A29" s="208">
        <v>1999</v>
      </c>
      <c r="B29" s="121"/>
      <c r="C29" s="811" t="s">
        <v>904</v>
      </c>
      <c r="D29" s="811"/>
      <c r="E29" s="208">
        <v>0</v>
      </c>
      <c r="G29" s="600">
        <v>11</v>
      </c>
      <c r="H29" s="663">
        <v>3</v>
      </c>
      <c r="I29" s="663">
        <v>6</v>
      </c>
      <c r="J29" s="602">
        <v>20</v>
      </c>
      <c r="K29" s="597">
        <f t="shared" si="1"/>
        <v>55.000000000000007</v>
      </c>
      <c r="L29" s="597">
        <f t="shared" si="4"/>
        <v>15</v>
      </c>
      <c r="M29" s="597">
        <f t="shared" si="2"/>
        <v>30</v>
      </c>
      <c r="N29" s="601">
        <f t="shared" si="3"/>
        <v>100</v>
      </c>
      <c r="O29" s="596">
        <v>36.700000000000003</v>
      </c>
      <c r="P29" s="597">
        <v>10</v>
      </c>
      <c r="Q29" s="597">
        <v>15.3</v>
      </c>
      <c r="R29" s="598">
        <f t="shared" si="0"/>
        <v>62</v>
      </c>
      <c r="S29" s="208">
        <v>3</v>
      </c>
      <c r="T29" s="81"/>
      <c r="V29" s="82" t="s">
        <v>902</v>
      </c>
      <c r="W29" s="208" t="s">
        <v>319</v>
      </c>
      <c r="X29" s="208" t="s">
        <v>11</v>
      </c>
      <c r="Y29" s="83">
        <v>28</v>
      </c>
      <c r="Z29" s="208" t="s">
        <v>900</v>
      </c>
      <c r="AA29" s="208" t="s">
        <v>116</v>
      </c>
      <c r="AB29" s="208" t="s">
        <v>12</v>
      </c>
      <c r="AC29" s="208">
        <v>15.3</v>
      </c>
      <c r="AD29" s="82" t="s">
        <v>910</v>
      </c>
      <c r="AE29" s="208" t="s">
        <v>94</v>
      </c>
      <c r="AF29" s="208" t="s">
        <v>18</v>
      </c>
      <c r="AG29" s="83">
        <v>10</v>
      </c>
      <c r="AH29" s="208" t="s">
        <v>906</v>
      </c>
      <c r="AI29" s="208" t="s">
        <v>911</v>
      </c>
      <c r="AJ29" s="208" t="s">
        <v>11</v>
      </c>
      <c r="AK29" s="208">
        <v>8.6999999999999993</v>
      </c>
      <c r="AL29" s="82"/>
      <c r="AO29" s="83"/>
      <c r="AP29" s="82"/>
      <c r="AS29" s="83"/>
      <c r="AW29" s="83"/>
      <c r="BA29" s="84"/>
    </row>
    <row r="30" spans="1:53" s="208" customFormat="1" x14ac:dyDescent="0.15">
      <c r="A30" s="208">
        <v>1999</v>
      </c>
      <c r="B30" s="121"/>
      <c r="C30" s="811" t="s">
        <v>904</v>
      </c>
      <c r="D30" s="811"/>
      <c r="E30" s="208">
        <v>365</v>
      </c>
      <c r="G30" s="600">
        <v>11</v>
      </c>
      <c r="H30" s="663">
        <v>3</v>
      </c>
      <c r="I30" s="663">
        <v>6</v>
      </c>
      <c r="J30" s="602">
        <v>20</v>
      </c>
      <c r="K30" s="597">
        <f t="shared" si="1"/>
        <v>55.000000000000007</v>
      </c>
      <c r="L30" s="597">
        <f t="shared" si="4"/>
        <v>15</v>
      </c>
      <c r="M30" s="597">
        <f t="shared" si="2"/>
        <v>30</v>
      </c>
      <c r="N30" s="601">
        <f t="shared" si="3"/>
        <v>100</v>
      </c>
      <c r="O30" s="596">
        <v>36.700000000000003</v>
      </c>
      <c r="P30" s="597">
        <v>10</v>
      </c>
      <c r="Q30" s="597">
        <v>15.3</v>
      </c>
      <c r="R30" s="598">
        <f t="shared" si="0"/>
        <v>62</v>
      </c>
      <c r="S30" s="208">
        <v>3</v>
      </c>
      <c r="T30" s="81"/>
      <c r="V30" s="82" t="s">
        <v>902</v>
      </c>
      <c r="W30" s="208" t="s">
        <v>319</v>
      </c>
      <c r="X30" s="208" t="s">
        <v>11</v>
      </c>
      <c r="Y30" s="83">
        <v>28</v>
      </c>
      <c r="Z30" s="208" t="s">
        <v>900</v>
      </c>
      <c r="AA30" s="208" t="s">
        <v>116</v>
      </c>
      <c r="AB30" s="208" t="s">
        <v>12</v>
      </c>
      <c r="AC30" s="208">
        <v>15.3</v>
      </c>
      <c r="AD30" s="82" t="s">
        <v>910</v>
      </c>
      <c r="AE30" s="208" t="s">
        <v>94</v>
      </c>
      <c r="AF30" s="208" t="s">
        <v>18</v>
      </c>
      <c r="AG30" s="83">
        <v>10</v>
      </c>
      <c r="AH30" s="208" t="s">
        <v>906</v>
      </c>
      <c r="AI30" s="208" t="s">
        <v>911</v>
      </c>
      <c r="AJ30" s="208" t="s">
        <v>11</v>
      </c>
      <c r="AK30" s="208">
        <v>8.6999999999999993</v>
      </c>
      <c r="AL30" s="82"/>
      <c r="AO30" s="83"/>
      <c r="AP30" s="82"/>
      <c r="AS30" s="83"/>
      <c r="AW30" s="83"/>
      <c r="BA30" s="84"/>
    </row>
    <row r="31" spans="1:53" s="208" customFormat="1" x14ac:dyDescent="0.15">
      <c r="A31" s="208">
        <v>2000</v>
      </c>
      <c r="B31" s="121"/>
      <c r="C31" s="811" t="s">
        <v>904</v>
      </c>
      <c r="D31" s="811"/>
      <c r="E31" s="208">
        <v>0</v>
      </c>
      <c r="G31" s="600">
        <v>11</v>
      </c>
      <c r="H31" s="663">
        <v>3</v>
      </c>
      <c r="I31" s="663">
        <v>6</v>
      </c>
      <c r="J31" s="602">
        <v>20</v>
      </c>
      <c r="K31" s="597">
        <f t="shared" si="1"/>
        <v>55.000000000000007</v>
      </c>
      <c r="L31" s="597">
        <f t="shared" si="4"/>
        <v>15</v>
      </c>
      <c r="M31" s="597">
        <f t="shared" si="2"/>
        <v>30</v>
      </c>
      <c r="N31" s="601">
        <f t="shared" si="3"/>
        <v>100</v>
      </c>
      <c r="O31" s="596">
        <v>36.700000000000003</v>
      </c>
      <c r="P31" s="597">
        <v>10</v>
      </c>
      <c r="Q31" s="597">
        <v>15.3</v>
      </c>
      <c r="R31" s="598">
        <f t="shared" si="0"/>
        <v>62</v>
      </c>
      <c r="S31" s="208">
        <v>3</v>
      </c>
      <c r="T31" s="81"/>
      <c r="V31" s="82" t="s">
        <v>902</v>
      </c>
      <c r="W31" s="208" t="s">
        <v>319</v>
      </c>
      <c r="X31" s="208" t="s">
        <v>11</v>
      </c>
      <c r="Y31" s="83">
        <v>28</v>
      </c>
      <c r="Z31" s="208" t="s">
        <v>900</v>
      </c>
      <c r="AA31" s="208" t="s">
        <v>116</v>
      </c>
      <c r="AB31" s="208" t="s">
        <v>12</v>
      </c>
      <c r="AC31" s="208">
        <v>15.3</v>
      </c>
      <c r="AD31" s="82" t="s">
        <v>910</v>
      </c>
      <c r="AE31" s="208" t="s">
        <v>94</v>
      </c>
      <c r="AF31" s="208" t="s">
        <v>18</v>
      </c>
      <c r="AG31" s="83">
        <v>10</v>
      </c>
      <c r="AH31" s="208" t="s">
        <v>906</v>
      </c>
      <c r="AI31" s="208" t="s">
        <v>911</v>
      </c>
      <c r="AJ31" s="208" t="s">
        <v>11</v>
      </c>
      <c r="AK31" s="208">
        <v>8.6999999999999993</v>
      </c>
      <c r="AL31" s="82"/>
      <c r="AO31" s="83"/>
      <c r="AP31" s="82"/>
      <c r="AS31" s="83"/>
      <c r="AW31" s="83"/>
      <c r="BA31" s="84"/>
    </row>
    <row r="32" spans="1:53" s="208" customFormat="1" x14ac:dyDescent="0.15">
      <c r="A32" s="208">
        <v>2000</v>
      </c>
      <c r="B32" s="121"/>
      <c r="C32" s="811" t="s">
        <v>904</v>
      </c>
      <c r="D32" s="811"/>
      <c r="E32" s="208">
        <v>366</v>
      </c>
      <c r="G32" s="600">
        <v>11</v>
      </c>
      <c r="H32" s="663">
        <v>3</v>
      </c>
      <c r="I32" s="663">
        <v>6</v>
      </c>
      <c r="J32" s="602">
        <v>20</v>
      </c>
      <c r="K32" s="597">
        <f t="shared" si="1"/>
        <v>55.000000000000007</v>
      </c>
      <c r="L32" s="597">
        <f t="shared" si="4"/>
        <v>15</v>
      </c>
      <c r="M32" s="597">
        <f t="shared" si="2"/>
        <v>30</v>
      </c>
      <c r="N32" s="601">
        <f t="shared" si="3"/>
        <v>100</v>
      </c>
      <c r="O32" s="596">
        <v>36.700000000000003</v>
      </c>
      <c r="P32" s="597">
        <v>10</v>
      </c>
      <c r="Q32" s="597">
        <v>15.3</v>
      </c>
      <c r="R32" s="598">
        <f t="shared" si="0"/>
        <v>62</v>
      </c>
      <c r="S32" s="208">
        <v>3</v>
      </c>
      <c r="T32" s="81"/>
      <c r="V32" s="82" t="s">
        <v>902</v>
      </c>
      <c r="W32" s="208" t="s">
        <v>319</v>
      </c>
      <c r="X32" s="208" t="s">
        <v>11</v>
      </c>
      <c r="Y32" s="83">
        <v>28</v>
      </c>
      <c r="Z32" s="208" t="s">
        <v>900</v>
      </c>
      <c r="AA32" s="208" t="s">
        <v>116</v>
      </c>
      <c r="AB32" s="208" t="s">
        <v>12</v>
      </c>
      <c r="AC32" s="208">
        <v>15.3</v>
      </c>
      <c r="AD32" s="82" t="s">
        <v>910</v>
      </c>
      <c r="AE32" s="208" t="s">
        <v>94</v>
      </c>
      <c r="AF32" s="208" t="s">
        <v>18</v>
      </c>
      <c r="AG32" s="83">
        <v>10</v>
      </c>
      <c r="AH32" s="208" t="s">
        <v>906</v>
      </c>
      <c r="AI32" s="208" t="s">
        <v>911</v>
      </c>
      <c r="AJ32" s="208" t="s">
        <v>11</v>
      </c>
      <c r="AK32" s="208">
        <v>8.6999999999999993</v>
      </c>
      <c r="AL32" s="82"/>
      <c r="AO32" s="83"/>
      <c r="AP32" s="82"/>
      <c r="AS32" s="83"/>
      <c r="AW32" s="83"/>
      <c r="BA32" s="84"/>
    </row>
    <row r="33" spans="1:53" s="208" customFormat="1" x14ac:dyDescent="0.15">
      <c r="A33" s="208">
        <v>2001</v>
      </c>
      <c r="B33" s="121"/>
      <c r="C33" s="811" t="s">
        <v>904</v>
      </c>
      <c r="D33" s="811"/>
      <c r="E33" s="208">
        <v>0</v>
      </c>
      <c r="G33" s="600">
        <v>11</v>
      </c>
      <c r="H33" s="663">
        <v>3</v>
      </c>
      <c r="I33" s="663">
        <v>6</v>
      </c>
      <c r="J33" s="602">
        <v>20</v>
      </c>
      <c r="K33" s="597">
        <f t="shared" si="1"/>
        <v>55.000000000000007</v>
      </c>
      <c r="L33" s="597">
        <f t="shared" si="4"/>
        <v>15</v>
      </c>
      <c r="M33" s="597">
        <f t="shared" si="2"/>
        <v>30</v>
      </c>
      <c r="N33" s="601">
        <f t="shared" si="3"/>
        <v>100</v>
      </c>
      <c r="O33" s="596">
        <v>36.700000000000003</v>
      </c>
      <c r="P33" s="597">
        <v>10</v>
      </c>
      <c r="Q33" s="597">
        <v>15.3</v>
      </c>
      <c r="R33" s="598">
        <f t="shared" si="0"/>
        <v>62</v>
      </c>
      <c r="S33" s="208">
        <v>3</v>
      </c>
      <c r="T33" s="81"/>
      <c r="V33" s="82" t="s">
        <v>902</v>
      </c>
      <c r="W33" s="208" t="s">
        <v>319</v>
      </c>
      <c r="X33" s="208" t="s">
        <v>11</v>
      </c>
      <c r="Y33" s="83">
        <v>28</v>
      </c>
      <c r="Z33" s="208" t="s">
        <v>900</v>
      </c>
      <c r="AA33" s="208" t="s">
        <v>116</v>
      </c>
      <c r="AB33" s="208" t="s">
        <v>12</v>
      </c>
      <c r="AC33" s="208">
        <v>15.3</v>
      </c>
      <c r="AD33" s="82" t="s">
        <v>910</v>
      </c>
      <c r="AE33" s="208" t="s">
        <v>94</v>
      </c>
      <c r="AF33" s="208" t="s">
        <v>18</v>
      </c>
      <c r="AG33" s="83">
        <v>10</v>
      </c>
      <c r="AH33" s="208" t="s">
        <v>906</v>
      </c>
      <c r="AI33" s="208" t="s">
        <v>911</v>
      </c>
      <c r="AJ33" s="208" t="s">
        <v>11</v>
      </c>
      <c r="AK33" s="208">
        <v>8.6999999999999993</v>
      </c>
      <c r="AL33" s="82"/>
      <c r="AO33" s="83"/>
      <c r="AP33" s="82"/>
      <c r="AS33" s="83"/>
      <c r="AW33" s="83"/>
      <c r="BA33" s="84"/>
    </row>
    <row r="34" spans="1:53" s="208" customFormat="1" x14ac:dyDescent="0.15">
      <c r="A34" s="208">
        <v>2001</v>
      </c>
      <c r="B34" s="121"/>
      <c r="C34" s="811" t="s">
        <v>904</v>
      </c>
      <c r="D34" s="811"/>
      <c r="E34" s="208">
        <v>365</v>
      </c>
      <c r="G34" s="600">
        <v>11</v>
      </c>
      <c r="H34" s="663">
        <v>3</v>
      </c>
      <c r="I34" s="663">
        <v>6</v>
      </c>
      <c r="J34" s="602">
        <v>20</v>
      </c>
      <c r="K34" s="597">
        <f t="shared" si="1"/>
        <v>55.000000000000007</v>
      </c>
      <c r="L34" s="597">
        <f t="shared" si="4"/>
        <v>15</v>
      </c>
      <c r="M34" s="597">
        <f t="shared" si="2"/>
        <v>30</v>
      </c>
      <c r="N34" s="601">
        <f t="shared" si="3"/>
        <v>100</v>
      </c>
      <c r="O34" s="596">
        <v>36.700000000000003</v>
      </c>
      <c r="P34" s="597">
        <v>10</v>
      </c>
      <c r="Q34" s="597">
        <v>15.3</v>
      </c>
      <c r="R34" s="598">
        <f t="shared" si="0"/>
        <v>62</v>
      </c>
      <c r="S34" s="208">
        <v>3</v>
      </c>
      <c r="T34" s="81"/>
      <c r="V34" s="82" t="s">
        <v>902</v>
      </c>
      <c r="W34" s="208" t="s">
        <v>319</v>
      </c>
      <c r="X34" s="208" t="s">
        <v>11</v>
      </c>
      <c r="Y34" s="83">
        <v>28</v>
      </c>
      <c r="Z34" s="208" t="s">
        <v>900</v>
      </c>
      <c r="AA34" s="208" t="s">
        <v>116</v>
      </c>
      <c r="AB34" s="208" t="s">
        <v>12</v>
      </c>
      <c r="AC34" s="208">
        <v>15.3</v>
      </c>
      <c r="AD34" s="82" t="s">
        <v>910</v>
      </c>
      <c r="AE34" s="208" t="s">
        <v>94</v>
      </c>
      <c r="AF34" s="208" t="s">
        <v>18</v>
      </c>
      <c r="AG34" s="83">
        <v>10</v>
      </c>
      <c r="AH34" s="208" t="s">
        <v>906</v>
      </c>
      <c r="AI34" s="208" t="s">
        <v>911</v>
      </c>
      <c r="AJ34" s="208" t="s">
        <v>11</v>
      </c>
      <c r="AK34" s="208">
        <v>8.6999999999999993</v>
      </c>
      <c r="AL34" s="82"/>
      <c r="AO34" s="83"/>
      <c r="AP34" s="82"/>
      <c r="AS34" s="83"/>
      <c r="AW34" s="83"/>
      <c r="BA34" s="84"/>
    </row>
    <row r="35" spans="1:53" s="208" customFormat="1" x14ac:dyDescent="0.15">
      <c r="A35" s="208">
        <v>2002</v>
      </c>
      <c r="B35" s="121"/>
      <c r="C35" s="811" t="s">
        <v>904</v>
      </c>
      <c r="D35" s="811"/>
      <c r="E35" s="208">
        <v>319</v>
      </c>
      <c r="G35" s="600">
        <v>11</v>
      </c>
      <c r="H35" s="663">
        <v>3</v>
      </c>
      <c r="I35" s="663">
        <v>6</v>
      </c>
      <c r="J35" s="602">
        <v>20</v>
      </c>
      <c r="K35" s="597">
        <f t="shared" si="1"/>
        <v>55.000000000000007</v>
      </c>
      <c r="L35" s="597">
        <f t="shared" si="4"/>
        <v>15</v>
      </c>
      <c r="M35" s="597">
        <f t="shared" si="2"/>
        <v>30</v>
      </c>
      <c r="N35" s="601">
        <f t="shared" si="3"/>
        <v>100</v>
      </c>
      <c r="O35" s="596">
        <v>36.700000000000003</v>
      </c>
      <c r="P35" s="597">
        <v>10</v>
      </c>
      <c r="Q35" s="597">
        <v>15.3</v>
      </c>
      <c r="R35" s="598">
        <f t="shared" si="0"/>
        <v>62</v>
      </c>
      <c r="S35" s="208">
        <v>3</v>
      </c>
      <c r="T35" s="81"/>
      <c r="V35" s="82" t="s">
        <v>902</v>
      </c>
      <c r="W35" s="208" t="s">
        <v>319</v>
      </c>
      <c r="X35" s="208" t="s">
        <v>11</v>
      </c>
      <c r="Y35" s="83">
        <v>28</v>
      </c>
      <c r="Z35" s="208" t="s">
        <v>900</v>
      </c>
      <c r="AA35" s="208" t="s">
        <v>116</v>
      </c>
      <c r="AB35" s="208" t="s">
        <v>12</v>
      </c>
      <c r="AC35" s="208">
        <v>15.3</v>
      </c>
      <c r="AD35" s="82" t="s">
        <v>910</v>
      </c>
      <c r="AE35" s="208" t="s">
        <v>94</v>
      </c>
      <c r="AF35" s="208" t="s">
        <v>18</v>
      </c>
      <c r="AG35" s="83">
        <v>10</v>
      </c>
      <c r="AH35" s="208" t="s">
        <v>906</v>
      </c>
      <c r="AI35" s="208" t="s">
        <v>911</v>
      </c>
      <c r="AJ35" s="208" t="s">
        <v>11</v>
      </c>
      <c r="AK35" s="208">
        <v>8.6999999999999993</v>
      </c>
      <c r="AL35" s="82"/>
      <c r="AO35" s="83"/>
      <c r="AP35" s="82"/>
      <c r="AS35" s="83"/>
      <c r="AW35" s="83"/>
      <c r="BA35" s="84"/>
    </row>
    <row r="36" spans="1:53" s="334" customFormat="1" x14ac:dyDescent="0.15">
      <c r="A36" s="334">
        <v>2002</v>
      </c>
      <c r="B36" s="335">
        <v>37576</v>
      </c>
      <c r="C36" s="812" t="s">
        <v>1226</v>
      </c>
      <c r="D36" s="812"/>
      <c r="E36" s="334">
        <f>365-E35</f>
        <v>46</v>
      </c>
      <c r="F36" s="334">
        <v>1</v>
      </c>
      <c r="G36" s="649">
        <v>3</v>
      </c>
      <c r="H36" s="664">
        <v>13</v>
      </c>
      <c r="I36" s="664"/>
      <c r="J36" s="651">
        <v>16</v>
      </c>
      <c r="K36" s="647">
        <f t="shared" si="1"/>
        <v>18.75</v>
      </c>
      <c r="L36" s="647">
        <f t="shared" si="4"/>
        <v>81.25</v>
      </c>
      <c r="M36" s="647">
        <f t="shared" si="2"/>
        <v>0</v>
      </c>
      <c r="N36" s="650">
        <f t="shared" si="3"/>
        <v>100</v>
      </c>
      <c r="O36" s="646">
        <v>10</v>
      </c>
      <c r="P36" s="647">
        <v>42</v>
      </c>
      <c r="Q36" s="647"/>
      <c r="R36" s="648">
        <f t="shared" si="0"/>
        <v>52</v>
      </c>
      <c r="S36" s="334">
        <v>2</v>
      </c>
      <c r="T36" s="342">
        <v>37520</v>
      </c>
      <c r="U36" s="335">
        <v>37576</v>
      </c>
      <c r="V36" s="343" t="s">
        <v>907</v>
      </c>
      <c r="W36" s="334" t="s">
        <v>82</v>
      </c>
      <c r="X36" s="334" t="s">
        <v>18</v>
      </c>
      <c r="Y36" s="344">
        <v>18.7</v>
      </c>
      <c r="Z36" s="334" t="s">
        <v>910</v>
      </c>
      <c r="AA36" s="334" t="s">
        <v>94</v>
      </c>
      <c r="AB36" s="334" t="s">
        <v>18</v>
      </c>
      <c r="AC36" s="334">
        <v>13.3</v>
      </c>
      <c r="AD36" s="343" t="s">
        <v>901</v>
      </c>
      <c r="AE36" s="334" t="s">
        <v>17</v>
      </c>
      <c r="AF36" s="334" t="s">
        <v>18</v>
      </c>
      <c r="AG36" s="344">
        <v>10</v>
      </c>
      <c r="AH36" s="334" t="s">
        <v>908</v>
      </c>
      <c r="AI36" s="334" t="s">
        <v>912</v>
      </c>
      <c r="AJ36" s="334" t="s">
        <v>11</v>
      </c>
      <c r="AK36" s="334">
        <v>10</v>
      </c>
      <c r="AL36" s="343"/>
      <c r="AO36" s="344"/>
      <c r="AP36" s="343"/>
      <c r="AS36" s="344"/>
      <c r="AW36" s="344"/>
      <c r="BA36" s="345"/>
    </row>
    <row r="37" spans="1:53" s="334" customFormat="1" x14ac:dyDescent="0.15">
      <c r="A37" s="334">
        <v>2003</v>
      </c>
      <c r="B37" s="335"/>
      <c r="C37" s="812" t="s">
        <v>1226</v>
      </c>
      <c r="D37" s="812"/>
      <c r="E37" s="334">
        <v>0</v>
      </c>
      <c r="G37" s="649">
        <v>3</v>
      </c>
      <c r="H37" s="664">
        <v>13</v>
      </c>
      <c r="I37" s="664"/>
      <c r="J37" s="651">
        <v>16</v>
      </c>
      <c r="K37" s="647">
        <f t="shared" si="1"/>
        <v>18.75</v>
      </c>
      <c r="L37" s="647">
        <f t="shared" si="4"/>
        <v>81.25</v>
      </c>
      <c r="M37" s="647">
        <f t="shared" si="2"/>
        <v>0</v>
      </c>
      <c r="N37" s="650">
        <f t="shared" si="3"/>
        <v>100</v>
      </c>
      <c r="O37" s="646">
        <v>10</v>
      </c>
      <c r="P37" s="647">
        <v>42</v>
      </c>
      <c r="Q37" s="647"/>
      <c r="R37" s="648">
        <f t="shared" si="0"/>
        <v>52</v>
      </c>
      <c r="S37" s="334">
        <v>2</v>
      </c>
      <c r="T37" s="357"/>
      <c r="V37" s="343" t="s">
        <v>907</v>
      </c>
      <c r="W37" s="334" t="s">
        <v>82</v>
      </c>
      <c r="X37" s="334" t="s">
        <v>18</v>
      </c>
      <c r="Y37" s="344">
        <v>18.7</v>
      </c>
      <c r="Z37" s="334" t="s">
        <v>910</v>
      </c>
      <c r="AA37" s="334" t="s">
        <v>94</v>
      </c>
      <c r="AB37" s="334" t="s">
        <v>18</v>
      </c>
      <c r="AC37" s="334">
        <v>13.3</v>
      </c>
      <c r="AD37" s="343" t="s">
        <v>901</v>
      </c>
      <c r="AE37" s="334" t="s">
        <v>17</v>
      </c>
      <c r="AF37" s="334" t="s">
        <v>18</v>
      </c>
      <c r="AG37" s="344">
        <v>10</v>
      </c>
      <c r="AH37" s="334" t="s">
        <v>908</v>
      </c>
      <c r="AI37" s="334" t="s">
        <v>912</v>
      </c>
      <c r="AJ37" s="334" t="s">
        <v>11</v>
      </c>
      <c r="AK37" s="334">
        <v>10</v>
      </c>
      <c r="AL37" s="343"/>
      <c r="AO37" s="344"/>
      <c r="AP37" s="343"/>
      <c r="AS37" s="344"/>
      <c r="AW37" s="344"/>
      <c r="BA37" s="345"/>
    </row>
    <row r="38" spans="1:53" s="334" customFormat="1" x14ac:dyDescent="0.15">
      <c r="A38" s="334">
        <v>2003</v>
      </c>
      <c r="B38" s="335"/>
      <c r="C38" s="812" t="s">
        <v>1226</v>
      </c>
      <c r="D38" s="812"/>
      <c r="E38" s="334">
        <v>365</v>
      </c>
      <c r="G38" s="649">
        <v>3</v>
      </c>
      <c r="H38" s="664">
        <v>13</v>
      </c>
      <c r="I38" s="664"/>
      <c r="J38" s="651">
        <v>16</v>
      </c>
      <c r="K38" s="647">
        <f t="shared" si="1"/>
        <v>18.75</v>
      </c>
      <c r="L38" s="647">
        <f t="shared" si="4"/>
        <v>81.25</v>
      </c>
      <c r="M38" s="647">
        <f t="shared" si="2"/>
        <v>0</v>
      </c>
      <c r="N38" s="650">
        <f t="shared" si="3"/>
        <v>100</v>
      </c>
      <c r="O38" s="646">
        <v>10</v>
      </c>
      <c r="P38" s="647">
        <v>42</v>
      </c>
      <c r="Q38" s="647"/>
      <c r="R38" s="648">
        <f t="shared" si="0"/>
        <v>52</v>
      </c>
      <c r="S38" s="334">
        <v>2</v>
      </c>
      <c r="T38" s="357"/>
      <c r="V38" s="343" t="s">
        <v>907</v>
      </c>
      <c r="W38" s="334" t="s">
        <v>82</v>
      </c>
      <c r="X38" s="334" t="s">
        <v>18</v>
      </c>
      <c r="Y38" s="344">
        <v>18.7</v>
      </c>
      <c r="Z38" s="334" t="s">
        <v>910</v>
      </c>
      <c r="AA38" s="334" t="s">
        <v>94</v>
      </c>
      <c r="AB38" s="334" t="s">
        <v>18</v>
      </c>
      <c r="AC38" s="334">
        <v>13.3</v>
      </c>
      <c r="AD38" s="343" t="s">
        <v>901</v>
      </c>
      <c r="AE38" s="334" t="s">
        <v>17</v>
      </c>
      <c r="AF38" s="334" t="s">
        <v>18</v>
      </c>
      <c r="AG38" s="344">
        <v>10</v>
      </c>
      <c r="AH38" s="334" t="s">
        <v>908</v>
      </c>
      <c r="AI38" s="334" t="s">
        <v>912</v>
      </c>
      <c r="AJ38" s="334" t="s">
        <v>11</v>
      </c>
      <c r="AK38" s="334">
        <v>10</v>
      </c>
      <c r="AL38" s="343"/>
      <c r="AO38" s="344"/>
      <c r="AP38" s="343"/>
      <c r="AS38" s="344"/>
      <c r="AW38" s="344"/>
      <c r="BA38" s="345"/>
    </row>
    <row r="39" spans="1:53" s="334" customFormat="1" x14ac:dyDescent="0.15">
      <c r="A39" s="334">
        <v>2004</v>
      </c>
      <c r="B39" s="335"/>
      <c r="C39" s="812" t="s">
        <v>1226</v>
      </c>
      <c r="D39" s="812"/>
      <c r="E39" s="334">
        <v>0</v>
      </c>
      <c r="G39" s="649">
        <v>3</v>
      </c>
      <c r="H39" s="664">
        <v>13</v>
      </c>
      <c r="I39" s="664"/>
      <c r="J39" s="651">
        <v>16</v>
      </c>
      <c r="K39" s="647">
        <f t="shared" si="1"/>
        <v>18.75</v>
      </c>
      <c r="L39" s="647">
        <f t="shared" si="4"/>
        <v>81.25</v>
      </c>
      <c r="M39" s="647">
        <f t="shared" si="2"/>
        <v>0</v>
      </c>
      <c r="N39" s="650">
        <f t="shared" si="3"/>
        <v>100</v>
      </c>
      <c r="O39" s="646">
        <v>10</v>
      </c>
      <c r="P39" s="647">
        <v>42</v>
      </c>
      <c r="Q39" s="647"/>
      <c r="R39" s="648">
        <f t="shared" si="0"/>
        <v>52</v>
      </c>
      <c r="S39" s="334">
        <v>2</v>
      </c>
      <c r="T39" s="357"/>
      <c r="V39" s="343" t="s">
        <v>907</v>
      </c>
      <c r="W39" s="334" t="s">
        <v>82</v>
      </c>
      <c r="X39" s="334" t="s">
        <v>18</v>
      </c>
      <c r="Y39" s="344">
        <v>18.7</v>
      </c>
      <c r="Z39" s="334" t="s">
        <v>910</v>
      </c>
      <c r="AA39" s="334" t="s">
        <v>94</v>
      </c>
      <c r="AB39" s="334" t="s">
        <v>18</v>
      </c>
      <c r="AC39" s="334">
        <v>13.3</v>
      </c>
      <c r="AD39" s="343" t="s">
        <v>901</v>
      </c>
      <c r="AE39" s="334" t="s">
        <v>17</v>
      </c>
      <c r="AF39" s="334" t="s">
        <v>18</v>
      </c>
      <c r="AG39" s="344">
        <v>10</v>
      </c>
      <c r="AH39" s="334" t="s">
        <v>908</v>
      </c>
      <c r="AI39" s="334" t="s">
        <v>912</v>
      </c>
      <c r="AJ39" s="334" t="s">
        <v>11</v>
      </c>
      <c r="AK39" s="334">
        <v>10</v>
      </c>
      <c r="AL39" s="343"/>
      <c r="AO39" s="344"/>
      <c r="AP39" s="343"/>
      <c r="AS39" s="344"/>
      <c r="AW39" s="344"/>
      <c r="BA39" s="345"/>
    </row>
    <row r="40" spans="1:53" s="334" customFormat="1" x14ac:dyDescent="0.15">
      <c r="A40" s="334">
        <v>2004</v>
      </c>
      <c r="B40" s="335"/>
      <c r="C40" s="812" t="s">
        <v>1226</v>
      </c>
      <c r="D40" s="812"/>
      <c r="E40" s="334">
        <v>366</v>
      </c>
      <c r="G40" s="649">
        <v>3</v>
      </c>
      <c r="H40" s="664">
        <v>13</v>
      </c>
      <c r="I40" s="664"/>
      <c r="J40" s="651">
        <v>16</v>
      </c>
      <c r="K40" s="647">
        <f t="shared" si="1"/>
        <v>18.75</v>
      </c>
      <c r="L40" s="647">
        <f t="shared" si="4"/>
        <v>81.25</v>
      </c>
      <c r="M40" s="647">
        <f t="shared" si="2"/>
        <v>0</v>
      </c>
      <c r="N40" s="650">
        <f t="shared" si="3"/>
        <v>100</v>
      </c>
      <c r="O40" s="646">
        <v>10</v>
      </c>
      <c r="P40" s="647">
        <v>42</v>
      </c>
      <c r="Q40" s="647"/>
      <c r="R40" s="648">
        <f t="shared" si="0"/>
        <v>52</v>
      </c>
      <c r="S40" s="334">
        <v>2</v>
      </c>
      <c r="T40" s="357"/>
      <c r="V40" s="343" t="s">
        <v>907</v>
      </c>
      <c r="W40" s="334" t="s">
        <v>82</v>
      </c>
      <c r="X40" s="334" t="s">
        <v>18</v>
      </c>
      <c r="Y40" s="344">
        <v>18.7</v>
      </c>
      <c r="Z40" s="334" t="s">
        <v>910</v>
      </c>
      <c r="AA40" s="334" t="s">
        <v>94</v>
      </c>
      <c r="AB40" s="334" t="s">
        <v>18</v>
      </c>
      <c r="AC40" s="334">
        <v>13.3</v>
      </c>
      <c r="AD40" s="343" t="s">
        <v>901</v>
      </c>
      <c r="AE40" s="334" t="s">
        <v>17</v>
      </c>
      <c r="AF40" s="334" t="s">
        <v>18</v>
      </c>
      <c r="AG40" s="344">
        <v>10</v>
      </c>
      <c r="AH40" s="334" t="s">
        <v>908</v>
      </c>
      <c r="AI40" s="334" t="s">
        <v>912</v>
      </c>
      <c r="AJ40" s="334" t="s">
        <v>11</v>
      </c>
      <c r="AK40" s="334">
        <v>10</v>
      </c>
      <c r="AL40" s="343"/>
      <c r="AO40" s="344"/>
      <c r="AP40" s="343"/>
      <c r="AS40" s="344"/>
      <c r="AW40" s="344"/>
      <c r="BA40" s="345"/>
    </row>
    <row r="41" spans="1:53" s="334" customFormat="1" x14ac:dyDescent="0.15">
      <c r="A41" s="334">
        <v>2005</v>
      </c>
      <c r="B41" s="335"/>
      <c r="C41" s="812" t="s">
        <v>1226</v>
      </c>
      <c r="D41" s="812"/>
      <c r="E41" s="334">
        <v>0</v>
      </c>
      <c r="G41" s="649">
        <v>3</v>
      </c>
      <c r="H41" s="664">
        <v>13</v>
      </c>
      <c r="I41" s="664"/>
      <c r="J41" s="651">
        <v>16</v>
      </c>
      <c r="K41" s="647">
        <f t="shared" si="1"/>
        <v>18.75</v>
      </c>
      <c r="L41" s="647">
        <f t="shared" si="4"/>
        <v>81.25</v>
      </c>
      <c r="M41" s="647">
        <f t="shared" si="2"/>
        <v>0</v>
      </c>
      <c r="N41" s="650">
        <f t="shared" si="3"/>
        <v>100</v>
      </c>
      <c r="O41" s="646">
        <v>10</v>
      </c>
      <c r="P41" s="647">
        <v>42</v>
      </c>
      <c r="Q41" s="647"/>
      <c r="R41" s="648">
        <f t="shared" si="0"/>
        <v>52</v>
      </c>
      <c r="S41" s="334">
        <v>2</v>
      </c>
      <c r="T41" s="357"/>
      <c r="V41" s="343" t="s">
        <v>907</v>
      </c>
      <c r="W41" s="334" t="s">
        <v>82</v>
      </c>
      <c r="X41" s="334" t="s">
        <v>18</v>
      </c>
      <c r="Y41" s="344">
        <v>18.7</v>
      </c>
      <c r="Z41" s="334" t="s">
        <v>910</v>
      </c>
      <c r="AA41" s="334" t="s">
        <v>94</v>
      </c>
      <c r="AB41" s="334" t="s">
        <v>18</v>
      </c>
      <c r="AC41" s="334">
        <v>13.3</v>
      </c>
      <c r="AD41" s="343" t="s">
        <v>901</v>
      </c>
      <c r="AE41" s="334" t="s">
        <v>17</v>
      </c>
      <c r="AF41" s="334" t="s">
        <v>18</v>
      </c>
      <c r="AG41" s="344">
        <v>10</v>
      </c>
      <c r="AH41" s="334" t="s">
        <v>908</v>
      </c>
      <c r="AI41" s="334" t="s">
        <v>912</v>
      </c>
      <c r="AJ41" s="334" t="s">
        <v>11</v>
      </c>
      <c r="AK41" s="334">
        <v>10</v>
      </c>
      <c r="AL41" s="343"/>
      <c r="AO41" s="344"/>
      <c r="AP41" s="343"/>
      <c r="AS41" s="344"/>
      <c r="AW41" s="344"/>
      <c r="BA41" s="345"/>
    </row>
    <row r="42" spans="1:53" s="334" customFormat="1" x14ac:dyDescent="0.15">
      <c r="A42" s="334">
        <v>2005</v>
      </c>
      <c r="B42" s="335"/>
      <c r="C42" s="812" t="s">
        <v>1226</v>
      </c>
      <c r="D42" s="812"/>
      <c r="E42" s="334">
        <v>365</v>
      </c>
      <c r="G42" s="649">
        <v>3</v>
      </c>
      <c r="H42" s="664">
        <v>13</v>
      </c>
      <c r="I42" s="664"/>
      <c r="J42" s="651">
        <v>16</v>
      </c>
      <c r="K42" s="647">
        <f t="shared" si="1"/>
        <v>18.75</v>
      </c>
      <c r="L42" s="647">
        <f t="shared" si="4"/>
        <v>81.25</v>
      </c>
      <c r="M42" s="647">
        <f t="shared" si="2"/>
        <v>0</v>
      </c>
      <c r="N42" s="650">
        <f t="shared" si="3"/>
        <v>100</v>
      </c>
      <c r="O42" s="646">
        <v>10</v>
      </c>
      <c r="P42" s="647">
        <v>42</v>
      </c>
      <c r="Q42" s="647"/>
      <c r="R42" s="648">
        <f t="shared" si="0"/>
        <v>52</v>
      </c>
      <c r="S42" s="334">
        <v>2</v>
      </c>
      <c r="T42" s="357"/>
      <c r="V42" s="343" t="s">
        <v>907</v>
      </c>
      <c r="W42" s="334" t="s">
        <v>82</v>
      </c>
      <c r="X42" s="334" t="s">
        <v>18</v>
      </c>
      <c r="Y42" s="344">
        <v>18.7</v>
      </c>
      <c r="Z42" s="334" t="s">
        <v>910</v>
      </c>
      <c r="AA42" s="334" t="s">
        <v>94</v>
      </c>
      <c r="AB42" s="334" t="s">
        <v>18</v>
      </c>
      <c r="AC42" s="334">
        <v>13.3</v>
      </c>
      <c r="AD42" s="343" t="s">
        <v>901</v>
      </c>
      <c r="AE42" s="334" t="s">
        <v>17</v>
      </c>
      <c r="AF42" s="334" t="s">
        <v>18</v>
      </c>
      <c r="AG42" s="344">
        <v>10</v>
      </c>
      <c r="AH42" s="334" t="s">
        <v>908</v>
      </c>
      <c r="AI42" s="334" t="s">
        <v>912</v>
      </c>
      <c r="AJ42" s="334" t="s">
        <v>11</v>
      </c>
      <c r="AK42" s="334">
        <v>10</v>
      </c>
      <c r="AL42" s="343"/>
      <c r="AO42" s="344"/>
      <c r="AP42" s="343"/>
      <c r="AS42" s="344"/>
      <c r="AW42" s="344"/>
      <c r="BA42" s="345"/>
    </row>
    <row r="43" spans="1:53" s="334" customFormat="1" x14ac:dyDescent="0.15">
      <c r="A43" s="334">
        <v>2006</v>
      </c>
      <c r="B43" s="335"/>
      <c r="C43" s="812" t="s">
        <v>1226</v>
      </c>
      <c r="D43" s="812"/>
      <c r="E43" s="334">
        <v>38</v>
      </c>
      <c r="G43" s="649">
        <v>3</v>
      </c>
      <c r="H43" s="664">
        <v>13</v>
      </c>
      <c r="I43" s="664"/>
      <c r="J43" s="651">
        <v>16</v>
      </c>
      <c r="K43" s="647">
        <f t="shared" si="1"/>
        <v>18.75</v>
      </c>
      <c r="L43" s="647">
        <f t="shared" si="4"/>
        <v>81.25</v>
      </c>
      <c r="M43" s="647">
        <f t="shared" si="2"/>
        <v>0</v>
      </c>
      <c r="N43" s="650">
        <f t="shared" si="3"/>
        <v>100</v>
      </c>
      <c r="O43" s="646">
        <v>10</v>
      </c>
      <c r="P43" s="647">
        <v>42</v>
      </c>
      <c r="Q43" s="647"/>
      <c r="R43" s="648">
        <f t="shared" si="0"/>
        <v>52</v>
      </c>
      <c r="S43" s="334">
        <v>2</v>
      </c>
      <c r="T43" s="357"/>
      <c r="V43" s="343" t="s">
        <v>907</v>
      </c>
      <c r="W43" s="334" t="s">
        <v>82</v>
      </c>
      <c r="X43" s="334" t="s">
        <v>18</v>
      </c>
      <c r="Y43" s="344">
        <v>18.7</v>
      </c>
      <c r="Z43" s="334" t="s">
        <v>910</v>
      </c>
      <c r="AA43" s="334" t="s">
        <v>94</v>
      </c>
      <c r="AB43" s="334" t="s">
        <v>18</v>
      </c>
      <c r="AC43" s="334">
        <v>13.3</v>
      </c>
      <c r="AD43" s="343" t="s">
        <v>901</v>
      </c>
      <c r="AE43" s="334" t="s">
        <v>17</v>
      </c>
      <c r="AF43" s="334" t="s">
        <v>18</v>
      </c>
      <c r="AG43" s="344">
        <v>10</v>
      </c>
      <c r="AH43" s="334" t="s">
        <v>908</v>
      </c>
      <c r="AI43" s="334" t="s">
        <v>912</v>
      </c>
      <c r="AJ43" s="334" t="s">
        <v>11</v>
      </c>
      <c r="AK43" s="334">
        <v>10</v>
      </c>
      <c r="AL43" s="343"/>
      <c r="AO43" s="344"/>
      <c r="AP43" s="343"/>
      <c r="AS43" s="344"/>
      <c r="AW43" s="344"/>
      <c r="BA43" s="345"/>
    </row>
    <row r="44" spans="1:53" s="227" customFormat="1" x14ac:dyDescent="0.15">
      <c r="A44" s="227">
        <v>2006</v>
      </c>
      <c r="B44" s="121">
        <v>38756</v>
      </c>
      <c r="C44" s="811" t="s">
        <v>1228</v>
      </c>
      <c r="D44" s="811"/>
      <c r="E44" s="227">
        <v>50</v>
      </c>
      <c r="F44" s="227">
        <v>4</v>
      </c>
      <c r="G44" s="600">
        <v>3</v>
      </c>
      <c r="H44" s="663">
        <v>12</v>
      </c>
      <c r="I44" s="663"/>
      <c r="J44" s="602">
        <v>16</v>
      </c>
      <c r="K44" s="597">
        <f>G44/J44*100</f>
        <v>18.75</v>
      </c>
      <c r="L44" s="597">
        <f>H44/J44*100</f>
        <v>75</v>
      </c>
      <c r="M44" s="597">
        <f>I44/J44*100</f>
        <v>0</v>
      </c>
      <c r="N44" s="601">
        <f>SUM(K44:M44)</f>
        <v>93.75</v>
      </c>
      <c r="O44" s="596">
        <v>10</v>
      </c>
      <c r="P44" s="597">
        <v>32</v>
      </c>
      <c r="Q44" s="597"/>
      <c r="R44" s="598">
        <f>SUM(O44:Q44)</f>
        <v>42</v>
      </c>
      <c r="S44" s="227">
        <v>5</v>
      </c>
      <c r="T44" s="81"/>
      <c r="U44" s="121">
        <v>38756</v>
      </c>
      <c r="V44" s="82" t="s">
        <v>913</v>
      </c>
      <c r="W44" s="227" t="s">
        <v>82</v>
      </c>
      <c r="X44" s="227" t="s">
        <v>18</v>
      </c>
      <c r="Y44" s="83">
        <v>18.7</v>
      </c>
      <c r="Z44" s="227" t="s">
        <v>910</v>
      </c>
      <c r="AA44" s="227" t="s">
        <v>94</v>
      </c>
      <c r="AB44" s="227" t="s">
        <v>18</v>
      </c>
      <c r="AC44" s="227">
        <v>13.3</v>
      </c>
      <c r="AD44" s="82" t="s">
        <v>903</v>
      </c>
      <c r="AE44" s="227" t="s">
        <v>912</v>
      </c>
      <c r="AF44" s="227" t="s">
        <v>11</v>
      </c>
      <c r="AG44" s="83">
        <v>10</v>
      </c>
      <c r="AL44" s="82"/>
      <c r="AO44" s="83"/>
      <c r="AP44" s="82"/>
      <c r="AS44" s="83"/>
      <c r="AW44" s="83"/>
      <c r="BA44" s="84"/>
    </row>
    <row r="45" spans="1:53" s="208" customFormat="1" x14ac:dyDescent="0.15">
      <c r="A45" s="208">
        <v>2006</v>
      </c>
      <c r="B45" s="154">
        <v>38806</v>
      </c>
      <c r="C45" s="811" t="s">
        <v>1228</v>
      </c>
      <c r="D45" s="811"/>
      <c r="E45" s="208">
        <v>96</v>
      </c>
      <c r="F45" s="150">
        <v>0</v>
      </c>
      <c r="G45" s="600">
        <v>2</v>
      </c>
      <c r="H45" s="663">
        <v>12</v>
      </c>
      <c r="I45" s="663"/>
      <c r="J45" s="602">
        <v>16</v>
      </c>
      <c r="K45" s="597">
        <f>G45/J45*100</f>
        <v>12.5</v>
      </c>
      <c r="L45" s="597">
        <f>H45/J45*100</f>
        <v>75</v>
      </c>
      <c r="M45" s="597">
        <f>I45/J45*100</f>
        <v>0</v>
      </c>
      <c r="N45" s="601">
        <f t="shared" si="3"/>
        <v>87.5</v>
      </c>
      <c r="O45" s="596">
        <v>10</v>
      </c>
      <c r="P45" s="597">
        <v>32</v>
      </c>
      <c r="Q45" s="597"/>
      <c r="R45" s="598">
        <f t="shared" si="0"/>
        <v>42</v>
      </c>
      <c r="S45" s="208">
        <v>5</v>
      </c>
      <c r="T45" s="81"/>
      <c r="U45" s="121"/>
      <c r="V45" s="82" t="s">
        <v>913</v>
      </c>
      <c r="W45" s="208" t="s">
        <v>82</v>
      </c>
      <c r="X45" s="208" t="s">
        <v>18</v>
      </c>
      <c r="Y45" s="83">
        <v>18.7</v>
      </c>
      <c r="Z45" s="208" t="s">
        <v>910</v>
      </c>
      <c r="AA45" s="208" t="s">
        <v>94</v>
      </c>
      <c r="AB45" s="208" t="s">
        <v>18</v>
      </c>
      <c r="AC45" s="208">
        <v>13.3</v>
      </c>
      <c r="AD45" s="82" t="s">
        <v>903</v>
      </c>
      <c r="AE45" s="208" t="s">
        <v>912</v>
      </c>
      <c r="AF45" s="208" t="s">
        <v>11</v>
      </c>
      <c r="AG45" s="83">
        <v>10</v>
      </c>
      <c r="AL45" s="82"/>
      <c r="AO45" s="83"/>
      <c r="AP45" s="82"/>
      <c r="AS45" s="83"/>
      <c r="AW45" s="83"/>
      <c r="BA45" s="84"/>
    </row>
    <row r="46" spans="1:53" s="334" customFormat="1" x14ac:dyDescent="0.15">
      <c r="A46" s="334">
        <v>2006</v>
      </c>
      <c r="B46" s="335">
        <v>38902</v>
      </c>
      <c r="C46" s="812" t="s">
        <v>922</v>
      </c>
      <c r="D46" s="812"/>
      <c r="E46" s="334">
        <v>181</v>
      </c>
      <c r="F46" s="334">
        <v>1</v>
      </c>
      <c r="G46" s="649">
        <v>5</v>
      </c>
      <c r="H46" s="664"/>
      <c r="I46" s="664">
        <v>11</v>
      </c>
      <c r="J46" s="651">
        <v>16</v>
      </c>
      <c r="K46" s="647">
        <f t="shared" si="1"/>
        <v>31.25</v>
      </c>
      <c r="L46" s="647">
        <f t="shared" si="4"/>
        <v>0</v>
      </c>
      <c r="M46" s="647">
        <f t="shared" si="2"/>
        <v>68.75</v>
      </c>
      <c r="N46" s="650">
        <f t="shared" si="3"/>
        <v>100</v>
      </c>
      <c r="O46" s="646">
        <v>23.33</v>
      </c>
      <c r="P46" s="647"/>
      <c r="Q46" s="647">
        <v>33.33</v>
      </c>
      <c r="R46" s="648">
        <f t="shared" si="0"/>
        <v>56.66</v>
      </c>
      <c r="S46" s="334">
        <v>2</v>
      </c>
      <c r="T46" s="342">
        <v>38885</v>
      </c>
      <c r="U46" s="335">
        <v>38902</v>
      </c>
      <c r="V46" s="343" t="s">
        <v>920</v>
      </c>
      <c r="W46" s="334" t="s">
        <v>97</v>
      </c>
      <c r="X46" s="334" t="s">
        <v>12</v>
      </c>
      <c r="Y46" s="344">
        <v>33.299999999999997</v>
      </c>
      <c r="Z46" s="334" t="s">
        <v>896</v>
      </c>
      <c r="AA46" s="334" t="s">
        <v>27</v>
      </c>
      <c r="AB46" s="334" t="s">
        <v>11</v>
      </c>
      <c r="AC46" s="334">
        <v>13.3</v>
      </c>
      <c r="AD46" s="343" t="s">
        <v>914</v>
      </c>
      <c r="AE46" s="334" t="s">
        <v>307</v>
      </c>
      <c r="AF46" s="334" t="s">
        <v>11</v>
      </c>
      <c r="AG46" s="344">
        <v>10</v>
      </c>
      <c r="AL46" s="343"/>
      <c r="AO46" s="344"/>
      <c r="AP46" s="343"/>
      <c r="AS46" s="344"/>
      <c r="AW46" s="344"/>
      <c r="BA46" s="345"/>
    </row>
    <row r="47" spans="1:53" s="334" customFormat="1" x14ac:dyDescent="0.15">
      <c r="A47" s="334">
        <v>2007</v>
      </c>
      <c r="B47" s="335"/>
      <c r="C47" s="812" t="s">
        <v>922</v>
      </c>
      <c r="D47" s="812"/>
      <c r="E47" s="334">
        <v>0</v>
      </c>
      <c r="G47" s="649">
        <v>5</v>
      </c>
      <c r="H47" s="664"/>
      <c r="I47" s="664">
        <v>11</v>
      </c>
      <c r="J47" s="651">
        <v>16</v>
      </c>
      <c r="K47" s="647">
        <f t="shared" si="1"/>
        <v>31.25</v>
      </c>
      <c r="L47" s="647">
        <f t="shared" si="4"/>
        <v>0</v>
      </c>
      <c r="M47" s="647">
        <f t="shared" si="2"/>
        <v>68.75</v>
      </c>
      <c r="N47" s="650">
        <f t="shared" si="3"/>
        <v>100</v>
      </c>
      <c r="O47" s="646">
        <v>23.33</v>
      </c>
      <c r="P47" s="647"/>
      <c r="Q47" s="647">
        <v>33.33</v>
      </c>
      <c r="R47" s="648">
        <f t="shared" si="0"/>
        <v>56.66</v>
      </c>
      <c r="S47" s="334">
        <v>2</v>
      </c>
      <c r="T47" s="357"/>
      <c r="U47" s="335"/>
      <c r="V47" s="343" t="s">
        <v>920</v>
      </c>
      <c r="W47" s="334" t="s">
        <v>97</v>
      </c>
      <c r="X47" s="334" t="s">
        <v>12</v>
      </c>
      <c r="Y47" s="344">
        <v>33.299999999999997</v>
      </c>
      <c r="Z47" s="334" t="s">
        <v>896</v>
      </c>
      <c r="AA47" s="334" t="s">
        <v>27</v>
      </c>
      <c r="AB47" s="334" t="s">
        <v>11</v>
      </c>
      <c r="AC47" s="334">
        <v>13.3</v>
      </c>
      <c r="AD47" s="343" t="s">
        <v>914</v>
      </c>
      <c r="AE47" s="334" t="s">
        <v>307</v>
      </c>
      <c r="AF47" s="334" t="s">
        <v>11</v>
      </c>
      <c r="AG47" s="344">
        <v>10</v>
      </c>
      <c r="AL47" s="343"/>
      <c r="AO47" s="344"/>
      <c r="AP47" s="343"/>
      <c r="AS47" s="344"/>
      <c r="AW47" s="344"/>
      <c r="BA47" s="345"/>
    </row>
    <row r="48" spans="1:53" s="334" customFormat="1" x14ac:dyDescent="0.15">
      <c r="A48" s="334">
        <v>2007</v>
      </c>
      <c r="B48" s="335"/>
      <c r="C48" s="812" t="s">
        <v>922</v>
      </c>
      <c r="D48" s="812"/>
      <c r="E48" s="334">
        <v>365</v>
      </c>
      <c r="G48" s="649">
        <v>5</v>
      </c>
      <c r="H48" s="664"/>
      <c r="I48" s="664">
        <v>11</v>
      </c>
      <c r="J48" s="651">
        <v>16</v>
      </c>
      <c r="K48" s="647">
        <f t="shared" si="1"/>
        <v>31.25</v>
      </c>
      <c r="L48" s="647">
        <f t="shared" si="4"/>
        <v>0</v>
      </c>
      <c r="M48" s="647">
        <f t="shared" si="2"/>
        <v>68.75</v>
      </c>
      <c r="N48" s="650">
        <f t="shared" si="3"/>
        <v>100</v>
      </c>
      <c r="O48" s="646">
        <v>23.33</v>
      </c>
      <c r="P48" s="647"/>
      <c r="Q48" s="647">
        <v>33.33</v>
      </c>
      <c r="R48" s="648">
        <f t="shared" si="0"/>
        <v>56.66</v>
      </c>
      <c r="S48" s="334">
        <v>2</v>
      </c>
      <c r="T48" s="357"/>
      <c r="U48" s="335"/>
      <c r="V48" s="343" t="s">
        <v>920</v>
      </c>
      <c r="W48" s="334" t="s">
        <v>97</v>
      </c>
      <c r="X48" s="334" t="s">
        <v>12</v>
      </c>
      <c r="Y48" s="344">
        <v>33.299999999999997</v>
      </c>
      <c r="Z48" s="334" t="s">
        <v>896</v>
      </c>
      <c r="AA48" s="334" t="s">
        <v>27</v>
      </c>
      <c r="AB48" s="334" t="s">
        <v>11</v>
      </c>
      <c r="AC48" s="334">
        <v>13.3</v>
      </c>
      <c r="AD48" s="343" t="s">
        <v>914</v>
      </c>
      <c r="AE48" s="334" t="s">
        <v>307</v>
      </c>
      <c r="AF48" s="334" t="s">
        <v>11</v>
      </c>
      <c r="AG48" s="344">
        <v>10</v>
      </c>
      <c r="AL48" s="343"/>
      <c r="AO48" s="344"/>
      <c r="AP48" s="343"/>
      <c r="AS48" s="344"/>
      <c r="AW48" s="344"/>
      <c r="BA48" s="345"/>
    </row>
    <row r="49" spans="1:53" s="334" customFormat="1" x14ac:dyDescent="0.15">
      <c r="A49" s="334">
        <v>2008</v>
      </c>
      <c r="B49" s="335"/>
      <c r="C49" s="812" t="s">
        <v>922</v>
      </c>
      <c r="D49" s="812"/>
      <c r="E49" s="334">
        <v>0</v>
      </c>
      <c r="G49" s="649">
        <v>5</v>
      </c>
      <c r="H49" s="664"/>
      <c r="I49" s="664">
        <v>11</v>
      </c>
      <c r="J49" s="651">
        <v>16</v>
      </c>
      <c r="K49" s="647">
        <f t="shared" si="1"/>
        <v>31.25</v>
      </c>
      <c r="L49" s="647">
        <f t="shared" si="4"/>
        <v>0</v>
      </c>
      <c r="M49" s="647">
        <f t="shared" si="2"/>
        <v>68.75</v>
      </c>
      <c r="N49" s="650">
        <f t="shared" si="3"/>
        <v>100</v>
      </c>
      <c r="O49" s="646">
        <v>23.33</v>
      </c>
      <c r="P49" s="647"/>
      <c r="Q49" s="647">
        <v>33.33</v>
      </c>
      <c r="R49" s="648">
        <f t="shared" si="0"/>
        <v>56.66</v>
      </c>
      <c r="S49" s="334">
        <v>2</v>
      </c>
      <c r="T49" s="357"/>
      <c r="U49" s="335"/>
      <c r="V49" s="343" t="s">
        <v>920</v>
      </c>
      <c r="W49" s="334" t="s">
        <v>97</v>
      </c>
      <c r="X49" s="334" t="s">
        <v>12</v>
      </c>
      <c r="Y49" s="344">
        <v>33.299999999999997</v>
      </c>
      <c r="Z49" s="334" t="s">
        <v>896</v>
      </c>
      <c r="AA49" s="334" t="s">
        <v>27</v>
      </c>
      <c r="AB49" s="334" t="s">
        <v>11</v>
      </c>
      <c r="AC49" s="334">
        <v>13.3</v>
      </c>
      <c r="AD49" s="343" t="s">
        <v>914</v>
      </c>
      <c r="AE49" s="334" t="s">
        <v>307</v>
      </c>
      <c r="AF49" s="334" t="s">
        <v>11</v>
      </c>
      <c r="AG49" s="344">
        <v>10</v>
      </c>
      <c r="AL49" s="343"/>
      <c r="AO49" s="344"/>
      <c r="AP49" s="343"/>
      <c r="AS49" s="344"/>
      <c r="AW49" s="344"/>
      <c r="BA49" s="345"/>
    </row>
    <row r="50" spans="1:53" s="334" customFormat="1" x14ac:dyDescent="0.15">
      <c r="A50" s="334">
        <v>2008</v>
      </c>
      <c r="B50" s="335"/>
      <c r="C50" s="812" t="s">
        <v>922</v>
      </c>
      <c r="D50" s="812"/>
      <c r="E50" s="334">
        <v>366</v>
      </c>
      <c r="G50" s="649">
        <v>5</v>
      </c>
      <c r="H50" s="664"/>
      <c r="I50" s="664">
        <v>11</v>
      </c>
      <c r="J50" s="651">
        <v>16</v>
      </c>
      <c r="K50" s="647">
        <f t="shared" si="1"/>
        <v>31.25</v>
      </c>
      <c r="L50" s="647">
        <f t="shared" si="4"/>
        <v>0</v>
      </c>
      <c r="M50" s="647">
        <f t="shared" si="2"/>
        <v>68.75</v>
      </c>
      <c r="N50" s="650">
        <f t="shared" si="3"/>
        <v>100</v>
      </c>
      <c r="O50" s="646">
        <v>23.33</v>
      </c>
      <c r="P50" s="647"/>
      <c r="Q50" s="647">
        <v>33.33</v>
      </c>
      <c r="R50" s="648">
        <f t="shared" si="0"/>
        <v>56.66</v>
      </c>
      <c r="S50" s="334">
        <v>2</v>
      </c>
      <c r="T50" s="357"/>
      <c r="U50" s="335"/>
      <c r="V50" s="343" t="s">
        <v>920</v>
      </c>
      <c r="W50" s="334" t="s">
        <v>97</v>
      </c>
      <c r="X50" s="334" t="s">
        <v>12</v>
      </c>
      <c r="Y50" s="344">
        <v>33.299999999999997</v>
      </c>
      <c r="Z50" s="334" t="s">
        <v>896</v>
      </c>
      <c r="AA50" s="334" t="s">
        <v>27</v>
      </c>
      <c r="AB50" s="334" t="s">
        <v>11</v>
      </c>
      <c r="AC50" s="334">
        <v>13.3</v>
      </c>
      <c r="AD50" s="343" t="s">
        <v>914</v>
      </c>
      <c r="AE50" s="334" t="s">
        <v>307</v>
      </c>
      <c r="AF50" s="334" t="s">
        <v>11</v>
      </c>
      <c r="AG50" s="344">
        <v>10</v>
      </c>
      <c r="AL50" s="343"/>
      <c r="AO50" s="344"/>
      <c r="AP50" s="343"/>
      <c r="AS50" s="344"/>
      <c r="AW50" s="344"/>
      <c r="BA50" s="345"/>
    </row>
    <row r="51" spans="1:53" s="334" customFormat="1" x14ac:dyDescent="0.15">
      <c r="A51" s="334">
        <v>2009</v>
      </c>
      <c r="B51" s="335"/>
      <c r="C51" s="812" t="s">
        <v>922</v>
      </c>
      <c r="D51" s="812"/>
      <c r="E51" s="334">
        <v>239</v>
      </c>
      <c r="G51" s="649">
        <v>5</v>
      </c>
      <c r="H51" s="664"/>
      <c r="I51" s="664">
        <v>11</v>
      </c>
      <c r="J51" s="651">
        <v>16</v>
      </c>
      <c r="K51" s="647">
        <f t="shared" si="1"/>
        <v>31.25</v>
      </c>
      <c r="L51" s="647">
        <f t="shared" si="4"/>
        <v>0</v>
      </c>
      <c r="M51" s="647">
        <f t="shared" si="2"/>
        <v>68.75</v>
      </c>
      <c r="N51" s="650">
        <f t="shared" si="3"/>
        <v>100</v>
      </c>
      <c r="O51" s="646">
        <v>23.33</v>
      </c>
      <c r="P51" s="647"/>
      <c r="Q51" s="647">
        <v>33.33</v>
      </c>
      <c r="R51" s="648">
        <f t="shared" si="0"/>
        <v>56.66</v>
      </c>
      <c r="S51" s="334">
        <v>2</v>
      </c>
      <c r="T51" s="357"/>
      <c r="U51" s="335"/>
      <c r="V51" s="343" t="s">
        <v>920</v>
      </c>
      <c r="W51" s="334" t="s">
        <v>97</v>
      </c>
      <c r="X51" s="334" t="s">
        <v>12</v>
      </c>
      <c r="Y51" s="344">
        <v>33.299999999999997</v>
      </c>
      <c r="Z51" s="334" t="s">
        <v>896</v>
      </c>
      <c r="AA51" s="334" t="s">
        <v>27</v>
      </c>
      <c r="AB51" s="334" t="s">
        <v>11</v>
      </c>
      <c r="AC51" s="334">
        <v>13.3</v>
      </c>
      <c r="AD51" s="343" t="s">
        <v>914</v>
      </c>
      <c r="AE51" s="334" t="s">
        <v>307</v>
      </c>
      <c r="AF51" s="334" t="s">
        <v>11</v>
      </c>
      <c r="AG51" s="344">
        <v>10</v>
      </c>
      <c r="AL51" s="343"/>
      <c r="AO51" s="344"/>
      <c r="AP51" s="343"/>
      <c r="AS51" s="344"/>
      <c r="AW51" s="344"/>
      <c r="BA51" s="345"/>
    </row>
    <row r="52" spans="1:53" s="334" customFormat="1" x14ac:dyDescent="0.15">
      <c r="A52" s="334">
        <v>2009</v>
      </c>
      <c r="B52" s="440">
        <v>40053</v>
      </c>
      <c r="C52" s="812" t="s">
        <v>922</v>
      </c>
      <c r="D52" s="812"/>
      <c r="E52" s="334">
        <f>365-E51</f>
        <v>126</v>
      </c>
      <c r="F52" s="441">
        <v>0</v>
      </c>
      <c r="G52" s="649">
        <v>4</v>
      </c>
      <c r="H52" s="664"/>
      <c r="I52" s="664">
        <v>12</v>
      </c>
      <c r="J52" s="651">
        <v>16</v>
      </c>
      <c r="K52" s="647">
        <f t="shared" si="1"/>
        <v>25</v>
      </c>
      <c r="L52" s="647">
        <f t="shared" si="4"/>
        <v>0</v>
      </c>
      <c r="M52" s="647">
        <f t="shared" si="2"/>
        <v>75</v>
      </c>
      <c r="N52" s="650">
        <f t="shared" si="3"/>
        <v>100</v>
      </c>
      <c r="O52" s="646">
        <v>23.33</v>
      </c>
      <c r="P52" s="647"/>
      <c r="Q52" s="647">
        <v>33.33</v>
      </c>
      <c r="R52" s="648">
        <f t="shared" si="0"/>
        <v>56.66</v>
      </c>
      <c r="S52" s="334">
        <v>2</v>
      </c>
      <c r="T52" s="357"/>
      <c r="U52" s="335"/>
      <c r="V52" s="343" t="s">
        <v>920</v>
      </c>
      <c r="W52" s="334" t="s">
        <v>97</v>
      </c>
      <c r="X52" s="334" t="s">
        <v>12</v>
      </c>
      <c r="Y52" s="344">
        <v>33.299999999999997</v>
      </c>
      <c r="Z52" s="334" t="s">
        <v>896</v>
      </c>
      <c r="AA52" s="334" t="s">
        <v>27</v>
      </c>
      <c r="AB52" s="334" t="s">
        <v>11</v>
      </c>
      <c r="AC52" s="334">
        <v>13.3</v>
      </c>
      <c r="AD52" s="343" t="s">
        <v>914</v>
      </c>
      <c r="AE52" s="334" t="s">
        <v>307</v>
      </c>
      <c r="AF52" s="334" t="s">
        <v>11</v>
      </c>
      <c r="AG52" s="344">
        <v>10</v>
      </c>
      <c r="AL52" s="343"/>
      <c r="AO52" s="344"/>
      <c r="AP52" s="343"/>
      <c r="AS52" s="344"/>
      <c r="AW52" s="344"/>
      <c r="BA52" s="345"/>
    </row>
    <row r="53" spans="1:53" s="334" customFormat="1" x14ac:dyDescent="0.15">
      <c r="A53" s="334">
        <v>2010</v>
      </c>
      <c r="B53" s="335"/>
      <c r="C53" s="812" t="s">
        <v>922</v>
      </c>
      <c r="D53" s="812"/>
      <c r="E53" s="334">
        <v>189</v>
      </c>
      <c r="G53" s="649">
        <v>4</v>
      </c>
      <c r="H53" s="664"/>
      <c r="I53" s="664">
        <v>12</v>
      </c>
      <c r="J53" s="651">
        <v>16</v>
      </c>
      <c r="K53" s="647">
        <f t="shared" si="1"/>
        <v>25</v>
      </c>
      <c r="L53" s="647">
        <f t="shared" si="4"/>
        <v>0</v>
      </c>
      <c r="M53" s="647">
        <f t="shared" si="2"/>
        <v>75</v>
      </c>
      <c r="N53" s="650">
        <f t="shared" si="3"/>
        <v>100</v>
      </c>
      <c r="O53" s="646">
        <v>23.33</v>
      </c>
      <c r="P53" s="647"/>
      <c r="Q53" s="647">
        <v>33.33</v>
      </c>
      <c r="R53" s="648">
        <f t="shared" si="0"/>
        <v>56.66</v>
      </c>
      <c r="S53" s="334">
        <v>2</v>
      </c>
      <c r="T53" s="357"/>
      <c r="U53" s="335"/>
      <c r="V53" s="343" t="s">
        <v>920</v>
      </c>
      <c r="W53" s="334" t="s">
        <v>97</v>
      </c>
      <c r="X53" s="334" t="s">
        <v>12</v>
      </c>
      <c r="Y53" s="344">
        <v>33.299999999999997</v>
      </c>
      <c r="Z53" s="334" t="s">
        <v>896</v>
      </c>
      <c r="AA53" s="334" t="s">
        <v>27</v>
      </c>
      <c r="AB53" s="334" t="s">
        <v>11</v>
      </c>
      <c r="AC53" s="334">
        <v>13.3</v>
      </c>
      <c r="AD53" s="343" t="s">
        <v>914</v>
      </c>
      <c r="AE53" s="334" t="s">
        <v>307</v>
      </c>
      <c r="AF53" s="334" t="s">
        <v>11</v>
      </c>
      <c r="AG53" s="344">
        <v>10</v>
      </c>
      <c r="AL53" s="343"/>
      <c r="AO53" s="344"/>
      <c r="AP53" s="343"/>
      <c r="AS53" s="344"/>
      <c r="AW53" s="344"/>
      <c r="BA53" s="345"/>
    </row>
    <row r="54" spans="1:53" s="208" customFormat="1" x14ac:dyDescent="0.15">
      <c r="A54" s="208">
        <v>2010</v>
      </c>
      <c r="B54" s="121">
        <v>40368</v>
      </c>
      <c r="C54" s="811" t="s">
        <v>915</v>
      </c>
      <c r="D54" s="811"/>
      <c r="E54" s="208">
        <f xml:space="preserve"> 365-E53</f>
        <v>176</v>
      </c>
      <c r="F54" s="208">
        <v>1</v>
      </c>
      <c r="G54" s="600">
        <v>7</v>
      </c>
      <c r="H54" s="663">
        <v>8</v>
      </c>
      <c r="I54" s="663"/>
      <c r="J54" s="602">
        <v>15</v>
      </c>
      <c r="K54" s="597">
        <f t="shared" si="1"/>
        <v>46.666666666666664</v>
      </c>
      <c r="L54" s="597">
        <f t="shared" si="4"/>
        <v>53.333333333333336</v>
      </c>
      <c r="M54" s="597">
        <f t="shared" si="2"/>
        <v>0</v>
      </c>
      <c r="N54" s="601">
        <f t="shared" si="3"/>
        <v>100</v>
      </c>
      <c r="O54" s="596">
        <v>24</v>
      </c>
      <c r="P54" s="597">
        <v>28.66</v>
      </c>
      <c r="Q54" s="597"/>
      <c r="R54" s="598">
        <f t="shared" si="0"/>
        <v>52.66</v>
      </c>
      <c r="S54" s="208">
        <v>2</v>
      </c>
      <c r="T54" s="95">
        <v>40341</v>
      </c>
      <c r="U54" s="121">
        <v>40368</v>
      </c>
      <c r="V54" s="82" t="s">
        <v>913</v>
      </c>
      <c r="W54" s="208" t="s">
        <v>82</v>
      </c>
      <c r="X54" s="208" t="s">
        <v>18</v>
      </c>
      <c r="Y54" s="83">
        <v>18.7</v>
      </c>
      <c r="Z54" s="208" t="s">
        <v>916</v>
      </c>
      <c r="AA54" s="208" t="s">
        <v>918</v>
      </c>
      <c r="AB54" s="208" t="s">
        <v>11</v>
      </c>
      <c r="AC54" s="208">
        <v>14.7</v>
      </c>
      <c r="AD54" s="82" t="s">
        <v>901</v>
      </c>
      <c r="AE54" s="208" t="s">
        <v>17</v>
      </c>
      <c r="AF54" s="208" t="s">
        <v>18</v>
      </c>
      <c r="AG54" s="83">
        <v>10</v>
      </c>
      <c r="AH54" s="208" t="s">
        <v>917</v>
      </c>
      <c r="AI54" s="208" t="s">
        <v>919</v>
      </c>
      <c r="AJ54" s="208" t="s">
        <v>11</v>
      </c>
      <c r="AK54" s="208">
        <v>9.3000000000000007</v>
      </c>
      <c r="AL54" s="82"/>
      <c r="AO54" s="83"/>
      <c r="AP54" s="82"/>
      <c r="AS54" s="83"/>
      <c r="AW54" s="83"/>
      <c r="BA54" s="84"/>
    </row>
    <row r="55" spans="1:53" s="208" customFormat="1" x14ac:dyDescent="0.15">
      <c r="A55" s="208">
        <v>2011</v>
      </c>
      <c r="B55" s="121"/>
      <c r="C55" s="811" t="s">
        <v>915</v>
      </c>
      <c r="D55" s="811"/>
      <c r="E55" s="208">
        <v>331</v>
      </c>
      <c r="G55" s="600">
        <v>7</v>
      </c>
      <c r="H55" s="663">
        <v>8</v>
      </c>
      <c r="I55" s="663"/>
      <c r="J55" s="602">
        <v>15</v>
      </c>
      <c r="K55" s="597">
        <f t="shared" ref="K55:K60" si="5">G55/J55*100</f>
        <v>46.666666666666664</v>
      </c>
      <c r="L55" s="597">
        <f t="shared" ref="L55:L60" si="6">H55/J55*100</f>
        <v>53.333333333333336</v>
      </c>
      <c r="M55" s="597">
        <f t="shared" ref="M55:M60" si="7">I55/J55*100</f>
        <v>0</v>
      </c>
      <c r="N55" s="601">
        <f t="shared" si="3"/>
        <v>100</v>
      </c>
      <c r="O55" s="596">
        <v>24</v>
      </c>
      <c r="P55" s="597">
        <v>28.66</v>
      </c>
      <c r="Q55" s="597"/>
      <c r="R55" s="598">
        <f t="shared" si="0"/>
        <v>52.66</v>
      </c>
      <c r="S55" s="208">
        <v>2</v>
      </c>
      <c r="T55" s="81"/>
      <c r="U55" s="121"/>
      <c r="V55" s="82" t="s">
        <v>913</v>
      </c>
      <c r="W55" s="208" t="s">
        <v>82</v>
      </c>
      <c r="X55" s="208" t="s">
        <v>18</v>
      </c>
      <c r="Y55" s="83">
        <v>18.7</v>
      </c>
      <c r="Z55" s="208" t="s">
        <v>916</v>
      </c>
      <c r="AA55" s="208" t="s">
        <v>918</v>
      </c>
      <c r="AB55" s="208" t="s">
        <v>11</v>
      </c>
      <c r="AC55" s="208">
        <v>14.7</v>
      </c>
      <c r="AD55" s="82" t="s">
        <v>901</v>
      </c>
      <c r="AE55" s="208" t="s">
        <v>17</v>
      </c>
      <c r="AF55" s="208" t="s">
        <v>18</v>
      </c>
      <c r="AG55" s="83">
        <v>10</v>
      </c>
      <c r="AH55" s="208" t="s">
        <v>917</v>
      </c>
      <c r="AI55" s="208" t="s">
        <v>919</v>
      </c>
      <c r="AJ55" s="208" t="s">
        <v>11</v>
      </c>
      <c r="AK55" s="208">
        <v>9.3000000000000007</v>
      </c>
      <c r="AL55" s="82"/>
      <c r="AO55" s="83"/>
      <c r="AP55" s="82"/>
      <c r="AS55" s="83"/>
      <c r="AW55" s="83"/>
      <c r="BA55" s="84"/>
    </row>
    <row r="56" spans="1:53" s="208" customFormat="1" x14ac:dyDescent="0.15">
      <c r="A56" s="208">
        <v>2011</v>
      </c>
      <c r="B56" s="154">
        <v>40875</v>
      </c>
      <c r="C56" s="811" t="s">
        <v>915</v>
      </c>
      <c r="D56" s="811"/>
      <c r="E56" s="208">
        <f xml:space="preserve"> 365-E55</f>
        <v>34</v>
      </c>
      <c r="F56" s="129"/>
      <c r="G56" s="600">
        <v>6</v>
      </c>
      <c r="H56" s="663">
        <v>9</v>
      </c>
      <c r="I56" s="663"/>
      <c r="J56" s="602">
        <v>15</v>
      </c>
      <c r="K56" s="597">
        <f t="shared" si="5"/>
        <v>40</v>
      </c>
      <c r="L56" s="597">
        <f t="shared" si="6"/>
        <v>60</v>
      </c>
      <c r="M56" s="597">
        <f t="shared" si="7"/>
        <v>0</v>
      </c>
      <c r="N56" s="601">
        <f t="shared" si="3"/>
        <v>100</v>
      </c>
      <c r="O56" s="596">
        <v>24</v>
      </c>
      <c r="P56" s="597">
        <v>28.66</v>
      </c>
      <c r="Q56" s="597"/>
      <c r="R56" s="598">
        <f t="shared" si="0"/>
        <v>52.66</v>
      </c>
      <c r="S56" s="208">
        <v>2</v>
      </c>
      <c r="T56" s="81"/>
      <c r="U56" s="121"/>
      <c r="V56" s="82" t="s">
        <v>913</v>
      </c>
      <c r="W56" s="208" t="s">
        <v>82</v>
      </c>
      <c r="X56" s="208" t="s">
        <v>18</v>
      </c>
      <c r="Y56" s="83">
        <v>18.7</v>
      </c>
      <c r="Z56" s="208" t="s">
        <v>916</v>
      </c>
      <c r="AA56" s="208" t="s">
        <v>918</v>
      </c>
      <c r="AB56" s="208" t="s">
        <v>11</v>
      </c>
      <c r="AC56" s="208">
        <v>14.7</v>
      </c>
      <c r="AD56" s="82" t="s">
        <v>901</v>
      </c>
      <c r="AE56" s="208" t="s">
        <v>17</v>
      </c>
      <c r="AF56" s="208" t="s">
        <v>18</v>
      </c>
      <c r="AG56" s="83">
        <v>10</v>
      </c>
      <c r="AH56" s="208" t="s">
        <v>917</v>
      </c>
      <c r="AI56" s="208" t="s">
        <v>919</v>
      </c>
      <c r="AJ56" s="208" t="s">
        <v>11</v>
      </c>
      <c r="AK56" s="208">
        <v>9.3000000000000007</v>
      </c>
      <c r="AL56" s="82"/>
      <c r="AO56" s="83"/>
      <c r="AP56" s="82"/>
      <c r="AS56" s="83"/>
      <c r="AW56" s="83"/>
      <c r="BA56" s="84"/>
    </row>
    <row r="57" spans="1:53" s="208" customFormat="1" x14ac:dyDescent="0.15">
      <c r="A57" s="208">
        <v>2012</v>
      </c>
      <c r="B57" s="121"/>
      <c r="C57" s="811" t="s">
        <v>915</v>
      </c>
      <c r="D57" s="811"/>
      <c r="E57" s="208">
        <v>94</v>
      </c>
      <c r="G57" s="600">
        <v>6</v>
      </c>
      <c r="H57" s="663">
        <v>9</v>
      </c>
      <c r="I57" s="663"/>
      <c r="J57" s="602">
        <v>15</v>
      </c>
      <c r="K57" s="597">
        <f t="shared" si="5"/>
        <v>40</v>
      </c>
      <c r="L57" s="597">
        <f t="shared" si="6"/>
        <v>60</v>
      </c>
      <c r="M57" s="597">
        <f t="shared" si="7"/>
        <v>0</v>
      </c>
      <c r="N57" s="601">
        <f t="shared" si="3"/>
        <v>100</v>
      </c>
      <c r="O57" s="596">
        <v>24</v>
      </c>
      <c r="P57" s="597">
        <v>28.66</v>
      </c>
      <c r="Q57" s="597"/>
      <c r="R57" s="598">
        <f t="shared" si="0"/>
        <v>52.66</v>
      </c>
      <c r="S57" s="208">
        <v>2</v>
      </c>
      <c r="T57" s="81"/>
      <c r="U57" s="121"/>
      <c r="V57" s="82" t="s">
        <v>913</v>
      </c>
      <c r="W57" s="208" t="s">
        <v>82</v>
      </c>
      <c r="X57" s="208" t="s">
        <v>18</v>
      </c>
      <c r="Y57" s="83">
        <v>18.7</v>
      </c>
      <c r="Z57" s="208" t="s">
        <v>916</v>
      </c>
      <c r="AA57" s="208" t="s">
        <v>918</v>
      </c>
      <c r="AB57" s="208" t="s">
        <v>11</v>
      </c>
      <c r="AC57" s="208">
        <v>14.7</v>
      </c>
      <c r="AD57" s="82" t="s">
        <v>901</v>
      </c>
      <c r="AE57" s="208" t="s">
        <v>17</v>
      </c>
      <c r="AF57" s="208" t="s">
        <v>18</v>
      </c>
      <c r="AG57" s="83">
        <v>10</v>
      </c>
      <c r="AH57" s="208" t="s">
        <v>917</v>
      </c>
      <c r="AI57" s="208" t="s">
        <v>919</v>
      </c>
      <c r="AJ57" s="208" t="s">
        <v>11</v>
      </c>
      <c r="AK57" s="208">
        <v>9.3000000000000007</v>
      </c>
      <c r="AL57" s="82"/>
      <c r="AO57" s="83"/>
      <c r="AP57" s="82"/>
      <c r="AS57" s="83"/>
      <c r="AW57" s="83"/>
      <c r="BA57" s="84"/>
    </row>
    <row r="58" spans="1:53" s="334" customFormat="1" x14ac:dyDescent="0.15">
      <c r="A58" s="334">
        <v>2012</v>
      </c>
      <c r="B58" s="335">
        <v>41003</v>
      </c>
      <c r="C58" s="844" t="s">
        <v>921</v>
      </c>
      <c r="D58" s="844"/>
      <c r="E58" s="334">
        <f xml:space="preserve"> 366-E57</f>
        <v>272</v>
      </c>
      <c r="F58" s="334">
        <v>1</v>
      </c>
      <c r="G58" s="649"/>
      <c r="H58" s="664"/>
      <c r="I58" s="664">
        <v>15</v>
      </c>
      <c r="J58" s="651">
        <v>15</v>
      </c>
      <c r="K58" s="647">
        <f t="shared" si="5"/>
        <v>0</v>
      </c>
      <c r="L58" s="647">
        <f t="shared" si="6"/>
        <v>0</v>
      </c>
      <c r="M58" s="647">
        <f t="shared" si="7"/>
        <v>100</v>
      </c>
      <c r="N58" s="650">
        <f t="shared" si="3"/>
        <v>100</v>
      </c>
      <c r="O58" s="646"/>
      <c r="P58" s="647"/>
      <c r="Q58" s="647">
        <v>55.3</v>
      </c>
      <c r="R58" s="648">
        <f t="shared" si="0"/>
        <v>55.3</v>
      </c>
      <c r="S58" s="334">
        <v>1</v>
      </c>
      <c r="T58" s="342">
        <v>40978</v>
      </c>
      <c r="U58" s="335">
        <v>41003</v>
      </c>
      <c r="V58" s="343" t="s">
        <v>920</v>
      </c>
      <c r="W58" s="334" t="s">
        <v>97</v>
      </c>
      <c r="X58" s="334" t="s">
        <v>12</v>
      </c>
      <c r="Y58" s="344">
        <v>55.3</v>
      </c>
      <c r="AD58" s="343"/>
      <c r="AG58" s="344"/>
      <c r="AL58" s="343"/>
      <c r="AO58" s="344"/>
      <c r="AP58" s="343"/>
      <c r="AS58" s="344"/>
      <c r="AW58" s="344"/>
      <c r="BA58" s="345"/>
    </row>
    <row r="59" spans="1:53" s="334" customFormat="1" x14ac:dyDescent="0.15">
      <c r="A59" s="334">
        <v>2013</v>
      </c>
      <c r="B59" s="335"/>
      <c r="C59" s="844" t="s">
        <v>921</v>
      </c>
      <c r="D59" s="844"/>
      <c r="E59" s="334">
        <v>0</v>
      </c>
      <c r="G59" s="649"/>
      <c r="H59" s="664"/>
      <c r="I59" s="664">
        <v>15</v>
      </c>
      <c r="J59" s="651">
        <v>15</v>
      </c>
      <c r="K59" s="647">
        <f t="shared" si="5"/>
        <v>0</v>
      </c>
      <c r="L59" s="647">
        <f t="shared" si="6"/>
        <v>0</v>
      </c>
      <c r="M59" s="647">
        <f t="shared" si="7"/>
        <v>100</v>
      </c>
      <c r="N59" s="650">
        <f t="shared" si="3"/>
        <v>100</v>
      </c>
      <c r="O59" s="646"/>
      <c r="P59" s="647"/>
      <c r="Q59" s="647">
        <v>55.3</v>
      </c>
      <c r="R59" s="648">
        <f t="shared" si="0"/>
        <v>55.3</v>
      </c>
      <c r="S59" s="334">
        <v>1</v>
      </c>
      <c r="T59" s="342"/>
      <c r="U59" s="335"/>
      <c r="V59" s="343" t="s">
        <v>920</v>
      </c>
      <c r="W59" s="334" t="s">
        <v>97</v>
      </c>
      <c r="X59" s="334" t="s">
        <v>12</v>
      </c>
      <c r="Y59" s="344">
        <v>55.3</v>
      </c>
      <c r="AD59" s="343"/>
      <c r="AG59" s="344"/>
      <c r="AL59" s="343"/>
      <c r="AO59" s="344"/>
      <c r="AP59" s="343"/>
      <c r="AS59" s="344"/>
      <c r="AW59" s="344"/>
      <c r="BA59" s="345"/>
    </row>
    <row r="60" spans="1:53" s="334" customFormat="1" x14ac:dyDescent="0.15">
      <c r="A60" s="334">
        <v>2013</v>
      </c>
      <c r="B60" s="335"/>
      <c r="C60" s="844" t="s">
        <v>921</v>
      </c>
      <c r="D60" s="844"/>
      <c r="E60" s="334">
        <v>365</v>
      </c>
      <c r="G60" s="649"/>
      <c r="H60" s="664"/>
      <c r="I60" s="664">
        <v>15</v>
      </c>
      <c r="J60" s="651">
        <v>15</v>
      </c>
      <c r="K60" s="647">
        <f t="shared" si="5"/>
        <v>0</v>
      </c>
      <c r="L60" s="647">
        <f t="shared" si="6"/>
        <v>0</v>
      </c>
      <c r="M60" s="647">
        <f t="shared" si="7"/>
        <v>100</v>
      </c>
      <c r="N60" s="650">
        <f t="shared" si="3"/>
        <v>100</v>
      </c>
      <c r="O60" s="646"/>
      <c r="P60" s="647"/>
      <c r="Q60" s="647">
        <v>55.3</v>
      </c>
      <c r="R60" s="648">
        <f t="shared" si="0"/>
        <v>55.3</v>
      </c>
      <c r="S60" s="334">
        <v>1</v>
      </c>
      <c r="T60" s="342"/>
      <c r="U60" s="335"/>
      <c r="V60" s="343" t="s">
        <v>920</v>
      </c>
      <c r="W60" s="334" t="s">
        <v>97</v>
      </c>
      <c r="X60" s="334" t="s">
        <v>12</v>
      </c>
      <c r="Y60" s="344">
        <v>55.3</v>
      </c>
      <c r="AD60" s="343"/>
      <c r="AG60" s="344"/>
      <c r="AL60" s="343"/>
      <c r="AO60" s="344"/>
      <c r="AP60" s="343"/>
      <c r="AS60" s="344"/>
      <c r="AW60" s="344"/>
      <c r="BA60" s="345"/>
    </row>
    <row r="61" spans="1:53" s="664" customFormat="1" x14ac:dyDescent="0.15">
      <c r="A61" s="664">
        <v>2014</v>
      </c>
      <c r="B61" s="335"/>
      <c r="C61" s="844" t="s">
        <v>921</v>
      </c>
      <c r="D61" s="844"/>
      <c r="E61" s="664">
        <v>0</v>
      </c>
      <c r="G61" s="649"/>
      <c r="I61" s="664">
        <v>15</v>
      </c>
      <c r="J61" s="651">
        <v>15</v>
      </c>
      <c r="K61" s="647">
        <f>G61/J61*100</f>
        <v>0</v>
      </c>
      <c r="L61" s="647">
        <f>H61/J61*100</f>
        <v>0</v>
      </c>
      <c r="M61" s="647">
        <f>I61/J61*100</f>
        <v>100</v>
      </c>
      <c r="N61" s="650">
        <f>SUM(K61:M61)</f>
        <v>100</v>
      </c>
      <c r="O61" s="646"/>
      <c r="P61" s="647"/>
      <c r="Q61" s="647">
        <v>55.3</v>
      </c>
      <c r="R61" s="648">
        <f>SUM(O61:Q61)</f>
        <v>55.3</v>
      </c>
      <c r="S61" s="664">
        <v>1</v>
      </c>
      <c r="T61" s="487"/>
      <c r="U61" s="335"/>
      <c r="V61" s="641" t="s">
        <v>920</v>
      </c>
      <c r="W61" s="664" t="s">
        <v>97</v>
      </c>
      <c r="X61" s="664" t="s">
        <v>12</v>
      </c>
      <c r="Y61" s="642">
        <v>55.3</v>
      </c>
      <c r="AD61" s="641"/>
      <c r="AG61" s="642"/>
      <c r="AL61" s="641"/>
      <c r="AO61" s="642"/>
      <c r="AP61" s="641"/>
      <c r="AS61" s="642"/>
      <c r="AW61" s="642"/>
      <c r="BA61" s="643"/>
    </row>
    <row r="62" spans="1:53" s="664" customFormat="1" x14ac:dyDescent="0.15">
      <c r="A62" s="664">
        <v>2014</v>
      </c>
      <c r="B62" s="335"/>
      <c r="C62" s="844" t="s">
        <v>921</v>
      </c>
      <c r="D62" s="844"/>
      <c r="E62" s="664">
        <v>365</v>
      </c>
      <c r="G62" s="649"/>
      <c r="I62" s="664">
        <v>15</v>
      </c>
      <c r="J62" s="651">
        <v>15</v>
      </c>
      <c r="K62" s="647">
        <f>G62/J62*100</f>
        <v>0</v>
      </c>
      <c r="L62" s="647">
        <f>H62/J62*100</f>
        <v>0</v>
      </c>
      <c r="M62" s="647">
        <f>I62/J62*100</f>
        <v>100</v>
      </c>
      <c r="N62" s="650">
        <f>SUM(K62:M62)</f>
        <v>100</v>
      </c>
      <c r="O62" s="646"/>
      <c r="P62" s="647"/>
      <c r="Q62" s="647">
        <v>55.3</v>
      </c>
      <c r="R62" s="648">
        <f>SUM(O62:Q62)</f>
        <v>55.3</v>
      </c>
      <c r="S62" s="664">
        <v>1</v>
      </c>
      <c r="T62" s="487"/>
      <c r="U62" s="335"/>
      <c r="V62" s="641" t="s">
        <v>920</v>
      </c>
      <c r="W62" s="664" t="s">
        <v>97</v>
      </c>
      <c r="X62" s="664" t="s">
        <v>12</v>
      </c>
      <c r="Y62" s="642">
        <v>55.3</v>
      </c>
      <c r="AD62" s="641"/>
      <c r="AG62" s="642"/>
      <c r="AL62" s="641"/>
      <c r="AO62" s="642"/>
      <c r="AP62" s="641"/>
      <c r="AS62" s="642"/>
      <c r="AW62" s="642"/>
      <c r="BA62" s="643"/>
    </row>
    <row r="63" spans="1:53" s="759" customFormat="1" x14ac:dyDescent="0.15">
      <c r="A63" s="759">
        <v>2015</v>
      </c>
      <c r="B63" s="335"/>
      <c r="C63" s="844" t="s">
        <v>921</v>
      </c>
      <c r="D63" s="844"/>
      <c r="E63" s="759">
        <v>0</v>
      </c>
      <c r="G63" s="649"/>
      <c r="I63" s="759">
        <v>15</v>
      </c>
      <c r="J63" s="651">
        <v>15</v>
      </c>
      <c r="K63" s="647">
        <f t="shared" ref="K63:K64" si="8">G63/J63*100</f>
        <v>0</v>
      </c>
      <c r="L63" s="647">
        <f t="shared" ref="L63:L64" si="9">H63/J63*100</f>
        <v>0</v>
      </c>
      <c r="M63" s="647">
        <f t="shared" ref="M63:M64" si="10">I63/J63*100</f>
        <v>100</v>
      </c>
      <c r="N63" s="650">
        <f t="shared" ref="N63:N64" si="11">SUM(K63:M63)</f>
        <v>100</v>
      </c>
      <c r="O63" s="646"/>
      <c r="P63" s="647"/>
      <c r="Q63" s="647">
        <v>55.3</v>
      </c>
      <c r="R63" s="648">
        <f t="shared" ref="R63:R64" si="12">SUM(O63:Q63)</f>
        <v>55.3</v>
      </c>
      <c r="S63" s="759">
        <v>1</v>
      </c>
      <c r="T63" s="487"/>
      <c r="U63" s="335"/>
      <c r="V63" s="641" t="s">
        <v>920</v>
      </c>
      <c r="W63" s="759" t="s">
        <v>97</v>
      </c>
      <c r="X63" s="759" t="s">
        <v>12</v>
      </c>
      <c r="Y63" s="642">
        <v>55.3</v>
      </c>
      <c r="AD63" s="641"/>
      <c r="AG63" s="642"/>
      <c r="AL63" s="641"/>
      <c r="AO63" s="642"/>
      <c r="AP63" s="641"/>
      <c r="AS63" s="642"/>
      <c r="AW63" s="642"/>
      <c r="BA63" s="643"/>
    </row>
    <row r="64" spans="1:53" s="759" customFormat="1" x14ac:dyDescent="0.15">
      <c r="A64" s="759">
        <v>2015</v>
      </c>
      <c r="B64" s="335"/>
      <c r="C64" s="844" t="s">
        <v>921</v>
      </c>
      <c r="D64" s="844"/>
      <c r="E64" s="759">
        <v>365</v>
      </c>
      <c r="G64" s="649"/>
      <c r="I64" s="759">
        <v>15</v>
      </c>
      <c r="J64" s="651">
        <v>15</v>
      </c>
      <c r="K64" s="647">
        <f t="shared" si="8"/>
        <v>0</v>
      </c>
      <c r="L64" s="647">
        <f t="shared" si="9"/>
        <v>0</v>
      </c>
      <c r="M64" s="647">
        <f t="shared" si="10"/>
        <v>100</v>
      </c>
      <c r="N64" s="650">
        <f t="shared" si="11"/>
        <v>100</v>
      </c>
      <c r="O64" s="646"/>
      <c r="P64" s="647"/>
      <c r="Q64" s="647">
        <v>55.3</v>
      </c>
      <c r="R64" s="648">
        <f t="shared" si="12"/>
        <v>55.3</v>
      </c>
      <c r="S64" s="759">
        <v>1</v>
      </c>
      <c r="T64" s="487"/>
      <c r="U64" s="335"/>
      <c r="V64" s="641" t="s">
        <v>920</v>
      </c>
      <c r="W64" s="759" t="s">
        <v>97</v>
      </c>
      <c r="X64" s="759" t="s">
        <v>12</v>
      </c>
      <c r="Y64" s="642">
        <v>55.3</v>
      </c>
      <c r="AD64" s="641"/>
      <c r="AG64" s="642"/>
      <c r="AL64" s="641"/>
      <c r="AO64" s="642"/>
      <c r="AP64" s="641"/>
      <c r="AS64" s="642"/>
      <c r="AW64" s="642"/>
      <c r="BA64" s="643"/>
    </row>
    <row r="65" spans="1:30" x14ac:dyDescent="0.15">
      <c r="B65" s="2"/>
      <c r="C65" s="2"/>
      <c r="D65" s="2"/>
      <c r="E65" s="2"/>
      <c r="F65" s="2"/>
      <c r="G65" s="2"/>
      <c r="H65" s="2"/>
      <c r="I65" s="2"/>
      <c r="J65" s="2"/>
      <c r="K65" s="2"/>
      <c r="L65" s="2"/>
      <c r="M65" s="2"/>
      <c r="N65" s="2"/>
    </row>
    <row r="66" spans="1:30" x14ac:dyDescent="0.15">
      <c r="B66" s="2"/>
      <c r="C66" s="2"/>
      <c r="D66" s="2"/>
      <c r="E66" s="2"/>
      <c r="F66" s="2"/>
      <c r="G66" s="2"/>
      <c r="H66" s="2"/>
      <c r="I66" s="2"/>
      <c r="J66" s="2"/>
      <c r="K66" s="2"/>
      <c r="L66" s="2"/>
      <c r="M66" s="2"/>
      <c r="N66" s="2"/>
    </row>
    <row r="67" spans="1:30" s="2" customFormat="1" ht="18" customHeight="1" x14ac:dyDescent="0.2">
      <c r="B67" s="22" t="s">
        <v>1284</v>
      </c>
    </row>
    <row r="68" spans="1:30" s="2" customFormat="1" ht="9" customHeight="1" x14ac:dyDescent="0.15"/>
    <row r="69" spans="1:30" s="364" customFormat="1" ht="9" customHeight="1" x14ac:dyDescent="0.15">
      <c r="A69" s="362"/>
      <c r="B69" s="363" t="s">
        <v>1235</v>
      </c>
      <c r="C69" s="363"/>
      <c r="D69" s="363"/>
      <c r="E69" s="363"/>
      <c r="F69" s="363"/>
      <c r="G69" s="363" t="s">
        <v>1236</v>
      </c>
      <c r="H69" s="363"/>
      <c r="I69" s="363"/>
      <c r="J69" s="363"/>
      <c r="K69" s="363"/>
      <c r="L69" s="363"/>
      <c r="M69" s="363"/>
      <c r="N69" s="363"/>
      <c r="R69" s="802" t="s">
        <v>1237</v>
      </c>
      <c r="S69" s="802"/>
      <c r="T69" s="802"/>
      <c r="U69" s="802"/>
      <c r="V69" s="802"/>
      <c r="W69" s="802"/>
      <c r="X69" s="365"/>
      <c r="Y69" s="365"/>
      <c r="AA69" s="365"/>
      <c r="AB69" s="365"/>
      <c r="AC69" s="365"/>
      <c r="AD69" s="365"/>
    </row>
    <row r="70" spans="1:30" s="369" customFormat="1" ht="9" customHeight="1" x14ac:dyDescent="0.15">
      <c r="A70" s="366"/>
      <c r="B70" s="367" t="s">
        <v>1239</v>
      </c>
      <c r="C70" s="368"/>
      <c r="D70" s="368"/>
      <c r="E70" s="368"/>
      <c r="F70" s="368"/>
      <c r="G70" s="367" t="s">
        <v>1238</v>
      </c>
      <c r="H70" s="368"/>
      <c r="I70" s="368"/>
      <c r="J70" s="368"/>
      <c r="K70" s="368"/>
      <c r="L70" s="368"/>
      <c r="M70" s="368"/>
      <c r="N70" s="368"/>
      <c r="R70" s="370" t="s">
        <v>1240</v>
      </c>
      <c r="S70" s="371"/>
      <c r="T70" s="372"/>
      <c r="U70" s="372"/>
      <c r="V70" s="372"/>
      <c r="W70" s="370" t="s">
        <v>1241</v>
      </c>
      <c r="X70" s="372"/>
      <c r="Y70" s="372"/>
      <c r="AA70" s="372"/>
      <c r="AB70" s="372"/>
      <c r="AC70" s="372"/>
      <c r="AD70" s="372"/>
    </row>
    <row r="71" spans="1:30" s="351" customFormat="1" ht="12" customHeight="1" x14ac:dyDescent="0.15">
      <c r="A71" s="373" t="s">
        <v>3</v>
      </c>
      <c r="B71" s="374" t="s">
        <v>8</v>
      </c>
      <c r="C71" s="374" t="s">
        <v>9</v>
      </c>
      <c r="D71" s="374" t="s">
        <v>10</v>
      </c>
      <c r="E71" s="375" t="s">
        <v>1215</v>
      </c>
      <c r="F71" s="374"/>
      <c r="G71" s="351" t="s">
        <v>3</v>
      </c>
      <c r="H71" s="803" t="s">
        <v>0</v>
      </c>
      <c r="I71" s="803"/>
      <c r="J71" s="803" t="s">
        <v>1</v>
      </c>
      <c r="K71" s="803"/>
      <c r="L71" s="803" t="s">
        <v>2</v>
      </c>
      <c r="M71" s="803"/>
      <c r="N71" s="804" t="s">
        <v>1215</v>
      </c>
      <c r="O71" s="804"/>
      <c r="P71" s="376"/>
      <c r="Q71" s="376"/>
      <c r="R71" s="377" t="s">
        <v>3</v>
      </c>
      <c r="S71" s="378" t="s">
        <v>136</v>
      </c>
      <c r="T71" s="376" t="s">
        <v>134</v>
      </c>
      <c r="U71" s="374" t="s">
        <v>135</v>
      </c>
      <c r="V71" s="376"/>
      <c r="W71" s="379" t="s">
        <v>26</v>
      </c>
    </row>
    <row r="72" spans="1:30" ht="9" customHeight="1" x14ac:dyDescent="0.15">
      <c r="A72" s="1">
        <v>1990</v>
      </c>
      <c r="B72" s="8">
        <f>(K7*($E7/188))</f>
        <v>65.217391304347828</v>
      </c>
      <c r="C72" s="8">
        <f>(L7*($E7/188))</f>
        <v>34.782608695652172</v>
      </c>
      <c r="D72" s="8">
        <f>(M7*($E7/188))</f>
        <v>0</v>
      </c>
      <c r="E72" s="52">
        <f>B72+C72+D72</f>
        <v>100</v>
      </c>
      <c r="F72" s="12"/>
      <c r="G72" s="12">
        <v>1990</v>
      </c>
      <c r="H72" s="822">
        <f>((O7/$R7*100*($E7/188)))</f>
        <v>63.937282229965156</v>
      </c>
      <c r="I72" s="822"/>
      <c r="J72" s="822">
        <f>((P7/$R7*100*($E7/188)))</f>
        <v>36.062717770034844</v>
      </c>
      <c r="K72" s="822"/>
      <c r="L72" s="822">
        <f>((Q7/$R7*100*($E7/188)))</f>
        <v>0</v>
      </c>
      <c r="M72" s="822"/>
      <c r="N72" s="832">
        <f>H72+J72+L72</f>
        <v>100</v>
      </c>
      <c r="O72" s="832"/>
      <c r="P72" s="12"/>
      <c r="Q72" s="12"/>
      <c r="R72" s="12">
        <v>1990</v>
      </c>
      <c r="S72" s="8">
        <f>(O7*($E7/188))</f>
        <v>36.700000000000003</v>
      </c>
      <c r="T72" s="8">
        <f>(P7*($E7/188))</f>
        <v>20.7</v>
      </c>
      <c r="U72" s="8">
        <f>(Q7*($E7/188))</f>
        <v>0</v>
      </c>
      <c r="V72" s="12"/>
      <c r="W72" s="7">
        <f>S72+T72+U72</f>
        <v>57.400000000000006</v>
      </c>
      <c r="X72" s="68"/>
      <c r="Y72" s="229" t="s">
        <v>1227</v>
      </c>
      <c r="Z72" s="68"/>
    </row>
    <row r="73" spans="1:30" ht="9" customHeight="1" x14ac:dyDescent="0.15">
      <c r="A73" s="1">
        <v>1991</v>
      </c>
      <c r="B73" s="8">
        <f>(K8*($E8/365))+(K9*($E9/365))</f>
        <v>62.203692674210849</v>
      </c>
      <c r="C73" s="8">
        <f>(L8*($E8/365))+(L9*($E9/365))</f>
        <v>37.796307325789158</v>
      </c>
      <c r="D73" s="8">
        <f>(M8*($E8/365))+(M9*($E9/365))</f>
        <v>0</v>
      </c>
      <c r="E73" s="52">
        <f>B73+C73+D73</f>
        <v>100</v>
      </c>
      <c r="F73" s="12"/>
      <c r="G73" s="12">
        <v>1991</v>
      </c>
      <c r="H73" s="822">
        <f>(O8/$R8*100*($E8/365))+(O9/$R9*100*($E9/365))</f>
        <v>63.937282229965163</v>
      </c>
      <c r="I73" s="822"/>
      <c r="J73" s="822">
        <f>(P8/$R8*100*($E8/365))+(P9/$R9*100*($E9/365))</f>
        <v>36.062717770034844</v>
      </c>
      <c r="K73" s="822"/>
      <c r="L73" s="822">
        <f>(Q8/$R8*100*($E8/365))+(Q9/$R9*100*($E9/365))</f>
        <v>0</v>
      </c>
      <c r="M73" s="822"/>
      <c r="N73" s="832">
        <f>H73+J73+L73</f>
        <v>100</v>
      </c>
      <c r="O73" s="832"/>
      <c r="P73" s="12"/>
      <c r="Q73" s="12"/>
      <c r="R73" s="12">
        <v>1991</v>
      </c>
      <c r="S73" s="8">
        <f>(O8*($E8/365))+(O9*($E9/365))</f>
        <v>36.700000000000003</v>
      </c>
      <c r="T73" s="8">
        <f>(P8*($E8/365))+(P9*($E9/365))</f>
        <v>20.700000000000003</v>
      </c>
      <c r="U73" s="8">
        <f>(Q8*($E8/365))+(Q9*($E9/365))</f>
        <v>0</v>
      </c>
      <c r="V73" s="12"/>
      <c r="W73" s="7">
        <f>S73+T73+U73</f>
        <v>57.400000000000006</v>
      </c>
      <c r="X73" s="68"/>
      <c r="Y73" s="68"/>
      <c r="Z73" s="68"/>
    </row>
    <row r="74" spans="1:30" ht="9" customHeight="1" x14ac:dyDescent="0.15">
      <c r="A74" s="1">
        <v>1992</v>
      </c>
      <c r="B74" s="8">
        <f>(K10*($E10/366))+(K11*($E11/366))</f>
        <v>81.290092658588748</v>
      </c>
      <c r="C74" s="8">
        <f>(L10*($E10/366))+(L11*($E11/366))</f>
        <v>18.70990734141126</v>
      </c>
      <c r="D74" s="8">
        <f>(M10*($E10/366))+(M11*($E11/366))</f>
        <v>0</v>
      </c>
      <c r="E74" s="52">
        <f>B74+C74+D74</f>
        <v>100</v>
      </c>
      <c r="F74" s="12"/>
      <c r="G74" s="12">
        <v>1992</v>
      </c>
      <c r="H74" s="822">
        <f>(O10/$R10*100*($E10/366))+(O11/$R11*100*($E11/366))</f>
        <v>82.756897241103559</v>
      </c>
      <c r="I74" s="822"/>
      <c r="J74" s="822">
        <f>(P10/$R10*100*($E10/366))+(P11/$R11*100*($E11/366))</f>
        <v>17.243102758896441</v>
      </c>
      <c r="K74" s="822"/>
      <c r="L74" s="822">
        <f>(Q10/$R10*100*($E10/366))+(Q11/$R11*100*($E11/366))</f>
        <v>0</v>
      </c>
      <c r="M74" s="822"/>
      <c r="N74" s="832">
        <f>H74+J74+L74</f>
        <v>100</v>
      </c>
      <c r="O74" s="832"/>
      <c r="P74" s="12"/>
      <c r="Q74" s="12"/>
      <c r="R74" s="12">
        <v>1992</v>
      </c>
      <c r="S74" s="8">
        <f>(O10*($E10/366))+(O11*($E11/366))</f>
        <v>48.49398907103825</v>
      </c>
      <c r="T74" s="8">
        <f>(P10*($E10/366))+(P11*($E11/366))</f>
        <v>9.8975409836065573</v>
      </c>
      <c r="U74" s="8">
        <f>(Q10*($E10/366))+(Q11*($E11/366))</f>
        <v>0</v>
      </c>
      <c r="V74" s="12"/>
      <c r="W74" s="7">
        <f>S74+T74+U74</f>
        <v>58.391530054644804</v>
      </c>
    </row>
    <row r="75" spans="1:30" ht="9" customHeight="1" x14ac:dyDescent="0.15">
      <c r="A75" s="1">
        <v>1993</v>
      </c>
      <c r="B75" s="8">
        <f>(K12*($E12/365))+(K13*($E13/365))+(K14*($E14/365))+(K15*($E15/365))</f>
        <v>100</v>
      </c>
      <c r="C75" s="8">
        <f>(L12*($E12/365))+(L13*($E13/365))+(L14*($E14/365))+(L15*($E15/365))</f>
        <v>0</v>
      </c>
      <c r="D75" s="8">
        <f>(M12*($E12/365))+(M13*($E13/365))+(M14*($E14/365))+(M15*($E15/365))</f>
        <v>0</v>
      </c>
      <c r="E75" s="52">
        <f t="shared" ref="E75:E94" si="13">B75+C75+D75</f>
        <v>100</v>
      </c>
      <c r="F75" s="12"/>
      <c r="G75" s="12">
        <v>1993</v>
      </c>
      <c r="H75" s="822">
        <f>(O12/$R12*100*($E12/365))+(O13/$R13*100*($E13/365))+(O14/$R14*100*($E14/365))+(O15/$R15*100*($E15/365))</f>
        <v>100</v>
      </c>
      <c r="I75" s="822"/>
      <c r="J75" s="822">
        <f>(P12/$R12*100*($E12/365))+(P13/$R13*100*($E13/365))+(P14/$R14*100*($E14/365))+(P15/$R15*100*($E15/365))</f>
        <v>0</v>
      </c>
      <c r="K75" s="822"/>
      <c r="L75" s="822">
        <f>(Q12/$R12*100*($E12/365))+(Q13/$R13*100*($E13/365))+(Q14/$R14*100*($E14/365))+(Q15/$R15*100*($E15/365))</f>
        <v>0</v>
      </c>
      <c r="M75" s="822"/>
      <c r="N75" s="832">
        <f t="shared" ref="N75:N94" si="14">H75+J75+L75</f>
        <v>100</v>
      </c>
      <c r="O75" s="832"/>
      <c r="P75" s="12"/>
      <c r="Q75" s="12"/>
      <c r="R75" s="12">
        <v>1993</v>
      </c>
      <c r="S75" s="8">
        <f>(O12*($E12/365))+(O13*($E13/365))+(O14*($E14/365))+(O15*($E15/365))</f>
        <v>52.642465753424666</v>
      </c>
      <c r="T75" s="8">
        <f>(P12*($E12/365))+(P13*($E13/365))+(P14*($E14/365))+(P15*($E15/365))</f>
        <v>0</v>
      </c>
      <c r="U75" s="8">
        <f>(Q12*($E12/365))+(Q13*($E13/365))+(Q14*($E14/365))+(Q15*($E15/365))</f>
        <v>0</v>
      </c>
      <c r="V75" s="12"/>
      <c r="W75" s="7">
        <f t="shared" ref="W75:W94" si="15">S75+T75+U75</f>
        <v>52.642465753424666</v>
      </c>
    </row>
    <row r="76" spans="1:30" ht="9" customHeight="1" x14ac:dyDescent="0.15">
      <c r="A76" s="1">
        <v>1994</v>
      </c>
      <c r="B76" s="8">
        <f>(K16*($E16/365))+(K17*($E17/365))+(K18*($E18/365))</f>
        <v>49.284627092846264</v>
      </c>
      <c r="C76" s="8">
        <f>(L16*($E16/365))+(L17*($E17/365))+(L18*($E18/365))</f>
        <v>20.624048706240487</v>
      </c>
      <c r="D76" s="8">
        <f>(M16*($E16/365))+(M17*($E17/365))+(M18*($E18/365))</f>
        <v>30.091324200913242</v>
      </c>
      <c r="E76" s="52">
        <f t="shared" si="13"/>
        <v>100</v>
      </c>
      <c r="F76" s="12"/>
      <c r="G76" s="12">
        <v>1994</v>
      </c>
      <c r="H76" s="822">
        <f>(O16/$R16*100*($E16/365))+(O17/$R17*100*($E17/365))+(O18/$R18*100*($E18/365))</f>
        <v>47.081333802262606</v>
      </c>
      <c r="I76" s="822"/>
      <c r="J76" s="822">
        <f>(P16/$R16*100*($E16/365))+(P17/$R17*100*($E17/365))+(P18/$R18*100*($E18/365))</f>
        <v>19.976657042815894</v>
      </c>
      <c r="K76" s="822"/>
      <c r="L76" s="822">
        <f>(Q16/$R16*100*($E16/365))+(Q17/$R17*100*($E17/365))+(Q18/$R18*100*($E18/365))</f>
        <v>32.942009154921493</v>
      </c>
      <c r="M76" s="822"/>
      <c r="N76" s="832">
        <f t="shared" si="14"/>
        <v>100</v>
      </c>
      <c r="O76" s="832"/>
      <c r="P76" s="12"/>
      <c r="Q76" s="12"/>
      <c r="R76" s="12">
        <v>1994</v>
      </c>
      <c r="S76" s="8">
        <f>(O16*($E16/365))+(O17*($E17/365))+(O18*($E18/365))</f>
        <v>24.445205479452053</v>
      </c>
      <c r="T76" s="8">
        <f>(P16*($E16/365))+(P17*($E17/365))+(P18*($E18/365))</f>
        <v>8.9095890410958898</v>
      </c>
      <c r="U76" s="8">
        <f>(Q16*($E16/365))+(Q17*($E17/365))+(Q18*($E18/365))</f>
        <v>14.773424657534246</v>
      </c>
      <c r="V76" s="12"/>
      <c r="W76" s="7">
        <f t="shared" si="15"/>
        <v>48.12821917808219</v>
      </c>
    </row>
    <row r="77" spans="1:30" ht="9" customHeight="1" x14ac:dyDescent="0.15">
      <c r="A77" s="1">
        <v>1995</v>
      </c>
      <c r="B77" s="8">
        <f>(K19*($E19/365))+(K20*($E20/365))</f>
        <v>77.777777777777786</v>
      </c>
      <c r="C77" s="8">
        <f>(L19*($E19/365))+(L20*($E20/365))</f>
        <v>0</v>
      </c>
      <c r="D77" s="8">
        <f>(M19*($E19/365))+(M20*($E20/365))</f>
        <v>22.222222222222221</v>
      </c>
      <c r="E77" s="52">
        <f t="shared" si="13"/>
        <v>100</v>
      </c>
      <c r="F77" s="12"/>
      <c r="G77" s="12">
        <v>1995</v>
      </c>
      <c r="H77" s="822">
        <f>(O19/$R19*100*($E19/365))+(O20/$R20*100*($E20/365))</f>
        <v>85.164835164835168</v>
      </c>
      <c r="I77" s="822"/>
      <c r="J77" s="822">
        <f>(P19/$R19*100*($E19/365))+(P20/$R20*100*($E20/365))</f>
        <v>0</v>
      </c>
      <c r="K77" s="822"/>
      <c r="L77" s="822">
        <f>(Q19/$R19*100*($E19/365))+(Q20/$R20*100*($E20/365))</f>
        <v>14.835164835164836</v>
      </c>
      <c r="M77" s="822"/>
      <c r="N77" s="832">
        <f t="shared" si="14"/>
        <v>100</v>
      </c>
      <c r="O77" s="832"/>
      <c r="P77" s="12"/>
      <c r="Q77" s="12"/>
      <c r="R77" s="12">
        <v>1995</v>
      </c>
      <c r="S77" s="8">
        <f>(O19*($E19/365))+(O20*($E20/365))</f>
        <v>46.5</v>
      </c>
      <c r="T77" s="8">
        <f>(P19*($E19/365))+(P20*($E20/365))</f>
        <v>0</v>
      </c>
      <c r="U77" s="8">
        <f>(Q19*($E19/365))+(Q20*($E20/365))</f>
        <v>8.1</v>
      </c>
      <c r="V77" s="12"/>
      <c r="W77" s="7">
        <f t="shared" si="15"/>
        <v>54.6</v>
      </c>
    </row>
    <row r="78" spans="1:30" ht="9" customHeight="1" x14ac:dyDescent="0.15">
      <c r="A78" s="1">
        <v>1996</v>
      </c>
      <c r="B78" s="8">
        <f>(K21*($E21/366))+(K22*($E22/366))</f>
        <v>77.777777777777786</v>
      </c>
      <c r="C78" s="8">
        <f>(L21*($E21/366))+(L22*($E22/366))</f>
        <v>0</v>
      </c>
      <c r="D78" s="8">
        <f>(M21*($E21/366))+(M22*($E22/366))</f>
        <v>22.222222222222221</v>
      </c>
      <c r="E78" s="52">
        <f t="shared" si="13"/>
        <v>100</v>
      </c>
      <c r="F78" s="12"/>
      <c r="G78" s="12">
        <v>1996</v>
      </c>
      <c r="H78" s="822">
        <f>(O21/$R21*100*($E21/366))+(O22/$R22*100*($E22/366))</f>
        <v>85.164835164835168</v>
      </c>
      <c r="I78" s="822"/>
      <c r="J78" s="822">
        <f>(P21/$R21*100*($E21/366))+(P22/$R22*100*($E22/366))</f>
        <v>0</v>
      </c>
      <c r="K78" s="822"/>
      <c r="L78" s="822">
        <f>(Q21/$R21*100*($E21/366))+(Q22/$R22*100*($E22/366))</f>
        <v>14.835164835164836</v>
      </c>
      <c r="M78" s="822"/>
      <c r="N78" s="832">
        <f t="shared" si="14"/>
        <v>100</v>
      </c>
      <c r="O78" s="832"/>
      <c r="P78" s="12"/>
      <c r="Q78" s="12"/>
      <c r="R78" s="12">
        <v>1996</v>
      </c>
      <c r="S78" s="8">
        <f>(O21*($E21/366))+(O22*($E22/366))</f>
        <v>46.5</v>
      </c>
      <c r="T78" s="8">
        <f>(P21*($E21/366))+(P22*($E22/366))</f>
        <v>0</v>
      </c>
      <c r="U78" s="8">
        <f>(Q21*($E21/366))+(Q22*($E22/366))</f>
        <v>8.1</v>
      </c>
      <c r="V78" s="12"/>
      <c r="W78" s="7">
        <f t="shared" si="15"/>
        <v>54.6</v>
      </c>
    </row>
    <row r="79" spans="1:30" ht="9" customHeight="1" x14ac:dyDescent="0.15">
      <c r="A79" s="1">
        <v>1997</v>
      </c>
      <c r="B79" s="8">
        <f>(K23*($E23/365))+(K24*($E24/365))</f>
        <v>77.777777777777786</v>
      </c>
      <c r="C79" s="8">
        <f>(L23*($E23/365))+(L24*($E24/365))</f>
        <v>0</v>
      </c>
      <c r="D79" s="8">
        <f>(M23*($E23/365))+(M24*($E24/365))</f>
        <v>22.222222222222221</v>
      </c>
      <c r="E79" s="52">
        <f t="shared" si="13"/>
        <v>100</v>
      </c>
      <c r="F79" s="12"/>
      <c r="G79" s="12">
        <v>1997</v>
      </c>
      <c r="H79" s="822">
        <f>(O23/$R23*100*($E23/365))+(O24/$R24*100*($E24/365))</f>
        <v>85.164835164835168</v>
      </c>
      <c r="I79" s="822"/>
      <c r="J79" s="822">
        <f>(P23/$R23*100*($E23/365))+(P24/$R24*100*($E24/365))</f>
        <v>0</v>
      </c>
      <c r="K79" s="822"/>
      <c r="L79" s="822">
        <f>(Q23/$R23*100*($E23/365))+(Q24/$R24*100*($E24/365))</f>
        <v>14.835164835164836</v>
      </c>
      <c r="M79" s="822"/>
      <c r="N79" s="832">
        <f t="shared" si="14"/>
        <v>100</v>
      </c>
      <c r="O79" s="832"/>
      <c r="P79" s="12"/>
      <c r="Q79" s="12"/>
      <c r="R79" s="12">
        <v>1997</v>
      </c>
      <c r="S79" s="8">
        <f>(O23*($E23/365))+(O24*($E24/365))</f>
        <v>46.5</v>
      </c>
      <c r="T79" s="8">
        <f>(P23*($E23/365))+(P24*($E24/365))</f>
        <v>0</v>
      </c>
      <c r="U79" s="8">
        <f>(Q23*($E23/365))+(Q24*($E24/365))</f>
        <v>8.1</v>
      </c>
      <c r="V79" s="12"/>
      <c r="W79" s="7">
        <f t="shared" si="15"/>
        <v>54.6</v>
      </c>
    </row>
    <row r="80" spans="1:30" ht="9" customHeight="1" x14ac:dyDescent="0.15">
      <c r="A80" s="1">
        <v>1998</v>
      </c>
      <c r="B80" s="8">
        <f>(K25*($E25/365))+(K26*($E26/365))+(K27*($E27/365))+(K28*($E28/365))</f>
        <v>70.742770167427707</v>
      </c>
      <c r="C80" s="8">
        <f>(L25*($E25/365))+(L26*($E26/365))+(L27*($E27/365))+(L28*($E28/365))</f>
        <v>1.3150684931506849</v>
      </c>
      <c r="D80" s="8">
        <f>(M25*($E25/365))+(M26*($E26/365))+(M27*($E27/365))+(M28*($E28/365))</f>
        <v>23.741248097412477</v>
      </c>
      <c r="E80" s="52">
        <f t="shared" si="13"/>
        <v>95.799086757990878</v>
      </c>
      <c r="F80" s="12"/>
      <c r="G80" s="12">
        <v>1998</v>
      </c>
      <c r="H80" s="822">
        <f>(O25/$R25*100*($E25/365))+(O26/$R26*100*($E26/365))+(O27/$R27*100*($E27/365))+(O28/$R28*100*($E28/365))</f>
        <v>82.887900433636176</v>
      </c>
      <c r="I80" s="822"/>
      <c r="J80" s="822">
        <f>(P25/$R25*100*($E25/365))+(P26/$R26*100*($E26/365))+(P27/$R27*100*($E27/365))+(P28/$R28*100*($E28/365))</f>
        <v>1.4140521431727795</v>
      </c>
      <c r="K80" s="822"/>
      <c r="L80" s="822">
        <f>(Q25/$R25*100*($E25/365))+(Q26/$R26*100*($E26/365))+(Q27/$R27*100*($E27/365))+(Q28/$R28*100*($E28/365))</f>
        <v>15.69804742319104</v>
      </c>
      <c r="M80" s="822"/>
      <c r="N80" s="832">
        <f t="shared" si="14"/>
        <v>100</v>
      </c>
      <c r="O80" s="832"/>
      <c r="P80" s="12"/>
      <c r="Q80" s="12"/>
      <c r="R80" s="12">
        <v>1998</v>
      </c>
      <c r="S80" s="8">
        <f>(O25*($E25/365))+(O26*($E26/365))+(O27*($E27/365))+(O28*($E28/365))</f>
        <v>45.640821917808211</v>
      </c>
      <c r="T80" s="8">
        <f>(P25*($E25/365))+(P26*($E26/365))+(P27*($E27/365))+(P28*($E28/365))</f>
        <v>0.87671232876712324</v>
      </c>
      <c r="U80" s="8">
        <f>(Q25*($E25/365))+(Q26*($E26/365))+(Q27*($E27/365))+(Q28*($E28/365))</f>
        <v>8.731232876712328</v>
      </c>
      <c r="V80" s="12"/>
      <c r="W80" s="7">
        <f t="shared" si="15"/>
        <v>55.248767123287664</v>
      </c>
    </row>
    <row r="81" spans="1:23" ht="9" customHeight="1" x14ac:dyDescent="0.15">
      <c r="A81" s="1">
        <v>1999</v>
      </c>
      <c r="B81" s="8">
        <f>(K29*($E29/365))+(K30*($E30/365))</f>
        <v>55.000000000000007</v>
      </c>
      <c r="C81" s="8">
        <f>(L29*($E29/365))+(L30*($E30/365))</f>
        <v>15</v>
      </c>
      <c r="D81" s="8">
        <f>(M29*($E29/365))+(M30*($E30/365))</f>
        <v>30</v>
      </c>
      <c r="E81" s="52">
        <f t="shared" si="13"/>
        <v>100</v>
      </c>
      <c r="F81" s="12"/>
      <c r="G81" s="12">
        <v>1999</v>
      </c>
      <c r="H81" s="822">
        <f>(O29/$R29*100*($E29/365))+(O30/$R30*100*($E30/365))</f>
        <v>59.193548387096783</v>
      </c>
      <c r="I81" s="822"/>
      <c r="J81" s="822">
        <f>(P29/$R29*100*($E29/365))+(P30/$R30*100*($E30/365))</f>
        <v>16.129032258064516</v>
      </c>
      <c r="K81" s="822"/>
      <c r="L81" s="822">
        <f>(Q29/$R29*100*($E29/365))+(Q30/$R30*100*($E30/365))</f>
        <v>24.677419354838712</v>
      </c>
      <c r="M81" s="822"/>
      <c r="N81" s="832">
        <f t="shared" si="14"/>
        <v>100</v>
      </c>
      <c r="O81" s="832"/>
      <c r="P81" s="12"/>
      <c r="Q81" s="12"/>
      <c r="R81" s="12">
        <v>1999</v>
      </c>
      <c r="S81" s="8">
        <f>(O29*($E29/365))+(O30*($E30/365))</f>
        <v>36.700000000000003</v>
      </c>
      <c r="T81" s="8">
        <f>(P29*($E29/365))+(P30*($E30/365))</f>
        <v>10</v>
      </c>
      <c r="U81" s="8">
        <f>(Q29*($E29/365))+(Q30*($E30/365))</f>
        <v>15.3</v>
      </c>
      <c r="V81" s="12"/>
      <c r="W81" s="7">
        <f t="shared" si="15"/>
        <v>62</v>
      </c>
    </row>
    <row r="82" spans="1:23" ht="9" customHeight="1" x14ac:dyDescent="0.15">
      <c r="A82" s="1">
        <v>2000</v>
      </c>
      <c r="B82" s="8">
        <f>(K31*($E31/366))+(K32*($E32/366))</f>
        <v>55.000000000000007</v>
      </c>
      <c r="C82" s="8">
        <f>(L31*($E31/366))+(L32*($E32/366))</f>
        <v>15</v>
      </c>
      <c r="D82" s="8">
        <f>(M31*($E31/366))+(M32*($E32/366))</f>
        <v>30</v>
      </c>
      <c r="E82" s="52">
        <f t="shared" si="13"/>
        <v>100</v>
      </c>
      <c r="F82" s="12"/>
      <c r="G82" s="12">
        <v>2000</v>
      </c>
      <c r="H82" s="822">
        <f>(O31/$R31*100*($E31/366))+(O32/$R32*100*($E32/366))</f>
        <v>59.193548387096783</v>
      </c>
      <c r="I82" s="822"/>
      <c r="J82" s="822">
        <f>(P31/$R31*100*($E31/366))+(P32/$R32*100*($E32/366))</f>
        <v>16.129032258064516</v>
      </c>
      <c r="K82" s="822"/>
      <c r="L82" s="822">
        <f>(Q31/$R31*100*($E31/366))+(Q32/$R32*100*($E32/366))</f>
        <v>24.677419354838712</v>
      </c>
      <c r="M82" s="822"/>
      <c r="N82" s="832">
        <f t="shared" si="14"/>
        <v>100</v>
      </c>
      <c r="O82" s="832"/>
      <c r="P82" s="12"/>
      <c r="Q82" s="12"/>
      <c r="R82" s="12">
        <v>2000</v>
      </c>
      <c r="S82" s="8">
        <f>(O31*($E31/366))+(O32*($E32/366))</f>
        <v>36.700000000000003</v>
      </c>
      <c r="T82" s="8">
        <f>(P31*($E31/366))+(P32*($E32/366))</f>
        <v>10</v>
      </c>
      <c r="U82" s="8">
        <f>(Q31*($E31/366))+(Q32*($E32/366))</f>
        <v>15.3</v>
      </c>
      <c r="V82" s="12"/>
      <c r="W82" s="7">
        <f t="shared" si="15"/>
        <v>62</v>
      </c>
    </row>
    <row r="83" spans="1:23" ht="9" customHeight="1" x14ac:dyDescent="0.15">
      <c r="A83" s="1">
        <v>2001</v>
      </c>
      <c r="B83" s="8">
        <f>(K33*($E33/365))+(K34*($E34/365))</f>
        <v>55.000000000000007</v>
      </c>
      <c r="C83" s="8">
        <f>(L33*($E33/365))+(L34*($E34/365))</f>
        <v>15</v>
      </c>
      <c r="D83" s="8">
        <f>(M33*($E33/365))+(M34*($E34/365))</f>
        <v>30</v>
      </c>
      <c r="E83" s="52">
        <f t="shared" si="13"/>
        <v>100</v>
      </c>
      <c r="F83" s="12"/>
      <c r="G83" s="12">
        <v>2001</v>
      </c>
      <c r="H83" s="822">
        <f>(O33/$R33*100*($E33/365))+(O34/$R34*100*($E34/365))</f>
        <v>59.193548387096783</v>
      </c>
      <c r="I83" s="822"/>
      <c r="J83" s="822">
        <f>(P33/$R33*100*($E33/365))+(P34/$R34*100*($E34/365))</f>
        <v>16.129032258064516</v>
      </c>
      <c r="K83" s="822"/>
      <c r="L83" s="822">
        <f>(Q33/$R33*100*($E33/365))+(Q34/$R34*100*($E34/365))</f>
        <v>24.677419354838712</v>
      </c>
      <c r="M83" s="822"/>
      <c r="N83" s="832">
        <f t="shared" si="14"/>
        <v>100</v>
      </c>
      <c r="O83" s="832"/>
      <c r="P83" s="12"/>
      <c r="Q83" s="12"/>
      <c r="R83" s="12">
        <v>2001</v>
      </c>
      <c r="S83" s="8">
        <f>(O33*($E33/365))+(O34*($E34/365))</f>
        <v>36.700000000000003</v>
      </c>
      <c r="T83" s="8">
        <f>(P33*($E33/365))+(P34*($E34/365))</f>
        <v>10</v>
      </c>
      <c r="U83" s="8">
        <f>(Q33*($E33/365))+(Q34*($E34/365))</f>
        <v>15.3</v>
      </c>
      <c r="V83" s="12"/>
      <c r="W83" s="7">
        <f t="shared" si="15"/>
        <v>62</v>
      </c>
    </row>
    <row r="84" spans="1:23" ht="9" customHeight="1" x14ac:dyDescent="0.15">
      <c r="A84" s="1">
        <v>2002</v>
      </c>
      <c r="B84" s="8">
        <f>(K35*($E35/365))+(K36*($E36/365))</f>
        <v>50.43150684931507</v>
      </c>
      <c r="C84" s="8">
        <f>(L35*($E35/365))+(L36*($E36/365))</f>
        <v>23.349315068493148</v>
      </c>
      <c r="D84" s="8">
        <f>(M35*($E35/365))+(M36*($E36/365))</f>
        <v>26.219178082191778</v>
      </c>
      <c r="E84" s="52">
        <f t="shared" si="13"/>
        <v>100</v>
      </c>
      <c r="F84" s="12"/>
      <c r="G84" s="12">
        <v>2002</v>
      </c>
      <c r="H84" s="822">
        <f>(O35/$R35*100*($E35/365))+(O36/$R36*100*($E36/365))</f>
        <v>54.157143342737697</v>
      </c>
      <c r="I84" s="822"/>
      <c r="J84" s="822">
        <f>(P35/$R35*100*($E35/365))+(P36/$R36*100*($E36/365))</f>
        <v>24.275468234814234</v>
      </c>
      <c r="K84" s="822"/>
      <c r="L84" s="822">
        <f>(Q35/$R35*100*($E35/365))+(Q36/$R36*100*($E36/365))</f>
        <v>21.567388422448079</v>
      </c>
      <c r="M84" s="822"/>
      <c r="N84" s="832">
        <f t="shared" si="14"/>
        <v>100.00000000000001</v>
      </c>
      <c r="O84" s="832"/>
      <c r="P84" s="12"/>
      <c r="Q84" s="12"/>
      <c r="R84" s="12">
        <v>2002</v>
      </c>
      <c r="S84" s="8">
        <f>(O35*($E35/365))+(O36*($E36/365))</f>
        <v>33.335068493150686</v>
      </c>
      <c r="T84" s="8">
        <f>(P35*($E35/365))+(P36*($E36/365))</f>
        <v>14.032876712328768</v>
      </c>
      <c r="U84" s="8">
        <f>(Q35*($E35/365))+(Q36*($E36/365))</f>
        <v>13.371780821917808</v>
      </c>
      <c r="V84" s="12"/>
      <c r="W84" s="7">
        <f t="shared" si="15"/>
        <v>60.739726027397268</v>
      </c>
    </row>
    <row r="85" spans="1:23" ht="9" customHeight="1" x14ac:dyDescent="0.15">
      <c r="A85" s="1">
        <v>2003</v>
      </c>
      <c r="B85" s="8">
        <f>(K37*($E37/365))+(K38*($E38/365))</f>
        <v>18.75</v>
      </c>
      <c r="C85" s="8">
        <f>(L37*($E37/365))+(L38*($E38/365))</f>
        <v>81.25</v>
      </c>
      <c r="D85" s="8">
        <f>(M37*($E37/365))+(M38*($E38/365))</f>
        <v>0</v>
      </c>
      <c r="E85" s="52">
        <f t="shared" si="13"/>
        <v>100</v>
      </c>
      <c r="F85" s="12"/>
      <c r="G85" s="12">
        <v>2003</v>
      </c>
      <c r="H85" s="822">
        <f>(O37/$R37*100*($E37/365))+(O38/$R38*100*($E38/365))</f>
        <v>19.230769230769234</v>
      </c>
      <c r="I85" s="822"/>
      <c r="J85" s="822">
        <f>(P37/$R37*100*($E37/365))+(P38/$R38*100*($E38/365))</f>
        <v>80.769230769230774</v>
      </c>
      <c r="K85" s="822"/>
      <c r="L85" s="822">
        <f>(Q37/$R37*100*($E37/365))+(Q38/$R38*100*($E38/365))</f>
        <v>0</v>
      </c>
      <c r="M85" s="822"/>
      <c r="N85" s="832">
        <f t="shared" si="14"/>
        <v>100</v>
      </c>
      <c r="O85" s="832"/>
      <c r="P85" s="12"/>
      <c r="Q85" s="12"/>
      <c r="R85" s="12">
        <v>2003</v>
      </c>
      <c r="S85" s="8">
        <f>(O37*($E37/365))+(O38*($E38/365))</f>
        <v>10</v>
      </c>
      <c r="T85" s="8">
        <f>(P37*($E37/365))+(P38*($E38/365))</f>
        <v>42</v>
      </c>
      <c r="U85" s="8">
        <f>(Q37*($E37/365))+(Q38*($E38/365))</f>
        <v>0</v>
      </c>
      <c r="V85" s="12"/>
      <c r="W85" s="7">
        <f t="shared" si="15"/>
        <v>52</v>
      </c>
    </row>
    <row r="86" spans="1:23" ht="9" customHeight="1" x14ac:dyDescent="0.15">
      <c r="A86" s="1">
        <v>2004</v>
      </c>
      <c r="B86" s="8">
        <f>(K39*($E39/366))+(K40*($E40/366))</f>
        <v>18.75</v>
      </c>
      <c r="C86" s="8">
        <f>(L39*($E39/366))+(L40*($E40/366))</f>
        <v>81.25</v>
      </c>
      <c r="D86" s="8">
        <f>(M39*($E39/366))+(M40*($E40/366))</f>
        <v>0</v>
      </c>
      <c r="E86" s="52">
        <f t="shared" si="13"/>
        <v>100</v>
      </c>
      <c r="F86" s="12"/>
      <c r="G86" s="12">
        <v>2004</v>
      </c>
      <c r="H86" s="822">
        <f>(O39/$R39*100*($E39/366))+(O40/$R40*100*($E40/366))</f>
        <v>19.230769230769234</v>
      </c>
      <c r="I86" s="822"/>
      <c r="J86" s="822">
        <f>(P39/$R39*100*($E39/366))+(P40/$R40*100*($E40/366))</f>
        <v>80.769230769230774</v>
      </c>
      <c r="K86" s="822"/>
      <c r="L86" s="822">
        <f>(Q39/$R39*100*($E39/366))+(Q40/$R40*100*($E40/366))</f>
        <v>0</v>
      </c>
      <c r="M86" s="822"/>
      <c r="N86" s="832">
        <f t="shared" si="14"/>
        <v>100</v>
      </c>
      <c r="O86" s="832"/>
      <c r="P86" s="12"/>
      <c r="Q86" s="12"/>
      <c r="R86" s="12">
        <v>2004</v>
      </c>
      <c r="S86" s="8">
        <f>(O39*($E39/366))+(O40*($E40/366))</f>
        <v>10</v>
      </c>
      <c r="T86" s="8">
        <f>(P39*($E39/366))+(P40*($E40/366))</f>
        <v>42</v>
      </c>
      <c r="U86" s="8">
        <f>(Q39*($E39/366))+(Q40*($E40/366))</f>
        <v>0</v>
      </c>
      <c r="V86" s="12"/>
      <c r="W86" s="7">
        <f t="shared" si="15"/>
        <v>52</v>
      </c>
    </row>
    <row r="87" spans="1:23" ht="9" customHeight="1" x14ac:dyDescent="0.15">
      <c r="A87" s="1">
        <v>2005</v>
      </c>
      <c r="B87" s="8">
        <f>(K41*($E41/365))+(K42*($E42/365))</f>
        <v>18.75</v>
      </c>
      <c r="C87" s="8">
        <f>(L41*($E41/365))+(L42*($E42/365))</f>
        <v>81.25</v>
      </c>
      <c r="D87" s="8">
        <f>(M41*($E41/365))+(M42*($E42/365))</f>
        <v>0</v>
      </c>
      <c r="E87" s="52">
        <f t="shared" si="13"/>
        <v>100</v>
      </c>
      <c r="F87" s="12"/>
      <c r="G87" s="12">
        <v>2005</v>
      </c>
      <c r="H87" s="822">
        <f>(O41/$R41*100*($E41/365))+(O42/$R42*100*($E42/365))</f>
        <v>19.230769230769234</v>
      </c>
      <c r="I87" s="822"/>
      <c r="J87" s="822">
        <f>(P41/$R41*100*($E41/365))+(P42/$R42*100*($E42/365))</f>
        <v>80.769230769230774</v>
      </c>
      <c r="K87" s="822"/>
      <c r="L87" s="822">
        <f>(Q41/$R41*100*($E41/365))+(Q42/$R42*100*($E42/365))</f>
        <v>0</v>
      </c>
      <c r="M87" s="822"/>
      <c r="N87" s="832">
        <f t="shared" si="14"/>
        <v>100</v>
      </c>
      <c r="O87" s="832"/>
      <c r="P87" s="12"/>
      <c r="Q87" s="12"/>
      <c r="R87" s="12">
        <v>2005</v>
      </c>
      <c r="S87" s="8">
        <f>(O41*($E41/365))+(O42*($E42/365))</f>
        <v>10</v>
      </c>
      <c r="T87" s="8">
        <f>(P41*($E41/365))+(P42*($E42/365))</f>
        <v>42</v>
      </c>
      <c r="U87" s="8">
        <f>(Q41*($E41/365))+(Q42*($E42/365))</f>
        <v>0</v>
      </c>
      <c r="V87" s="12"/>
      <c r="W87" s="7">
        <f t="shared" si="15"/>
        <v>52</v>
      </c>
    </row>
    <row r="88" spans="1:23" ht="9" customHeight="1" x14ac:dyDescent="0.15">
      <c r="A88" s="1">
        <v>2006</v>
      </c>
      <c r="B88" s="8">
        <f>(K43*($E43/365))+(K44*($E44/365))+(K45*($E45/365))+(K46*($E46/365))</f>
        <v>23.304794520547944</v>
      </c>
      <c r="C88" s="8">
        <f>(L43*($E43/365))+(L44*($E44/365))+(L45*($E45/365))+(L46*($E46/365))</f>
        <v>38.458904109589042</v>
      </c>
      <c r="D88" s="8">
        <f>(M43*($E43/365))+(M44*($E44/365))+(M45*($E45/365))+(M46*($E46/365))</f>
        <v>34.092465753424662</v>
      </c>
      <c r="E88" s="52">
        <f t="shared" si="13"/>
        <v>95.856164383561648</v>
      </c>
      <c r="F88" s="12"/>
      <c r="G88" s="12">
        <v>2006</v>
      </c>
      <c r="H88" s="822">
        <f>(O43/$R43*100*($E43/365))+(O44/$R44*100*($E44/365))+(O45/$R45*100*($E45/365))+(O46/$R46*100*($E46/365))</f>
        <v>31.944419101506075</v>
      </c>
      <c r="I88" s="822"/>
      <c r="J88" s="822">
        <f>(P43/$R43*100*($E43/365))+(P44/$R44*100*($E44/365))+(P45/$R45*100*($E45/365))+(P46/$R46*100*($E46/365))</f>
        <v>38.885041898740525</v>
      </c>
      <c r="K88" s="822"/>
      <c r="L88" s="822">
        <f>(Q43/$R43*100*($E43/365))+(Q44/$R44*100*($E44/365))+(Q45/$R45*100*($E45/365))+(Q46/$R46*100*($E46/365))</f>
        <v>29.170538999753393</v>
      </c>
      <c r="M88" s="822"/>
      <c r="N88" s="832">
        <f t="shared" si="14"/>
        <v>99.999999999999986</v>
      </c>
      <c r="O88" s="832"/>
      <c r="P88" s="12"/>
      <c r="Q88" s="12"/>
      <c r="R88" s="12">
        <v>2006</v>
      </c>
      <c r="S88" s="8">
        <f>(O43*($E43/365))+(O44*($E44/365))+(O45*($E45/365))+(O46*($E46/365))</f>
        <v>16.61021917808219</v>
      </c>
      <c r="T88" s="8">
        <f>(P43*($E43/365))+(P44*($E44/365))+(P45*($E45/365))+(P46*($E46/365))</f>
        <v>17.172602739726024</v>
      </c>
      <c r="U88" s="8">
        <f>(Q43*($E43/365))+(Q44*($E44/365))+(Q45*($E45/365))+(Q46*($E46/365))</f>
        <v>16.528027397260274</v>
      </c>
      <c r="V88" s="12"/>
      <c r="W88" s="7">
        <f t="shared" si="15"/>
        <v>50.310849315068488</v>
      </c>
    </row>
    <row r="89" spans="1:23" ht="9" customHeight="1" x14ac:dyDescent="0.15">
      <c r="A89" s="1">
        <v>2007</v>
      </c>
      <c r="B89" s="8">
        <f>(K47*($E47/365))+(K48*($E48/365))</f>
        <v>31.25</v>
      </c>
      <c r="C89" s="8">
        <f>(L47*($E47/365))+(L48*($E48/365))</f>
        <v>0</v>
      </c>
      <c r="D89" s="8">
        <f>(M47*($E47/365))+(M48*($E48/365))</f>
        <v>68.75</v>
      </c>
      <c r="E89" s="52">
        <f t="shared" si="13"/>
        <v>100</v>
      </c>
      <c r="F89" s="12"/>
      <c r="G89" s="12">
        <v>2007</v>
      </c>
      <c r="H89" s="822">
        <f>(O47/$R47*100*($E47/365))+(O48/$R48*100*($E48/365))</f>
        <v>41.175432403812209</v>
      </c>
      <c r="I89" s="822"/>
      <c r="J89" s="822">
        <f>(P47/$R47*100*($E47/365))+(P48/$R48*100*($E48/365))</f>
        <v>0</v>
      </c>
      <c r="K89" s="822"/>
      <c r="L89" s="822">
        <f>(Q47/$R47*100*($E47/365))+(Q48/$R48*100*($E48/365))</f>
        <v>58.824567596187784</v>
      </c>
      <c r="M89" s="822"/>
      <c r="N89" s="832">
        <f t="shared" si="14"/>
        <v>100</v>
      </c>
      <c r="O89" s="832"/>
      <c r="P89" s="12"/>
      <c r="Q89" s="12"/>
      <c r="R89" s="12">
        <v>2007</v>
      </c>
      <c r="S89" s="8">
        <f>(O47*($E47/365))+(O48*($E48/365))</f>
        <v>23.33</v>
      </c>
      <c r="T89" s="8">
        <f>(P47*($E47/365))+(P48*($E48/365))</f>
        <v>0</v>
      </c>
      <c r="U89" s="8">
        <f>(Q47*($E47/365))+(Q48*($E48/365))</f>
        <v>33.33</v>
      </c>
      <c r="V89" s="12"/>
      <c r="W89" s="7">
        <f t="shared" si="15"/>
        <v>56.66</v>
      </c>
    </row>
    <row r="90" spans="1:23" ht="9" customHeight="1" x14ac:dyDescent="0.15">
      <c r="A90" s="1">
        <v>2008</v>
      </c>
      <c r="B90" s="8">
        <f>(K49*($E49/366))+(K50*($E50/366))</f>
        <v>31.25</v>
      </c>
      <c r="C90" s="8">
        <f>(L49*($E49/366))+(L50*($E50/366))</f>
        <v>0</v>
      </c>
      <c r="D90" s="8">
        <f>(M49*($E49/366))+(M50*($E50/366))</f>
        <v>68.75</v>
      </c>
      <c r="E90" s="52">
        <f t="shared" si="13"/>
        <v>100</v>
      </c>
      <c r="F90" s="12"/>
      <c r="G90" s="12">
        <v>2008</v>
      </c>
      <c r="H90" s="822">
        <f>(O49/$R49*100*($E49/366))+(O50/$R50*100*($E50/366))</f>
        <v>41.175432403812209</v>
      </c>
      <c r="I90" s="822"/>
      <c r="J90" s="822">
        <f>(P49/$R49*100*($E49/366))+(P50/$R50*100*($E50/366))</f>
        <v>0</v>
      </c>
      <c r="K90" s="822"/>
      <c r="L90" s="822">
        <f>(Q49/$R49*100*($E49/366))+(Q50/$R50*100*($E50/366))</f>
        <v>58.824567596187784</v>
      </c>
      <c r="M90" s="822"/>
      <c r="N90" s="832">
        <f t="shared" si="14"/>
        <v>100</v>
      </c>
      <c r="O90" s="832"/>
      <c r="P90" s="12"/>
      <c r="Q90" s="12"/>
      <c r="R90" s="12">
        <v>2008</v>
      </c>
      <c r="S90" s="8">
        <f>(O49*($E49/366))+(O50*($E50/366))</f>
        <v>23.33</v>
      </c>
      <c r="T90" s="8">
        <f>(P49*($E49/366))+(P50*($E50/366))</f>
        <v>0</v>
      </c>
      <c r="U90" s="8">
        <f>(Q49*($E49/366))+(Q50*($E50/366))</f>
        <v>33.33</v>
      </c>
      <c r="V90" s="12"/>
      <c r="W90" s="7">
        <f t="shared" si="15"/>
        <v>56.66</v>
      </c>
    </row>
    <row r="91" spans="1:23" ht="9" customHeight="1" x14ac:dyDescent="0.15">
      <c r="A91" s="1">
        <v>2009</v>
      </c>
      <c r="B91" s="8">
        <f>(K51*($E51/365))+(K52*($E52/365))</f>
        <v>29.092465753424655</v>
      </c>
      <c r="C91" s="8">
        <f>(L51*($E51/365))+(L52*($E52/365))</f>
        <v>0</v>
      </c>
      <c r="D91" s="8">
        <f>(M51*($E51/365))+(M52*($E52/365))</f>
        <v>70.907534246575352</v>
      </c>
      <c r="E91" s="52">
        <f t="shared" si="13"/>
        <v>100</v>
      </c>
      <c r="F91" s="12"/>
      <c r="G91" s="12">
        <v>2009</v>
      </c>
      <c r="H91" s="822">
        <f>(O51/$R51*100*($E51/365))+(O52/$R52*100*($E52/365))</f>
        <v>41.175432403812209</v>
      </c>
      <c r="I91" s="822"/>
      <c r="J91" s="822">
        <f>(P51/$R51*100*($E51/365))+(P52/$R52*100*($E52/365))</f>
        <v>0</v>
      </c>
      <c r="K91" s="822"/>
      <c r="L91" s="822">
        <f>(Q51/$R51*100*($E51/365))+(Q52/$R52*100*($E52/365))</f>
        <v>58.824567596187784</v>
      </c>
      <c r="M91" s="822"/>
      <c r="N91" s="832">
        <f t="shared" si="14"/>
        <v>100</v>
      </c>
      <c r="O91" s="832"/>
      <c r="P91" s="12"/>
      <c r="Q91" s="12"/>
      <c r="R91" s="12">
        <v>2009</v>
      </c>
      <c r="S91" s="8">
        <f>(O51*($E51/365))+(O52*($E52/365))</f>
        <v>23.33</v>
      </c>
      <c r="T91" s="8">
        <f>(P51*($E51/365))+(P52*($E52/365))</f>
        <v>0</v>
      </c>
      <c r="U91" s="8">
        <f>(Q51*($E51/365))+(Q52*($E52/365))</f>
        <v>33.33</v>
      </c>
      <c r="V91" s="12"/>
      <c r="W91" s="7">
        <f t="shared" si="15"/>
        <v>56.66</v>
      </c>
    </row>
    <row r="92" spans="1:23" ht="9" customHeight="1" x14ac:dyDescent="0.15">
      <c r="A92" s="1">
        <v>2010</v>
      </c>
      <c r="B92" s="8">
        <f>(K53*($E53/365))+(K54*($E54/365))</f>
        <v>35.447488584474883</v>
      </c>
      <c r="C92" s="8">
        <f>(L53*($E53/365))+(L54*($E54/365))</f>
        <v>25.716894977168952</v>
      </c>
      <c r="D92" s="8">
        <f>(M53*($E53/365))+(M54*($E54/365))</f>
        <v>38.835616438356162</v>
      </c>
      <c r="E92" s="52">
        <f t="shared" si="13"/>
        <v>100</v>
      </c>
      <c r="F92" s="12"/>
      <c r="G92" s="12">
        <v>2010</v>
      </c>
      <c r="H92" s="822">
        <f>(O53/$R53*100*($E53/365))+(O54/$R54*100*($E54/365))</f>
        <v>43.297055450198371</v>
      </c>
      <c r="I92" s="822"/>
      <c r="J92" s="822">
        <f>(P53/$R53*100*($E53/365))+(P54/$R54*100*($E54/365))</f>
        <v>26.243099958898913</v>
      </c>
      <c r="K92" s="822"/>
      <c r="L92" s="822">
        <f>(Q53/$R53*100*($E53/365))+(Q54/$R54*100*($E54/365))</f>
        <v>30.459844590902716</v>
      </c>
      <c r="M92" s="822"/>
      <c r="N92" s="832">
        <f t="shared" si="14"/>
        <v>100</v>
      </c>
      <c r="O92" s="832"/>
      <c r="P92" s="12"/>
      <c r="Q92" s="12"/>
      <c r="R92" s="12">
        <v>2010</v>
      </c>
      <c r="S92" s="8">
        <f>(O53*($E53/365))+(O54*($E54/365))</f>
        <v>23.653068493150684</v>
      </c>
      <c r="T92" s="8">
        <f>(P53*($E53/365))+(P54*($E54/365))</f>
        <v>13.819616438356165</v>
      </c>
      <c r="U92" s="8">
        <f>(Q53*($E53/365))+(Q54*($E54/365))</f>
        <v>17.258547945205478</v>
      </c>
      <c r="V92" s="12"/>
      <c r="W92" s="7">
        <f t="shared" si="15"/>
        <v>54.731232876712326</v>
      </c>
    </row>
    <row r="93" spans="1:23" ht="9" customHeight="1" x14ac:dyDescent="0.15">
      <c r="A93" s="1">
        <v>2011</v>
      </c>
      <c r="B93" s="8">
        <f>(K55*($E55/365))+(K56*($E56/365))</f>
        <v>46.045662100456624</v>
      </c>
      <c r="C93" s="8">
        <f>(L55*($E55/365))+(L56*($E56/365))</f>
        <v>53.954337899543383</v>
      </c>
      <c r="D93" s="8">
        <f>(M55*($E55/365))+(M56*($E56/365))</f>
        <v>0</v>
      </c>
      <c r="E93" s="52">
        <f t="shared" si="13"/>
        <v>100</v>
      </c>
      <c r="F93" s="12"/>
      <c r="G93" s="12">
        <v>2011</v>
      </c>
      <c r="H93" s="822">
        <f>(O55/$R55*100*($E55/365))+(O56/$R56*100*($E56/365))</f>
        <v>45.575389289783523</v>
      </c>
      <c r="I93" s="822"/>
      <c r="J93" s="822">
        <f>(P55/$R55*100*($E55/365))+(P56/$R56*100*($E56/365))</f>
        <v>54.424610710216498</v>
      </c>
      <c r="K93" s="822"/>
      <c r="L93" s="822">
        <f>(Q55/$R55*100*($E55/365))+(Q56/$R56*100*($E56/365))</f>
        <v>0</v>
      </c>
      <c r="M93" s="822"/>
      <c r="N93" s="832">
        <f t="shared" si="14"/>
        <v>100.00000000000003</v>
      </c>
      <c r="O93" s="832"/>
      <c r="P93" s="12"/>
      <c r="Q93" s="12"/>
      <c r="R93" s="12">
        <v>2011</v>
      </c>
      <c r="S93" s="8">
        <f>(O55*($E55/365))+(O56*($E56/365))</f>
        <v>24</v>
      </c>
      <c r="T93" s="8">
        <f>(P55*($E55/365))+(P56*($E56/365))</f>
        <v>28.660000000000004</v>
      </c>
      <c r="U93" s="8">
        <f>(Q55*($E55/365))+(Q56*($E56/365))</f>
        <v>0</v>
      </c>
      <c r="V93" s="12"/>
      <c r="W93" s="7">
        <f t="shared" si="15"/>
        <v>52.660000000000004</v>
      </c>
    </row>
    <row r="94" spans="1:23" ht="9" customHeight="1" x14ac:dyDescent="0.15">
      <c r="A94" s="1">
        <v>2012</v>
      </c>
      <c r="B94" s="8">
        <f>(K57*($E57/366))+(K58*($E58/366))</f>
        <v>10.273224043715848</v>
      </c>
      <c r="C94" s="8">
        <f>(L57*($E57/366))+(L58*($E58/366))</f>
        <v>15.409836065573771</v>
      </c>
      <c r="D94" s="8">
        <f>(M57*($E57/366))+(M58*($E58/366))</f>
        <v>74.316939890710387</v>
      </c>
      <c r="E94" s="52">
        <f t="shared" si="13"/>
        <v>100</v>
      </c>
      <c r="F94" s="12"/>
      <c r="G94" s="12">
        <v>2012</v>
      </c>
      <c r="H94" s="822">
        <f>(O57/$R57*100*($E57/366))+(O58/$R58*100*($E58/366))</f>
        <v>11.705154626337842</v>
      </c>
      <c r="I94" s="822"/>
      <c r="J94" s="822">
        <f>(P57/$R57*100*($E57/366))+(P58/$R58*100*($E58/366))</f>
        <v>13.977905482951776</v>
      </c>
      <c r="K94" s="822"/>
      <c r="L94" s="822">
        <f>(Q57/$R57*100*($E57/366))+(Q58/$R58*100*($E58/366))</f>
        <v>74.316939890710387</v>
      </c>
      <c r="M94" s="822"/>
      <c r="N94" s="832">
        <f t="shared" si="14"/>
        <v>100</v>
      </c>
      <c r="O94" s="832"/>
      <c r="P94" s="12"/>
      <c r="Q94" s="12"/>
      <c r="R94" s="12">
        <v>2012</v>
      </c>
      <c r="S94" s="8">
        <f>(O57*($E57/366))+(O58*($E58/366))</f>
        <v>6.1639344262295079</v>
      </c>
      <c r="T94" s="8">
        <f>(P57*($E57/366))+(P58*($E58/366))</f>
        <v>7.3607650273224046</v>
      </c>
      <c r="U94" s="8">
        <f>(Q57*($E57/366))+(Q58*($E58/366))</f>
        <v>41.09726775956284</v>
      </c>
      <c r="V94" s="12"/>
      <c r="W94" s="7">
        <f t="shared" si="15"/>
        <v>54.62196721311475</v>
      </c>
    </row>
    <row r="95" spans="1:23" ht="9" customHeight="1" x14ac:dyDescent="0.15">
      <c r="A95" s="1">
        <v>2013</v>
      </c>
      <c r="B95" s="8">
        <f>(K59*($E59/365))+(K60*($E60/365))</f>
        <v>0</v>
      </c>
      <c r="C95" s="8">
        <f>(L59*($E59/365))+(L60*($E60/365))</f>
        <v>0</v>
      </c>
      <c r="D95" s="8">
        <f>(M59*($E59/365))+(M60*($E60/365))</f>
        <v>100</v>
      </c>
      <c r="E95" s="52">
        <f>B95+C95+D95</f>
        <v>100</v>
      </c>
      <c r="G95" s="12">
        <v>2013</v>
      </c>
      <c r="H95" s="822">
        <f>(O59/$R59*100*($E59/365))+(O60/$R60*100*($E60/365))</f>
        <v>0</v>
      </c>
      <c r="I95" s="822"/>
      <c r="J95" s="822">
        <f>(P59/$R59*100*($E59/365))+(P60/$R60*100*($E60/365))</f>
        <v>0</v>
      </c>
      <c r="K95" s="822"/>
      <c r="L95" s="822">
        <f>(Q59/$R59*100*($E59/365))+(Q60/$R60*100*($E60/365))</f>
        <v>100</v>
      </c>
      <c r="M95" s="822"/>
      <c r="N95" s="832">
        <f>H95+J95+L95</f>
        <v>100</v>
      </c>
      <c r="O95" s="832"/>
      <c r="R95" s="12">
        <v>2013</v>
      </c>
      <c r="S95" s="8">
        <f>(O59*($E59/365))+(O60*($E60/365))</f>
        <v>0</v>
      </c>
      <c r="T95" s="8">
        <f>(P59*($E59/365))+(P60*($E60/365))</f>
        <v>0</v>
      </c>
      <c r="U95" s="8">
        <f>(Q59*($E59/365))+(Q60*($E60/365))</f>
        <v>55.3</v>
      </c>
      <c r="V95" s="12"/>
      <c r="W95" s="7">
        <f>S95+T95+U95</f>
        <v>55.3</v>
      </c>
    </row>
    <row r="96" spans="1:23" ht="9" customHeight="1" x14ac:dyDescent="0.15">
      <c r="A96" s="1">
        <v>2014</v>
      </c>
      <c r="B96" s="8">
        <f>(K61*($E61/365))+(K62*($E62/365))</f>
        <v>0</v>
      </c>
      <c r="C96" s="8">
        <f>(L61*($E61/365))+(L62*($E62/365))</f>
        <v>0</v>
      </c>
      <c r="D96" s="8">
        <f>(M61*($E61/365))+(M62*($E62/365))</f>
        <v>100</v>
      </c>
      <c r="E96" s="52">
        <f>B96+C96+D96</f>
        <v>100</v>
      </c>
      <c r="G96" s="12">
        <v>2014</v>
      </c>
      <c r="H96" s="822">
        <f>(O61/$R61*100*($E61/365))+(O62/$R62*100*($E62/365))</f>
        <v>0</v>
      </c>
      <c r="I96" s="822"/>
      <c r="J96" s="822">
        <f>(P61/$R61*100*($E61/365))+(P62/$R62*100*($E62/365))</f>
        <v>0</v>
      </c>
      <c r="K96" s="822"/>
      <c r="L96" s="822">
        <f>(Q61/$R61*100*($E61/365))+(Q62/$R62*100*($E62/365))</f>
        <v>100</v>
      </c>
      <c r="M96" s="822"/>
      <c r="N96" s="832">
        <f>H96+J96+L96</f>
        <v>100</v>
      </c>
      <c r="O96" s="832"/>
      <c r="R96" s="12">
        <v>2014</v>
      </c>
      <c r="S96" s="8">
        <f>(O61*($E61/365))+(O62*($E62/365))</f>
        <v>0</v>
      </c>
      <c r="T96" s="8">
        <f>(P61*($E61/365))+(P62*($E62/365))</f>
        <v>0</v>
      </c>
      <c r="U96" s="8">
        <f>(Q61*($E61/365))+(Q62*($E62/365))</f>
        <v>55.3</v>
      </c>
      <c r="V96" s="12"/>
      <c r="W96" s="7">
        <f>S96+T96+U96</f>
        <v>55.3</v>
      </c>
    </row>
    <row r="97" spans="1:23" s="763" customFormat="1" ht="9" customHeight="1" x14ac:dyDescent="0.15">
      <c r="A97" s="763">
        <v>2015</v>
      </c>
      <c r="B97" s="757">
        <f>(K63*($E63/365))+(K64*($E64/365))</f>
        <v>0</v>
      </c>
      <c r="C97" s="757">
        <f>(L63*($E63/365))+(L64*($E64/365))</f>
        <v>0</v>
      </c>
      <c r="D97" s="757">
        <f>(M63*($E63/365))+(M64*($E64/365))</f>
        <v>100</v>
      </c>
      <c r="E97" s="52">
        <f>B97+C97+D97</f>
        <v>100</v>
      </c>
      <c r="G97" s="12">
        <v>2015</v>
      </c>
      <c r="H97" s="822">
        <f>(O63/$R63*100*($E63/365))+(O64/$R64*100*($E64/365))</f>
        <v>0</v>
      </c>
      <c r="I97" s="822"/>
      <c r="J97" s="822">
        <f>(P63/$R63*100*($E63/365))+(P64/$R64*100*($E64/365))</f>
        <v>0</v>
      </c>
      <c r="K97" s="822"/>
      <c r="L97" s="822">
        <f>(Q63/$R63*100*($E63/365))+(Q64/$R64*100*($E64/365))</f>
        <v>100</v>
      </c>
      <c r="M97" s="822"/>
      <c r="N97" s="832">
        <f>H97+J97+L97</f>
        <v>100</v>
      </c>
      <c r="O97" s="832"/>
      <c r="R97" s="12">
        <v>2015</v>
      </c>
      <c r="S97" s="757">
        <f>(O63*($E63/365))+(O64*($E64/365))</f>
        <v>0</v>
      </c>
      <c r="T97" s="757">
        <f>(P63*($E63/365))+(P64*($E64/365))</f>
        <v>0</v>
      </c>
      <c r="U97" s="757">
        <f>(Q63*($E63/365))+(Q64*($E64/365))</f>
        <v>55.3</v>
      </c>
      <c r="V97" s="12"/>
      <c r="W97" s="760">
        <f>S97+T97+U97</f>
        <v>55.3</v>
      </c>
    </row>
    <row r="98" spans="1:23" s="763" customFormat="1" ht="9" customHeight="1" x14ac:dyDescent="0.15">
      <c r="G98" s="12"/>
      <c r="R98" s="12"/>
    </row>
    <row r="106" spans="1:23" x14ac:dyDescent="0.15">
      <c r="B106" s="8"/>
      <c r="C106" s="8"/>
      <c r="D106" s="8"/>
    </row>
    <row r="107" spans="1:23" x14ac:dyDescent="0.15">
      <c r="B107" s="8"/>
      <c r="C107" s="8"/>
      <c r="D107" s="8"/>
      <c r="H107" s="5"/>
      <c r="I107" s="5"/>
      <c r="J107" s="5"/>
    </row>
    <row r="108" spans="1:23" x14ac:dyDescent="0.15">
      <c r="B108" s="8"/>
      <c r="C108" s="8"/>
      <c r="D108" s="8"/>
      <c r="H108" s="5"/>
      <c r="I108" s="5"/>
      <c r="J108" s="5"/>
    </row>
    <row r="109" spans="1:23" x14ac:dyDescent="0.15">
      <c r="B109" s="8"/>
      <c r="C109" s="8"/>
      <c r="D109" s="8"/>
      <c r="H109" s="5"/>
      <c r="I109" s="5"/>
      <c r="J109" s="5"/>
    </row>
    <row r="110" spans="1:23" x14ac:dyDescent="0.15">
      <c r="B110" s="8"/>
      <c r="C110" s="8"/>
      <c r="D110" s="8"/>
      <c r="H110" s="5"/>
      <c r="I110" s="5"/>
      <c r="J110" s="5"/>
    </row>
    <row r="111" spans="1:23" x14ac:dyDescent="0.15">
      <c r="B111" s="8"/>
      <c r="C111" s="8"/>
      <c r="D111" s="8"/>
      <c r="H111" s="5"/>
      <c r="I111" s="5"/>
      <c r="J111" s="5"/>
    </row>
    <row r="112" spans="1:23" x14ac:dyDescent="0.15">
      <c r="B112" s="8"/>
      <c r="C112" s="8"/>
      <c r="D112" s="8"/>
      <c r="H112" s="5"/>
      <c r="I112" s="5"/>
      <c r="J112" s="5"/>
    </row>
    <row r="113" spans="2:10" x14ac:dyDescent="0.15">
      <c r="B113" s="8"/>
      <c r="C113" s="8"/>
      <c r="D113" s="8"/>
      <c r="H113" s="5"/>
      <c r="I113" s="5"/>
      <c r="J113" s="5"/>
    </row>
    <row r="114" spans="2:10" x14ac:dyDescent="0.15">
      <c r="B114" s="8"/>
      <c r="C114" s="8"/>
      <c r="D114" s="8"/>
      <c r="H114" s="5"/>
      <c r="I114" s="5"/>
      <c r="J114" s="5"/>
    </row>
    <row r="115" spans="2:10" x14ac:dyDescent="0.15">
      <c r="B115" s="8"/>
      <c r="C115" s="8"/>
      <c r="D115" s="8"/>
      <c r="H115" s="5"/>
      <c r="I115" s="5"/>
      <c r="J115" s="5"/>
    </row>
    <row r="116" spans="2:10" x14ac:dyDescent="0.15">
      <c r="B116" s="8"/>
      <c r="C116" s="8"/>
      <c r="D116" s="8"/>
      <c r="H116" s="5"/>
      <c r="I116" s="5"/>
      <c r="J116" s="5"/>
    </row>
    <row r="117" spans="2:10" x14ac:dyDescent="0.15">
      <c r="B117" s="8"/>
      <c r="C117" s="8"/>
      <c r="D117" s="8"/>
      <c r="H117" s="5"/>
      <c r="I117" s="5"/>
      <c r="J117" s="5"/>
    </row>
    <row r="118" spans="2:10" x14ac:dyDescent="0.15">
      <c r="B118" s="8"/>
      <c r="C118" s="8"/>
      <c r="D118" s="8"/>
      <c r="H118" s="5"/>
      <c r="I118" s="5"/>
      <c r="J118" s="5"/>
    </row>
    <row r="119" spans="2:10" x14ac:dyDescent="0.15">
      <c r="B119" s="8"/>
      <c r="C119" s="8"/>
      <c r="D119" s="8"/>
      <c r="H119" s="5"/>
      <c r="I119" s="5"/>
      <c r="J119" s="5"/>
    </row>
    <row r="120" spans="2:10" x14ac:dyDescent="0.15">
      <c r="B120" s="8"/>
      <c r="C120" s="8"/>
      <c r="D120" s="8"/>
      <c r="H120" s="5"/>
      <c r="I120" s="5"/>
      <c r="J120" s="5"/>
    </row>
    <row r="121" spans="2:10" x14ac:dyDescent="0.15">
      <c r="B121" s="8"/>
      <c r="C121" s="8"/>
      <c r="D121" s="8"/>
      <c r="H121" s="5"/>
      <c r="I121" s="5"/>
      <c r="J121" s="5"/>
    </row>
    <row r="122" spans="2:10" x14ac:dyDescent="0.15">
      <c r="B122" s="8"/>
      <c r="C122" s="8"/>
      <c r="D122" s="8"/>
      <c r="H122" s="5"/>
      <c r="I122" s="5"/>
      <c r="J122" s="5"/>
    </row>
    <row r="123" spans="2:10" x14ac:dyDescent="0.15">
      <c r="B123" s="8"/>
      <c r="C123" s="8"/>
      <c r="D123" s="8"/>
      <c r="H123" s="5"/>
      <c r="I123" s="5"/>
      <c r="J123" s="5"/>
    </row>
    <row r="124" spans="2:10" x14ac:dyDescent="0.15">
      <c r="B124" s="8"/>
      <c r="C124" s="8"/>
      <c r="D124" s="8"/>
      <c r="H124" s="5"/>
      <c r="I124" s="5"/>
      <c r="J124" s="5"/>
    </row>
    <row r="125" spans="2:10" x14ac:dyDescent="0.15">
      <c r="B125" s="8"/>
      <c r="C125" s="8"/>
      <c r="D125" s="8"/>
      <c r="H125" s="5"/>
      <c r="I125" s="5"/>
      <c r="J125" s="5"/>
    </row>
    <row r="126" spans="2:10" x14ac:dyDescent="0.15">
      <c r="B126" s="8"/>
      <c r="C126" s="8"/>
      <c r="D126" s="8"/>
      <c r="H126" s="5"/>
      <c r="I126" s="5"/>
      <c r="J126" s="5"/>
    </row>
  </sheetData>
  <mergeCells count="189">
    <mergeCell ref="H73:I73"/>
    <mergeCell ref="J72:K72"/>
    <mergeCell ref="L72:M72"/>
    <mergeCell ref="H74:I74"/>
    <mergeCell ref="J74:K74"/>
    <mergeCell ref="L74:M74"/>
    <mergeCell ref="Z4:AC4"/>
    <mergeCell ref="AD4:AG4"/>
    <mergeCell ref="S4:S5"/>
    <mergeCell ref="T4:T5"/>
    <mergeCell ref="U4:U5"/>
    <mergeCell ref="V4:Y4"/>
    <mergeCell ref="AT4:AW4"/>
    <mergeCell ref="AX4:BA4"/>
    <mergeCell ref="H95:I95"/>
    <mergeCell ref="J95:K95"/>
    <mergeCell ref="L95:M95"/>
    <mergeCell ref="N95:O95"/>
    <mergeCell ref="AH4:AK4"/>
    <mergeCell ref="AL4:AO4"/>
    <mergeCell ref="AP4:AS4"/>
    <mergeCell ref="R69:W69"/>
    <mergeCell ref="J73:K73"/>
    <mergeCell ref="L73:M73"/>
    <mergeCell ref="N73:O73"/>
    <mergeCell ref="H71:I71"/>
    <mergeCell ref="J71:K71"/>
    <mergeCell ref="L71:M71"/>
    <mergeCell ref="N71:O71"/>
    <mergeCell ref="N72:O72"/>
    <mergeCell ref="N74:O74"/>
    <mergeCell ref="H75:I75"/>
    <mergeCell ref="J75:K75"/>
    <mergeCell ref="L75:M75"/>
    <mergeCell ref="N75:O75"/>
    <mergeCell ref="L76:M76"/>
    <mergeCell ref="G3:M3"/>
    <mergeCell ref="O3:Q3"/>
    <mergeCell ref="A4:A5"/>
    <mergeCell ref="B4:B5"/>
    <mergeCell ref="C4:D5"/>
    <mergeCell ref="E4:E5"/>
    <mergeCell ref="F4:F5"/>
    <mergeCell ref="G4:J4"/>
    <mergeCell ref="C9:D9"/>
    <mergeCell ref="C6:D6"/>
    <mergeCell ref="C7:D7"/>
    <mergeCell ref="K4:N4"/>
    <mergeCell ref="O4:R4"/>
    <mergeCell ref="C8:D8"/>
    <mergeCell ref="C10:D10"/>
    <mergeCell ref="C11:D11"/>
    <mergeCell ref="C12:D12"/>
    <mergeCell ref="C13:D13"/>
    <mergeCell ref="C16:D16"/>
    <mergeCell ref="C14:D14"/>
    <mergeCell ref="C15:D15"/>
    <mergeCell ref="C25:D25"/>
    <mergeCell ref="C17:D17"/>
    <mergeCell ref="C19:D19"/>
    <mergeCell ref="C20:D20"/>
    <mergeCell ref="C21:D21"/>
    <mergeCell ref="C22:D22"/>
    <mergeCell ref="C23:D23"/>
    <mergeCell ref="C18:D18"/>
    <mergeCell ref="C38:D38"/>
    <mergeCell ref="C39:D39"/>
    <mergeCell ref="C40:D40"/>
    <mergeCell ref="C24:D24"/>
    <mergeCell ref="C27:D27"/>
    <mergeCell ref="C28:D28"/>
    <mergeCell ref="C29:D29"/>
    <mergeCell ref="C30:D30"/>
    <mergeCell ref="C31:D31"/>
    <mergeCell ref="C26:D26"/>
    <mergeCell ref="C32:D32"/>
    <mergeCell ref="C33:D33"/>
    <mergeCell ref="C34:D34"/>
    <mergeCell ref="C35:D35"/>
    <mergeCell ref="C36:D36"/>
    <mergeCell ref="C37:D37"/>
    <mergeCell ref="C41:D41"/>
    <mergeCell ref="C42:D42"/>
    <mergeCell ref="C43:D43"/>
    <mergeCell ref="C47:D47"/>
    <mergeCell ref="C48:D48"/>
    <mergeCell ref="C49:D49"/>
    <mergeCell ref="C44:D44"/>
    <mergeCell ref="C46:D46"/>
    <mergeCell ref="C45:D45"/>
    <mergeCell ref="C50:D50"/>
    <mergeCell ref="C51:D51"/>
    <mergeCell ref="C55:D55"/>
    <mergeCell ref="C52:D52"/>
    <mergeCell ref="C53:D53"/>
    <mergeCell ref="C54:D54"/>
    <mergeCell ref="C57:D57"/>
    <mergeCell ref="C58:D58"/>
    <mergeCell ref="H72:I72"/>
    <mergeCell ref="C56:D56"/>
    <mergeCell ref="C59:D59"/>
    <mergeCell ref="C60:D60"/>
    <mergeCell ref="C61:D61"/>
    <mergeCell ref="C62:D62"/>
    <mergeCell ref="C63:D63"/>
    <mergeCell ref="C64:D64"/>
    <mergeCell ref="N76:O76"/>
    <mergeCell ref="H77:I77"/>
    <mergeCell ref="J77:K77"/>
    <mergeCell ref="L77:M77"/>
    <mergeCell ref="N77:O77"/>
    <mergeCell ref="H76:I76"/>
    <mergeCell ref="J76:K76"/>
    <mergeCell ref="H78:I78"/>
    <mergeCell ref="J78:K78"/>
    <mergeCell ref="L78:M78"/>
    <mergeCell ref="N78:O78"/>
    <mergeCell ref="J88:K88"/>
    <mergeCell ref="J89:K89"/>
    <mergeCell ref="L96:M96"/>
    <mergeCell ref="L92:M92"/>
    <mergeCell ref="N92:O92"/>
    <mergeCell ref="H93:I93"/>
    <mergeCell ref="J93:K93"/>
    <mergeCell ref="H79:I79"/>
    <mergeCell ref="J79:K79"/>
    <mergeCell ref="L79:M79"/>
    <mergeCell ref="N79:O79"/>
    <mergeCell ref="J81:K81"/>
    <mergeCell ref="N82:O82"/>
    <mergeCell ref="H83:I83"/>
    <mergeCell ref="J83:K83"/>
    <mergeCell ref="L83:M83"/>
    <mergeCell ref="N83:O83"/>
    <mergeCell ref="H80:I80"/>
    <mergeCell ref="J80:K80"/>
    <mergeCell ref="L80:M80"/>
    <mergeCell ref="N80:O80"/>
    <mergeCell ref="H81:I81"/>
    <mergeCell ref="N81:O81"/>
    <mergeCell ref="L81:M81"/>
    <mergeCell ref="H91:I91"/>
    <mergeCell ref="J91:K91"/>
    <mergeCell ref="L91:M91"/>
    <mergeCell ref="H97:I97"/>
    <mergeCell ref="J97:K97"/>
    <mergeCell ref="L97:M97"/>
    <mergeCell ref="N97:O97"/>
    <mergeCell ref="J84:K84"/>
    <mergeCell ref="N96:O96"/>
    <mergeCell ref="H88:I88"/>
    <mergeCell ref="H89:I89"/>
    <mergeCell ref="N91:O91"/>
    <mergeCell ref="N88:O88"/>
    <mergeCell ref="N89:O89"/>
    <mergeCell ref="H86:I86"/>
    <mergeCell ref="J86:K86"/>
    <mergeCell ref="L86:M86"/>
    <mergeCell ref="N86:O86"/>
    <mergeCell ref="H87:I87"/>
    <mergeCell ref="J87:K87"/>
    <mergeCell ref="L87:M87"/>
    <mergeCell ref="L88:M88"/>
    <mergeCell ref="L89:M89"/>
    <mergeCell ref="N87:O87"/>
    <mergeCell ref="N84:O84"/>
    <mergeCell ref="H85:I85"/>
    <mergeCell ref="J85:K85"/>
    <mergeCell ref="L85:M85"/>
    <mergeCell ref="N85:O85"/>
    <mergeCell ref="H96:I96"/>
    <mergeCell ref="J96:K96"/>
    <mergeCell ref="H84:I84"/>
    <mergeCell ref="H82:I82"/>
    <mergeCell ref="J82:K82"/>
    <mergeCell ref="L82:M82"/>
    <mergeCell ref="H94:I94"/>
    <mergeCell ref="J94:K94"/>
    <mergeCell ref="L94:M94"/>
    <mergeCell ref="H90:I90"/>
    <mergeCell ref="J90:K90"/>
    <mergeCell ref="H92:I92"/>
    <mergeCell ref="J92:K92"/>
    <mergeCell ref="L84:M84"/>
    <mergeCell ref="L90:M90"/>
    <mergeCell ref="L93:M93"/>
    <mergeCell ref="N93:O93"/>
    <mergeCell ref="N94:O94"/>
    <mergeCell ref="N90:O90"/>
  </mergeCells>
  <pageMargins left="0.78740157499999996" right="0.78740157499999996" top="0.984251969" bottom="0.984251969" header="0.4921259845" footer="0.4921259845"/>
  <pageSetup paperSize="9" orientation="portrait" r:id="rId1"/>
  <headerFooter alignWithMargins="0"/>
  <drawing r:id="rId2"/>
  <legacyDrawing r:id="rId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03"/>
  <sheetViews>
    <sheetView zoomScale="120" zoomScaleNormal="120" workbookViewId="0">
      <pane xSplit="1" ySplit="5" topLeftCell="B51" activePane="bottomRight" state="frozen"/>
      <selection pane="topRight" activeCell="B1" sqref="B1"/>
      <selection pane="bottomLeft" activeCell="A6" sqref="A6"/>
      <selection pane="bottomRight" activeCell="W94" sqref="W94"/>
    </sheetView>
  </sheetViews>
  <sheetFormatPr baseColWidth="10" defaultColWidth="10.7109375" defaultRowHeight="9" x14ac:dyDescent="0.15"/>
  <cols>
    <col min="1" max="1" width="5.85546875" style="1" customWidth="1"/>
    <col min="2" max="6" width="7.85546875" style="1" customWidth="1"/>
    <col min="7" max="18" width="4.5703125" style="1" customWidth="1"/>
    <col min="19" max="21" width="7.85546875" style="1" customWidth="1"/>
    <col min="22" max="53" width="5.7109375" style="1" customWidth="1"/>
    <col min="54" max="16384" width="10.7109375" style="1"/>
  </cols>
  <sheetData>
    <row r="1" spans="1:53" s="2" customFormat="1" ht="15" customHeight="1" x14ac:dyDescent="0.2">
      <c r="B1" s="22" t="s">
        <v>14</v>
      </c>
    </row>
    <row r="2" spans="1:53" s="2" customFormat="1" ht="15" customHeight="1" x14ac:dyDescent="0.2">
      <c r="B2" s="22" t="s">
        <v>147</v>
      </c>
    </row>
    <row r="3" spans="1:53" s="2" customFormat="1" x14ac:dyDescent="0.15">
      <c r="G3" s="814"/>
      <c r="H3" s="814"/>
      <c r="I3" s="814"/>
      <c r="J3" s="814"/>
      <c r="K3" s="814"/>
      <c r="L3" s="814"/>
      <c r="M3" s="814"/>
      <c r="O3" s="814"/>
      <c r="P3" s="814"/>
      <c r="Q3" s="814"/>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1" t="s">
        <v>23</v>
      </c>
      <c r="AU5" s="351" t="s">
        <v>24</v>
      </c>
      <c r="AV5" s="351" t="s">
        <v>25</v>
      </c>
      <c r="AW5" s="353" t="s">
        <v>1217</v>
      </c>
      <c r="AX5" s="351" t="s">
        <v>23</v>
      </c>
      <c r="AY5" s="351" t="s">
        <v>24</v>
      </c>
      <c r="AZ5" s="351" t="s">
        <v>25</v>
      </c>
      <c r="BA5" s="354" t="s">
        <v>1217</v>
      </c>
    </row>
    <row r="6" spans="1:53" s="208" customFormat="1" ht="9" customHeight="1" x14ac:dyDescent="0.15">
      <c r="A6" s="208">
        <v>1993</v>
      </c>
      <c r="C6" s="826" t="s">
        <v>1283</v>
      </c>
      <c r="D6" s="826"/>
      <c r="E6" s="227">
        <v>11</v>
      </c>
      <c r="F6" s="219"/>
      <c r="G6" s="600"/>
      <c r="H6" s="676"/>
      <c r="I6" s="676"/>
      <c r="J6" s="602"/>
      <c r="K6" s="597"/>
      <c r="L6" s="597"/>
      <c r="M6" s="597"/>
      <c r="N6" s="601"/>
      <c r="O6" s="596"/>
      <c r="P6" s="597"/>
      <c r="Q6" s="597"/>
      <c r="R6" s="598"/>
      <c r="S6" s="676"/>
      <c r="T6" s="95">
        <v>33944</v>
      </c>
      <c r="V6" s="82"/>
      <c r="Y6" s="83"/>
      <c r="AD6" s="82"/>
      <c r="AG6" s="83"/>
      <c r="AL6" s="82"/>
      <c r="AO6" s="83"/>
      <c r="AP6" s="82"/>
      <c r="AS6" s="83"/>
      <c r="AW6" s="83"/>
      <c r="BA6" s="84"/>
    </row>
    <row r="7" spans="1:53" s="334" customFormat="1" x14ac:dyDescent="0.15">
      <c r="A7" s="334">
        <v>1993</v>
      </c>
      <c r="B7" s="355">
        <v>33981</v>
      </c>
      <c r="C7" s="812" t="s">
        <v>873</v>
      </c>
      <c r="D7" s="812"/>
      <c r="E7" s="334">
        <v>354</v>
      </c>
      <c r="F7" s="334" t="s">
        <v>348</v>
      </c>
      <c r="G7" s="649">
        <v>6</v>
      </c>
      <c r="H7" s="677">
        <v>4</v>
      </c>
      <c r="I7" s="677">
        <v>6</v>
      </c>
      <c r="J7" s="651">
        <v>16</v>
      </c>
      <c r="K7" s="647">
        <f t="shared" ref="K7:K45" si="0">G7/J7*100</f>
        <v>37.5</v>
      </c>
      <c r="L7" s="647">
        <f t="shared" ref="L7:L45" si="1">H7/J7*100</f>
        <v>25</v>
      </c>
      <c r="M7" s="647">
        <f t="shared" ref="M7:M45" si="2">I7/J7*100</f>
        <v>37.5</v>
      </c>
      <c r="N7" s="650">
        <f>K7+L7+M7</f>
        <v>100</v>
      </c>
      <c r="O7" s="646">
        <v>24.5</v>
      </c>
      <c r="P7" s="647">
        <v>16.7</v>
      </c>
      <c r="Q7" s="647">
        <v>25.6</v>
      </c>
      <c r="R7" s="648">
        <f>O7+P7+Q7</f>
        <v>66.800000000000011</v>
      </c>
      <c r="S7" s="677">
        <v>3</v>
      </c>
      <c r="T7" s="342"/>
      <c r="U7" s="355">
        <v>33981</v>
      </c>
      <c r="V7" s="343" t="s">
        <v>880</v>
      </c>
      <c r="W7" s="334" t="s">
        <v>22</v>
      </c>
      <c r="X7" s="334" t="s">
        <v>11</v>
      </c>
      <c r="Y7" s="344">
        <v>24.5</v>
      </c>
      <c r="Z7" s="334" t="s">
        <v>881</v>
      </c>
      <c r="AA7" s="334" t="s">
        <v>17</v>
      </c>
      <c r="AB7" s="334" t="s">
        <v>18</v>
      </c>
      <c r="AC7" s="334">
        <v>16.7</v>
      </c>
      <c r="AD7" s="343" t="s">
        <v>882</v>
      </c>
      <c r="AE7" s="334" t="s">
        <v>98</v>
      </c>
      <c r="AF7" s="334" t="s">
        <v>12</v>
      </c>
      <c r="AG7" s="344">
        <v>15.6</v>
      </c>
      <c r="AH7" s="334" t="s">
        <v>883</v>
      </c>
      <c r="AI7" s="334" t="s">
        <v>221</v>
      </c>
      <c r="AJ7" s="334" t="s">
        <v>12</v>
      </c>
      <c r="AK7" s="334">
        <v>5.6</v>
      </c>
      <c r="AL7" s="343" t="s">
        <v>884</v>
      </c>
      <c r="AM7" s="334" t="s">
        <v>97</v>
      </c>
      <c r="AN7" s="334" t="s">
        <v>12</v>
      </c>
      <c r="AO7" s="344">
        <v>4.4000000000000004</v>
      </c>
      <c r="AP7" s="343"/>
      <c r="AS7" s="344"/>
      <c r="AW7" s="344"/>
      <c r="BA7" s="345"/>
    </row>
    <row r="8" spans="1:53" s="334" customFormat="1" x14ac:dyDescent="0.15">
      <c r="A8" s="334">
        <v>1994</v>
      </c>
      <c r="C8" s="812" t="s">
        <v>873</v>
      </c>
      <c r="D8" s="812"/>
      <c r="E8" s="334">
        <v>87</v>
      </c>
      <c r="G8" s="649">
        <v>6</v>
      </c>
      <c r="H8" s="677">
        <v>4</v>
      </c>
      <c r="I8" s="677">
        <v>6</v>
      </c>
      <c r="J8" s="651">
        <v>16</v>
      </c>
      <c r="K8" s="647">
        <f t="shared" si="0"/>
        <v>37.5</v>
      </c>
      <c r="L8" s="647">
        <f t="shared" si="1"/>
        <v>25</v>
      </c>
      <c r="M8" s="647">
        <f t="shared" si="2"/>
        <v>37.5</v>
      </c>
      <c r="N8" s="650">
        <f t="shared" ref="N8:N51" si="3">K8+L8+M8</f>
        <v>100</v>
      </c>
      <c r="O8" s="646">
        <v>24.5</v>
      </c>
      <c r="P8" s="647">
        <v>16.7</v>
      </c>
      <c r="Q8" s="647">
        <v>25.6</v>
      </c>
      <c r="R8" s="648">
        <f t="shared" ref="R8:R51" si="4">O8+P8+Q8</f>
        <v>66.800000000000011</v>
      </c>
      <c r="S8" s="677">
        <v>3</v>
      </c>
      <c r="T8" s="342"/>
      <c r="V8" s="343" t="s">
        <v>880</v>
      </c>
      <c r="W8" s="334" t="s">
        <v>22</v>
      </c>
      <c r="X8" s="334" t="s">
        <v>11</v>
      </c>
      <c r="Y8" s="344">
        <v>24.5</v>
      </c>
      <c r="Z8" s="334" t="s">
        <v>881</v>
      </c>
      <c r="AA8" s="334" t="s">
        <v>17</v>
      </c>
      <c r="AB8" s="334" t="s">
        <v>18</v>
      </c>
      <c r="AC8" s="334">
        <v>16.7</v>
      </c>
      <c r="AD8" s="343" t="s">
        <v>882</v>
      </c>
      <c r="AE8" s="334" t="s">
        <v>98</v>
      </c>
      <c r="AF8" s="334" t="s">
        <v>12</v>
      </c>
      <c r="AG8" s="344">
        <v>15.6</v>
      </c>
      <c r="AH8" s="334" t="s">
        <v>883</v>
      </c>
      <c r="AI8" s="334" t="s">
        <v>221</v>
      </c>
      <c r="AJ8" s="334" t="s">
        <v>12</v>
      </c>
      <c r="AK8" s="334">
        <v>5.6</v>
      </c>
      <c r="AL8" s="343" t="s">
        <v>884</v>
      </c>
      <c r="AM8" s="334" t="s">
        <v>97</v>
      </c>
      <c r="AN8" s="334" t="s">
        <v>12</v>
      </c>
      <c r="AO8" s="344">
        <v>4.4000000000000004</v>
      </c>
      <c r="AP8" s="343"/>
      <c r="AS8" s="344"/>
      <c r="AW8" s="344"/>
      <c r="BA8" s="345"/>
    </row>
    <row r="9" spans="1:53" s="208" customFormat="1" x14ac:dyDescent="0.15">
      <c r="A9" s="208">
        <v>1994</v>
      </c>
      <c r="B9" s="207">
        <v>34422</v>
      </c>
      <c r="C9" s="811" t="s">
        <v>874</v>
      </c>
      <c r="D9" s="811"/>
      <c r="E9" s="208">
        <f>365-E8</f>
        <v>278</v>
      </c>
      <c r="F9" s="208">
        <v>4</v>
      </c>
      <c r="G9" s="600">
        <v>8</v>
      </c>
      <c r="H9" s="676">
        <v>3</v>
      </c>
      <c r="I9" s="676">
        <v>4</v>
      </c>
      <c r="J9" s="602">
        <v>16</v>
      </c>
      <c r="K9" s="597">
        <f t="shared" si="0"/>
        <v>50</v>
      </c>
      <c r="L9" s="597">
        <f t="shared" si="1"/>
        <v>18.75</v>
      </c>
      <c r="M9" s="597">
        <f t="shared" si="2"/>
        <v>25</v>
      </c>
      <c r="N9" s="601">
        <f t="shared" si="3"/>
        <v>93.75</v>
      </c>
      <c r="O9" s="596">
        <v>24.5</v>
      </c>
      <c r="P9" s="597">
        <v>16.7</v>
      </c>
      <c r="Q9" s="597">
        <v>15.6</v>
      </c>
      <c r="R9" s="598">
        <f t="shared" si="4"/>
        <v>56.800000000000004</v>
      </c>
      <c r="S9" s="676">
        <v>2</v>
      </c>
      <c r="T9" s="95"/>
      <c r="U9" s="207">
        <v>34422</v>
      </c>
      <c r="V9" s="82" t="s">
        <v>880</v>
      </c>
      <c r="W9" s="208" t="s">
        <v>22</v>
      </c>
      <c r="X9" s="208" t="s">
        <v>11</v>
      </c>
      <c r="Y9" s="83">
        <v>24.5</v>
      </c>
      <c r="Z9" s="208" t="s">
        <v>881</v>
      </c>
      <c r="AA9" s="208" t="s">
        <v>17</v>
      </c>
      <c r="AB9" s="208" t="s">
        <v>18</v>
      </c>
      <c r="AC9" s="208">
        <v>16.7</v>
      </c>
      <c r="AD9" s="82" t="s">
        <v>882</v>
      </c>
      <c r="AE9" s="208" t="s">
        <v>98</v>
      </c>
      <c r="AF9" s="208" t="s">
        <v>12</v>
      </c>
      <c r="AG9" s="83">
        <v>15.6</v>
      </c>
      <c r="AL9" s="82"/>
      <c r="AO9" s="83"/>
      <c r="AP9" s="82"/>
      <c r="AS9" s="83"/>
      <c r="AW9" s="83"/>
      <c r="BA9" s="84"/>
    </row>
    <row r="10" spans="1:53" s="208" customFormat="1" x14ac:dyDescent="0.15">
      <c r="A10" s="208">
        <v>1995</v>
      </c>
      <c r="C10" s="811" t="s">
        <v>874</v>
      </c>
      <c r="D10" s="811"/>
      <c r="E10" s="208">
        <v>0</v>
      </c>
      <c r="G10" s="600">
        <v>8</v>
      </c>
      <c r="H10" s="676">
        <v>3</v>
      </c>
      <c r="I10" s="676">
        <v>4</v>
      </c>
      <c r="J10" s="602">
        <v>16</v>
      </c>
      <c r="K10" s="597">
        <f t="shared" si="0"/>
        <v>50</v>
      </c>
      <c r="L10" s="597">
        <f t="shared" si="1"/>
        <v>18.75</v>
      </c>
      <c r="M10" s="597">
        <f t="shared" si="2"/>
        <v>25</v>
      </c>
      <c r="N10" s="601">
        <f t="shared" si="3"/>
        <v>93.75</v>
      </c>
      <c r="O10" s="596">
        <v>24.5</v>
      </c>
      <c r="P10" s="597">
        <v>16.7</v>
      </c>
      <c r="Q10" s="597">
        <v>15.6</v>
      </c>
      <c r="R10" s="598">
        <f t="shared" si="4"/>
        <v>56.800000000000004</v>
      </c>
      <c r="S10" s="676">
        <v>2</v>
      </c>
      <c r="T10" s="95"/>
      <c r="V10" s="82" t="s">
        <v>880</v>
      </c>
      <c r="W10" s="208" t="s">
        <v>22</v>
      </c>
      <c r="X10" s="208" t="s">
        <v>11</v>
      </c>
      <c r="Y10" s="83">
        <v>24.5</v>
      </c>
      <c r="Z10" s="208" t="s">
        <v>881</v>
      </c>
      <c r="AA10" s="208" t="s">
        <v>17</v>
      </c>
      <c r="AB10" s="208" t="s">
        <v>18</v>
      </c>
      <c r="AC10" s="208">
        <v>16.7</v>
      </c>
      <c r="AD10" s="82" t="s">
        <v>882</v>
      </c>
      <c r="AE10" s="208" t="s">
        <v>98</v>
      </c>
      <c r="AF10" s="208" t="s">
        <v>12</v>
      </c>
      <c r="AG10" s="83">
        <v>15.6</v>
      </c>
      <c r="AL10" s="82"/>
      <c r="AO10" s="83"/>
      <c r="AP10" s="82"/>
      <c r="AS10" s="83"/>
      <c r="AW10" s="83"/>
      <c r="BA10" s="84"/>
    </row>
    <row r="11" spans="1:53" s="208" customFormat="1" x14ac:dyDescent="0.15">
      <c r="A11" s="208">
        <v>1995</v>
      </c>
      <c r="C11" s="811" t="s">
        <v>874</v>
      </c>
      <c r="D11" s="811"/>
      <c r="E11" s="208">
        <v>365</v>
      </c>
      <c r="G11" s="600">
        <v>8</v>
      </c>
      <c r="H11" s="676">
        <v>3</v>
      </c>
      <c r="I11" s="676">
        <v>4</v>
      </c>
      <c r="J11" s="602">
        <v>16</v>
      </c>
      <c r="K11" s="597">
        <f t="shared" si="0"/>
        <v>50</v>
      </c>
      <c r="L11" s="597">
        <f t="shared" si="1"/>
        <v>18.75</v>
      </c>
      <c r="M11" s="597">
        <f t="shared" si="2"/>
        <v>25</v>
      </c>
      <c r="N11" s="601">
        <f t="shared" si="3"/>
        <v>93.75</v>
      </c>
      <c r="O11" s="596">
        <v>24.5</v>
      </c>
      <c r="P11" s="597">
        <v>16.7</v>
      </c>
      <c r="Q11" s="597">
        <v>15.6</v>
      </c>
      <c r="R11" s="598">
        <f t="shared" si="4"/>
        <v>56.800000000000004</v>
      </c>
      <c r="S11" s="676">
        <v>2</v>
      </c>
      <c r="T11" s="95"/>
      <c r="V11" s="82" t="s">
        <v>880</v>
      </c>
      <c r="W11" s="208" t="s">
        <v>22</v>
      </c>
      <c r="X11" s="208" t="s">
        <v>11</v>
      </c>
      <c r="Y11" s="83">
        <v>24.5</v>
      </c>
      <c r="Z11" s="208" t="s">
        <v>881</v>
      </c>
      <c r="AA11" s="208" t="s">
        <v>17</v>
      </c>
      <c r="AB11" s="208" t="s">
        <v>18</v>
      </c>
      <c r="AC11" s="208">
        <v>16.7</v>
      </c>
      <c r="AD11" s="82" t="s">
        <v>882</v>
      </c>
      <c r="AE11" s="208" t="s">
        <v>98</v>
      </c>
      <c r="AF11" s="208" t="s">
        <v>12</v>
      </c>
      <c r="AG11" s="83">
        <v>15.6</v>
      </c>
      <c r="AL11" s="82"/>
      <c r="AO11" s="83"/>
      <c r="AP11" s="82"/>
      <c r="AS11" s="83"/>
      <c r="AW11" s="83"/>
      <c r="BA11" s="84"/>
    </row>
    <row r="12" spans="1:53" s="208" customFormat="1" x14ac:dyDescent="0.15">
      <c r="A12" s="208">
        <v>1996</v>
      </c>
      <c r="C12" s="811" t="s">
        <v>874</v>
      </c>
      <c r="D12" s="811"/>
      <c r="E12" s="208">
        <v>37</v>
      </c>
      <c r="G12" s="600">
        <v>8</v>
      </c>
      <c r="H12" s="676">
        <v>3</v>
      </c>
      <c r="I12" s="676">
        <v>4</v>
      </c>
      <c r="J12" s="602">
        <v>16</v>
      </c>
      <c r="K12" s="597">
        <f t="shared" si="0"/>
        <v>50</v>
      </c>
      <c r="L12" s="597">
        <f t="shared" si="1"/>
        <v>18.75</v>
      </c>
      <c r="M12" s="597">
        <f t="shared" si="2"/>
        <v>25</v>
      </c>
      <c r="N12" s="601">
        <f t="shared" si="3"/>
        <v>93.75</v>
      </c>
      <c r="O12" s="596">
        <v>24.5</v>
      </c>
      <c r="P12" s="597">
        <v>16.7</v>
      </c>
      <c r="Q12" s="597">
        <v>15.6</v>
      </c>
      <c r="R12" s="598">
        <f t="shared" si="4"/>
        <v>56.800000000000004</v>
      </c>
      <c r="S12" s="676">
        <v>2</v>
      </c>
      <c r="T12" s="95"/>
      <c r="V12" s="82" t="s">
        <v>880</v>
      </c>
      <c r="W12" s="208" t="s">
        <v>22</v>
      </c>
      <c r="X12" s="208" t="s">
        <v>11</v>
      </c>
      <c r="Y12" s="83">
        <v>24.5</v>
      </c>
      <c r="Z12" s="208" t="s">
        <v>881</v>
      </c>
      <c r="AA12" s="208" t="s">
        <v>17</v>
      </c>
      <c r="AB12" s="208" t="s">
        <v>18</v>
      </c>
      <c r="AC12" s="208">
        <v>16.7</v>
      </c>
      <c r="AD12" s="82" t="s">
        <v>882</v>
      </c>
      <c r="AE12" s="208" t="s">
        <v>98</v>
      </c>
      <c r="AF12" s="208" t="s">
        <v>12</v>
      </c>
      <c r="AG12" s="83">
        <v>15.6</v>
      </c>
      <c r="AL12" s="82"/>
      <c r="AO12" s="83"/>
      <c r="AP12" s="82"/>
      <c r="AS12" s="83"/>
      <c r="AW12" s="83"/>
      <c r="BA12" s="84"/>
    </row>
    <row r="13" spans="1:53" s="334" customFormat="1" x14ac:dyDescent="0.15">
      <c r="A13" s="334">
        <v>1996</v>
      </c>
      <c r="B13" s="355">
        <v>35102</v>
      </c>
      <c r="C13" s="812" t="s">
        <v>875</v>
      </c>
      <c r="D13" s="812"/>
      <c r="E13" s="334">
        <f>366-E12</f>
        <v>329</v>
      </c>
      <c r="F13" s="334">
        <v>4</v>
      </c>
      <c r="G13" s="649">
        <v>9</v>
      </c>
      <c r="H13" s="677">
        <v>6</v>
      </c>
      <c r="I13" s="677"/>
      <c r="J13" s="651">
        <v>18</v>
      </c>
      <c r="K13" s="647">
        <f t="shared" si="0"/>
        <v>50</v>
      </c>
      <c r="L13" s="647">
        <f t="shared" si="1"/>
        <v>33.333333333333329</v>
      </c>
      <c r="M13" s="647">
        <f t="shared" si="2"/>
        <v>0</v>
      </c>
      <c r="N13" s="650">
        <f t="shared" si="3"/>
        <v>83.333333333333329</v>
      </c>
      <c r="O13" s="646">
        <v>24.5</v>
      </c>
      <c r="P13" s="647">
        <v>16.7</v>
      </c>
      <c r="Q13" s="647"/>
      <c r="R13" s="648">
        <f t="shared" si="4"/>
        <v>41.2</v>
      </c>
      <c r="S13" s="677">
        <v>5</v>
      </c>
      <c r="T13" s="342"/>
      <c r="U13" s="355">
        <v>35102</v>
      </c>
      <c r="V13" s="343" t="s">
        <v>880</v>
      </c>
      <c r="W13" s="334" t="s">
        <v>22</v>
      </c>
      <c r="X13" s="334" t="s">
        <v>11</v>
      </c>
      <c r="Y13" s="344">
        <v>24.5</v>
      </c>
      <c r="Z13" s="334" t="s">
        <v>881</v>
      </c>
      <c r="AA13" s="334" t="s">
        <v>17</v>
      </c>
      <c r="AB13" s="334" t="s">
        <v>18</v>
      </c>
      <c r="AC13" s="334">
        <v>16.7</v>
      </c>
      <c r="AD13" s="343"/>
      <c r="AG13" s="344"/>
      <c r="AL13" s="343"/>
      <c r="AO13" s="344"/>
      <c r="AP13" s="343"/>
      <c r="AS13" s="344"/>
      <c r="AW13" s="344"/>
      <c r="BA13" s="345"/>
    </row>
    <row r="14" spans="1:53" s="334" customFormat="1" x14ac:dyDescent="0.15">
      <c r="A14" s="334">
        <v>1997</v>
      </c>
      <c r="C14" s="812" t="s">
        <v>875</v>
      </c>
      <c r="D14" s="812"/>
      <c r="E14" s="334">
        <v>57</v>
      </c>
      <c r="G14" s="649">
        <v>9</v>
      </c>
      <c r="H14" s="677">
        <v>6</v>
      </c>
      <c r="I14" s="677"/>
      <c r="J14" s="651">
        <v>18</v>
      </c>
      <c r="K14" s="647">
        <f t="shared" si="0"/>
        <v>50</v>
      </c>
      <c r="L14" s="647">
        <f t="shared" si="1"/>
        <v>33.333333333333329</v>
      </c>
      <c r="M14" s="647">
        <f t="shared" si="2"/>
        <v>0</v>
      </c>
      <c r="N14" s="650">
        <f t="shared" si="3"/>
        <v>83.333333333333329</v>
      </c>
      <c r="O14" s="646">
        <v>24.5</v>
      </c>
      <c r="P14" s="647">
        <v>16.7</v>
      </c>
      <c r="Q14" s="647"/>
      <c r="R14" s="648">
        <f t="shared" si="4"/>
        <v>41.2</v>
      </c>
      <c r="S14" s="677">
        <v>5</v>
      </c>
      <c r="T14" s="342">
        <v>35379</v>
      </c>
      <c r="V14" s="343" t="s">
        <v>880</v>
      </c>
      <c r="W14" s="334" t="s">
        <v>22</v>
      </c>
      <c r="X14" s="334" t="s">
        <v>11</v>
      </c>
      <c r="Y14" s="344">
        <v>24.5</v>
      </c>
      <c r="Z14" s="334" t="s">
        <v>881</v>
      </c>
      <c r="AA14" s="334" t="s">
        <v>17</v>
      </c>
      <c r="AB14" s="334" t="s">
        <v>18</v>
      </c>
      <c r="AC14" s="334">
        <v>16.7</v>
      </c>
      <c r="AD14" s="343"/>
      <c r="AG14" s="344"/>
      <c r="AL14" s="343"/>
      <c r="AO14" s="344"/>
      <c r="AP14" s="343"/>
      <c r="AS14" s="344"/>
      <c r="AW14" s="344"/>
      <c r="BA14" s="345"/>
    </row>
    <row r="15" spans="1:53" s="208" customFormat="1" x14ac:dyDescent="0.15">
      <c r="A15" s="208">
        <v>1997</v>
      </c>
      <c r="B15" s="207">
        <v>35488</v>
      </c>
      <c r="C15" s="811" t="s">
        <v>876</v>
      </c>
      <c r="D15" s="811"/>
      <c r="E15" s="208">
        <f>365-E14</f>
        <v>308</v>
      </c>
      <c r="F15" s="208">
        <v>1</v>
      </c>
      <c r="G15" s="600">
        <v>8</v>
      </c>
      <c r="H15" s="676"/>
      <c r="I15" s="676">
        <v>10</v>
      </c>
      <c r="J15" s="602">
        <v>19</v>
      </c>
      <c r="K15" s="597">
        <f t="shared" si="0"/>
        <v>42.105263157894733</v>
      </c>
      <c r="L15" s="597">
        <f t="shared" si="1"/>
        <v>0</v>
      </c>
      <c r="M15" s="597">
        <f t="shared" si="2"/>
        <v>52.631578947368418</v>
      </c>
      <c r="N15" s="601">
        <f t="shared" si="3"/>
        <v>94.73684210526315</v>
      </c>
      <c r="O15" s="596">
        <v>27.8</v>
      </c>
      <c r="P15" s="597"/>
      <c r="Q15" s="597">
        <v>26.7</v>
      </c>
      <c r="R15" s="598">
        <f t="shared" si="4"/>
        <v>54.5</v>
      </c>
      <c r="S15" s="676">
        <v>2</v>
      </c>
      <c r="T15" s="95"/>
      <c r="U15" s="207">
        <v>35488</v>
      </c>
      <c r="V15" s="82" t="s">
        <v>880</v>
      </c>
      <c r="W15" s="208" t="s">
        <v>22</v>
      </c>
      <c r="X15" s="208" t="s">
        <v>11</v>
      </c>
      <c r="Y15" s="83">
        <v>27.8</v>
      </c>
      <c r="Z15" s="208" t="s">
        <v>885</v>
      </c>
      <c r="AA15" s="208" t="s">
        <v>886</v>
      </c>
      <c r="AB15" s="208" t="s">
        <v>12</v>
      </c>
      <c r="AC15" s="208">
        <v>21.1</v>
      </c>
      <c r="AD15" s="82" t="s">
        <v>887</v>
      </c>
      <c r="AE15" s="208" t="s">
        <v>888</v>
      </c>
      <c r="AF15" s="208" t="s">
        <v>12</v>
      </c>
      <c r="AG15" s="83">
        <v>5.6</v>
      </c>
      <c r="AL15" s="82"/>
      <c r="AO15" s="83"/>
      <c r="AP15" s="82"/>
      <c r="AS15" s="83"/>
      <c r="AW15" s="83"/>
      <c r="BA15" s="84"/>
    </row>
    <row r="16" spans="1:53" s="208" customFormat="1" x14ac:dyDescent="0.15">
      <c r="A16" s="208">
        <v>1998</v>
      </c>
      <c r="C16" s="811" t="s">
        <v>876</v>
      </c>
      <c r="D16" s="811"/>
      <c r="E16" s="208">
        <v>0</v>
      </c>
      <c r="G16" s="600">
        <v>8</v>
      </c>
      <c r="H16" s="676"/>
      <c r="I16" s="676">
        <v>10</v>
      </c>
      <c r="J16" s="602">
        <v>19</v>
      </c>
      <c r="K16" s="597">
        <f t="shared" si="0"/>
        <v>42.105263157894733</v>
      </c>
      <c r="L16" s="597">
        <f t="shared" si="1"/>
        <v>0</v>
      </c>
      <c r="M16" s="597">
        <f t="shared" si="2"/>
        <v>52.631578947368418</v>
      </c>
      <c r="N16" s="601">
        <f t="shared" si="3"/>
        <v>94.73684210526315</v>
      </c>
      <c r="O16" s="596">
        <v>27.8</v>
      </c>
      <c r="P16" s="597"/>
      <c r="Q16" s="597">
        <v>26.7</v>
      </c>
      <c r="R16" s="598">
        <f t="shared" si="4"/>
        <v>54.5</v>
      </c>
      <c r="S16" s="676">
        <v>2</v>
      </c>
      <c r="T16" s="95"/>
      <c r="V16" s="82" t="s">
        <v>880</v>
      </c>
      <c r="W16" s="208" t="s">
        <v>22</v>
      </c>
      <c r="X16" s="208" t="s">
        <v>11</v>
      </c>
      <c r="Y16" s="83">
        <v>27.8</v>
      </c>
      <c r="Z16" s="208" t="s">
        <v>885</v>
      </c>
      <c r="AA16" s="208" t="s">
        <v>886</v>
      </c>
      <c r="AB16" s="208" t="s">
        <v>12</v>
      </c>
      <c r="AC16" s="208">
        <v>21.1</v>
      </c>
      <c r="AD16" s="82" t="s">
        <v>887</v>
      </c>
      <c r="AE16" s="208" t="s">
        <v>888</v>
      </c>
      <c r="AF16" s="208" t="s">
        <v>12</v>
      </c>
      <c r="AG16" s="83">
        <v>5.6</v>
      </c>
      <c r="AL16" s="82"/>
      <c r="AO16" s="83"/>
      <c r="AP16" s="82"/>
      <c r="AS16" s="83"/>
      <c r="AW16" s="83"/>
      <c r="BA16" s="84"/>
    </row>
    <row r="17" spans="1:53" s="208" customFormat="1" x14ac:dyDescent="0.15">
      <c r="A17" s="208">
        <v>1998</v>
      </c>
      <c r="C17" s="811" t="s">
        <v>876</v>
      </c>
      <c r="D17" s="811"/>
      <c r="E17" s="208">
        <v>365</v>
      </c>
      <c r="G17" s="600">
        <v>8</v>
      </c>
      <c r="H17" s="676"/>
      <c r="I17" s="676">
        <v>10</v>
      </c>
      <c r="J17" s="602">
        <v>19</v>
      </c>
      <c r="K17" s="597">
        <f t="shared" si="0"/>
        <v>42.105263157894733</v>
      </c>
      <c r="L17" s="597">
        <f t="shared" si="1"/>
        <v>0</v>
      </c>
      <c r="M17" s="597">
        <f t="shared" si="2"/>
        <v>52.631578947368418</v>
      </c>
      <c r="N17" s="601">
        <f t="shared" si="3"/>
        <v>94.73684210526315</v>
      </c>
      <c r="O17" s="596">
        <v>27.8</v>
      </c>
      <c r="P17" s="597"/>
      <c r="Q17" s="597">
        <v>26.7</v>
      </c>
      <c r="R17" s="598">
        <f t="shared" si="4"/>
        <v>54.5</v>
      </c>
      <c r="S17" s="676">
        <v>2</v>
      </c>
      <c r="T17" s="95"/>
      <c r="V17" s="82" t="s">
        <v>880</v>
      </c>
      <c r="W17" s="208" t="s">
        <v>22</v>
      </c>
      <c r="X17" s="208" t="s">
        <v>11</v>
      </c>
      <c r="Y17" s="83">
        <v>27.8</v>
      </c>
      <c r="Z17" s="208" t="s">
        <v>885</v>
      </c>
      <c r="AA17" s="208" t="s">
        <v>886</v>
      </c>
      <c r="AB17" s="208" t="s">
        <v>12</v>
      </c>
      <c r="AC17" s="208">
        <v>21.1</v>
      </c>
      <c r="AD17" s="82" t="s">
        <v>887</v>
      </c>
      <c r="AE17" s="208" t="s">
        <v>888</v>
      </c>
      <c r="AF17" s="208" t="s">
        <v>12</v>
      </c>
      <c r="AG17" s="83">
        <v>5.6</v>
      </c>
      <c r="AL17" s="82"/>
      <c r="AO17" s="83"/>
      <c r="AP17" s="82"/>
      <c r="AS17" s="83"/>
      <c r="AW17" s="83"/>
      <c r="BA17" s="84"/>
    </row>
    <row r="18" spans="1:53" s="208" customFormat="1" x14ac:dyDescent="0.15">
      <c r="A18" s="208">
        <v>1999</v>
      </c>
      <c r="C18" s="811" t="s">
        <v>876</v>
      </c>
      <c r="D18" s="811"/>
      <c r="E18" s="208">
        <v>0</v>
      </c>
      <c r="G18" s="600">
        <v>8</v>
      </c>
      <c r="H18" s="676"/>
      <c r="I18" s="676">
        <v>10</v>
      </c>
      <c r="J18" s="602">
        <v>19</v>
      </c>
      <c r="K18" s="597">
        <f t="shared" si="0"/>
        <v>42.105263157894733</v>
      </c>
      <c r="L18" s="597">
        <f t="shared" si="1"/>
        <v>0</v>
      </c>
      <c r="M18" s="597">
        <f t="shared" si="2"/>
        <v>52.631578947368418</v>
      </c>
      <c r="N18" s="601">
        <f t="shared" si="3"/>
        <v>94.73684210526315</v>
      </c>
      <c r="O18" s="596">
        <v>27.8</v>
      </c>
      <c r="P18" s="597"/>
      <c r="Q18" s="597">
        <v>26.7</v>
      </c>
      <c r="R18" s="598">
        <f t="shared" si="4"/>
        <v>54.5</v>
      </c>
      <c r="S18" s="676">
        <v>2</v>
      </c>
      <c r="T18" s="95"/>
      <c r="V18" s="82" t="s">
        <v>880</v>
      </c>
      <c r="W18" s="208" t="s">
        <v>22</v>
      </c>
      <c r="X18" s="208" t="s">
        <v>11</v>
      </c>
      <c r="Y18" s="83">
        <v>27.8</v>
      </c>
      <c r="Z18" s="208" t="s">
        <v>885</v>
      </c>
      <c r="AA18" s="208" t="s">
        <v>886</v>
      </c>
      <c r="AB18" s="208" t="s">
        <v>12</v>
      </c>
      <c r="AC18" s="208">
        <v>21.1</v>
      </c>
      <c r="AD18" s="82" t="s">
        <v>887</v>
      </c>
      <c r="AE18" s="208" t="s">
        <v>888</v>
      </c>
      <c r="AF18" s="208" t="s">
        <v>12</v>
      </c>
      <c r="AG18" s="83">
        <v>5.6</v>
      </c>
      <c r="AL18" s="82"/>
      <c r="AO18" s="83"/>
      <c r="AP18" s="82"/>
      <c r="AS18" s="83"/>
      <c r="AW18" s="83"/>
      <c r="BA18" s="84"/>
    </row>
    <row r="19" spans="1:53" s="208" customFormat="1" x14ac:dyDescent="0.15">
      <c r="A19" s="208">
        <v>1999</v>
      </c>
      <c r="C19" s="811" t="s">
        <v>876</v>
      </c>
      <c r="D19" s="811"/>
      <c r="E19" s="208">
        <v>365</v>
      </c>
      <c r="G19" s="600">
        <v>8</v>
      </c>
      <c r="H19" s="676"/>
      <c r="I19" s="676">
        <v>10</v>
      </c>
      <c r="J19" s="602">
        <v>19</v>
      </c>
      <c r="K19" s="597">
        <f t="shared" si="0"/>
        <v>42.105263157894733</v>
      </c>
      <c r="L19" s="597">
        <f t="shared" si="1"/>
        <v>0</v>
      </c>
      <c r="M19" s="597">
        <f t="shared" si="2"/>
        <v>52.631578947368418</v>
      </c>
      <c r="N19" s="601">
        <f t="shared" si="3"/>
        <v>94.73684210526315</v>
      </c>
      <c r="O19" s="596">
        <v>27.8</v>
      </c>
      <c r="P19" s="597"/>
      <c r="Q19" s="597">
        <v>26.7</v>
      </c>
      <c r="R19" s="598">
        <f t="shared" si="4"/>
        <v>54.5</v>
      </c>
      <c r="S19" s="676">
        <v>2</v>
      </c>
      <c r="T19" s="95"/>
      <c r="V19" s="82" t="s">
        <v>880</v>
      </c>
      <c r="W19" s="208" t="s">
        <v>22</v>
      </c>
      <c r="X19" s="208" t="s">
        <v>11</v>
      </c>
      <c r="Y19" s="83">
        <v>27.8</v>
      </c>
      <c r="Z19" s="208" t="s">
        <v>885</v>
      </c>
      <c r="AA19" s="208" t="s">
        <v>886</v>
      </c>
      <c r="AB19" s="208" t="s">
        <v>12</v>
      </c>
      <c r="AC19" s="208">
        <v>21.1</v>
      </c>
      <c r="AD19" s="82" t="s">
        <v>887</v>
      </c>
      <c r="AE19" s="208" t="s">
        <v>888</v>
      </c>
      <c r="AF19" s="208" t="s">
        <v>12</v>
      </c>
      <c r="AG19" s="83">
        <v>5.6</v>
      </c>
      <c r="AL19" s="82"/>
      <c r="AO19" s="83"/>
      <c r="AP19" s="82"/>
      <c r="AS19" s="83"/>
      <c r="AW19" s="83"/>
      <c r="BA19" s="84"/>
    </row>
    <row r="20" spans="1:53" s="208" customFormat="1" x14ac:dyDescent="0.15">
      <c r="A20" s="208">
        <v>2000</v>
      </c>
      <c r="C20" s="811" t="s">
        <v>876</v>
      </c>
      <c r="D20" s="811"/>
      <c r="E20" s="208">
        <v>158</v>
      </c>
      <c r="G20" s="600">
        <v>8</v>
      </c>
      <c r="H20" s="676"/>
      <c r="I20" s="676">
        <v>10</v>
      </c>
      <c r="J20" s="602">
        <v>19</v>
      </c>
      <c r="K20" s="597">
        <f t="shared" si="0"/>
        <v>42.105263157894733</v>
      </c>
      <c r="L20" s="597">
        <f t="shared" si="1"/>
        <v>0</v>
      </c>
      <c r="M20" s="597">
        <f t="shared" si="2"/>
        <v>52.631578947368418</v>
      </c>
      <c r="N20" s="601">
        <f t="shared" si="3"/>
        <v>94.73684210526315</v>
      </c>
      <c r="O20" s="596">
        <v>27.8</v>
      </c>
      <c r="P20" s="597"/>
      <c r="Q20" s="597">
        <v>26.7</v>
      </c>
      <c r="R20" s="598">
        <f t="shared" si="4"/>
        <v>54.5</v>
      </c>
      <c r="S20" s="676">
        <v>2</v>
      </c>
      <c r="T20" s="95"/>
      <c r="V20" s="82" t="s">
        <v>880</v>
      </c>
      <c r="W20" s="208" t="s">
        <v>22</v>
      </c>
      <c r="X20" s="208" t="s">
        <v>11</v>
      </c>
      <c r="Y20" s="83">
        <v>27.8</v>
      </c>
      <c r="Z20" s="208" t="s">
        <v>885</v>
      </c>
      <c r="AA20" s="208" t="s">
        <v>886</v>
      </c>
      <c r="AB20" s="208" t="s">
        <v>12</v>
      </c>
      <c r="AC20" s="208">
        <v>21.1</v>
      </c>
      <c r="AD20" s="82" t="s">
        <v>887</v>
      </c>
      <c r="AE20" s="208" t="s">
        <v>888</v>
      </c>
      <c r="AF20" s="208" t="s">
        <v>12</v>
      </c>
      <c r="AG20" s="83">
        <v>5.6</v>
      </c>
      <c r="AL20" s="82"/>
      <c r="AO20" s="83"/>
      <c r="AP20" s="82"/>
      <c r="AS20" s="83"/>
      <c r="AW20" s="83"/>
      <c r="BA20" s="84"/>
    </row>
    <row r="21" spans="1:53" s="334" customFormat="1" x14ac:dyDescent="0.15">
      <c r="A21" s="334">
        <v>2000</v>
      </c>
      <c r="B21" s="355">
        <v>36684</v>
      </c>
      <c r="C21" s="812" t="s">
        <v>878</v>
      </c>
      <c r="D21" s="812"/>
      <c r="E21" s="334">
        <v>176</v>
      </c>
      <c r="F21" s="334">
        <v>5</v>
      </c>
      <c r="G21" s="649"/>
      <c r="H21" s="677">
        <v>3</v>
      </c>
      <c r="I21" s="677">
        <v>10</v>
      </c>
      <c r="J21" s="651">
        <v>17</v>
      </c>
      <c r="K21" s="647">
        <f t="shared" si="0"/>
        <v>0</v>
      </c>
      <c r="L21" s="647">
        <f t="shared" si="1"/>
        <v>17.647058823529413</v>
      </c>
      <c r="M21" s="647">
        <f t="shared" si="2"/>
        <v>58.82352941176471</v>
      </c>
      <c r="N21" s="650">
        <f t="shared" si="3"/>
        <v>76.470588235294116</v>
      </c>
      <c r="O21" s="646"/>
      <c r="P21" s="647">
        <v>11.1</v>
      </c>
      <c r="Q21" s="647">
        <v>38.9</v>
      </c>
      <c r="R21" s="648">
        <f t="shared" si="4"/>
        <v>50</v>
      </c>
      <c r="S21" s="677">
        <v>5</v>
      </c>
      <c r="T21" s="342"/>
      <c r="U21" s="355">
        <v>36684</v>
      </c>
      <c r="V21" s="343" t="s">
        <v>885</v>
      </c>
      <c r="W21" s="334" t="s">
        <v>886</v>
      </c>
      <c r="X21" s="334" t="s">
        <v>12</v>
      </c>
      <c r="Y21" s="344">
        <v>21.1</v>
      </c>
      <c r="Z21" s="343" t="s">
        <v>884</v>
      </c>
      <c r="AA21" s="334" t="s">
        <v>97</v>
      </c>
      <c r="AB21" s="334" t="s">
        <v>12</v>
      </c>
      <c r="AC21" s="334">
        <v>17.8</v>
      </c>
      <c r="AD21" s="343" t="s">
        <v>881</v>
      </c>
      <c r="AE21" s="334" t="s">
        <v>17</v>
      </c>
      <c r="AF21" s="334" t="s">
        <v>18</v>
      </c>
      <c r="AG21" s="344">
        <v>11.1</v>
      </c>
      <c r="AL21" s="343"/>
      <c r="AO21" s="344"/>
      <c r="AP21" s="343"/>
      <c r="AS21" s="344"/>
      <c r="AW21" s="344"/>
      <c r="BA21" s="345"/>
    </row>
    <row r="22" spans="1:53" s="208" customFormat="1" x14ac:dyDescent="0.15">
      <c r="A22" s="208">
        <v>2000</v>
      </c>
      <c r="B22" s="207">
        <v>36860</v>
      </c>
      <c r="C22" s="811" t="s">
        <v>1229</v>
      </c>
      <c r="D22" s="811"/>
      <c r="E22" s="208">
        <f>366-E21-E20</f>
        <v>32</v>
      </c>
      <c r="F22" s="208">
        <v>1</v>
      </c>
      <c r="G22" s="600">
        <v>10</v>
      </c>
      <c r="H22" s="676"/>
      <c r="I22" s="676">
        <v>6</v>
      </c>
      <c r="J22" s="602">
        <v>16</v>
      </c>
      <c r="K22" s="597">
        <f t="shared" si="0"/>
        <v>62.5</v>
      </c>
      <c r="L22" s="597">
        <f t="shared" si="1"/>
        <v>0</v>
      </c>
      <c r="M22" s="597">
        <f t="shared" si="2"/>
        <v>37.5</v>
      </c>
      <c r="N22" s="601">
        <f t="shared" si="3"/>
        <v>100</v>
      </c>
      <c r="O22" s="596">
        <v>37.799999999999997</v>
      </c>
      <c r="P22" s="597"/>
      <c r="Q22" s="597">
        <v>22.2</v>
      </c>
      <c r="R22" s="598">
        <f t="shared" si="4"/>
        <v>60</v>
      </c>
      <c r="S22" s="676">
        <v>2</v>
      </c>
      <c r="T22" s="95">
        <v>36814</v>
      </c>
      <c r="U22" s="207">
        <v>36860</v>
      </c>
      <c r="V22" s="82" t="s">
        <v>880</v>
      </c>
      <c r="W22" s="208" t="s">
        <v>22</v>
      </c>
      <c r="X22" s="208" t="s">
        <v>11</v>
      </c>
      <c r="Y22" s="83">
        <v>37.799999999999997</v>
      </c>
      <c r="Z22" s="82" t="s">
        <v>882</v>
      </c>
      <c r="AA22" s="208" t="s">
        <v>98</v>
      </c>
      <c r="AB22" s="208" t="s">
        <v>12</v>
      </c>
      <c r="AC22" s="208">
        <v>12.2</v>
      </c>
      <c r="AD22" s="82" t="s">
        <v>893</v>
      </c>
      <c r="AE22" s="208" t="s">
        <v>894</v>
      </c>
      <c r="AF22" s="208" t="s">
        <v>12</v>
      </c>
      <c r="AG22" s="83">
        <v>10</v>
      </c>
      <c r="AL22" s="82"/>
      <c r="AO22" s="83"/>
      <c r="AP22" s="82"/>
      <c r="AS22" s="83"/>
      <c r="AW22" s="83"/>
      <c r="BA22" s="84"/>
    </row>
    <row r="23" spans="1:53" s="208" customFormat="1" x14ac:dyDescent="0.15">
      <c r="A23" s="208">
        <v>2001</v>
      </c>
      <c r="C23" s="811" t="s">
        <v>1229</v>
      </c>
      <c r="D23" s="811"/>
      <c r="E23" s="208">
        <v>0</v>
      </c>
      <c r="G23" s="600">
        <v>10</v>
      </c>
      <c r="H23" s="676"/>
      <c r="I23" s="676">
        <v>6</v>
      </c>
      <c r="J23" s="602">
        <v>16</v>
      </c>
      <c r="K23" s="597">
        <f t="shared" si="0"/>
        <v>62.5</v>
      </c>
      <c r="L23" s="597">
        <f t="shared" si="1"/>
        <v>0</v>
      </c>
      <c r="M23" s="597">
        <f t="shared" si="2"/>
        <v>37.5</v>
      </c>
      <c r="N23" s="601">
        <f t="shared" si="3"/>
        <v>100</v>
      </c>
      <c r="O23" s="596">
        <v>37.799999999999997</v>
      </c>
      <c r="P23" s="597"/>
      <c r="Q23" s="597">
        <v>22.2</v>
      </c>
      <c r="R23" s="598">
        <f t="shared" si="4"/>
        <v>60</v>
      </c>
      <c r="S23" s="676">
        <v>2</v>
      </c>
      <c r="T23" s="95"/>
      <c r="V23" s="82" t="s">
        <v>880</v>
      </c>
      <c r="W23" s="208" t="s">
        <v>22</v>
      </c>
      <c r="X23" s="208" t="s">
        <v>11</v>
      </c>
      <c r="Y23" s="83">
        <v>37.799999999999997</v>
      </c>
      <c r="Z23" s="82" t="s">
        <v>882</v>
      </c>
      <c r="AA23" s="208" t="s">
        <v>98</v>
      </c>
      <c r="AB23" s="208" t="s">
        <v>12</v>
      </c>
      <c r="AC23" s="208">
        <v>12.2</v>
      </c>
      <c r="AD23" s="82" t="s">
        <v>893</v>
      </c>
      <c r="AE23" s="208" t="s">
        <v>894</v>
      </c>
      <c r="AF23" s="208" t="s">
        <v>12</v>
      </c>
      <c r="AG23" s="83">
        <v>10</v>
      </c>
      <c r="AL23" s="82"/>
      <c r="AO23" s="83"/>
      <c r="AP23" s="82"/>
      <c r="AS23" s="83"/>
      <c r="AW23" s="83"/>
      <c r="BA23" s="84"/>
    </row>
    <row r="24" spans="1:53" s="208" customFormat="1" x14ac:dyDescent="0.15">
      <c r="A24" s="208">
        <v>2001</v>
      </c>
      <c r="C24" s="811" t="s">
        <v>1229</v>
      </c>
      <c r="D24" s="811"/>
      <c r="E24" s="208">
        <v>365</v>
      </c>
      <c r="G24" s="600">
        <v>10</v>
      </c>
      <c r="H24" s="676"/>
      <c r="I24" s="676">
        <v>6</v>
      </c>
      <c r="J24" s="602">
        <v>16</v>
      </c>
      <c r="K24" s="597">
        <f t="shared" si="0"/>
        <v>62.5</v>
      </c>
      <c r="L24" s="597">
        <f t="shared" si="1"/>
        <v>0</v>
      </c>
      <c r="M24" s="597">
        <f t="shared" si="2"/>
        <v>37.5</v>
      </c>
      <c r="N24" s="601">
        <f t="shared" si="3"/>
        <v>100</v>
      </c>
      <c r="O24" s="596">
        <v>37.799999999999997</v>
      </c>
      <c r="P24" s="597"/>
      <c r="Q24" s="597">
        <v>22.2</v>
      </c>
      <c r="R24" s="598">
        <f t="shared" si="4"/>
        <v>60</v>
      </c>
      <c r="S24" s="676">
        <v>2</v>
      </c>
      <c r="T24" s="95"/>
      <c r="V24" s="82" t="s">
        <v>880</v>
      </c>
      <c r="W24" s="208" t="s">
        <v>22</v>
      </c>
      <c r="X24" s="208" t="s">
        <v>11</v>
      </c>
      <c r="Y24" s="83">
        <v>37.799999999999997</v>
      </c>
      <c r="Z24" s="82" t="s">
        <v>882</v>
      </c>
      <c r="AA24" s="208" t="s">
        <v>98</v>
      </c>
      <c r="AB24" s="208" t="s">
        <v>12</v>
      </c>
      <c r="AC24" s="208">
        <v>12.2</v>
      </c>
      <c r="AD24" s="82" t="s">
        <v>893</v>
      </c>
      <c r="AE24" s="208" t="s">
        <v>894</v>
      </c>
      <c r="AF24" s="208" t="s">
        <v>12</v>
      </c>
      <c r="AG24" s="83">
        <v>10</v>
      </c>
      <c r="AL24" s="82"/>
      <c r="AO24" s="83"/>
      <c r="AP24" s="82"/>
      <c r="AS24" s="83"/>
      <c r="AW24" s="83"/>
      <c r="BA24" s="84"/>
    </row>
    <row r="25" spans="1:53" s="227" customFormat="1" x14ac:dyDescent="0.15">
      <c r="A25" s="227">
        <v>2002</v>
      </c>
      <c r="C25" s="811" t="s">
        <v>1229</v>
      </c>
      <c r="D25" s="811"/>
      <c r="E25" s="227">
        <v>23</v>
      </c>
      <c r="G25" s="600">
        <v>10</v>
      </c>
      <c r="H25" s="676"/>
      <c r="I25" s="676">
        <v>6</v>
      </c>
      <c r="J25" s="602">
        <v>16</v>
      </c>
      <c r="K25" s="597">
        <f>G25/J25*100</f>
        <v>62.5</v>
      </c>
      <c r="L25" s="597">
        <f>H25/J25*100</f>
        <v>0</v>
      </c>
      <c r="M25" s="597">
        <f>I25/J25*100</f>
        <v>37.5</v>
      </c>
      <c r="N25" s="601">
        <f>K25+L25+M25</f>
        <v>100</v>
      </c>
      <c r="O25" s="596">
        <v>37.799999999999997</v>
      </c>
      <c r="P25" s="597"/>
      <c r="Q25" s="597">
        <v>22.2</v>
      </c>
      <c r="R25" s="598">
        <f>O25+P25+Q25</f>
        <v>60</v>
      </c>
      <c r="S25" s="676">
        <v>2</v>
      </c>
      <c r="T25" s="95"/>
      <c r="V25" s="82" t="s">
        <v>880</v>
      </c>
      <c r="W25" s="227" t="s">
        <v>22</v>
      </c>
      <c r="X25" s="227" t="s">
        <v>11</v>
      </c>
      <c r="Y25" s="83">
        <v>37.799999999999997</v>
      </c>
      <c r="Z25" s="82" t="s">
        <v>882</v>
      </c>
      <c r="AA25" s="227" t="s">
        <v>98</v>
      </c>
      <c r="AB25" s="227" t="s">
        <v>12</v>
      </c>
      <c r="AC25" s="227">
        <v>12.2</v>
      </c>
      <c r="AD25" s="82" t="s">
        <v>893</v>
      </c>
      <c r="AE25" s="227" t="s">
        <v>894</v>
      </c>
      <c r="AF25" s="227" t="s">
        <v>12</v>
      </c>
      <c r="AG25" s="83">
        <v>10</v>
      </c>
      <c r="AL25" s="82"/>
      <c r="AO25" s="83"/>
      <c r="AP25" s="82"/>
      <c r="AS25" s="83"/>
      <c r="AW25" s="83"/>
      <c r="BA25" s="84"/>
    </row>
    <row r="26" spans="1:53" s="208" customFormat="1" x14ac:dyDescent="0.15">
      <c r="A26" s="208">
        <v>2002</v>
      </c>
      <c r="B26" s="149">
        <v>37280</v>
      </c>
      <c r="C26" s="811" t="s">
        <v>1229</v>
      </c>
      <c r="D26" s="811"/>
      <c r="E26" s="208">
        <v>329</v>
      </c>
      <c r="F26" s="150">
        <v>0</v>
      </c>
      <c r="G26" s="600">
        <v>9</v>
      </c>
      <c r="H26" s="676"/>
      <c r="I26" s="676">
        <v>6</v>
      </c>
      <c r="J26" s="602">
        <v>16</v>
      </c>
      <c r="K26" s="597">
        <f t="shared" si="0"/>
        <v>56.25</v>
      </c>
      <c r="L26" s="597">
        <f t="shared" si="1"/>
        <v>0</v>
      </c>
      <c r="M26" s="597">
        <f t="shared" si="2"/>
        <v>37.5</v>
      </c>
      <c r="N26" s="601">
        <f t="shared" si="3"/>
        <v>93.75</v>
      </c>
      <c r="O26" s="596">
        <v>37.799999999999997</v>
      </c>
      <c r="P26" s="597"/>
      <c r="Q26" s="597">
        <v>22.2</v>
      </c>
      <c r="R26" s="598">
        <f t="shared" si="4"/>
        <v>60</v>
      </c>
      <c r="S26" s="676">
        <v>2</v>
      </c>
      <c r="T26" s="95"/>
      <c r="V26" s="82" t="s">
        <v>880</v>
      </c>
      <c r="W26" s="208" t="s">
        <v>22</v>
      </c>
      <c r="X26" s="208" t="s">
        <v>11</v>
      </c>
      <c r="Y26" s="83">
        <v>37.799999999999997</v>
      </c>
      <c r="Z26" s="82" t="s">
        <v>882</v>
      </c>
      <c r="AA26" s="208" t="s">
        <v>98</v>
      </c>
      <c r="AB26" s="208" t="s">
        <v>12</v>
      </c>
      <c r="AC26" s="208">
        <v>12.2</v>
      </c>
      <c r="AD26" s="82" t="s">
        <v>893</v>
      </c>
      <c r="AE26" s="208" t="s">
        <v>894</v>
      </c>
      <c r="AF26" s="208" t="s">
        <v>12</v>
      </c>
      <c r="AG26" s="83">
        <v>10</v>
      </c>
      <c r="AL26" s="82"/>
      <c r="AO26" s="83"/>
      <c r="AP26" s="82"/>
      <c r="AS26" s="83"/>
      <c r="AW26" s="83"/>
      <c r="BA26" s="84"/>
    </row>
    <row r="27" spans="1:53" s="334" customFormat="1" x14ac:dyDescent="0.15">
      <c r="A27" s="334">
        <v>2002</v>
      </c>
      <c r="B27" s="355">
        <v>37609</v>
      </c>
      <c r="C27" s="812" t="s">
        <v>877</v>
      </c>
      <c r="D27" s="812"/>
      <c r="E27" s="334">
        <v>13</v>
      </c>
      <c r="F27" s="334">
        <v>2</v>
      </c>
      <c r="G27" s="649">
        <v>10</v>
      </c>
      <c r="H27" s="677"/>
      <c r="I27" s="677">
        <v>7</v>
      </c>
      <c r="J27" s="651">
        <v>17</v>
      </c>
      <c r="K27" s="647">
        <f t="shared" si="0"/>
        <v>58.82352941176471</v>
      </c>
      <c r="L27" s="647">
        <f t="shared" si="1"/>
        <v>0</v>
      </c>
      <c r="M27" s="647">
        <f t="shared" si="2"/>
        <v>41.17647058823529</v>
      </c>
      <c r="N27" s="650">
        <f t="shared" si="3"/>
        <v>100</v>
      </c>
      <c r="O27" s="646">
        <v>37.799999999999997</v>
      </c>
      <c r="P27" s="647"/>
      <c r="Q27" s="647">
        <v>26.6</v>
      </c>
      <c r="R27" s="648">
        <f t="shared" si="4"/>
        <v>64.400000000000006</v>
      </c>
      <c r="S27" s="677">
        <v>3</v>
      </c>
      <c r="T27" s="342"/>
      <c r="U27" s="355">
        <v>37609</v>
      </c>
      <c r="V27" s="343" t="s">
        <v>880</v>
      </c>
      <c r="W27" s="334" t="s">
        <v>22</v>
      </c>
      <c r="X27" s="334" t="s">
        <v>11</v>
      </c>
      <c r="Y27" s="344">
        <v>37.799999999999997</v>
      </c>
      <c r="Z27" s="343" t="s">
        <v>882</v>
      </c>
      <c r="AA27" s="334" t="s">
        <v>98</v>
      </c>
      <c r="AB27" s="334" t="s">
        <v>12</v>
      </c>
      <c r="AC27" s="334">
        <v>12.2</v>
      </c>
      <c r="AD27" s="343" t="s">
        <v>893</v>
      </c>
      <c r="AE27" s="334" t="s">
        <v>894</v>
      </c>
      <c r="AF27" s="334" t="s">
        <v>12</v>
      </c>
      <c r="AG27" s="344">
        <v>10</v>
      </c>
      <c r="AH27" s="343" t="s">
        <v>887</v>
      </c>
      <c r="AI27" s="334" t="s">
        <v>888</v>
      </c>
      <c r="AJ27" s="334" t="s">
        <v>12</v>
      </c>
      <c r="AK27" s="334">
        <v>4.4000000000000004</v>
      </c>
      <c r="AL27" s="343"/>
      <c r="AO27" s="344"/>
      <c r="AP27" s="343"/>
      <c r="AS27" s="344"/>
      <c r="AW27" s="344"/>
      <c r="BA27" s="345"/>
    </row>
    <row r="28" spans="1:53" s="334" customFormat="1" x14ac:dyDescent="0.15">
      <c r="A28" s="334">
        <v>2003</v>
      </c>
      <c r="C28" s="812" t="s">
        <v>877</v>
      </c>
      <c r="D28" s="812"/>
      <c r="E28" s="334">
        <v>0</v>
      </c>
      <c r="G28" s="649">
        <v>10</v>
      </c>
      <c r="H28" s="677"/>
      <c r="I28" s="677">
        <v>7</v>
      </c>
      <c r="J28" s="651">
        <v>17</v>
      </c>
      <c r="K28" s="647">
        <f t="shared" si="0"/>
        <v>58.82352941176471</v>
      </c>
      <c r="L28" s="647">
        <f t="shared" si="1"/>
        <v>0</v>
      </c>
      <c r="M28" s="647">
        <f t="shared" si="2"/>
        <v>41.17647058823529</v>
      </c>
      <c r="N28" s="650">
        <f t="shared" si="3"/>
        <v>100</v>
      </c>
      <c r="O28" s="646">
        <v>37.799999999999997</v>
      </c>
      <c r="P28" s="647"/>
      <c r="Q28" s="647">
        <v>26.6</v>
      </c>
      <c r="R28" s="648">
        <f t="shared" si="4"/>
        <v>64.400000000000006</v>
      </c>
      <c r="S28" s="677">
        <v>3</v>
      </c>
      <c r="T28" s="342"/>
      <c r="V28" s="343" t="s">
        <v>880</v>
      </c>
      <c r="W28" s="334" t="s">
        <v>22</v>
      </c>
      <c r="X28" s="334" t="s">
        <v>11</v>
      </c>
      <c r="Y28" s="344">
        <v>37.799999999999997</v>
      </c>
      <c r="Z28" s="343" t="s">
        <v>882</v>
      </c>
      <c r="AA28" s="334" t="s">
        <v>98</v>
      </c>
      <c r="AB28" s="334" t="s">
        <v>12</v>
      </c>
      <c r="AC28" s="334">
        <v>12.2</v>
      </c>
      <c r="AD28" s="343" t="s">
        <v>893</v>
      </c>
      <c r="AE28" s="334" t="s">
        <v>894</v>
      </c>
      <c r="AF28" s="334" t="s">
        <v>12</v>
      </c>
      <c r="AG28" s="344">
        <v>10</v>
      </c>
      <c r="AH28" s="343" t="s">
        <v>887</v>
      </c>
      <c r="AI28" s="334" t="s">
        <v>888</v>
      </c>
      <c r="AJ28" s="334" t="s">
        <v>12</v>
      </c>
      <c r="AK28" s="334">
        <v>4.4000000000000004</v>
      </c>
      <c r="AL28" s="343"/>
      <c r="AO28" s="344"/>
      <c r="AP28" s="343"/>
      <c r="AS28" s="344"/>
      <c r="AW28" s="344"/>
      <c r="BA28" s="345"/>
    </row>
    <row r="29" spans="1:53" s="334" customFormat="1" x14ac:dyDescent="0.15">
      <c r="A29" s="334">
        <v>2003</v>
      </c>
      <c r="C29" s="812" t="s">
        <v>877</v>
      </c>
      <c r="D29" s="812"/>
      <c r="E29" s="334">
        <v>365</v>
      </c>
      <c r="G29" s="649">
        <v>10</v>
      </c>
      <c r="H29" s="677"/>
      <c r="I29" s="677">
        <v>7</v>
      </c>
      <c r="J29" s="651">
        <v>17</v>
      </c>
      <c r="K29" s="647">
        <f t="shared" si="0"/>
        <v>58.82352941176471</v>
      </c>
      <c r="L29" s="647">
        <f t="shared" si="1"/>
        <v>0</v>
      </c>
      <c r="M29" s="647">
        <f t="shared" si="2"/>
        <v>41.17647058823529</v>
      </c>
      <c r="N29" s="650">
        <f t="shared" si="3"/>
        <v>100</v>
      </c>
      <c r="O29" s="646">
        <v>37.799999999999997</v>
      </c>
      <c r="P29" s="647"/>
      <c r="Q29" s="647">
        <v>26.6</v>
      </c>
      <c r="R29" s="648">
        <f t="shared" si="4"/>
        <v>64.400000000000006</v>
      </c>
      <c r="S29" s="677">
        <v>3</v>
      </c>
      <c r="T29" s="342"/>
      <c r="V29" s="343" t="s">
        <v>880</v>
      </c>
      <c r="W29" s="334" t="s">
        <v>22</v>
      </c>
      <c r="X29" s="334" t="s">
        <v>11</v>
      </c>
      <c r="Y29" s="344">
        <v>37.799999999999997</v>
      </c>
      <c r="Z29" s="343" t="s">
        <v>882</v>
      </c>
      <c r="AA29" s="334" t="s">
        <v>98</v>
      </c>
      <c r="AB29" s="334" t="s">
        <v>12</v>
      </c>
      <c r="AC29" s="334">
        <v>12.2</v>
      </c>
      <c r="AD29" s="343" t="s">
        <v>893</v>
      </c>
      <c r="AE29" s="334" t="s">
        <v>894</v>
      </c>
      <c r="AF29" s="334" t="s">
        <v>12</v>
      </c>
      <c r="AG29" s="344">
        <v>10</v>
      </c>
      <c r="AH29" s="343" t="s">
        <v>887</v>
      </c>
      <c r="AI29" s="334" t="s">
        <v>888</v>
      </c>
      <c r="AJ29" s="334" t="s">
        <v>12</v>
      </c>
      <c r="AK29" s="334">
        <v>4.4000000000000004</v>
      </c>
      <c r="AL29" s="343"/>
      <c r="AO29" s="344"/>
      <c r="AP29" s="343"/>
      <c r="AS29" s="344"/>
      <c r="AW29" s="344"/>
      <c r="BA29" s="345"/>
    </row>
    <row r="30" spans="1:53" s="334" customFormat="1" x14ac:dyDescent="0.15">
      <c r="A30" s="334">
        <v>2004</v>
      </c>
      <c r="C30" s="812" t="s">
        <v>877</v>
      </c>
      <c r="D30" s="812"/>
      <c r="E30" s="334">
        <v>110</v>
      </c>
      <c r="G30" s="649">
        <v>10</v>
      </c>
      <c r="H30" s="677"/>
      <c r="I30" s="677">
        <v>7</v>
      </c>
      <c r="J30" s="651">
        <v>17</v>
      </c>
      <c r="K30" s="647">
        <f t="shared" si="0"/>
        <v>58.82352941176471</v>
      </c>
      <c r="L30" s="647">
        <f t="shared" si="1"/>
        <v>0</v>
      </c>
      <c r="M30" s="647">
        <f t="shared" si="2"/>
        <v>41.17647058823529</v>
      </c>
      <c r="N30" s="650">
        <f t="shared" si="3"/>
        <v>100</v>
      </c>
      <c r="O30" s="646">
        <v>37.799999999999997</v>
      </c>
      <c r="P30" s="647"/>
      <c r="Q30" s="647">
        <v>26.6</v>
      </c>
      <c r="R30" s="648">
        <f t="shared" si="4"/>
        <v>64.400000000000006</v>
      </c>
      <c r="S30" s="677">
        <v>3</v>
      </c>
      <c r="T30" s="342"/>
      <c r="V30" s="343" t="s">
        <v>880</v>
      </c>
      <c r="W30" s="334" t="s">
        <v>22</v>
      </c>
      <c r="X30" s="334" t="s">
        <v>11</v>
      </c>
      <c r="Y30" s="344">
        <v>37.799999999999997</v>
      </c>
      <c r="Z30" s="343" t="s">
        <v>882</v>
      </c>
      <c r="AA30" s="334" t="s">
        <v>98</v>
      </c>
      <c r="AB30" s="334" t="s">
        <v>12</v>
      </c>
      <c r="AC30" s="334">
        <v>12.2</v>
      </c>
      <c r="AD30" s="343" t="s">
        <v>893</v>
      </c>
      <c r="AE30" s="334" t="s">
        <v>894</v>
      </c>
      <c r="AF30" s="334" t="s">
        <v>12</v>
      </c>
      <c r="AG30" s="344">
        <v>10</v>
      </c>
      <c r="AH30" s="343" t="s">
        <v>887</v>
      </c>
      <c r="AI30" s="334" t="s">
        <v>888</v>
      </c>
      <c r="AJ30" s="334" t="s">
        <v>12</v>
      </c>
      <c r="AK30" s="334">
        <v>4.4000000000000004</v>
      </c>
      <c r="AL30" s="343"/>
      <c r="AO30" s="344"/>
      <c r="AP30" s="343"/>
      <c r="AS30" s="344"/>
      <c r="AW30" s="344"/>
      <c r="BA30" s="345"/>
    </row>
    <row r="31" spans="1:53" s="208" customFormat="1" x14ac:dyDescent="0.15">
      <c r="A31" s="208">
        <v>2004</v>
      </c>
      <c r="B31" s="207">
        <v>38097</v>
      </c>
      <c r="C31" s="811" t="s">
        <v>879</v>
      </c>
      <c r="D31" s="811"/>
      <c r="E31" s="208">
        <v>227</v>
      </c>
      <c r="F31" s="208">
        <v>4</v>
      </c>
      <c r="G31" s="600">
        <v>13</v>
      </c>
      <c r="H31" s="676"/>
      <c r="I31" s="676">
        <v>4</v>
      </c>
      <c r="J31" s="602">
        <v>17</v>
      </c>
      <c r="K31" s="597">
        <f t="shared" si="0"/>
        <v>76.470588235294116</v>
      </c>
      <c r="L31" s="597">
        <f t="shared" si="1"/>
        <v>0</v>
      </c>
      <c r="M31" s="597">
        <f t="shared" si="2"/>
        <v>23.52941176470588</v>
      </c>
      <c r="N31" s="601">
        <f t="shared" si="3"/>
        <v>100</v>
      </c>
      <c r="O31" s="596">
        <v>37.799999999999997</v>
      </c>
      <c r="P31" s="597"/>
      <c r="Q31" s="597">
        <v>16.600000000000001</v>
      </c>
      <c r="R31" s="598">
        <f t="shared" si="4"/>
        <v>54.4</v>
      </c>
      <c r="S31" s="676">
        <v>2</v>
      </c>
      <c r="T31" s="95"/>
      <c r="U31" s="207">
        <v>38097</v>
      </c>
      <c r="V31" s="82" t="s">
        <v>880</v>
      </c>
      <c r="W31" s="208" t="s">
        <v>22</v>
      </c>
      <c r="X31" s="208" t="s">
        <v>11</v>
      </c>
      <c r="Y31" s="83">
        <v>37.799999999999997</v>
      </c>
      <c r="Z31" s="82" t="s">
        <v>882</v>
      </c>
      <c r="AA31" s="208" t="s">
        <v>98</v>
      </c>
      <c r="AB31" s="208" t="s">
        <v>12</v>
      </c>
      <c r="AC31" s="208">
        <v>12.2</v>
      </c>
      <c r="AD31" s="82" t="s">
        <v>887</v>
      </c>
      <c r="AE31" s="208" t="s">
        <v>888</v>
      </c>
      <c r="AF31" s="208" t="s">
        <v>12</v>
      </c>
      <c r="AG31" s="83">
        <v>4.4000000000000004</v>
      </c>
      <c r="AL31" s="82"/>
      <c r="AO31" s="83"/>
      <c r="AP31" s="82"/>
      <c r="AS31" s="83"/>
      <c r="AW31" s="83"/>
      <c r="BA31" s="84"/>
    </row>
    <row r="32" spans="1:53" s="334" customFormat="1" x14ac:dyDescent="0.15">
      <c r="A32" s="334">
        <v>2004</v>
      </c>
      <c r="B32" s="355">
        <v>38324</v>
      </c>
      <c r="C32" s="812" t="s">
        <v>1231</v>
      </c>
      <c r="D32" s="812"/>
      <c r="E32" s="334">
        <f>366-E31-E30</f>
        <v>29</v>
      </c>
      <c r="F32" s="334">
        <v>1</v>
      </c>
      <c r="G32" s="649"/>
      <c r="H32" s="677">
        <v>4</v>
      </c>
      <c r="I32" s="677">
        <v>13</v>
      </c>
      <c r="J32" s="651">
        <v>17</v>
      </c>
      <c r="K32" s="647">
        <f t="shared" si="0"/>
        <v>0</v>
      </c>
      <c r="L32" s="647">
        <f t="shared" si="1"/>
        <v>23.52941176470588</v>
      </c>
      <c r="M32" s="647">
        <f t="shared" si="2"/>
        <v>76.470588235294116</v>
      </c>
      <c r="N32" s="650">
        <f t="shared" si="3"/>
        <v>100</v>
      </c>
      <c r="O32" s="646"/>
      <c r="P32" s="647">
        <v>10</v>
      </c>
      <c r="Q32" s="647">
        <v>44.4</v>
      </c>
      <c r="R32" s="648">
        <f t="shared" si="4"/>
        <v>54.4</v>
      </c>
      <c r="S32" s="677">
        <v>2</v>
      </c>
      <c r="T32" s="342">
        <v>38263</v>
      </c>
      <c r="U32" s="355">
        <v>38324</v>
      </c>
      <c r="V32" s="343" t="s">
        <v>884</v>
      </c>
      <c r="W32" s="334" t="s">
        <v>97</v>
      </c>
      <c r="X32" s="334" t="s">
        <v>12</v>
      </c>
      <c r="Y32" s="344">
        <v>32.200000000000003</v>
      </c>
      <c r="Z32" s="334" t="s">
        <v>889</v>
      </c>
      <c r="AA32" s="334" t="s">
        <v>82</v>
      </c>
      <c r="AB32" s="334" t="s">
        <v>18</v>
      </c>
      <c r="AC32" s="334">
        <v>10</v>
      </c>
      <c r="AD32" s="343" t="s">
        <v>885</v>
      </c>
      <c r="AE32" s="334" t="s">
        <v>886</v>
      </c>
      <c r="AF32" s="334" t="s">
        <v>12</v>
      </c>
      <c r="AG32" s="344">
        <v>7.8</v>
      </c>
      <c r="AH32" s="343" t="s">
        <v>887</v>
      </c>
      <c r="AI32" s="334" t="s">
        <v>888</v>
      </c>
      <c r="AJ32" s="334" t="s">
        <v>12</v>
      </c>
      <c r="AK32" s="334">
        <v>4.4000000000000004</v>
      </c>
      <c r="AL32" s="343"/>
      <c r="AO32" s="344"/>
      <c r="AP32" s="343"/>
      <c r="AS32" s="344"/>
      <c r="AW32" s="344"/>
      <c r="BA32" s="345"/>
    </row>
    <row r="33" spans="1:53" s="334" customFormat="1" x14ac:dyDescent="0.15">
      <c r="A33" s="334">
        <v>2005</v>
      </c>
      <c r="B33" s="358"/>
      <c r="C33" s="812" t="s">
        <v>1231</v>
      </c>
      <c r="D33" s="812"/>
      <c r="E33" s="334">
        <v>353</v>
      </c>
      <c r="G33" s="649"/>
      <c r="H33" s="677">
        <v>4</v>
      </c>
      <c r="I33" s="677">
        <v>13</v>
      </c>
      <c r="J33" s="651">
        <v>17</v>
      </c>
      <c r="K33" s="647">
        <f t="shared" si="0"/>
        <v>0</v>
      </c>
      <c r="L33" s="647">
        <f t="shared" si="1"/>
        <v>23.52941176470588</v>
      </c>
      <c r="M33" s="647">
        <f t="shared" si="2"/>
        <v>76.470588235294116</v>
      </c>
      <c r="N33" s="650">
        <f t="shared" si="3"/>
        <v>100</v>
      </c>
      <c r="O33" s="646"/>
      <c r="P33" s="647">
        <v>10</v>
      </c>
      <c r="Q33" s="647">
        <v>44.4</v>
      </c>
      <c r="R33" s="648">
        <f t="shared" si="4"/>
        <v>54.4</v>
      </c>
      <c r="S33" s="677">
        <v>2</v>
      </c>
      <c r="T33" s="342"/>
      <c r="V33" s="343" t="s">
        <v>884</v>
      </c>
      <c r="W33" s="334" t="s">
        <v>97</v>
      </c>
      <c r="X33" s="334" t="s">
        <v>12</v>
      </c>
      <c r="Y33" s="344">
        <v>32.200000000000003</v>
      </c>
      <c r="Z33" s="334" t="s">
        <v>889</v>
      </c>
      <c r="AA33" s="334" t="s">
        <v>82</v>
      </c>
      <c r="AB33" s="334" t="s">
        <v>18</v>
      </c>
      <c r="AC33" s="334">
        <v>10</v>
      </c>
      <c r="AD33" s="343" t="s">
        <v>885</v>
      </c>
      <c r="AE33" s="334" t="s">
        <v>886</v>
      </c>
      <c r="AF33" s="334" t="s">
        <v>12</v>
      </c>
      <c r="AG33" s="344">
        <v>7.8</v>
      </c>
      <c r="AH33" s="343" t="s">
        <v>887</v>
      </c>
      <c r="AI33" s="334" t="s">
        <v>888</v>
      </c>
      <c r="AJ33" s="334" t="s">
        <v>12</v>
      </c>
      <c r="AK33" s="334">
        <v>4.4000000000000004</v>
      </c>
      <c r="AL33" s="343"/>
      <c r="AO33" s="344"/>
      <c r="AP33" s="343"/>
      <c r="AS33" s="344"/>
      <c r="AW33" s="344"/>
      <c r="BA33" s="345"/>
    </row>
    <row r="34" spans="1:53" s="334" customFormat="1" x14ac:dyDescent="0.15">
      <c r="A34" s="334">
        <v>2005</v>
      </c>
      <c r="B34" s="440">
        <v>38706</v>
      </c>
      <c r="C34" s="812" t="s">
        <v>1231</v>
      </c>
      <c r="D34" s="812"/>
      <c r="E34" s="334">
        <f>365-E33</f>
        <v>12</v>
      </c>
      <c r="F34" s="441">
        <v>0</v>
      </c>
      <c r="G34" s="649"/>
      <c r="H34" s="677">
        <v>4</v>
      </c>
      <c r="I34" s="677">
        <v>14</v>
      </c>
      <c r="J34" s="651">
        <v>18</v>
      </c>
      <c r="K34" s="647">
        <f t="shared" si="0"/>
        <v>0</v>
      </c>
      <c r="L34" s="647">
        <f t="shared" si="1"/>
        <v>22.222222222222221</v>
      </c>
      <c r="M34" s="647">
        <f t="shared" si="2"/>
        <v>77.777777777777786</v>
      </c>
      <c r="N34" s="650">
        <f t="shared" si="3"/>
        <v>100</v>
      </c>
      <c r="O34" s="646"/>
      <c r="P34" s="647">
        <v>10</v>
      </c>
      <c r="Q34" s="647">
        <v>44.4</v>
      </c>
      <c r="R34" s="648">
        <f t="shared" si="4"/>
        <v>54.4</v>
      </c>
      <c r="S34" s="677">
        <v>2</v>
      </c>
      <c r="T34" s="342"/>
      <c r="V34" s="343" t="s">
        <v>884</v>
      </c>
      <c r="W34" s="334" t="s">
        <v>97</v>
      </c>
      <c r="X34" s="334" t="s">
        <v>12</v>
      </c>
      <c r="Y34" s="344">
        <v>32.200000000000003</v>
      </c>
      <c r="Z34" s="334" t="s">
        <v>889</v>
      </c>
      <c r="AA34" s="334" t="s">
        <v>82</v>
      </c>
      <c r="AB34" s="334" t="s">
        <v>18</v>
      </c>
      <c r="AC34" s="334">
        <v>10</v>
      </c>
      <c r="AD34" s="343" t="s">
        <v>885</v>
      </c>
      <c r="AE34" s="334" t="s">
        <v>886</v>
      </c>
      <c r="AF34" s="334" t="s">
        <v>12</v>
      </c>
      <c r="AG34" s="344">
        <v>7.8</v>
      </c>
      <c r="AH34" s="343" t="s">
        <v>887</v>
      </c>
      <c r="AI34" s="334" t="s">
        <v>888</v>
      </c>
      <c r="AJ34" s="334" t="s">
        <v>12</v>
      </c>
      <c r="AK34" s="334">
        <v>4.4000000000000004</v>
      </c>
      <c r="AL34" s="343"/>
      <c r="AO34" s="344"/>
      <c r="AP34" s="343"/>
      <c r="AS34" s="344"/>
      <c r="AW34" s="344"/>
      <c r="BA34" s="345"/>
    </row>
    <row r="35" spans="1:53" s="334" customFormat="1" x14ac:dyDescent="0.15">
      <c r="A35" s="334">
        <v>2006</v>
      </c>
      <c r="B35" s="358"/>
      <c r="C35" s="812" t="s">
        <v>1231</v>
      </c>
      <c r="D35" s="812"/>
      <c r="E35" s="334">
        <v>79</v>
      </c>
      <c r="G35" s="649"/>
      <c r="H35" s="677">
        <v>4</v>
      </c>
      <c r="I35" s="677">
        <v>14</v>
      </c>
      <c r="J35" s="651">
        <v>18</v>
      </c>
      <c r="K35" s="647">
        <f t="shared" si="0"/>
        <v>0</v>
      </c>
      <c r="L35" s="647">
        <f t="shared" si="1"/>
        <v>22.222222222222221</v>
      </c>
      <c r="M35" s="647">
        <f t="shared" si="2"/>
        <v>77.777777777777786</v>
      </c>
      <c r="N35" s="650">
        <f t="shared" si="3"/>
        <v>100</v>
      </c>
      <c r="O35" s="646"/>
      <c r="P35" s="647">
        <v>10</v>
      </c>
      <c r="Q35" s="647">
        <v>44.4</v>
      </c>
      <c r="R35" s="648">
        <f t="shared" si="4"/>
        <v>54.4</v>
      </c>
      <c r="S35" s="677">
        <v>2</v>
      </c>
      <c r="T35" s="342"/>
      <c r="V35" s="343" t="s">
        <v>884</v>
      </c>
      <c r="W35" s="334" t="s">
        <v>97</v>
      </c>
      <c r="X35" s="334" t="s">
        <v>12</v>
      </c>
      <c r="Y35" s="344">
        <v>32.200000000000003</v>
      </c>
      <c r="Z35" s="334" t="s">
        <v>889</v>
      </c>
      <c r="AA35" s="334" t="s">
        <v>82</v>
      </c>
      <c r="AB35" s="334" t="s">
        <v>18</v>
      </c>
      <c r="AC35" s="334">
        <v>10</v>
      </c>
      <c r="AD35" s="343" t="s">
        <v>885</v>
      </c>
      <c r="AE35" s="334" t="s">
        <v>886</v>
      </c>
      <c r="AF35" s="334" t="s">
        <v>12</v>
      </c>
      <c r="AG35" s="344">
        <v>7.8</v>
      </c>
      <c r="AH35" s="343" t="s">
        <v>887</v>
      </c>
      <c r="AI35" s="334" t="s">
        <v>888</v>
      </c>
      <c r="AJ35" s="334" t="s">
        <v>12</v>
      </c>
      <c r="AK35" s="334">
        <v>4.4000000000000004</v>
      </c>
      <c r="AL35" s="343"/>
      <c r="AO35" s="344"/>
      <c r="AP35" s="343"/>
      <c r="AS35" s="344"/>
      <c r="AW35" s="344"/>
      <c r="BA35" s="345"/>
    </row>
    <row r="36" spans="1:53" s="334" customFormat="1" x14ac:dyDescent="0.15">
      <c r="A36" s="334">
        <v>2006</v>
      </c>
      <c r="B36" s="440">
        <v>38797</v>
      </c>
      <c r="C36" s="812" t="s">
        <v>1231</v>
      </c>
      <c r="D36" s="812"/>
      <c r="E36" s="334">
        <v>267</v>
      </c>
      <c r="F36" s="441">
        <v>0</v>
      </c>
      <c r="G36" s="649"/>
      <c r="H36" s="677">
        <v>4</v>
      </c>
      <c r="I36" s="677">
        <v>13</v>
      </c>
      <c r="J36" s="651">
        <v>17</v>
      </c>
      <c r="K36" s="647">
        <f>G36/J36*100</f>
        <v>0</v>
      </c>
      <c r="L36" s="647">
        <f>H36/J36*100</f>
        <v>23.52941176470588</v>
      </c>
      <c r="M36" s="647">
        <f>I36/J36*100</f>
        <v>76.470588235294116</v>
      </c>
      <c r="N36" s="650">
        <f t="shared" si="3"/>
        <v>100</v>
      </c>
      <c r="O36" s="646"/>
      <c r="P36" s="647">
        <v>10</v>
      </c>
      <c r="Q36" s="647">
        <v>44.4</v>
      </c>
      <c r="R36" s="648">
        <f t="shared" si="4"/>
        <v>54.4</v>
      </c>
      <c r="S36" s="677">
        <v>2</v>
      </c>
      <c r="T36" s="342"/>
      <c r="V36" s="343" t="s">
        <v>884</v>
      </c>
      <c r="W36" s="334" t="s">
        <v>97</v>
      </c>
      <c r="X36" s="334" t="s">
        <v>12</v>
      </c>
      <c r="Y36" s="344">
        <v>32.200000000000003</v>
      </c>
      <c r="Z36" s="334" t="s">
        <v>889</v>
      </c>
      <c r="AA36" s="334" t="s">
        <v>82</v>
      </c>
      <c r="AB36" s="334" t="s">
        <v>18</v>
      </c>
      <c r="AC36" s="334">
        <v>10</v>
      </c>
      <c r="AD36" s="343" t="s">
        <v>885</v>
      </c>
      <c r="AE36" s="334" t="s">
        <v>886</v>
      </c>
      <c r="AF36" s="334" t="s">
        <v>12</v>
      </c>
      <c r="AG36" s="344">
        <v>7.8</v>
      </c>
      <c r="AH36" s="343" t="s">
        <v>887</v>
      </c>
      <c r="AI36" s="334" t="s">
        <v>888</v>
      </c>
      <c r="AJ36" s="334" t="s">
        <v>12</v>
      </c>
      <c r="AK36" s="334">
        <v>4.4000000000000004</v>
      </c>
      <c r="AL36" s="343"/>
      <c r="AO36" s="344"/>
      <c r="AP36" s="343"/>
      <c r="AS36" s="344"/>
      <c r="AW36" s="344"/>
      <c r="BA36" s="345"/>
    </row>
    <row r="37" spans="1:53" s="334" customFormat="1" x14ac:dyDescent="0.15">
      <c r="A37" s="334">
        <v>2006</v>
      </c>
      <c r="B37" s="440">
        <v>39064</v>
      </c>
      <c r="C37" s="812" t="s">
        <v>1231</v>
      </c>
      <c r="D37" s="812"/>
      <c r="E37" s="334">
        <f>365-E36-E35</f>
        <v>19</v>
      </c>
      <c r="F37" s="441">
        <v>0</v>
      </c>
      <c r="G37" s="649"/>
      <c r="H37" s="677">
        <v>3</v>
      </c>
      <c r="I37" s="677">
        <v>14</v>
      </c>
      <c r="J37" s="651">
        <v>17</v>
      </c>
      <c r="K37" s="647">
        <f t="shared" si="0"/>
        <v>0</v>
      </c>
      <c r="L37" s="647">
        <f t="shared" si="1"/>
        <v>17.647058823529413</v>
      </c>
      <c r="M37" s="647">
        <f t="shared" si="2"/>
        <v>82.35294117647058</v>
      </c>
      <c r="N37" s="650">
        <f t="shared" si="3"/>
        <v>100</v>
      </c>
      <c r="O37" s="646"/>
      <c r="P37" s="647">
        <v>10</v>
      </c>
      <c r="Q37" s="647">
        <v>44.4</v>
      </c>
      <c r="R37" s="648">
        <f t="shared" si="4"/>
        <v>54.4</v>
      </c>
      <c r="S37" s="677">
        <v>2</v>
      </c>
      <c r="T37" s="342"/>
      <c r="V37" s="343" t="s">
        <v>884</v>
      </c>
      <c r="W37" s="334" t="s">
        <v>97</v>
      </c>
      <c r="X37" s="334" t="s">
        <v>12</v>
      </c>
      <c r="Y37" s="344">
        <v>32.200000000000003</v>
      </c>
      <c r="Z37" s="334" t="s">
        <v>889</v>
      </c>
      <c r="AA37" s="334" t="s">
        <v>82</v>
      </c>
      <c r="AB37" s="334" t="s">
        <v>18</v>
      </c>
      <c r="AC37" s="334">
        <v>10</v>
      </c>
      <c r="AD37" s="343" t="s">
        <v>885</v>
      </c>
      <c r="AE37" s="334" t="s">
        <v>886</v>
      </c>
      <c r="AF37" s="334" t="s">
        <v>12</v>
      </c>
      <c r="AG37" s="344">
        <v>7.8</v>
      </c>
      <c r="AH37" s="343" t="s">
        <v>887</v>
      </c>
      <c r="AI37" s="334" t="s">
        <v>888</v>
      </c>
      <c r="AJ37" s="334" t="s">
        <v>12</v>
      </c>
      <c r="AK37" s="334">
        <v>4.4000000000000004</v>
      </c>
      <c r="AL37" s="343"/>
      <c r="AO37" s="344"/>
      <c r="AP37" s="343"/>
      <c r="AS37" s="344"/>
      <c r="AW37" s="344"/>
      <c r="BA37" s="345"/>
    </row>
    <row r="38" spans="1:53" s="334" customFormat="1" x14ac:dyDescent="0.15">
      <c r="A38" s="334">
        <v>2007</v>
      </c>
      <c r="B38" s="358"/>
      <c r="C38" s="812" t="s">
        <v>1231</v>
      </c>
      <c r="D38" s="812"/>
      <c r="E38" s="334">
        <v>0</v>
      </c>
      <c r="G38" s="649"/>
      <c r="H38" s="677">
        <v>3</v>
      </c>
      <c r="I38" s="677">
        <v>14</v>
      </c>
      <c r="J38" s="651">
        <v>17</v>
      </c>
      <c r="K38" s="647">
        <f t="shared" si="0"/>
        <v>0</v>
      </c>
      <c r="L38" s="647">
        <f t="shared" si="1"/>
        <v>17.647058823529413</v>
      </c>
      <c r="M38" s="647">
        <f t="shared" si="2"/>
        <v>82.35294117647058</v>
      </c>
      <c r="N38" s="650">
        <f t="shared" si="3"/>
        <v>100</v>
      </c>
      <c r="O38" s="646"/>
      <c r="P38" s="647">
        <v>10</v>
      </c>
      <c r="Q38" s="647">
        <v>44.4</v>
      </c>
      <c r="R38" s="648">
        <f t="shared" si="4"/>
        <v>54.4</v>
      </c>
      <c r="S38" s="677">
        <v>2</v>
      </c>
      <c r="T38" s="342"/>
      <c r="V38" s="343" t="s">
        <v>884</v>
      </c>
      <c r="W38" s="334" t="s">
        <v>97</v>
      </c>
      <c r="X38" s="334" t="s">
        <v>12</v>
      </c>
      <c r="Y38" s="344">
        <v>32.200000000000003</v>
      </c>
      <c r="Z38" s="334" t="s">
        <v>889</v>
      </c>
      <c r="AA38" s="334" t="s">
        <v>82</v>
      </c>
      <c r="AB38" s="334" t="s">
        <v>18</v>
      </c>
      <c r="AC38" s="334">
        <v>10</v>
      </c>
      <c r="AD38" s="343" t="s">
        <v>885</v>
      </c>
      <c r="AE38" s="334" t="s">
        <v>886</v>
      </c>
      <c r="AF38" s="334" t="s">
        <v>12</v>
      </c>
      <c r="AG38" s="344">
        <v>7.8</v>
      </c>
      <c r="AH38" s="343" t="s">
        <v>887</v>
      </c>
      <c r="AI38" s="334" t="s">
        <v>888</v>
      </c>
      <c r="AJ38" s="334" t="s">
        <v>12</v>
      </c>
      <c r="AK38" s="334">
        <v>4.4000000000000004</v>
      </c>
      <c r="AL38" s="343"/>
      <c r="AO38" s="344"/>
      <c r="AP38" s="343"/>
      <c r="AS38" s="344"/>
      <c r="AW38" s="344"/>
      <c r="BA38" s="345"/>
    </row>
    <row r="39" spans="1:53" s="334" customFormat="1" x14ac:dyDescent="0.15">
      <c r="A39" s="334">
        <v>2007</v>
      </c>
      <c r="B39" s="358"/>
      <c r="C39" s="812" t="s">
        <v>1231</v>
      </c>
      <c r="D39" s="812"/>
      <c r="E39" s="334">
        <v>365</v>
      </c>
      <c r="G39" s="649"/>
      <c r="H39" s="677">
        <v>3</v>
      </c>
      <c r="I39" s="677">
        <v>14</v>
      </c>
      <c r="J39" s="651">
        <v>17</v>
      </c>
      <c r="K39" s="647">
        <f t="shared" si="0"/>
        <v>0</v>
      </c>
      <c r="L39" s="647">
        <f t="shared" si="1"/>
        <v>17.647058823529413</v>
      </c>
      <c r="M39" s="647">
        <f t="shared" si="2"/>
        <v>82.35294117647058</v>
      </c>
      <c r="N39" s="650">
        <f t="shared" si="3"/>
        <v>100</v>
      </c>
      <c r="O39" s="646"/>
      <c r="P39" s="647">
        <v>10</v>
      </c>
      <c r="Q39" s="647">
        <v>44.4</v>
      </c>
      <c r="R39" s="648">
        <f t="shared" si="4"/>
        <v>54.4</v>
      </c>
      <c r="S39" s="677">
        <v>2</v>
      </c>
      <c r="T39" s="342"/>
      <c r="V39" s="343" t="s">
        <v>884</v>
      </c>
      <c r="W39" s="334" t="s">
        <v>97</v>
      </c>
      <c r="X39" s="334" t="s">
        <v>12</v>
      </c>
      <c r="Y39" s="344">
        <v>32.200000000000003</v>
      </c>
      <c r="Z39" s="334" t="s">
        <v>889</v>
      </c>
      <c r="AA39" s="334" t="s">
        <v>82</v>
      </c>
      <c r="AB39" s="334" t="s">
        <v>18</v>
      </c>
      <c r="AC39" s="334">
        <v>10</v>
      </c>
      <c r="AD39" s="343" t="s">
        <v>885</v>
      </c>
      <c r="AE39" s="334" t="s">
        <v>886</v>
      </c>
      <c r="AF39" s="334" t="s">
        <v>12</v>
      </c>
      <c r="AG39" s="344">
        <v>7.8</v>
      </c>
      <c r="AH39" s="343" t="s">
        <v>887</v>
      </c>
      <c r="AI39" s="334" t="s">
        <v>888</v>
      </c>
      <c r="AJ39" s="334" t="s">
        <v>12</v>
      </c>
      <c r="AK39" s="334">
        <v>4.4000000000000004</v>
      </c>
      <c r="AL39" s="343"/>
      <c r="AO39" s="344"/>
      <c r="AP39" s="343"/>
      <c r="AS39" s="344"/>
      <c r="AW39" s="344"/>
      <c r="BA39" s="345"/>
    </row>
    <row r="40" spans="1:53" s="334" customFormat="1" x14ac:dyDescent="0.15">
      <c r="A40" s="334">
        <v>2008</v>
      </c>
      <c r="B40" s="358"/>
      <c r="C40" s="812" t="s">
        <v>1231</v>
      </c>
      <c r="D40" s="812"/>
      <c r="E40" s="334">
        <v>325</v>
      </c>
      <c r="G40" s="649"/>
      <c r="H40" s="677">
        <v>3</v>
      </c>
      <c r="I40" s="677">
        <v>14</v>
      </c>
      <c r="J40" s="651">
        <v>17</v>
      </c>
      <c r="K40" s="647">
        <f t="shared" si="0"/>
        <v>0</v>
      </c>
      <c r="L40" s="647">
        <f t="shared" si="1"/>
        <v>17.647058823529413</v>
      </c>
      <c r="M40" s="647">
        <f t="shared" si="2"/>
        <v>82.35294117647058</v>
      </c>
      <c r="N40" s="650">
        <f t="shared" si="3"/>
        <v>100</v>
      </c>
      <c r="O40" s="646"/>
      <c r="P40" s="647">
        <v>10</v>
      </c>
      <c r="Q40" s="647">
        <v>44.4</v>
      </c>
      <c r="R40" s="648">
        <f t="shared" si="4"/>
        <v>54.4</v>
      </c>
      <c r="S40" s="677">
        <v>2</v>
      </c>
      <c r="T40" s="342"/>
      <c r="V40" s="343" t="s">
        <v>884</v>
      </c>
      <c r="W40" s="334" t="s">
        <v>97</v>
      </c>
      <c r="X40" s="334" t="s">
        <v>12</v>
      </c>
      <c r="Y40" s="344">
        <v>32.200000000000003</v>
      </c>
      <c r="Z40" s="334" t="s">
        <v>889</v>
      </c>
      <c r="AA40" s="334" t="s">
        <v>82</v>
      </c>
      <c r="AB40" s="334" t="s">
        <v>18</v>
      </c>
      <c r="AC40" s="334">
        <v>10</v>
      </c>
      <c r="AD40" s="343" t="s">
        <v>885</v>
      </c>
      <c r="AE40" s="334" t="s">
        <v>886</v>
      </c>
      <c r="AF40" s="334" t="s">
        <v>12</v>
      </c>
      <c r="AG40" s="344">
        <v>7.8</v>
      </c>
      <c r="AH40" s="343" t="s">
        <v>887</v>
      </c>
      <c r="AI40" s="334" t="s">
        <v>888</v>
      </c>
      <c r="AJ40" s="334" t="s">
        <v>12</v>
      </c>
      <c r="AK40" s="334">
        <v>4.4000000000000004</v>
      </c>
      <c r="AL40" s="343"/>
      <c r="AO40" s="344"/>
      <c r="AP40" s="343"/>
      <c r="AS40" s="344"/>
      <c r="AW40" s="344"/>
      <c r="BA40" s="345"/>
    </row>
    <row r="41" spans="1:53" s="227" customFormat="1" x14ac:dyDescent="0.15">
      <c r="A41" s="227">
        <v>2008</v>
      </c>
      <c r="B41" s="121">
        <v>39773</v>
      </c>
      <c r="C41" s="811" t="s">
        <v>890</v>
      </c>
      <c r="D41" s="811"/>
      <c r="E41" s="227">
        <f>366-E40</f>
        <v>41</v>
      </c>
      <c r="F41" s="227">
        <v>1</v>
      </c>
      <c r="G41" s="600">
        <v>6</v>
      </c>
      <c r="H41" s="676"/>
      <c r="I41" s="676">
        <v>13</v>
      </c>
      <c r="J41" s="602">
        <v>19</v>
      </c>
      <c r="K41" s="597">
        <f t="shared" si="0"/>
        <v>31.578947368421051</v>
      </c>
      <c r="L41" s="597">
        <f t="shared" si="1"/>
        <v>0</v>
      </c>
      <c r="M41" s="597">
        <f t="shared" si="2"/>
        <v>68.421052631578945</v>
      </c>
      <c r="N41" s="601">
        <f t="shared" si="3"/>
        <v>100</v>
      </c>
      <c r="O41" s="596">
        <v>15.6</v>
      </c>
      <c r="P41" s="597"/>
      <c r="Q41" s="597">
        <v>40</v>
      </c>
      <c r="R41" s="598">
        <f t="shared" si="4"/>
        <v>55.6</v>
      </c>
      <c r="S41" s="676">
        <v>2</v>
      </c>
      <c r="T41" s="95">
        <v>39712</v>
      </c>
      <c r="U41" s="121">
        <v>39773</v>
      </c>
      <c r="V41" s="82" t="s">
        <v>102</v>
      </c>
      <c r="W41" s="227" t="s">
        <v>98</v>
      </c>
      <c r="X41" s="227" t="s">
        <v>12</v>
      </c>
      <c r="Y41" s="83">
        <v>32.200000000000003</v>
      </c>
      <c r="Z41" s="227" t="s">
        <v>891</v>
      </c>
      <c r="AA41" s="227" t="s">
        <v>107</v>
      </c>
      <c r="AB41" s="227" t="s">
        <v>11</v>
      </c>
      <c r="AC41" s="227">
        <v>10</v>
      </c>
      <c r="AD41" s="82" t="s">
        <v>887</v>
      </c>
      <c r="AE41" s="227" t="s">
        <v>888</v>
      </c>
      <c r="AF41" s="227" t="s">
        <v>12</v>
      </c>
      <c r="AG41" s="83">
        <v>7.8</v>
      </c>
      <c r="AH41" s="82" t="s">
        <v>880</v>
      </c>
      <c r="AI41" s="227" t="s">
        <v>22</v>
      </c>
      <c r="AJ41" s="227" t="s">
        <v>11</v>
      </c>
      <c r="AK41" s="227">
        <v>5.6</v>
      </c>
      <c r="AL41" s="82"/>
      <c r="AO41" s="83"/>
      <c r="AP41" s="82"/>
      <c r="AS41" s="83"/>
      <c r="AW41" s="83"/>
      <c r="BA41" s="84"/>
    </row>
    <row r="42" spans="1:53" s="227" customFormat="1" x14ac:dyDescent="0.15">
      <c r="A42" s="227">
        <v>2009</v>
      </c>
      <c r="B42" s="122"/>
      <c r="C42" s="811" t="s">
        <v>890</v>
      </c>
      <c r="D42" s="811"/>
      <c r="E42" s="227">
        <v>0</v>
      </c>
      <c r="G42" s="600">
        <v>6</v>
      </c>
      <c r="H42" s="676"/>
      <c r="I42" s="676">
        <v>13</v>
      </c>
      <c r="J42" s="602">
        <v>19</v>
      </c>
      <c r="K42" s="597">
        <f t="shared" si="0"/>
        <v>31.578947368421051</v>
      </c>
      <c r="L42" s="597">
        <f t="shared" si="1"/>
        <v>0</v>
      </c>
      <c r="M42" s="597">
        <f t="shared" si="2"/>
        <v>68.421052631578945</v>
      </c>
      <c r="N42" s="601">
        <f t="shared" si="3"/>
        <v>100</v>
      </c>
      <c r="O42" s="596">
        <v>15.6</v>
      </c>
      <c r="P42" s="597"/>
      <c r="Q42" s="597">
        <v>40</v>
      </c>
      <c r="R42" s="598">
        <f t="shared" si="4"/>
        <v>55.6</v>
      </c>
      <c r="S42" s="676">
        <v>2</v>
      </c>
      <c r="T42" s="95"/>
      <c r="V42" s="82" t="s">
        <v>102</v>
      </c>
      <c r="W42" s="227" t="s">
        <v>98</v>
      </c>
      <c r="X42" s="227" t="s">
        <v>12</v>
      </c>
      <c r="Y42" s="83">
        <v>32.200000000000003</v>
      </c>
      <c r="Z42" s="227" t="s">
        <v>891</v>
      </c>
      <c r="AA42" s="227" t="s">
        <v>107</v>
      </c>
      <c r="AB42" s="227" t="s">
        <v>11</v>
      </c>
      <c r="AC42" s="227">
        <v>10</v>
      </c>
      <c r="AD42" s="82" t="s">
        <v>887</v>
      </c>
      <c r="AE42" s="227" t="s">
        <v>888</v>
      </c>
      <c r="AF42" s="227" t="s">
        <v>12</v>
      </c>
      <c r="AG42" s="83">
        <v>7.8</v>
      </c>
      <c r="AH42" s="82" t="s">
        <v>880</v>
      </c>
      <c r="AI42" s="227" t="s">
        <v>22</v>
      </c>
      <c r="AJ42" s="227" t="s">
        <v>11</v>
      </c>
      <c r="AK42" s="227">
        <v>5.6</v>
      </c>
      <c r="AL42" s="82"/>
      <c r="AO42" s="83"/>
      <c r="AP42" s="82"/>
      <c r="AS42" s="83"/>
      <c r="AW42" s="83"/>
      <c r="BA42" s="84"/>
    </row>
    <row r="43" spans="1:53" s="227" customFormat="1" x14ac:dyDescent="0.15">
      <c r="A43" s="227">
        <v>2009</v>
      </c>
      <c r="B43" s="122"/>
      <c r="C43" s="811" t="s">
        <v>890</v>
      </c>
      <c r="D43" s="811"/>
      <c r="E43" s="227">
        <v>365</v>
      </c>
      <c r="G43" s="600">
        <v>6</v>
      </c>
      <c r="H43" s="676"/>
      <c r="I43" s="676">
        <v>13</v>
      </c>
      <c r="J43" s="602">
        <v>19</v>
      </c>
      <c r="K43" s="597">
        <f t="shared" si="0"/>
        <v>31.578947368421051</v>
      </c>
      <c r="L43" s="597">
        <f t="shared" si="1"/>
        <v>0</v>
      </c>
      <c r="M43" s="597">
        <f t="shared" si="2"/>
        <v>68.421052631578945</v>
      </c>
      <c r="N43" s="601">
        <f t="shared" si="3"/>
        <v>100</v>
      </c>
      <c r="O43" s="596">
        <v>15.6</v>
      </c>
      <c r="P43" s="597"/>
      <c r="Q43" s="597">
        <v>40</v>
      </c>
      <c r="R43" s="598">
        <f t="shared" si="4"/>
        <v>55.6</v>
      </c>
      <c r="S43" s="676">
        <v>2</v>
      </c>
      <c r="T43" s="95"/>
      <c r="V43" s="82" t="s">
        <v>102</v>
      </c>
      <c r="W43" s="227" t="s">
        <v>98</v>
      </c>
      <c r="X43" s="227" t="s">
        <v>12</v>
      </c>
      <c r="Y43" s="83">
        <v>32.200000000000003</v>
      </c>
      <c r="Z43" s="227" t="s">
        <v>891</v>
      </c>
      <c r="AA43" s="227" t="s">
        <v>107</v>
      </c>
      <c r="AB43" s="227" t="s">
        <v>11</v>
      </c>
      <c r="AC43" s="227">
        <v>10</v>
      </c>
      <c r="AD43" s="82" t="s">
        <v>887</v>
      </c>
      <c r="AE43" s="227" t="s">
        <v>888</v>
      </c>
      <c r="AF43" s="227" t="s">
        <v>12</v>
      </c>
      <c r="AG43" s="83">
        <v>7.8</v>
      </c>
      <c r="AH43" s="82" t="s">
        <v>880</v>
      </c>
      <c r="AI43" s="227" t="s">
        <v>22</v>
      </c>
      <c r="AJ43" s="227" t="s">
        <v>11</v>
      </c>
      <c r="AK43" s="227">
        <v>5.6</v>
      </c>
      <c r="AL43" s="82"/>
      <c r="AO43" s="83"/>
      <c r="AP43" s="82"/>
      <c r="AS43" s="83"/>
      <c r="AW43" s="83"/>
      <c r="BA43" s="84"/>
    </row>
    <row r="44" spans="1:53" s="227" customFormat="1" x14ac:dyDescent="0.15">
      <c r="A44" s="227">
        <v>2010</v>
      </c>
      <c r="B44" s="122"/>
      <c r="C44" s="811" t="s">
        <v>890</v>
      </c>
      <c r="D44" s="811"/>
      <c r="E44" s="227">
        <v>0</v>
      </c>
      <c r="G44" s="600">
        <v>6</v>
      </c>
      <c r="H44" s="676"/>
      <c r="I44" s="676">
        <v>13</v>
      </c>
      <c r="J44" s="602">
        <v>19</v>
      </c>
      <c r="K44" s="597">
        <f t="shared" si="0"/>
        <v>31.578947368421051</v>
      </c>
      <c r="L44" s="597">
        <f t="shared" si="1"/>
        <v>0</v>
      </c>
      <c r="M44" s="597">
        <f t="shared" si="2"/>
        <v>68.421052631578945</v>
      </c>
      <c r="N44" s="601">
        <f t="shared" si="3"/>
        <v>100</v>
      </c>
      <c r="O44" s="596">
        <v>15.6</v>
      </c>
      <c r="P44" s="597"/>
      <c r="Q44" s="597">
        <v>40</v>
      </c>
      <c r="R44" s="598">
        <f t="shared" si="4"/>
        <v>55.6</v>
      </c>
      <c r="S44" s="676">
        <v>2</v>
      </c>
      <c r="T44" s="95"/>
      <c r="V44" s="82" t="s">
        <v>102</v>
      </c>
      <c r="W44" s="227" t="s">
        <v>98</v>
      </c>
      <c r="X44" s="227" t="s">
        <v>12</v>
      </c>
      <c r="Y44" s="83">
        <v>32.200000000000003</v>
      </c>
      <c r="Z44" s="227" t="s">
        <v>891</v>
      </c>
      <c r="AA44" s="227" t="s">
        <v>107</v>
      </c>
      <c r="AB44" s="227" t="s">
        <v>11</v>
      </c>
      <c r="AC44" s="227">
        <v>10</v>
      </c>
      <c r="AD44" s="82" t="s">
        <v>887</v>
      </c>
      <c r="AE44" s="227" t="s">
        <v>888</v>
      </c>
      <c r="AF44" s="227" t="s">
        <v>12</v>
      </c>
      <c r="AG44" s="83">
        <v>7.8</v>
      </c>
      <c r="AH44" s="82" t="s">
        <v>880</v>
      </c>
      <c r="AI44" s="227" t="s">
        <v>22</v>
      </c>
      <c r="AJ44" s="227" t="s">
        <v>11</v>
      </c>
      <c r="AK44" s="227">
        <v>5.6</v>
      </c>
      <c r="AL44" s="82"/>
      <c r="AO44" s="83"/>
      <c r="AP44" s="82"/>
      <c r="AS44" s="83"/>
      <c r="AW44" s="83"/>
      <c r="BA44" s="84"/>
    </row>
    <row r="45" spans="1:53" s="227" customFormat="1" x14ac:dyDescent="0.15">
      <c r="A45" s="227">
        <v>2010</v>
      </c>
      <c r="B45" s="122"/>
      <c r="C45" s="811" t="s">
        <v>890</v>
      </c>
      <c r="D45" s="811"/>
      <c r="E45" s="227">
        <v>365</v>
      </c>
      <c r="G45" s="600">
        <v>6</v>
      </c>
      <c r="H45" s="676"/>
      <c r="I45" s="676">
        <v>13</v>
      </c>
      <c r="J45" s="602">
        <v>19</v>
      </c>
      <c r="K45" s="597">
        <f t="shared" si="0"/>
        <v>31.578947368421051</v>
      </c>
      <c r="L45" s="597">
        <f t="shared" si="1"/>
        <v>0</v>
      </c>
      <c r="M45" s="597">
        <f t="shared" si="2"/>
        <v>68.421052631578945</v>
      </c>
      <c r="N45" s="601">
        <f t="shared" si="3"/>
        <v>100</v>
      </c>
      <c r="O45" s="596">
        <v>15.6</v>
      </c>
      <c r="P45" s="597"/>
      <c r="Q45" s="597">
        <v>40</v>
      </c>
      <c r="R45" s="598">
        <f t="shared" si="4"/>
        <v>55.6</v>
      </c>
      <c r="S45" s="676">
        <v>2</v>
      </c>
      <c r="T45" s="95"/>
      <c r="V45" s="82" t="s">
        <v>102</v>
      </c>
      <c r="W45" s="227" t="s">
        <v>98</v>
      </c>
      <c r="X45" s="227" t="s">
        <v>12</v>
      </c>
      <c r="Y45" s="83">
        <v>32.200000000000003</v>
      </c>
      <c r="Z45" s="227" t="s">
        <v>891</v>
      </c>
      <c r="AA45" s="227" t="s">
        <v>107</v>
      </c>
      <c r="AB45" s="227" t="s">
        <v>11</v>
      </c>
      <c r="AC45" s="227">
        <v>10</v>
      </c>
      <c r="AD45" s="82" t="s">
        <v>887</v>
      </c>
      <c r="AE45" s="227" t="s">
        <v>888</v>
      </c>
      <c r="AF45" s="227" t="s">
        <v>12</v>
      </c>
      <c r="AG45" s="83">
        <v>7.8</v>
      </c>
      <c r="AH45" s="82" t="s">
        <v>880</v>
      </c>
      <c r="AI45" s="227" t="s">
        <v>22</v>
      </c>
      <c r="AJ45" s="227" t="s">
        <v>11</v>
      </c>
      <c r="AK45" s="227">
        <v>5.6</v>
      </c>
      <c r="AL45" s="82"/>
      <c r="AO45" s="83"/>
      <c r="AP45" s="82"/>
      <c r="AS45" s="83"/>
      <c r="AW45" s="83"/>
      <c r="BA45" s="84"/>
    </row>
    <row r="46" spans="1:53" s="227" customFormat="1" x14ac:dyDescent="0.15">
      <c r="A46" s="227">
        <v>2011</v>
      </c>
      <c r="B46" s="122"/>
      <c r="C46" s="811" t="s">
        <v>890</v>
      </c>
      <c r="D46" s="811"/>
      <c r="E46" s="227">
        <v>176</v>
      </c>
      <c r="G46" s="600">
        <v>6</v>
      </c>
      <c r="H46" s="676"/>
      <c r="I46" s="676">
        <v>13</v>
      </c>
      <c r="J46" s="602">
        <v>19</v>
      </c>
      <c r="K46" s="597">
        <f t="shared" ref="K46:K51" si="5">G46/J46*100</f>
        <v>31.578947368421051</v>
      </c>
      <c r="L46" s="597">
        <f t="shared" ref="L46:L51" si="6">H46/J46*100</f>
        <v>0</v>
      </c>
      <c r="M46" s="597">
        <f t="shared" ref="M46:M51" si="7">I46/J46*100</f>
        <v>68.421052631578945</v>
      </c>
      <c r="N46" s="601">
        <f t="shared" si="3"/>
        <v>100</v>
      </c>
      <c r="O46" s="596">
        <v>15.6</v>
      </c>
      <c r="P46" s="597"/>
      <c r="Q46" s="597">
        <v>40</v>
      </c>
      <c r="R46" s="598">
        <f t="shared" si="4"/>
        <v>55.6</v>
      </c>
      <c r="S46" s="676">
        <v>2</v>
      </c>
      <c r="T46" s="95"/>
      <c r="V46" s="82" t="s">
        <v>102</v>
      </c>
      <c r="W46" s="227" t="s">
        <v>98</v>
      </c>
      <c r="X46" s="227" t="s">
        <v>12</v>
      </c>
      <c r="Y46" s="83">
        <v>32.200000000000003</v>
      </c>
      <c r="Z46" s="227" t="s">
        <v>891</v>
      </c>
      <c r="AA46" s="227" t="s">
        <v>107</v>
      </c>
      <c r="AB46" s="227" t="s">
        <v>11</v>
      </c>
      <c r="AC46" s="227">
        <v>10</v>
      </c>
      <c r="AD46" s="82" t="s">
        <v>887</v>
      </c>
      <c r="AE46" s="227" t="s">
        <v>888</v>
      </c>
      <c r="AF46" s="227" t="s">
        <v>12</v>
      </c>
      <c r="AG46" s="83">
        <v>7.8</v>
      </c>
      <c r="AH46" s="82" t="s">
        <v>880</v>
      </c>
      <c r="AI46" s="227" t="s">
        <v>22</v>
      </c>
      <c r="AJ46" s="227" t="s">
        <v>11</v>
      </c>
      <c r="AK46" s="227">
        <v>5.6</v>
      </c>
      <c r="AL46" s="82"/>
      <c r="AO46" s="83"/>
      <c r="AP46" s="82"/>
      <c r="AS46" s="83"/>
      <c r="AW46" s="83"/>
      <c r="BA46" s="84"/>
    </row>
    <row r="47" spans="1:53" s="227" customFormat="1" x14ac:dyDescent="0.15">
      <c r="A47" s="227">
        <v>2011</v>
      </c>
      <c r="B47" s="154">
        <v>40720</v>
      </c>
      <c r="C47" s="811" t="s">
        <v>890</v>
      </c>
      <c r="D47" s="811"/>
      <c r="E47" s="227">
        <v>15</v>
      </c>
      <c r="F47" s="150">
        <v>0</v>
      </c>
      <c r="G47" s="600">
        <v>5</v>
      </c>
      <c r="H47" s="676"/>
      <c r="I47" s="676">
        <v>13</v>
      </c>
      <c r="J47" s="602">
        <v>18</v>
      </c>
      <c r="K47" s="597">
        <f t="shared" si="5"/>
        <v>27.777777777777779</v>
      </c>
      <c r="L47" s="597">
        <f t="shared" si="6"/>
        <v>0</v>
      </c>
      <c r="M47" s="597">
        <f t="shared" si="7"/>
        <v>72.222222222222214</v>
      </c>
      <c r="N47" s="601">
        <f t="shared" si="3"/>
        <v>100</v>
      </c>
      <c r="O47" s="596">
        <v>15.6</v>
      </c>
      <c r="P47" s="597"/>
      <c r="Q47" s="597">
        <v>40</v>
      </c>
      <c r="R47" s="598">
        <f t="shared" si="4"/>
        <v>55.6</v>
      </c>
      <c r="S47" s="676">
        <v>2</v>
      </c>
      <c r="T47" s="95"/>
      <c r="V47" s="82" t="s">
        <v>102</v>
      </c>
      <c r="W47" s="227" t="s">
        <v>98</v>
      </c>
      <c r="X47" s="227" t="s">
        <v>12</v>
      </c>
      <c r="Y47" s="83">
        <v>32.200000000000003</v>
      </c>
      <c r="Z47" s="227" t="s">
        <v>891</v>
      </c>
      <c r="AA47" s="227" t="s">
        <v>107</v>
      </c>
      <c r="AB47" s="227" t="s">
        <v>11</v>
      </c>
      <c r="AC47" s="227">
        <v>10</v>
      </c>
      <c r="AD47" s="82" t="s">
        <v>887</v>
      </c>
      <c r="AE47" s="227" t="s">
        <v>888</v>
      </c>
      <c r="AF47" s="227" t="s">
        <v>12</v>
      </c>
      <c r="AG47" s="83">
        <v>7.8</v>
      </c>
      <c r="AH47" s="82" t="s">
        <v>880</v>
      </c>
      <c r="AI47" s="227" t="s">
        <v>22</v>
      </c>
      <c r="AJ47" s="227" t="s">
        <v>11</v>
      </c>
      <c r="AK47" s="227">
        <v>5.6</v>
      </c>
      <c r="AL47" s="82"/>
      <c r="AO47" s="83"/>
      <c r="AP47" s="82"/>
      <c r="AS47" s="83"/>
      <c r="AW47" s="83"/>
      <c r="BA47" s="84"/>
    </row>
    <row r="48" spans="1:53" s="334" customFormat="1" x14ac:dyDescent="0.15">
      <c r="A48" s="334">
        <v>2011</v>
      </c>
      <c r="B48" s="335">
        <v>40735</v>
      </c>
      <c r="C48" s="812" t="s">
        <v>892</v>
      </c>
      <c r="D48" s="812"/>
      <c r="E48" s="334">
        <v>53</v>
      </c>
      <c r="F48" s="334">
        <v>4</v>
      </c>
      <c r="G48" s="649">
        <v>2</v>
      </c>
      <c r="H48" s="677"/>
      <c r="I48" s="677">
        <v>13</v>
      </c>
      <c r="J48" s="651">
        <v>15</v>
      </c>
      <c r="K48" s="647">
        <f t="shared" si="5"/>
        <v>13.333333333333334</v>
      </c>
      <c r="L48" s="647">
        <f t="shared" si="6"/>
        <v>0</v>
      </c>
      <c r="M48" s="647">
        <f t="shared" si="7"/>
        <v>86.666666666666671</v>
      </c>
      <c r="N48" s="650">
        <f t="shared" si="3"/>
        <v>100</v>
      </c>
      <c r="O48" s="646">
        <v>5.6</v>
      </c>
      <c r="P48" s="647"/>
      <c r="Q48" s="647">
        <v>40</v>
      </c>
      <c r="R48" s="648">
        <f t="shared" si="4"/>
        <v>45.6</v>
      </c>
      <c r="S48" s="677">
        <v>5</v>
      </c>
      <c r="T48" s="342"/>
      <c r="U48" s="335">
        <v>40735</v>
      </c>
      <c r="V48" s="343" t="s">
        <v>102</v>
      </c>
      <c r="W48" s="334" t="s">
        <v>98</v>
      </c>
      <c r="X48" s="334" t="s">
        <v>12</v>
      </c>
      <c r="Y48" s="344">
        <v>32.200000000000003</v>
      </c>
      <c r="Z48" s="343" t="s">
        <v>887</v>
      </c>
      <c r="AA48" s="334" t="s">
        <v>888</v>
      </c>
      <c r="AB48" s="334" t="s">
        <v>12</v>
      </c>
      <c r="AC48" s="344">
        <v>7.8</v>
      </c>
      <c r="AD48" s="343" t="s">
        <v>880</v>
      </c>
      <c r="AE48" s="334" t="s">
        <v>22</v>
      </c>
      <c r="AF48" s="334" t="s">
        <v>11</v>
      </c>
      <c r="AG48" s="344">
        <v>5.6</v>
      </c>
      <c r="AH48" s="343"/>
      <c r="AL48" s="343"/>
      <c r="AO48" s="344"/>
      <c r="AP48" s="343"/>
      <c r="AS48" s="344"/>
      <c r="AW48" s="344"/>
      <c r="BA48" s="345"/>
    </row>
    <row r="49" spans="1:53" s="334" customFormat="1" x14ac:dyDescent="0.15">
      <c r="A49" s="334">
        <v>2011</v>
      </c>
      <c r="B49" s="440">
        <v>40788</v>
      </c>
      <c r="C49" s="812" t="s">
        <v>892</v>
      </c>
      <c r="D49" s="812"/>
      <c r="E49" s="334">
        <f>365-E48-E47-E46</f>
        <v>121</v>
      </c>
      <c r="F49" s="441">
        <v>0</v>
      </c>
      <c r="G49" s="649">
        <v>1</v>
      </c>
      <c r="H49" s="677"/>
      <c r="I49" s="677">
        <v>13</v>
      </c>
      <c r="J49" s="651">
        <v>14</v>
      </c>
      <c r="K49" s="647">
        <f t="shared" si="5"/>
        <v>7.1428571428571423</v>
      </c>
      <c r="L49" s="647">
        <f t="shared" si="6"/>
        <v>0</v>
      </c>
      <c r="M49" s="647">
        <f t="shared" si="7"/>
        <v>92.857142857142861</v>
      </c>
      <c r="N49" s="650">
        <f t="shared" si="3"/>
        <v>100</v>
      </c>
      <c r="O49" s="646">
        <v>5.6</v>
      </c>
      <c r="P49" s="647"/>
      <c r="Q49" s="647">
        <v>40</v>
      </c>
      <c r="R49" s="648">
        <f t="shared" si="4"/>
        <v>45.6</v>
      </c>
      <c r="S49" s="677">
        <v>5</v>
      </c>
      <c r="T49" s="342">
        <v>40881</v>
      </c>
      <c r="V49" s="343" t="s">
        <v>102</v>
      </c>
      <c r="W49" s="334" t="s">
        <v>98</v>
      </c>
      <c r="X49" s="334" t="s">
        <v>12</v>
      </c>
      <c r="Y49" s="344">
        <v>32.200000000000003</v>
      </c>
      <c r="Z49" s="343" t="s">
        <v>887</v>
      </c>
      <c r="AA49" s="334" t="s">
        <v>888</v>
      </c>
      <c r="AB49" s="334" t="s">
        <v>12</v>
      </c>
      <c r="AC49" s="344">
        <v>7.8</v>
      </c>
      <c r="AD49" s="343" t="s">
        <v>880</v>
      </c>
      <c r="AE49" s="334" t="s">
        <v>22</v>
      </c>
      <c r="AF49" s="334" t="s">
        <v>11</v>
      </c>
      <c r="AG49" s="344">
        <v>5.6</v>
      </c>
      <c r="AL49" s="343"/>
      <c r="AO49" s="344"/>
      <c r="AP49" s="343"/>
      <c r="AS49" s="344"/>
      <c r="AW49" s="344"/>
      <c r="BA49" s="345"/>
    </row>
    <row r="50" spans="1:53" s="334" customFormat="1" x14ac:dyDescent="0.15">
      <c r="A50" s="334">
        <v>2012</v>
      </c>
      <c r="B50" s="468"/>
      <c r="C50" s="812" t="s">
        <v>892</v>
      </c>
      <c r="D50" s="812"/>
      <c r="E50" s="334">
        <v>40</v>
      </c>
      <c r="G50" s="649">
        <v>1</v>
      </c>
      <c r="H50" s="677"/>
      <c r="I50" s="677">
        <v>13</v>
      </c>
      <c r="J50" s="651">
        <v>14</v>
      </c>
      <c r="K50" s="647">
        <f t="shared" si="5"/>
        <v>7.1428571428571423</v>
      </c>
      <c r="L50" s="647">
        <f t="shared" si="6"/>
        <v>0</v>
      </c>
      <c r="M50" s="647">
        <f t="shared" si="7"/>
        <v>92.857142857142861</v>
      </c>
      <c r="N50" s="650">
        <f t="shared" si="3"/>
        <v>100</v>
      </c>
      <c r="O50" s="646">
        <v>5.6</v>
      </c>
      <c r="P50" s="647"/>
      <c r="Q50" s="647">
        <v>40</v>
      </c>
      <c r="R50" s="648">
        <f t="shared" si="4"/>
        <v>45.6</v>
      </c>
      <c r="S50" s="677">
        <v>5</v>
      </c>
      <c r="T50" s="342"/>
      <c r="V50" s="343" t="s">
        <v>102</v>
      </c>
      <c r="W50" s="334" t="s">
        <v>98</v>
      </c>
      <c r="X50" s="334" t="s">
        <v>12</v>
      </c>
      <c r="Y50" s="344">
        <v>32.200000000000003</v>
      </c>
      <c r="Z50" s="343" t="s">
        <v>887</v>
      </c>
      <c r="AA50" s="334" t="s">
        <v>888</v>
      </c>
      <c r="AB50" s="334" t="s">
        <v>12</v>
      </c>
      <c r="AC50" s="344">
        <v>7.8</v>
      </c>
      <c r="AD50" s="343" t="s">
        <v>880</v>
      </c>
      <c r="AE50" s="334" t="s">
        <v>22</v>
      </c>
      <c r="AF50" s="334" t="s">
        <v>11</v>
      </c>
      <c r="AG50" s="344">
        <v>5.6</v>
      </c>
      <c r="AL50" s="343"/>
      <c r="AO50" s="344"/>
      <c r="AP50" s="343"/>
      <c r="AS50" s="344"/>
      <c r="AW50" s="344"/>
      <c r="BA50" s="345"/>
    </row>
    <row r="51" spans="1:53" s="227" customFormat="1" x14ac:dyDescent="0.15">
      <c r="A51" s="227">
        <v>2012</v>
      </c>
      <c r="B51" s="121">
        <v>40949</v>
      </c>
      <c r="C51" s="811" t="s">
        <v>1230</v>
      </c>
      <c r="D51" s="811"/>
      <c r="E51" s="227">
        <f>366-E50</f>
        <v>326</v>
      </c>
      <c r="F51" s="227">
        <v>1</v>
      </c>
      <c r="G51" s="600">
        <v>2</v>
      </c>
      <c r="H51" s="676">
        <v>2</v>
      </c>
      <c r="I51" s="676">
        <v>9</v>
      </c>
      <c r="J51" s="602">
        <v>13</v>
      </c>
      <c r="K51" s="597">
        <f t="shared" si="5"/>
        <v>15.384615384615385</v>
      </c>
      <c r="L51" s="597">
        <f t="shared" si="6"/>
        <v>15.384615384615385</v>
      </c>
      <c r="M51" s="597">
        <f t="shared" si="7"/>
        <v>69.230769230769226</v>
      </c>
      <c r="N51" s="601">
        <f t="shared" si="3"/>
        <v>100</v>
      </c>
      <c r="O51" s="596">
        <v>8.9</v>
      </c>
      <c r="P51" s="597">
        <v>4.4000000000000004</v>
      </c>
      <c r="Q51" s="597">
        <v>42.3</v>
      </c>
      <c r="R51" s="598">
        <f t="shared" si="4"/>
        <v>55.599999999999994</v>
      </c>
      <c r="S51" s="676">
        <v>3</v>
      </c>
      <c r="T51" s="95"/>
      <c r="U51" s="121">
        <v>40949</v>
      </c>
      <c r="V51" s="82" t="s">
        <v>884</v>
      </c>
      <c r="W51" s="227" t="s">
        <v>97</v>
      </c>
      <c r="X51" s="227" t="s">
        <v>12</v>
      </c>
      <c r="Y51" s="83">
        <v>28.9</v>
      </c>
      <c r="Z51" s="227" t="s">
        <v>569</v>
      </c>
      <c r="AA51" s="227" t="s">
        <v>319</v>
      </c>
      <c r="AB51" s="227" t="s">
        <v>11</v>
      </c>
      <c r="AC51" s="227">
        <v>8.9</v>
      </c>
      <c r="AD51" s="82" t="s">
        <v>887</v>
      </c>
      <c r="AE51" s="227" t="s">
        <v>888</v>
      </c>
      <c r="AF51" s="227" t="s">
        <v>12</v>
      </c>
      <c r="AG51" s="83">
        <v>6.7</v>
      </c>
      <c r="AH51" s="227" t="s">
        <v>885</v>
      </c>
      <c r="AI51" s="227" t="s">
        <v>886</v>
      </c>
      <c r="AJ51" s="227" t="s">
        <v>12</v>
      </c>
      <c r="AK51" s="227">
        <v>6.7</v>
      </c>
      <c r="AL51" s="82" t="s">
        <v>889</v>
      </c>
      <c r="AM51" s="227" t="s">
        <v>82</v>
      </c>
      <c r="AN51" s="227" t="s">
        <v>18</v>
      </c>
      <c r="AO51" s="83">
        <v>4.4000000000000004</v>
      </c>
      <c r="AP51" s="82"/>
      <c r="AS51" s="83"/>
      <c r="AW51" s="83"/>
      <c r="BA51" s="84"/>
    </row>
    <row r="52" spans="1:53" s="317" customFormat="1" x14ac:dyDescent="0.15">
      <c r="A52" s="317">
        <v>2013</v>
      </c>
      <c r="B52" s="121"/>
      <c r="C52" s="811" t="s">
        <v>1230</v>
      </c>
      <c r="D52" s="811"/>
      <c r="E52" s="317">
        <v>31</v>
      </c>
      <c r="G52" s="600">
        <v>2</v>
      </c>
      <c r="H52" s="676">
        <v>2</v>
      </c>
      <c r="I52" s="676">
        <v>9</v>
      </c>
      <c r="J52" s="602">
        <v>13</v>
      </c>
      <c r="K52" s="597">
        <f t="shared" ref="K52:K59" si="8">G52/J52*100</f>
        <v>15.384615384615385</v>
      </c>
      <c r="L52" s="597">
        <f t="shared" ref="L52:L59" si="9">H52/J52*100</f>
        <v>15.384615384615385</v>
      </c>
      <c r="M52" s="597">
        <f t="shared" ref="M52:M59" si="10">I52/J52*100</f>
        <v>69.230769230769226</v>
      </c>
      <c r="N52" s="601">
        <f>K52+L52+M52</f>
        <v>100</v>
      </c>
      <c r="O52" s="596">
        <v>8.9</v>
      </c>
      <c r="P52" s="597">
        <v>4.4000000000000004</v>
      </c>
      <c r="Q52" s="597">
        <v>42.3</v>
      </c>
      <c r="R52" s="598">
        <f t="shared" ref="R52:R59" si="11">O52+P52+Q52</f>
        <v>55.599999999999994</v>
      </c>
      <c r="S52" s="676">
        <v>3</v>
      </c>
      <c r="T52" s="95"/>
      <c r="U52" s="121"/>
      <c r="V52" s="82" t="s">
        <v>884</v>
      </c>
      <c r="W52" s="317" t="s">
        <v>97</v>
      </c>
      <c r="X52" s="317" t="s">
        <v>12</v>
      </c>
      <c r="Y52" s="83">
        <v>28.9</v>
      </c>
      <c r="Z52" s="317" t="s">
        <v>569</v>
      </c>
      <c r="AA52" s="317" t="s">
        <v>319</v>
      </c>
      <c r="AB52" s="317" t="s">
        <v>11</v>
      </c>
      <c r="AC52" s="317">
        <v>8.9</v>
      </c>
      <c r="AD52" s="82" t="s">
        <v>887</v>
      </c>
      <c r="AE52" s="317" t="s">
        <v>888</v>
      </c>
      <c r="AF52" s="317" t="s">
        <v>12</v>
      </c>
      <c r="AG52" s="83">
        <v>6.7</v>
      </c>
      <c r="AH52" s="317" t="s">
        <v>885</v>
      </c>
      <c r="AI52" s="317" t="s">
        <v>886</v>
      </c>
      <c r="AJ52" s="317" t="s">
        <v>12</v>
      </c>
      <c r="AK52" s="317">
        <v>6.7</v>
      </c>
      <c r="AL52" s="82" t="s">
        <v>889</v>
      </c>
      <c r="AM52" s="317" t="s">
        <v>82</v>
      </c>
      <c r="AN52" s="317" t="s">
        <v>18</v>
      </c>
      <c r="AO52" s="83">
        <v>4.4000000000000004</v>
      </c>
      <c r="AP52" s="82"/>
      <c r="AS52" s="83"/>
      <c r="AW52" s="83"/>
      <c r="BA52" s="84"/>
    </row>
    <row r="53" spans="1:53" s="334" customFormat="1" x14ac:dyDescent="0.15">
      <c r="A53" s="334">
        <v>2013</v>
      </c>
      <c r="B53" s="361">
        <v>41306</v>
      </c>
      <c r="C53" s="812" t="s">
        <v>1288</v>
      </c>
      <c r="D53" s="812"/>
      <c r="E53" s="334">
        <v>47</v>
      </c>
      <c r="F53" s="334">
        <v>4</v>
      </c>
      <c r="G53" s="649"/>
      <c r="H53" s="677">
        <v>2</v>
      </c>
      <c r="I53" s="677">
        <v>9</v>
      </c>
      <c r="J53" s="651">
        <v>11</v>
      </c>
      <c r="K53" s="647">
        <f t="shared" si="8"/>
        <v>0</v>
      </c>
      <c r="L53" s="647">
        <f t="shared" si="9"/>
        <v>18.181818181818183</v>
      </c>
      <c r="M53" s="647">
        <f t="shared" si="10"/>
        <v>81.818181818181827</v>
      </c>
      <c r="N53" s="650">
        <f>K52+L52+M52</f>
        <v>100</v>
      </c>
      <c r="O53" s="646"/>
      <c r="P53" s="647">
        <v>4.4000000000000004</v>
      </c>
      <c r="Q53" s="647">
        <v>41.2</v>
      </c>
      <c r="R53" s="648">
        <f t="shared" si="11"/>
        <v>45.6</v>
      </c>
      <c r="S53" s="677">
        <v>5</v>
      </c>
      <c r="T53" s="342"/>
      <c r="U53" s="355">
        <v>41306</v>
      </c>
      <c r="V53" s="343" t="s">
        <v>884</v>
      </c>
      <c r="W53" s="334" t="s">
        <v>97</v>
      </c>
      <c r="X53" s="334" t="s">
        <v>12</v>
      </c>
      <c r="Y53" s="344">
        <v>28.9</v>
      </c>
      <c r="Z53" s="334" t="s">
        <v>887</v>
      </c>
      <c r="AA53" s="334" t="s">
        <v>888</v>
      </c>
      <c r="AB53" s="334" t="s">
        <v>12</v>
      </c>
      <c r="AC53" s="334">
        <v>5.6</v>
      </c>
      <c r="AD53" s="343" t="s">
        <v>885</v>
      </c>
      <c r="AE53" s="334" t="s">
        <v>886</v>
      </c>
      <c r="AF53" s="334" t="s">
        <v>12</v>
      </c>
      <c r="AG53" s="344">
        <v>6.7</v>
      </c>
      <c r="AH53" s="343" t="s">
        <v>889</v>
      </c>
      <c r="AI53" s="334" t="s">
        <v>82</v>
      </c>
      <c r="AJ53" s="334" t="s">
        <v>18</v>
      </c>
      <c r="AK53" s="334">
        <v>4.4000000000000004</v>
      </c>
      <c r="AL53" s="343"/>
      <c r="AO53" s="344"/>
      <c r="AP53" s="343"/>
      <c r="AS53" s="344"/>
      <c r="AW53" s="344"/>
      <c r="BA53" s="345"/>
    </row>
    <row r="54" spans="1:53" s="329" customFormat="1" x14ac:dyDescent="0.15">
      <c r="A54" s="329">
        <v>2013</v>
      </c>
      <c r="B54" s="121">
        <v>41353</v>
      </c>
      <c r="C54" s="811" t="s">
        <v>1275</v>
      </c>
      <c r="D54" s="811"/>
      <c r="E54" s="329">
        <v>245</v>
      </c>
      <c r="F54" s="329">
        <v>5</v>
      </c>
      <c r="G54" s="600">
        <v>3</v>
      </c>
      <c r="H54" s="676"/>
      <c r="I54" s="676">
        <v>11</v>
      </c>
      <c r="J54" s="602">
        <v>14</v>
      </c>
      <c r="K54" s="597">
        <f t="shared" si="8"/>
        <v>21.428571428571427</v>
      </c>
      <c r="L54" s="597">
        <f t="shared" si="9"/>
        <v>0</v>
      </c>
      <c r="M54" s="597">
        <f t="shared" si="10"/>
        <v>78.571428571428569</v>
      </c>
      <c r="N54" s="601">
        <f>K53+L53+M53</f>
        <v>100.00000000000001</v>
      </c>
      <c r="O54" s="596">
        <v>7.8</v>
      </c>
      <c r="P54" s="597"/>
      <c r="Q54" s="597">
        <v>46.7</v>
      </c>
      <c r="R54" s="598">
        <f t="shared" si="11"/>
        <v>54.5</v>
      </c>
      <c r="S54" s="676">
        <v>2</v>
      </c>
      <c r="T54" s="95"/>
      <c r="U54" s="121">
        <v>41353</v>
      </c>
      <c r="V54" s="82" t="s">
        <v>96</v>
      </c>
      <c r="W54" s="329" t="s">
        <v>1048</v>
      </c>
      <c r="X54" s="329" t="s">
        <v>12</v>
      </c>
      <c r="Y54" s="83">
        <v>30</v>
      </c>
      <c r="Z54" s="82" t="s">
        <v>102</v>
      </c>
      <c r="AA54" s="329" t="s">
        <v>98</v>
      </c>
      <c r="AB54" s="329" t="s">
        <v>12</v>
      </c>
      <c r="AC54" s="83">
        <v>11.1</v>
      </c>
      <c r="AD54" s="82" t="s">
        <v>569</v>
      </c>
      <c r="AE54" s="329" t="s">
        <v>319</v>
      </c>
      <c r="AF54" s="329" t="s">
        <v>11</v>
      </c>
      <c r="AG54" s="83">
        <v>7.8</v>
      </c>
      <c r="AH54" s="82" t="s">
        <v>887</v>
      </c>
      <c r="AI54" s="329" t="s">
        <v>888</v>
      </c>
      <c r="AJ54" s="329" t="s">
        <v>12</v>
      </c>
      <c r="AK54" s="329">
        <v>5.6</v>
      </c>
      <c r="AL54" s="82"/>
      <c r="AO54" s="83"/>
      <c r="AP54" s="82"/>
      <c r="AS54" s="83"/>
      <c r="AW54" s="83"/>
      <c r="BA54" s="84"/>
    </row>
    <row r="55" spans="1:53" s="329" customFormat="1" x14ac:dyDescent="0.15">
      <c r="A55" s="329">
        <v>2013</v>
      </c>
      <c r="B55" s="154">
        <v>41598</v>
      </c>
      <c r="C55" s="811" t="s">
        <v>1275</v>
      </c>
      <c r="D55" s="811"/>
      <c r="E55" s="329">
        <v>5</v>
      </c>
      <c r="F55" s="150">
        <v>0</v>
      </c>
      <c r="G55" s="600">
        <v>3</v>
      </c>
      <c r="H55" s="676"/>
      <c r="I55" s="676">
        <v>10</v>
      </c>
      <c r="J55" s="602">
        <v>13</v>
      </c>
      <c r="K55" s="597">
        <f t="shared" si="8"/>
        <v>23.076923076923077</v>
      </c>
      <c r="L55" s="597">
        <f t="shared" si="9"/>
        <v>0</v>
      </c>
      <c r="M55" s="597">
        <f t="shared" si="10"/>
        <v>76.923076923076934</v>
      </c>
      <c r="N55" s="601">
        <f>K54+L54+M54</f>
        <v>100</v>
      </c>
      <c r="O55" s="596">
        <v>7.8</v>
      </c>
      <c r="P55" s="597"/>
      <c r="Q55" s="597">
        <v>46.7</v>
      </c>
      <c r="R55" s="598">
        <f t="shared" si="11"/>
        <v>54.5</v>
      </c>
      <c r="S55" s="676">
        <v>2</v>
      </c>
      <c r="T55" s="95"/>
      <c r="U55" s="121"/>
      <c r="V55" s="82" t="s">
        <v>96</v>
      </c>
      <c r="W55" s="329" t="s">
        <v>1048</v>
      </c>
      <c r="X55" s="329" t="s">
        <v>12</v>
      </c>
      <c r="Y55" s="83">
        <v>30</v>
      </c>
      <c r="Z55" s="82" t="s">
        <v>102</v>
      </c>
      <c r="AA55" s="329" t="s">
        <v>98</v>
      </c>
      <c r="AB55" s="329" t="s">
        <v>12</v>
      </c>
      <c r="AC55" s="83">
        <v>11.1</v>
      </c>
      <c r="AD55" s="82" t="s">
        <v>569</v>
      </c>
      <c r="AE55" s="329" t="s">
        <v>319</v>
      </c>
      <c r="AF55" s="329" t="s">
        <v>11</v>
      </c>
      <c r="AG55" s="83">
        <v>7.8</v>
      </c>
      <c r="AH55" s="82" t="s">
        <v>887</v>
      </c>
      <c r="AI55" s="329" t="s">
        <v>888</v>
      </c>
      <c r="AJ55" s="329" t="s">
        <v>12</v>
      </c>
      <c r="AK55" s="329">
        <v>5.6</v>
      </c>
      <c r="AL55" s="82"/>
      <c r="AO55" s="83"/>
      <c r="AP55" s="82"/>
      <c r="AS55" s="83"/>
      <c r="AW55" s="83"/>
      <c r="BA55" s="84"/>
    </row>
    <row r="56" spans="1:53" s="329" customFormat="1" x14ac:dyDescent="0.15">
      <c r="A56" s="329">
        <v>2013</v>
      </c>
      <c r="B56" s="154">
        <v>41603</v>
      </c>
      <c r="C56" s="811" t="s">
        <v>1275</v>
      </c>
      <c r="D56" s="811"/>
      <c r="E56" s="329">
        <f>365-E55-E54-E53-E52</f>
        <v>37</v>
      </c>
      <c r="F56" s="150">
        <v>0</v>
      </c>
      <c r="G56" s="600">
        <v>3</v>
      </c>
      <c r="H56" s="676"/>
      <c r="I56" s="676">
        <v>9</v>
      </c>
      <c r="J56" s="602">
        <v>12</v>
      </c>
      <c r="K56" s="597">
        <f t="shared" si="8"/>
        <v>25</v>
      </c>
      <c r="L56" s="597">
        <f t="shared" si="9"/>
        <v>0</v>
      </c>
      <c r="M56" s="597">
        <f t="shared" si="10"/>
        <v>75</v>
      </c>
      <c r="N56" s="601">
        <f>K55+L55+M55</f>
        <v>100.00000000000001</v>
      </c>
      <c r="O56" s="596">
        <v>7.8</v>
      </c>
      <c r="P56" s="597"/>
      <c r="Q56" s="597">
        <v>46.7</v>
      </c>
      <c r="R56" s="598">
        <f t="shared" si="11"/>
        <v>54.5</v>
      </c>
      <c r="S56" s="676">
        <v>2</v>
      </c>
      <c r="T56" s="95"/>
      <c r="U56" s="121"/>
      <c r="V56" s="82" t="s">
        <v>96</v>
      </c>
      <c r="W56" s="329" t="s">
        <v>1048</v>
      </c>
      <c r="X56" s="329" t="s">
        <v>12</v>
      </c>
      <c r="Y56" s="83">
        <v>30</v>
      </c>
      <c r="Z56" s="82" t="s">
        <v>102</v>
      </c>
      <c r="AA56" s="329" t="s">
        <v>98</v>
      </c>
      <c r="AB56" s="329" t="s">
        <v>12</v>
      </c>
      <c r="AC56" s="83">
        <v>11.1</v>
      </c>
      <c r="AD56" s="82" t="s">
        <v>569</v>
      </c>
      <c r="AE56" s="329" t="s">
        <v>319</v>
      </c>
      <c r="AF56" s="329" t="s">
        <v>11</v>
      </c>
      <c r="AG56" s="83">
        <v>7.8</v>
      </c>
      <c r="AH56" s="82" t="s">
        <v>887</v>
      </c>
      <c r="AI56" s="329" t="s">
        <v>888</v>
      </c>
      <c r="AJ56" s="329" t="s">
        <v>12</v>
      </c>
      <c r="AK56" s="329">
        <v>5.6</v>
      </c>
      <c r="AL56" s="82"/>
      <c r="AO56" s="83"/>
      <c r="AP56" s="82"/>
      <c r="AS56" s="83"/>
      <c r="AW56" s="83"/>
      <c r="BA56" s="84"/>
    </row>
    <row r="57" spans="1:53" s="663" customFormat="1" x14ac:dyDescent="0.15">
      <c r="A57" s="663">
        <v>2014</v>
      </c>
      <c r="B57" s="154"/>
      <c r="C57" s="811" t="s">
        <v>1275</v>
      </c>
      <c r="D57" s="811"/>
      <c r="E57" s="663">
        <v>192</v>
      </c>
      <c r="F57" s="604"/>
      <c r="G57" s="600">
        <v>3</v>
      </c>
      <c r="H57" s="676"/>
      <c r="I57" s="676">
        <v>9</v>
      </c>
      <c r="J57" s="602">
        <v>12</v>
      </c>
      <c r="K57" s="597">
        <f t="shared" si="8"/>
        <v>25</v>
      </c>
      <c r="L57" s="597">
        <f t="shared" si="9"/>
        <v>0</v>
      </c>
      <c r="M57" s="597">
        <f t="shared" si="10"/>
        <v>75</v>
      </c>
      <c r="N57" s="601">
        <f t="shared" ref="N57:N59" si="12">K56+L56+M56</f>
        <v>100</v>
      </c>
      <c r="O57" s="596">
        <v>7.8</v>
      </c>
      <c r="P57" s="597"/>
      <c r="Q57" s="597">
        <v>46.7</v>
      </c>
      <c r="R57" s="598">
        <f t="shared" si="11"/>
        <v>54.5</v>
      </c>
      <c r="S57" s="676">
        <v>2</v>
      </c>
      <c r="T57" s="599"/>
      <c r="U57" s="121"/>
      <c r="V57" s="592" t="s">
        <v>96</v>
      </c>
      <c r="W57" s="676" t="s">
        <v>1048</v>
      </c>
      <c r="X57" s="676" t="s">
        <v>12</v>
      </c>
      <c r="Y57" s="593">
        <v>30</v>
      </c>
      <c r="Z57" s="592" t="s">
        <v>102</v>
      </c>
      <c r="AA57" s="676" t="s">
        <v>98</v>
      </c>
      <c r="AB57" s="676" t="s">
        <v>12</v>
      </c>
      <c r="AC57" s="593">
        <v>11.1</v>
      </c>
      <c r="AD57" s="592" t="s">
        <v>569</v>
      </c>
      <c r="AE57" s="676" t="s">
        <v>319</v>
      </c>
      <c r="AF57" s="676" t="s">
        <v>11</v>
      </c>
      <c r="AG57" s="593">
        <v>7.8</v>
      </c>
      <c r="AH57" s="592" t="s">
        <v>887</v>
      </c>
      <c r="AI57" s="676" t="s">
        <v>888</v>
      </c>
      <c r="AJ57" s="676" t="s">
        <v>12</v>
      </c>
      <c r="AK57" s="676">
        <v>5.6</v>
      </c>
      <c r="AL57" s="592"/>
      <c r="AO57" s="593"/>
      <c r="AP57" s="592"/>
      <c r="AS57" s="593"/>
      <c r="AW57" s="593"/>
      <c r="BA57" s="594"/>
    </row>
    <row r="58" spans="1:53" s="676" customFormat="1" x14ac:dyDescent="0.15">
      <c r="A58" s="676">
        <v>2014</v>
      </c>
      <c r="B58" s="154">
        <v>41832</v>
      </c>
      <c r="C58" s="811" t="s">
        <v>1275</v>
      </c>
      <c r="D58" s="811"/>
      <c r="E58" s="676">
        <v>68</v>
      </c>
      <c r="F58" s="604">
        <v>0</v>
      </c>
      <c r="G58" s="600">
        <v>7</v>
      </c>
      <c r="I58" s="676">
        <v>6</v>
      </c>
      <c r="J58" s="602">
        <v>13</v>
      </c>
      <c r="K58" s="597">
        <f t="shared" si="8"/>
        <v>53.846153846153847</v>
      </c>
      <c r="L58" s="597">
        <f t="shared" si="9"/>
        <v>0</v>
      </c>
      <c r="M58" s="597">
        <f t="shared" si="10"/>
        <v>46.153846153846153</v>
      </c>
      <c r="N58" s="601">
        <f t="shared" si="12"/>
        <v>100</v>
      </c>
      <c r="O58" s="596">
        <v>18.899999999999999</v>
      </c>
      <c r="P58" s="597"/>
      <c r="Q58" s="597">
        <v>32.299999999999997</v>
      </c>
      <c r="R58" s="598">
        <f t="shared" si="11"/>
        <v>51.199999999999996</v>
      </c>
      <c r="S58" s="676">
        <v>2</v>
      </c>
      <c r="T58" s="599"/>
      <c r="U58" s="121"/>
      <c r="V58" s="592" t="s">
        <v>1327</v>
      </c>
      <c r="W58" s="676" t="s">
        <v>911</v>
      </c>
      <c r="X58" s="676" t="s">
        <v>11</v>
      </c>
      <c r="Y58" s="593">
        <v>11.1</v>
      </c>
      <c r="Z58" s="592" t="s">
        <v>96</v>
      </c>
      <c r="AA58" s="676" t="s">
        <v>1048</v>
      </c>
      <c r="AB58" s="676" t="s">
        <v>12</v>
      </c>
      <c r="AC58" s="593">
        <v>15.5</v>
      </c>
      <c r="AD58" s="592" t="s">
        <v>102</v>
      </c>
      <c r="AE58" s="676" t="s">
        <v>98</v>
      </c>
      <c r="AF58" s="676" t="s">
        <v>12</v>
      </c>
      <c r="AG58" s="593">
        <v>11.1</v>
      </c>
      <c r="AH58" s="592" t="s">
        <v>569</v>
      </c>
      <c r="AI58" s="676" t="s">
        <v>22</v>
      </c>
      <c r="AJ58" s="676" t="s">
        <v>11</v>
      </c>
      <c r="AK58" s="676">
        <v>7.8</v>
      </c>
      <c r="AL58" s="592" t="s">
        <v>887</v>
      </c>
      <c r="AM58" s="676" t="s">
        <v>888</v>
      </c>
      <c r="AN58" s="676" t="s">
        <v>12</v>
      </c>
      <c r="AO58" s="593">
        <v>5.6</v>
      </c>
      <c r="AP58" s="592"/>
      <c r="AS58" s="593"/>
      <c r="AW58" s="593"/>
      <c r="BA58" s="594"/>
    </row>
    <row r="59" spans="1:53" s="677" customFormat="1" x14ac:dyDescent="0.15">
      <c r="A59" s="677">
        <v>2014</v>
      </c>
      <c r="B59" s="361">
        <v>41900</v>
      </c>
      <c r="C59" s="812" t="s">
        <v>1328</v>
      </c>
      <c r="D59" s="812"/>
      <c r="E59" s="677">
        <v>105</v>
      </c>
      <c r="F59" s="677">
        <v>1</v>
      </c>
      <c r="G59" s="649">
        <v>10</v>
      </c>
      <c r="I59" s="677">
        <v>7</v>
      </c>
      <c r="J59" s="651">
        <v>17</v>
      </c>
      <c r="K59" s="647">
        <f t="shared" si="8"/>
        <v>58.82352941176471</v>
      </c>
      <c r="L59" s="647">
        <f t="shared" si="9"/>
        <v>0</v>
      </c>
      <c r="M59" s="647">
        <f t="shared" si="10"/>
        <v>41.17647058823529</v>
      </c>
      <c r="N59" s="650">
        <f t="shared" si="12"/>
        <v>100</v>
      </c>
      <c r="O59" s="646">
        <v>40</v>
      </c>
      <c r="P59" s="647"/>
      <c r="Q59" s="647">
        <v>17.8</v>
      </c>
      <c r="R59" s="648">
        <f t="shared" si="11"/>
        <v>57.8</v>
      </c>
      <c r="S59" s="677">
        <v>3</v>
      </c>
      <c r="T59" s="487">
        <v>41833</v>
      </c>
      <c r="U59" s="671">
        <v>41900</v>
      </c>
      <c r="V59" s="641" t="s">
        <v>1329</v>
      </c>
      <c r="W59" s="677" t="s">
        <v>912</v>
      </c>
      <c r="X59" s="677" t="s">
        <v>11</v>
      </c>
      <c r="Y59" s="642">
        <v>40</v>
      </c>
      <c r="Z59" s="677" t="s">
        <v>887</v>
      </c>
      <c r="AA59" s="677" t="s">
        <v>888</v>
      </c>
      <c r="AB59" s="677" t="s">
        <v>12</v>
      </c>
      <c r="AC59" s="677">
        <v>11.1</v>
      </c>
      <c r="AD59" s="641" t="s">
        <v>102</v>
      </c>
      <c r="AE59" s="677" t="s">
        <v>98</v>
      </c>
      <c r="AF59" s="677" t="s">
        <v>12</v>
      </c>
      <c r="AG59" s="642">
        <v>6.7</v>
      </c>
      <c r="AH59" s="641"/>
      <c r="AL59" s="641"/>
      <c r="AO59" s="642"/>
      <c r="AP59" s="641"/>
      <c r="AS59" s="642"/>
      <c r="AW59" s="642"/>
      <c r="BA59" s="643"/>
    </row>
    <row r="60" spans="1:53" s="759" customFormat="1" x14ac:dyDescent="0.15">
      <c r="A60" s="759">
        <v>2015</v>
      </c>
      <c r="B60" s="361"/>
      <c r="C60" s="812" t="s">
        <v>1328</v>
      </c>
      <c r="D60" s="812"/>
      <c r="E60" s="759">
        <v>0</v>
      </c>
      <c r="G60" s="649">
        <v>10</v>
      </c>
      <c r="I60" s="759">
        <v>7</v>
      </c>
      <c r="J60" s="651">
        <v>17</v>
      </c>
      <c r="K60" s="647">
        <f t="shared" ref="K60:K61" si="13">G60/J60*100</f>
        <v>58.82352941176471</v>
      </c>
      <c r="L60" s="647">
        <f t="shared" ref="L60:L61" si="14">H60/J60*100</f>
        <v>0</v>
      </c>
      <c r="M60" s="647">
        <f t="shared" ref="M60:M61" si="15">I60/J60*100</f>
        <v>41.17647058823529</v>
      </c>
      <c r="N60" s="650">
        <f t="shared" ref="N60:N61" si="16">K59+L59+M59</f>
        <v>100</v>
      </c>
      <c r="O60" s="646">
        <v>40</v>
      </c>
      <c r="P60" s="647"/>
      <c r="Q60" s="647">
        <v>17.8</v>
      </c>
      <c r="R60" s="648">
        <f t="shared" ref="R60:R61" si="17">O60+P60+Q60</f>
        <v>57.8</v>
      </c>
      <c r="S60" s="759">
        <v>3</v>
      </c>
      <c r="T60" s="487"/>
      <c r="U60" s="756"/>
      <c r="V60" s="641" t="s">
        <v>1329</v>
      </c>
      <c r="W60" s="759" t="s">
        <v>912</v>
      </c>
      <c r="X60" s="759" t="s">
        <v>11</v>
      </c>
      <c r="Y60" s="642">
        <v>40</v>
      </c>
      <c r="Z60" s="759" t="s">
        <v>887</v>
      </c>
      <c r="AA60" s="759" t="s">
        <v>888</v>
      </c>
      <c r="AB60" s="759" t="s">
        <v>12</v>
      </c>
      <c r="AC60" s="759">
        <v>11.1</v>
      </c>
      <c r="AD60" s="641" t="s">
        <v>102</v>
      </c>
      <c r="AE60" s="759" t="s">
        <v>98</v>
      </c>
      <c r="AF60" s="759" t="s">
        <v>12</v>
      </c>
      <c r="AG60" s="642">
        <v>6.7</v>
      </c>
      <c r="AH60" s="641"/>
      <c r="AL60" s="641"/>
      <c r="AO60" s="642"/>
      <c r="AP60" s="641"/>
      <c r="AS60" s="642"/>
      <c r="AW60" s="642"/>
      <c r="BA60" s="643"/>
    </row>
    <row r="61" spans="1:53" s="759" customFormat="1" x14ac:dyDescent="0.15">
      <c r="A61" s="759">
        <v>2015</v>
      </c>
      <c r="B61" s="361"/>
      <c r="C61" s="812" t="s">
        <v>1328</v>
      </c>
      <c r="D61" s="812"/>
      <c r="E61" s="759">
        <v>365</v>
      </c>
      <c r="G61" s="649">
        <v>10</v>
      </c>
      <c r="I61" s="759">
        <v>7</v>
      </c>
      <c r="J61" s="651">
        <v>17</v>
      </c>
      <c r="K61" s="647">
        <f t="shared" si="13"/>
        <v>58.82352941176471</v>
      </c>
      <c r="L61" s="647">
        <f t="shared" si="14"/>
        <v>0</v>
      </c>
      <c r="M61" s="647">
        <f t="shared" si="15"/>
        <v>41.17647058823529</v>
      </c>
      <c r="N61" s="650">
        <f t="shared" si="16"/>
        <v>100</v>
      </c>
      <c r="O61" s="646">
        <v>40</v>
      </c>
      <c r="P61" s="647"/>
      <c r="Q61" s="647">
        <v>17.8</v>
      </c>
      <c r="R61" s="648">
        <f t="shared" si="17"/>
        <v>57.8</v>
      </c>
      <c r="S61" s="759">
        <v>3</v>
      </c>
      <c r="T61" s="487"/>
      <c r="U61" s="756"/>
      <c r="V61" s="641" t="s">
        <v>1329</v>
      </c>
      <c r="W61" s="759" t="s">
        <v>912</v>
      </c>
      <c r="X61" s="759" t="s">
        <v>11</v>
      </c>
      <c r="Y61" s="642">
        <v>40</v>
      </c>
      <c r="Z61" s="759" t="s">
        <v>887</v>
      </c>
      <c r="AA61" s="759" t="s">
        <v>888</v>
      </c>
      <c r="AB61" s="759" t="s">
        <v>12</v>
      </c>
      <c r="AC61" s="759">
        <v>11.1</v>
      </c>
      <c r="AD61" s="641" t="s">
        <v>102</v>
      </c>
      <c r="AE61" s="759" t="s">
        <v>98</v>
      </c>
      <c r="AF61" s="759" t="s">
        <v>12</v>
      </c>
      <c r="AG61" s="642">
        <v>6.7</v>
      </c>
      <c r="AH61" s="641"/>
      <c r="AL61" s="641"/>
      <c r="AO61" s="642"/>
      <c r="AP61" s="641"/>
      <c r="AS61" s="642"/>
      <c r="AW61" s="642"/>
      <c r="BA61" s="643"/>
    </row>
    <row r="62" spans="1:53" x14ac:dyDescent="0.15">
      <c r="B62" s="2"/>
      <c r="C62" s="2"/>
      <c r="D62" s="2"/>
      <c r="E62" s="2"/>
      <c r="F62" s="2"/>
      <c r="G62" s="2"/>
      <c r="H62" s="2"/>
      <c r="I62" s="2"/>
      <c r="J62" s="2"/>
      <c r="K62" s="2"/>
      <c r="L62" s="2"/>
      <c r="M62" s="2"/>
      <c r="N62" s="2"/>
    </row>
    <row r="63" spans="1:53" x14ac:dyDescent="0.15">
      <c r="B63" s="2"/>
      <c r="C63" s="2"/>
      <c r="D63" s="2"/>
      <c r="E63" s="2"/>
      <c r="F63" s="2"/>
      <c r="G63" s="2"/>
      <c r="H63" s="2"/>
      <c r="I63" s="2"/>
      <c r="J63" s="2"/>
      <c r="K63" s="2"/>
      <c r="L63" s="2"/>
      <c r="M63" s="2"/>
      <c r="N63" s="2"/>
    </row>
    <row r="64" spans="1:53" s="2" customFormat="1" ht="18" customHeight="1" x14ac:dyDescent="0.2">
      <c r="B64" s="22" t="s">
        <v>1284</v>
      </c>
    </row>
    <row r="65" spans="1:30" s="2" customFormat="1" ht="9" customHeight="1" x14ac:dyDescent="0.15"/>
    <row r="66" spans="1:30" s="364" customFormat="1" ht="9" customHeight="1" x14ac:dyDescent="0.15">
      <c r="A66" s="362"/>
      <c r="B66" s="363" t="s">
        <v>1235</v>
      </c>
      <c r="C66" s="363"/>
      <c r="D66" s="363"/>
      <c r="E66" s="363"/>
      <c r="F66" s="363"/>
      <c r="G66" s="363" t="s">
        <v>1236</v>
      </c>
      <c r="H66" s="363"/>
      <c r="I66" s="363"/>
      <c r="J66" s="363"/>
      <c r="K66" s="363"/>
      <c r="L66" s="363"/>
      <c r="M66" s="363"/>
      <c r="N66" s="363"/>
      <c r="R66" s="802" t="s">
        <v>1237</v>
      </c>
      <c r="S66" s="802"/>
      <c r="T66" s="802"/>
      <c r="U66" s="802"/>
      <c r="V66" s="802"/>
      <c r="W66" s="802"/>
      <c r="X66" s="365"/>
      <c r="Y66" s="365"/>
      <c r="AA66" s="365"/>
      <c r="AB66" s="365"/>
      <c r="AC66" s="365"/>
      <c r="AD66" s="365"/>
    </row>
    <row r="67" spans="1:30" s="369" customFormat="1" ht="9" customHeight="1" x14ac:dyDescent="0.15">
      <c r="A67" s="366"/>
      <c r="B67" s="367" t="s">
        <v>1239</v>
      </c>
      <c r="C67" s="368"/>
      <c r="D67" s="368"/>
      <c r="E67" s="368"/>
      <c r="F67" s="368"/>
      <c r="G67" s="367" t="s">
        <v>1238</v>
      </c>
      <c r="H67" s="368"/>
      <c r="I67" s="368"/>
      <c r="J67" s="368"/>
      <c r="K67" s="368"/>
      <c r="L67" s="368"/>
      <c r="M67" s="368"/>
      <c r="N67" s="368"/>
      <c r="R67" s="370" t="s">
        <v>1240</v>
      </c>
      <c r="S67" s="371"/>
      <c r="T67" s="372"/>
      <c r="U67" s="372"/>
      <c r="V67" s="372"/>
      <c r="W67" s="370" t="s">
        <v>1241</v>
      </c>
      <c r="X67" s="372"/>
      <c r="Y67" s="372"/>
      <c r="AA67" s="372"/>
      <c r="AB67" s="372"/>
      <c r="AC67" s="372"/>
      <c r="AD67" s="372"/>
    </row>
    <row r="68" spans="1:30" s="351" customFormat="1" ht="12" customHeight="1" x14ac:dyDescent="0.15">
      <c r="A68" s="373" t="s">
        <v>3</v>
      </c>
      <c r="B68" s="374" t="s">
        <v>8</v>
      </c>
      <c r="C68" s="374" t="s">
        <v>9</v>
      </c>
      <c r="D68" s="374" t="s">
        <v>10</v>
      </c>
      <c r="E68" s="375" t="s">
        <v>1215</v>
      </c>
      <c r="F68" s="374"/>
      <c r="G68" s="351" t="s">
        <v>3</v>
      </c>
      <c r="H68" s="803" t="s">
        <v>0</v>
      </c>
      <c r="I68" s="803"/>
      <c r="J68" s="803" t="s">
        <v>1</v>
      </c>
      <c r="K68" s="803"/>
      <c r="L68" s="803" t="s">
        <v>2</v>
      </c>
      <c r="M68" s="803"/>
      <c r="N68" s="804" t="s">
        <v>1215</v>
      </c>
      <c r="O68" s="804"/>
      <c r="P68" s="376"/>
      <c r="Q68" s="376"/>
      <c r="R68" s="377" t="s">
        <v>3</v>
      </c>
      <c r="S68" s="378" t="s">
        <v>136</v>
      </c>
      <c r="T68" s="376" t="s">
        <v>134</v>
      </c>
      <c r="U68" s="374" t="s">
        <v>135</v>
      </c>
      <c r="V68" s="376"/>
      <c r="W68" s="379" t="s">
        <v>26</v>
      </c>
    </row>
    <row r="69" spans="1:30" s="16" customFormat="1" ht="9" customHeight="1" x14ac:dyDescent="0.15">
      <c r="A69" s="44">
        <v>1990</v>
      </c>
      <c r="B69" s="196"/>
      <c r="C69" s="196"/>
      <c r="D69" s="196"/>
      <c r="E69" s="232"/>
      <c r="F69" s="196"/>
      <c r="G69" s="197">
        <v>1990</v>
      </c>
      <c r="H69" s="859"/>
      <c r="I69" s="859"/>
      <c r="J69" s="859"/>
      <c r="K69" s="859"/>
      <c r="L69" s="859"/>
      <c r="M69" s="859"/>
      <c r="N69" s="858"/>
      <c r="O69" s="858"/>
      <c r="P69" s="197"/>
      <c r="Q69" s="197"/>
      <c r="R69" s="234">
        <v>1990</v>
      </c>
      <c r="S69" s="197"/>
      <c r="T69" s="197"/>
      <c r="U69" s="196"/>
      <c r="V69" s="197"/>
      <c r="W69" s="198"/>
    </row>
    <row r="70" spans="1:30" s="16" customFormat="1" ht="9" customHeight="1" x14ac:dyDescent="0.15">
      <c r="A70" s="44">
        <v>1991</v>
      </c>
      <c r="B70" s="196"/>
      <c r="C70" s="196"/>
      <c r="D70" s="196"/>
      <c r="E70" s="232"/>
      <c r="F70" s="196"/>
      <c r="G70" s="197">
        <v>1991</v>
      </c>
      <c r="H70" s="857"/>
      <c r="I70" s="857"/>
      <c r="J70" s="857"/>
      <c r="K70" s="857"/>
      <c r="L70" s="857"/>
      <c r="M70" s="857"/>
      <c r="N70" s="825"/>
      <c r="O70" s="825"/>
      <c r="P70" s="197"/>
      <c r="Q70" s="197"/>
      <c r="R70" s="234">
        <v>1991</v>
      </c>
      <c r="S70" s="197"/>
      <c r="T70" s="197"/>
      <c r="U70" s="196"/>
      <c r="V70" s="197"/>
      <c r="W70" s="198"/>
    </row>
    <row r="71" spans="1:30" s="16" customFormat="1" ht="9" customHeight="1" x14ac:dyDescent="0.15">
      <c r="A71" s="44">
        <v>1992</v>
      </c>
      <c r="B71" s="196"/>
      <c r="C71" s="196"/>
      <c r="D71" s="196"/>
      <c r="E71" s="232"/>
      <c r="F71" s="196"/>
      <c r="G71" s="197">
        <v>1992</v>
      </c>
      <c r="H71" s="857"/>
      <c r="I71" s="857"/>
      <c r="J71" s="857"/>
      <c r="K71" s="857"/>
      <c r="L71" s="857"/>
      <c r="M71" s="857"/>
      <c r="N71" s="825"/>
      <c r="O71" s="825"/>
      <c r="P71" s="197"/>
      <c r="Q71" s="197"/>
      <c r="R71" s="234">
        <v>1992</v>
      </c>
      <c r="S71" s="197"/>
      <c r="T71" s="197"/>
      <c r="U71" s="196"/>
      <c r="V71" s="197"/>
      <c r="W71" s="198"/>
    </row>
    <row r="72" spans="1:30" ht="9" customHeight="1" x14ac:dyDescent="0.15">
      <c r="A72" s="1">
        <v>1993</v>
      </c>
      <c r="B72" s="8">
        <f>(K7*($E7/354))</f>
        <v>37.5</v>
      </c>
      <c r="C72" s="8">
        <f>(L7*($E7/354))</f>
        <v>25</v>
      </c>
      <c r="D72" s="8">
        <f>(M7*($E7/354))</f>
        <v>37.5</v>
      </c>
      <c r="E72" s="52">
        <f>B72+C72+D72</f>
        <v>100</v>
      </c>
      <c r="F72" s="12"/>
      <c r="G72" s="12">
        <v>1993</v>
      </c>
      <c r="H72" s="822">
        <f>(O7/$R7*100*($E7/354))</f>
        <v>36.676646706586816</v>
      </c>
      <c r="I72" s="822"/>
      <c r="J72" s="822">
        <f>(P7/$R7*100*($E7/354))</f>
        <v>24.999999999999993</v>
      </c>
      <c r="K72" s="822"/>
      <c r="L72" s="822">
        <f>(Q7/$R7*100*($E7/354))</f>
        <v>38.32335329341317</v>
      </c>
      <c r="M72" s="822"/>
      <c r="N72" s="822">
        <f>H72+J72+L72</f>
        <v>99.999999999999972</v>
      </c>
      <c r="O72" s="822"/>
      <c r="P72" s="12"/>
      <c r="Q72" s="12"/>
      <c r="R72" s="12">
        <v>1993</v>
      </c>
      <c r="S72" s="8">
        <f>(O7*($E7/354))</f>
        <v>24.5</v>
      </c>
      <c r="T72" s="8">
        <f>(P7*($E7/354))</f>
        <v>16.7</v>
      </c>
      <c r="U72" s="8">
        <f>(Q7*($E7/354))</f>
        <v>25.6</v>
      </c>
      <c r="V72" s="12"/>
      <c r="W72" s="7">
        <f>S72+T72+U72</f>
        <v>66.800000000000011</v>
      </c>
      <c r="X72" s="66"/>
      <c r="Y72" s="233" t="s">
        <v>1232</v>
      </c>
      <c r="Z72" s="66"/>
      <c r="AA72" s="66"/>
      <c r="AB72" s="66"/>
    </row>
    <row r="73" spans="1:30" ht="9" customHeight="1" x14ac:dyDescent="0.15">
      <c r="A73" s="1">
        <v>1994</v>
      </c>
      <c r="B73" s="8">
        <f>(K8*($E8/365))+(K9*($E9/365))</f>
        <v>47.020547945205479</v>
      </c>
      <c r="C73" s="8">
        <f>(L8*($E8/365))+(L9*($E9/365))</f>
        <v>20.239726027397261</v>
      </c>
      <c r="D73" s="8">
        <f>(M8*($E8/365))+(M9*($E9/365))</f>
        <v>27.979452054794521</v>
      </c>
      <c r="E73" s="52">
        <f t="shared" ref="E73:E91" si="18">B73+C73+D73</f>
        <v>95.239726027397253</v>
      </c>
      <c r="F73" s="12"/>
      <c r="G73" s="12">
        <v>1994</v>
      </c>
      <c r="H73" s="822">
        <f>(O8/$R8*100*($E8/365))+(O9/$R9*100*($E9/365))</f>
        <v>41.594699853620938</v>
      </c>
      <c r="I73" s="822"/>
      <c r="J73" s="822">
        <f>(P8/$R8*100*($E8/365))+(P9/$R9*100*($E9/365))</f>
        <v>28.352305614508964</v>
      </c>
      <c r="K73" s="822"/>
      <c r="L73" s="822">
        <f>(Q8/$R8*100*($E8/365))+(Q9/$R9*100*($E9/365))</f>
        <v>30.05299453187008</v>
      </c>
      <c r="M73" s="822"/>
      <c r="N73" s="822">
        <f t="shared" ref="N73:N91" si="19">H73+J73+L73</f>
        <v>99.999999999999986</v>
      </c>
      <c r="O73" s="822"/>
      <c r="P73" s="12"/>
      <c r="Q73" s="12"/>
      <c r="R73" s="12">
        <v>1994</v>
      </c>
      <c r="S73" s="8">
        <f>(O8*($E8/365))+(O9*($E9/365))</f>
        <v>24.5</v>
      </c>
      <c r="T73" s="8">
        <f>(P8*($E8/365))+(P9*($E9/365))</f>
        <v>16.7</v>
      </c>
      <c r="U73" s="8">
        <f>(Q8*($E8/365))+(Q9*($E9/365))</f>
        <v>17.983561643835614</v>
      </c>
      <c r="V73" s="12"/>
      <c r="W73" s="7">
        <f t="shared" ref="W73:W91" si="20">S73+T73+U73</f>
        <v>59.183561643835617</v>
      </c>
    </row>
    <row r="74" spans="1:30" ht="9" customHeight="1" x14ac:dyDescent="0.15">
      <c r="A74" s="1">
        <v>1995</v>
      </c>
      <c r="B74" s="8">
        <f>(K10*($E10/365))+(K11*($E11/365))</f>
        <v>50</v>
      </c>
      <c r="C74" s="8">
        <f>(L10*($E10/365))+(L11*($E11/365))</f>
        <v>18.75</v>
      </c>
      <c r="D74" s="8">
        <f>(M10*($E10/365))+(M11*($E11/365))</f>
        <v>25</v>
      </c>
      <c r="E74" s="52">
        <f t="shared" si="18"/>
        <v>93.75</v>
      </c>
      <c r="F74" s="12"/>
      <c r="G74" s="12">
        <v>1995</v>
      </c>
      <c r="H74" s="822">
        <f>(O10/$R10*100*($E10/365))+(O11/$R11*100*($E11/365))</f>
        <v>43.133802816901408</v>
      </c>
      <c r="I74" s="822"/>
      <c r="J74" s="822">
        <f>(P10/$R10*100*($E10/365))+(P11/$R11*100*($E11/365))</f>
        <v>29.401408450704221</v>
      </c>
      <c r="K74" s="822"/>
      <c r="L74" s="822">
        <f>(Q10/$R10*100*($E10/365))+(Q11/$R11*100*($E11/365))</f>
        <v>27.464788732394364</v>
      </c>
      <c r="M74" s="822"/>
      <c r="N74" s="822">
        <f t="shared" si="19"/>
        <v>100</v>
      </c>
      <c r="O74" s="822"/>
      <c r="P74" s="12"/>
      <c r="Q74" s="12"/>
      <c r="R74" s="12">
        <v>1995</v>
      </c>
      <c r="S74" s="8">
        <f>(O10*($E10/365))+(O11*($E11/365))</f>
        <v>24.5</v>
      </c>
      <c r="T74" s="8">
        <f>(P10*($E10/365))+(P11*($E11/365))</f>
        <v>16.7</v>
      </c>
      <c r="U74" s="8">
        <f>(Q10*($E10/365))+(Q11*($E11/365))</f>
        <v>15.6</v>
      </c>
      <c r="V74" s="12"/>
      <c r="W74" s="7">
        <f t="shared" si="20"/>
        <v>56.800000000000004</v>
      </c>
    </row>
    <row r="75" spans="1:30" ht="9" customHeight="1" x14ac:dyDescent="0.15">
      <c r="A75" s="1">
        <v>1996</v>
      </c>
      <c r="B75" s="8">
        <f>(K12*($E12/366))+(K13*($E13/366))</f>
        <v>50</v>
      </c>
      <c r="C75" s="8">
        <f>(L12*($E12/366))+(L13*($E13/366))</f>
        <v>31.859061930783238</v>
      </c>
      <c r="D75" s="8">
        <f>(M12*($E12/366))+(M13*($E13/366))</f>
        <v>2.527322404371585</v>
      </c>
      <c r="E75" s="52">
        <f t="shared" si="18"/>
        <v>84.38638433515483</v>
      </c>
      <c r="F75" s="12"/>
      <c r="G75" s="12">
        <v>1996</v>
      </c>
      <c r="H75" s="822">
        <f>(O12/$R12*100*($E12/366))+(O13/$R13*100*($E13/366))</f>
        <v>57.814948340368481</v>
      </c>
      <c r="I75" s="822"/>
      <c r="J75" s="822">
        <f>(P12/$R12*100*($E12/366))+(P13/$R13*100*($E13/366))</f>
        <v>39.408556623843005</v>
      </c>
      <c r="K75" s="822"/>
      <c r="L75" s="822">
        <f>(Q12/$R12*100*($E12/366))+(Q13/$R13*100*($E13/366))</f>
        <v>2.7764950357885012</v>
      </c>
      <c r="M75" s="822"/>
      <c r="N75" s="822">
        <f t="shared" si="19"/>
        <v>99.999999999999986</v>
      </c>
      <c r="O75" s="822"/>
      <c r="P75" s="12"/>
      <c r="Q75" s="12"/>
      <c r="R75" s="12">
        <v>1996</v>
      </c>
      <c r="S75" s="8">
        <f>(O12*($E12/366))+(O13*($E13/366))</f>
        <v>24.5</v>
      </c>
      <c r="T75" s="8">
        <f>(P12*($E12/366))+(P13*($E13/366))</f>
        <v>16.7</v>
      </c>
      <c r="U75" s="8">
        <f>(Q12*($E12/366))+(Q13*($E13/366))</f>
        <v>1.5770491803278688</v>
      </c>
      <c r="V75" s="12"/>
      <c r="W75" s="7">
        <f t="shared" si="20"/>
        <v>42.777049180327872</v>
      </c>
    </row>
    <row r="76" spans="1:30" ht="9" customHeight="1" x14ac:dyDescent="0.15">
      <c r="A76" s="1">
        <v>1997</v>
      </c>
      <c r="B76" s="8">
        <f>(K14*($E14/365))+(K15*($E15/365))</f>
        <v>43.3381398702235</v>
      </c>
      <c r="C76" s="8">
        <f>(L14*($E14/365))+(L15*($E15/365))</f>
        <v>5.205479452054794</v>
      </c>
      <c r="D76" s="8">
        <f>(M14*($E14/365))+(M15*($E15/365))</f>
        <v>44.412400865176636</v>
      </c>
      <c r="E76" s="52">
        <f t="shared" si="18"/>
        <v>92.956020187454925</v>
      </c>
      <c r="F76" s="12"/>
      <c r="G76" s="12">
        <v>1997</v>
      </c>
      <c r="H76" s="822">
        <f>(O14/$R14*100*($E14/365))+(O15/$R15*100*($E15/365))</f>
        <v>52.329832314710991</v>
      </c>
      <c r="I76" s="822"/>
      <c r="J76" s="822">
        <f>(P14/$R14*100*($E14/365))+(P15/$R15*100*($E15/365))</f>
        <v>6.3299640909695425</v>
      </c>
      <c r="K76" s="822"/>
      <c r="L76" s="822">
        <f>(Q14/$R14*100*($E14/365))+(Q15/$R15*100*($E15/365))</f>
        <v>41.340203594319462</v>
      </c>
      <c r="M76" s="822"/>
      <c r="N76" s="822">
        <f t="shared" si="19"/>
        <v>100</v>
      </c>
      <c r="O76" s="822"/>
      <c r="P76" s="12"/>
      <c r="Q76" s="12"/>
      <c r="R76" s="12">
        <v>1997</v>
      </c>
      <c r="S76" s="8">
        <f>(O14*($E14/365))+(O15*($E15/365))</f>
        <v>27.284657534246573</v>
      </c>
      <c r="T76" s="8">
        <f>(P14*($E14/365))+(P15*($E15/365))</f>
        <v>2.6079452054794521</v>
      </c>
      <c r="U76" s="8">
        <f>(Q14*($E14/365))+(Q15*($E15/365))</f>
        <v>22.53041095890411</v>
      </c>
      <c r="V76" s="12"/>
      <c r="W76" s="7">
        <f t="shared" si="20"/>
        <v>52.423013698630136</v>
      </c>
    </row>
    <row r="77" spans="1:30" ht="9" customHeight="1" x14ac:dyDescent="0.15">
      <c r="A77" s="1">
        <v>1998</v>
      </c>
      <c r="B77" s="8">
        <f>(K16*($E16/365))+(K17*($E17/365))</f>
        <v>42.105263157894733</v>
      </c>
      <c r="C77" s="8">
        <f>(L16*($E16/365))+(L17*($E17/365))</f>
        <v>0</v>
      </c>
      <c r="D77" s="8">
        <f>(M16*($E16/365))+(M17*($E17/365))</f>
        <v>52.631578947368418</v>
      </c>
      <c r="E77" s="52">
        <f t="shared" si="18"/>
        <v>94.73684210526315</v>
      </c>
      <c r="F77" s="12"/>
      <c r="G77" s="12">
        <v>1998</v>
      </c>
      <c r="H77" s="822">
        <f>(O16/$R16*100*($E16/365))+(O17/$R17*100*($E17/365))</f>
        <v>51.009174311926607</v>
      </c>
      <c r="I77" s="822"/>
      <c r="J77" s="822">
        <f>(P16/$R16*100*($E16/365))+(P17/$R17*100*($E17/365))</f>
        <v>0</v>
      </c>
      <c r="K77" s="822"/>
      <c r="L77" s="822">
        <f>(Q16/$R16*100*($E16/365))+(Q17/$R17*100*($E17/365))</f>
        <v>48.990825688073393</v>
      </c>
      <c r="M77" s="822"/>
      <c r="N77" s="822">
        <f t="shared" si="19"/>
        <v>100</v>
      </c>
      <c r="O77" s="822"/>
      <c r="P77" s="12"/>
      <c r="Q77" s="12"/>
      <c r="R77" s="12">
        <v>1998</v>
      </c>
      <c r="S77" s="8">
        <f>(O16*($E16/365))+(O17*($E17/365))</f>
        <v>27.8</v>
      </c>
      <c r="T77" s="8">
        <f>(P16*($E16/365))+(P17*($E17/365))</f>
        <v>0</v>
      </c>
      <c r="U77" s="8">
        <f>(Q16*($E16/365))+(Q17*($E17/365))</f>
        <v>26.7</v>
      </c>
      <c r="V77" s="12"/>
      <c r="W77" s="7">
        <f t="shared" si="20"/>
        <v>54.5</v>
      </c>
    </row>
    <row r="78" spans="1:30" ht="9" customHeight="1" x14ac:dyDescent="0.15">
      <c r="A78" s="1">
        <v>1999</v>
      </c>
      <c r="B78" s="8">
        <f>(K18*($E18/365))+(K19*($E19/365))</f>
        <v>42.105263157894733</v>
      </c>
      <c r="C78" s="8">
        <f>(L18*($E18/365))+(L19*($E19/365))</f>
        <v>0</v>
      </c>
      <c r="D78" s="8">
        <f>(M18*($E18/365))+(M19*($E19/365))</f>
        <v>52.631578947368418</v>
      </c>
      <c r="E78" s="52">
        <f t="shared" si="18"/>
        <v>94.73684210526315</v>
      </c>
      <c r="F78" s="12"/>
      <c r="G78" s="12">
        <v>1999</v>
      </c>
      <c r="H78" s="822">
        <f>(O18/$R18*100*($E18/365))+(O19/$R19*100*($E19/365))</f>
        <v>51.009174311926607</v>
      </c>
      <c r="I78" s="822"/>
      <c r="J78" s="822">
        <f>(P18/$R18*100*($E18/365))+(P19/$R19*100*($E19/365))</f>
        <v>0</v>
      </c>
      <c r="K78" s="822"/>
      <c r="L78" s="822">
        <f>(Q18/$R18*100*($E18/365))+(Q19/$R19*100*($E19/365))</f>
        <v>48.990825688073393</v>
      </c>
      <c r="M78" s="822"/>
      <c r="N78" s="822">
        <f t="shared" si="19"/>
        <v>100</v>
      </c>
      <c r="O78" s="822"/>
      <c r="P78" s="12"/>
      <c r="Q78" s="12"/>
      <c r="R78" s="12">
        <v>1999</v>
      </c>
      <c r="S78" s="8">
        <f>(O18*($E18/365))+(O19*($E19/365))</f>
        <v>27.8</v>
      </c>
      <c r="T78" s="8">
        <f>(P18*($E18/365))+(P19*($E19/365))</f>
        <v>0</v>
      </c>
      <c r="U78" s="8">
        <f>(Q18*($E18/365))+(Q19*($E19/365))</f>
        <v>26.7</v>
      </c>
      <c r="V78" s="12"/>
      <c r="W78" s="7">
        <f t="shared" si="20"/>
        <v>54.5</v>
      </c>
    </row>
    <row r="79" spans="1:30" ht="9" customHeight="1" x14ac:dyDescent="0.15">
      <c r="A79" s="1">
        <v>2000</v>
      </c>
      <c r="B79" s="8">
        <f>(K20*($E20/366))+(K21*($E21/366))+(K22*($E22/366))</f>
        <v>23.641069887834337</v>
      </c>
      <c r="C79" s="8">
        <f>(L20*($E20/366))+(L21*($E21/366))+(L22*($E22/366))</f>
        <v>8.486017357762778</v>
      </c>
      <c r="D79" s="8">
        <f>(M20*($E20/366))+(M21*($E21/366))+(M22*($E22/366))</f>
        <v>54.286149317362842</v>
      </c>
      <c r="E79" s="52">
        <f t="shared" si="18"/>
        <v>86.413236562959952</v>
      </c>
      <c r="F79" s="12"/>
      <c r="G79" s="12">
        <v>2000</v>
      </c>
      <c r="H79" s="822">
        <f>(O20/$R20*100*($E20/366))+(O21/$R21*100*($E21/366))+(O22/$R22*100*($E22/366))</f>
        <v>27.528550659247003</v>
      </c>
      <c r="I79" s="822"/>
      <c r="J79" s="822">
        <f>(P20/$R20*100*($E20/366))+(P21/$R21*100*($E21/366))+(P22/$R22*100*($E22/366))</f>
        <v>10.675409836065572</v>
      </c>
      <c r="K79" s="822"/>
      <c r="L79" s="822">
        <f>(Q20/$R20*100*($E20/366))+(Q21/$R21*100*($E21/366))+(Q22/$R22*100*($E22/366))</f>
        <v>61.796039504687414</v>
      </c>
      <c r="M79" s="822"/>
      <c r="N79" s="822">
        <f t="shared" si="19"/>
        <v>99.999999999999986</v>
      </c>
      <c r="O79" s="822"/>
      <c r="P79" s="12"/>
      <c r="Q79" s="12"/>
      <c r="R79" s="12">
        <v>2000</v>
      </c>
      <c r="S79" s="8">
        <f>(O20*($E20/366))+(O21*($E21/366))+(O22*($E22/366))</f>
        <v>15.306010928961749</v>
      </c>
      <c r="T79" s="8">
        <f>(P20*($E20/366))+(P21*($E21/366))+(P22*($E22/366))</f>
        <v>5.3377049180327862</v>
      </c>
      <c r="U79" s="8">
        <f>(Q20*($E20/366))+(Q21*($E21/366))+(Q22*($E22/366))</f>
        <v>32.173224043715841</v>
      </c>
      <c r="V79" s="12"/>
      <c r="W79" s="7">
        <f t="shared" si="20"/>
        <v>52.816939890710373</v>
      </c>
    </row>
    <row r="80" spans="1:30" ht="9" customHeight="1" x14ac:dyDescent="0.15">
      <c r="A80" s="1">
        <v>2001</v>
      </c>
      <c r="B80" s="8">
        <f>(K23*($E23/365))+(K24*($E24/365))</f>
        <v>62.5</v>
      </c>
      <c r="C80" s="8">
        <f>(L23*($E23/365))+(L24*($E24/365))</f>
        <v>0</v>
      </c>
      <c r="D80" s="8">
        <f>(M23*($E23/365))+(M24*($E24/365))</f>
        <v>37.5</v>
      </c>
      <c r="E80" s="52">
        <f t="shared" si="18"/>
        <v>100</v>
      </c>
      <c r="F80" s="12"/>
      <c r="G80" s="12">
        <v>2001</v>
      </c>
      <c r="H80" s="822">
        <f>(O23/$R23*100*($E23/365))+(O24/$R24*100*($E24/365))</f>
        <v>63</v>
      </c>
      <c r="I80" s="822"/>
      <c r="J80" s="822">
        <f>(P23/$R23*100*($E23/365))+(P24/$R24*100*($E24/365))</f>
        <v>0</v>
      </c>
      <c r="K80" s="822"/>
      <c r="L80" s="822">
        <f>(Q23/$R23*100*($E23/365))+(Q24/$R24*100*($E24/365))</f>
        <v>37</v>
      </c>
      <c r="M80" s="822"/>
      <c r="N80" s="822">
        <f t="shared" si="19"/>
        <v>100</v>
      </c>
      <c r="O80" s="822"/>
      <c r="P80" s="12"/>
      <c r="Q80" s="12"/>
      <c r="R80" s="12">
        <v>2001</v>
      </c>
      <c r="S80" s="8">
        <f>(O23*($E23/365))+(O24*($E24/365))</f>
        <v>37.799999999999997</v>
      </c>
      <c r="T80" s="8">
        <f>(P23*($E23/365))+(P24*($E24/365))</f>
        <v>0</v>
      </c>
      <c r="U80" s="8">
        <f>(Q23*($E23/365))+(Q24*($E24/365))</f>
        <v>22.2</v>
      </c>
      <c r="V80" s="12"/>
      <c r="W80" s="7">
        <f t="shared" si="20"/>
        <v>60</v>
      </c>
    </row>
    <row r="81" spans="1:23" ht="9" customHeight="1" x14ac:dyDescent="0.15">
      <c r="A81" s="1">
        <v>2002</v>
      </c>
      <c r="B81" s="8">
        <f>(K25*($E25/365))+(K26*($E26/365))+(K27*($E27/365))</f>
        <v>56.735495568090251</v>
      </c>
      <c r="C81" s="8">
        <f>(L25*($E25/365))+(L26*($E26/365))+(L27*($E27/365))</f>
        <v>0</v>
      </c>
      <c r="D81" s="8">
        <f>(M25*($E25/365))+(M26*($E26/365))+(M27*($E27/365))</f>
        <v>37.63094278807413</v>
      </c>
      <c r="E81" s="52">
        <f t="shared" si="18"/>
        <v>94.36643835616438</v>
      </c>
      <c r="F81" s="12"/>
      <c r="G81" s="12">
        <v>2002</v>
      </c>
      <c r="H81" s="822">
        <f>(O25/$R25*100*($E25/365))+(O26/$R26*100*($E26/365))+(O27/$R27*100*($E27/365))</f>
        <v>62.84669446098868</v>
      </c>
      <c r="I81" s="822"/>
      <c r="J81" s="822">
        <f>(P25/$R25*100*($E25/365))+(P26/$R26*100*($E26/365))+(P27/$R27*100*($E27/365))</f>
        <v>0</v>
      </c>
      <c r="K81" s="822"/>
      <c r="L81" s="822">
        <f>(Q25/$R25*100*($E25/365))+(Q26/$R26*100*($E26/365))+(Q27/$R27*100*($E27/365))</f>
        <v>37.153305539011313</v>
      </c>
      <c r="M81" s="822"/>
      <c r="N81" s="822">
        <f t="shared" si="19"/>
        <v>100</v>
      </c>
      <c r="O81" s="822"/>
      <c r="P81" s="12"/>
      <c r="Q81" s="12"/>
      <c r="R81" s="12">
        <v>2002</v>
      </c>
      <c r="S81" s="8">
        <f>(O25*($E25/365))+(O26*($E26/365))+(O27*($E27/365))</f>
        <v>37.799999999999997</v>
      </c>
      <c r="T81" s="8">
        <f>(P25*($E25/365))+(P26*($E26/365))+(P27*($E27/365))</f>
        <v>0</v>
      </c>
      <c r="U81" s="8">
        <f>(Q25*($E25/365))+(Q26*($E26/365))+(Q27*($E27/365))</f>
        <v>22.35671232876712</v>
      </c>
      <c r="V81" s="12"/>
      <c r="W81" s="7">
        <f t="shared" si="20"/>
        <v>60.156712328767114</v>
      </c>
    </row>
    <row r="82" spans="1:23" ht="9" customHeight="1" x14ac:dyDescent="0.15">
      <c r="A82" s="1">
        <v>2003</v>
      </c>
      <c r="B82" s="8">
        <f>(K28*($E28/365))+(K29*($E29/365))</f>
        <v>58.82352941176471</v>
      </c>
      <c r="C82" s="8">
        <f>(L28*($E28/365))+(L29*($E29/365))</f>
        <v>0</v>
      </c>
      <c r="D82" s="8">
        <f>(M28*($E28/365))+(M29*($E29/365))</f>
        <v>41.17647058823529</v>
      </c>
      <c r="E82" s="52">
        <f t="shared" si="18"/>
        <v>100</v>
      </c>
      <c r="F82" s="12"/>
      <c r="G82" s="12">
        <v>2003</v>
      </c>
      <c r="H82" s="822">
        <f>(O28/$R28*100*($E28/365))+(O29/$R29*100*($E29/365))</f>
        <v>58.695652173913039</v>
      </c>
      <c r="I82" s="822"/>
      <c r="J82" s="822">
        <f>(P28/$R28*100*($E28/365))+(P29/$R29*100*($E29/365))</f>
        <v>0</v>
      </c>
      <c r="K82" s="822"/>
      <c r="L82" s="822">
        <f>(Q28/$R28*100*($E28/365))+(Q29/$R29*100*($E29/365))</f>
        <v>41.304347826086953</v>
      </c>
      <c r="M82" s="822"/>
      <c r="N82" s="822">
        <f t="shared" si="19"/>
        <v>100</v>
      </c>
      <c r="O82" s="822"/>
      <c r="P82" s="12"/>
      <c r="Q82" s="12"/>
      <c r="R82" s="12">
        <v>2003</v>
      </c>
      <c r="S82" s="8">
        <f>(O28*($E28/365))+(O29*($E29/365))</f>
        <v>37.799999999999997</v>
      </c>
      <c r="T82" s="8">
        <f>(P28*($E28/365))+(P29*($E29/365))</f>
        <v>0</v>
      </c>
      <c r="U82" s="8">
        <f>(Q28*($E28/365))+(Q29*($E29/365))</f>
        <v>26.6</v>
      </c>
      <c r="V82" s="12"/>
      <c r="W82" s="7">
        <f t="shared" si="20"/>
        <v>64.400000000000006</v>
      </c>
    </row>
    <row r="83" spans="1:23" ht="9" customHeight="1" x14ac:dyDescent="0.15">
      <c r="A83" s="1">
        <v>2004</v>
      </c>
      <c r="B83" s="8">
        <f>(K30*($E30/366))+(K31*($E31/366))+(K32*($E32/366))</f>
        <v>65.107682417229185</v>
      </c>
      <c r="C83" s="8">
        <f>(L30*($E30/366))+(L31*($E31/366))+(L32*($E32/366))</f>
        <v>1.8643522982963676</v>
      </c>
      <c r="D83" s="8">
        <f>(M30*($E30/366))+(M31*($E31/366))+(M32*($E32/366))</f>
        <v>33.027965284474448</v>
      </c>
      <c r="E83" s="52">
        <f t="shared" si="18"/>
        <v>100</v>
      </c>
      <c r="F83" s="12"/>
      <c r="G83" s="12">
        <v>2004</v>
      </c>
      <c r="H83" s="822">
        <f>(O30/$R30*100*($E30/366))+(O31/$R31*100*($E31/366))+(O32/$R32*100*($E32/366))</f>
        <v>60.736840174416166</v>
      </c>
      <c r="I83" s="822"/>
      <c r="J83" s="822">
        <f>(P30/$R30*100*($E30/366))+(P31/$R31*100*($E31/366))+(P32/$R32*100*($E32/366))</f>
        <v>1.4565252330440375</v>
      </c>
      <c r="K83" s="822"/>
      <c r="L83" s="822">
        <f>(Q30/$R30*100*($E30/366))+(Q31/$R31*100*($E31/366))+(Q32/$R32*100*($E32/366))</f>
        <v>37.806634592539794</v>
      </c>
      <c r="M83" s="822"/>
      <c r="N83" s="822">
        <f t="shared" si="19"/>
        <v>100</v>
      </c>
      <c r="O83" s="822"/>
      <c r="P83" s="12"/>
      <c r="Q83" s="12"/>
      <c r="R83" s="12">
        <v>2004</v>
      </c>
      <c r="S83" s="8">
        <f>(O30*($E30/366))+(O31*($E31/366))+(O32*($E32/366))</f>
        <v>34.804918032786887</v>
      </c>
      <c r="T83" s="8">
        <f>(P30*($E30/366))+(P31*($E31/366))+(P32*($E32/366))</f>
        <v>0.79234972677595628</v>
      </c>
      <c r="U83" s="8">
        <f>(Q30*($E30/366))+(Q31*($E31/366))+(Q32*($E32/366))</f>
        <v>21.808196721311479</v>
      </c>
      <c r="V83" s="12"/>
      <c r="W83" s="7">
        <f t="shared" si="20"/>
        <v>57.405464480874315</v>
      </c>
    </row>
    <row r="84" spans="1:23" ht="9" customHeight="1" x14ac:dyDescent="0.15">
      <c r="A84" s="1">
        <v>2005</v>
      </c>
      <c r="B84" s="8">
        <f>(K33*($E33/365))+(K34*($E34/365))</f>
        <v>0</v>
      </c>
      <c r="C84" s="8">
        <f>(L33*($E33/365))+(L34*($E34/365))</f>
        <v>23.486435670158471</v>
      </c>
      <c r="D84" s="8">
        <f>(M33*($E33/365))+(M34*($E34/365))</f>
        <v>76.513564329841515</v>
      </c>
      <c r="E84" s="52">
        <f t="shared" si="18"/>
        <v>99.999999999999986</v>
      </c>
      <c r="F84" s="12"/>
      <c r="G84" s="12">
        <v>2005</v>
      </c>
      <c r="H84" s="822">
        <f>(O33/$R33*100*($E33/365))+(O34/$R34*100*($E34/365))</f>
        <v>0</v>
      </c>
      <c r="I84" s="822"/>
      <c r="J84" s="822">
        <f>(P33/$R33*100*($E33/365))+(P34/$R34*100*($E34/365))</f>
        <v>18.382352941176471</v>
      </c>
      <c r="K84" s="822"/>
      <c r="L84" s="822">
        <f>(Q33/$R33*100*($E33/365))+(Q34/$R34*100*($E34/365))</f>
        <v>81.617647058823522</v>
      </c>
      <c r="M84" s="822"/>
      <c r="N84" s="822">
        <f t="shared" si="19"/>
        <v>100</v>
      </c>
      <c r="O84" s="822"/>
      <c r="P84" s="12"/>
      <c r="Q84" s="12"/>
      <c r="R84" s="12">
        <v>2005</v>
      </c>
      <c r="S84" s="8">
        <f>(O33*($E33/365))+(O34*($E34/365))</f>
        <v>0</v>
      </c>
      <c r="T84" s="8">
        <f>(P33*($E33/365))+(P34*($E34/365))</f>
        <v>10</v>
      </c>
      <c r="U84" s="8">
        <f>(Q33*($E33/365))+(Q34*($E34/365))</f>
        <v>44.4</v>
      </c>
      <c r="V84" s="12"/>
      <c r="W84" s="7">
        <f t="shared" si="20"/>
        <v>54.4</v>
      </c>
    </row>
    <row r="85" spans="1:23" ht="9" customHeight="1" x14ac:dyDescent="0.15">
      <c r="A85" s="1">
        <v>2006</v>
      </c>
      <c r="B85" s="8">
        <f>(K35*($E35/365))+(K36*($E36/365))+(K37*($E37/365))</f>
        <v>0</v>
      </c>
      <c r="C85" s="8">
        <f>(L35*($E35/365))+(L36*($E36/365))+(L37*($E37/365))</f>
        <v>22.940281135285161</v>
      </c>
      <c r="D85" s="8">
        <f>(M35*($E35/365))+(M36*($E36/365))+(M37*($E37/365))</f>
        <v>77.059718864714839</v>
      </c>
      <c r="E85" s="52">
        <f t="shared" si="18"/>
        <v>100</v>
      </c>
      <c r="F85" s="12"/>
      <c r="G85" s="12">
        <v>2006</v>
      </c>
      <c r="H85" s="822">
        <f>(O35/$R35*100*($E35/365))+(O36/$R36*100*($E36/365))+(O37/$R37*100*($E37/365))</f>
        <v>0</v>
      </c>
      <c r="I85" s="822"/>
      <c r="J85" s="822">
        <f>(P35/$R35*100*($E35/365))+(P36/$R36*100*($E36/365))+(P37/$R37*100*($E37/365))</f>
        <v>18.382352941176471</v>
      </c>
      <c r="K85" s="822"/>
      <c r="L85" s="822">
        <f>(Q35/$R35*100*($E35/365))+(Q36/$R36*100*($E36/365))+(Q37/$R37*100*($E37/365))</f>
        <v>81.617647058823522</v>
      </c>
      <c r="M85" s="822"/>
      <c r="N85" s="822">
        <f t="shared" si="19"/>
        <v>100</v>
      </c>
      <c r="O85" s="822"/>
      <c r="P85" s="12"/>
      <c r="Q85" s="12"/>
      <c r="R85" s="12">
        <v>2006</v>
      </c>
      <c r="S85" s="8">
        <f>(O35*($E35/365))+(O36*($E36/365))+(O37*($E37/365))</f>
        <v>0</v>
      </c>
      <c r="T85" s="8">
        <f>(P35*($E35/365))+(P36*($E36/365))+(P37*($E37/365))</f>
        <v>10</v>
      </c>
      <c r="U85" s="8">
        <f>(Q35*($E35/365))+(Q36*($E36/365))+(Q37*($E37/365))</f>
        <v>44.4</v>
      </c>
      <c r="V85" s="12"/>
      <c r="W85" s="7">
        <f t="shared" si="20"/>
        <v>54.4</v>
      </c>
    </row>
    <row r="86" spans="1:23" ht="9" customHeight="1" x14ac:dyDescent="0.15">
      <c r="A86" s="1">
        <v>2007</v>
      </c>
      <c r="B86" s="8">
        <f>(K38*($E38/365))+(K39*($E39/365))</f>
        <v>0</v>
      </c>
      <c r="C86" s="8">
        <f>(L38*($E38/365))+(L39*($E39/365))</f>
        <v>17.647058823529413</v>
      </c>
      <c r="D86" s="8">
        <f>(M38*($E38/365))+(M39*($E39/365))</f>
        <v>82.35294117647058</v>
      </c>
      <c r="E86" s="52">
        <f t="shared" si="18"/>
        <v>100</v>
      </c>
      <c r="F86" s="12"/>
      <c r="G86" s="12">
        <v>2007</v>
      </c>
      <c r="H86" s="822">
        <f>(O38/$R38*100*($E38/365))+(O39/$R39*100*($E39/365))</f>
        <v>0</v>
      </c>
      <c r="I86" s="822"/>
      <c r="J86" s="822">
        <f>(P38/$R38*100*($E38/365))+(P39/$R39*100*($E39/365))</f>
        <v>18.382352941176471</v>
      </c>
      <c r="K86" s="822"/>
      <c r="L86" s="822">
        <f>(Q38/$R38*100*($E38/365))+(Q39/$R39*100*($E39/365))</f>
        <v>81.617647058823522</v>
      </c>
      <c r="M86" s="822"/>
      <c r="N86" s="822">
        <f t="shared" si="19"/>
        <v>100</v>
      </c>
      <c r="O86" s="822"/>
      <c r="P86" s="12"/>
      <c r="Q86" s="12"/>
      <c r="R86" s="12">
        <v>2007</v>
      </c>
      <c r="S86" s="8">
        <f>(O38*($E38/365))+(O39*($E39/365))</f>
        <v>0</v>
      </c>
      <c r="T86" s="8">
        <f>(P38*($E38/365))+(P39*($E39/365))</f>
        <v>10</v>
      </c>
      <c r="U86" s="8">
        <f>(Q38*($E38/365))+(Q39*($E39/365))</f>
        <v>44.4</v>
      </c>
      <c r="V86" s="12"/>
      <c r="W86" s="7">
        <f t="shared" si="20"/>
        <v>54.4</v>
      </c>
    </row>
    <row r="87" spans="1:23" ht="9" customHeight="1" x14ac:dyDescent="0.15">
      <c r="A87" s="1">
        <v>2008</v>
      </c>
      <c r="B87" s="8">
        <f>(K40*($E40/366))+(K41*($E41/366))</f>
        <v>3.5375323554788611</v>
      </c>
      <c r="C87" s="8">
        <f>(L40*($E40/366))+(L41*($E41/366))</f>
        <v>15.670202507232402</v>
      </c>
      <c r="D87" s="8">
        <f>(M40*($E40/366))+(M41*($E41/366))</f>
        <v>80.792265137288723</v>
      </c>
      <c r="E87" s="52">
        <f t="shared" si="18"/>
        <v>99.999999999999986</v>
      </c>
      <c r="F87" s="12"/>
      <c r="G87" s="12">
        <v>2008</v>
      </c>
      <c r="H87" s="822">
        <f>(O40/$R40*100*($E40/366))+(O41/$R41*100*($E41/366))</f>
        <v>3.1430593230333761</v>
      </c>
      <c r="I87" s="822"/>
      <c r="J87" s="822">
        <f>(P40/$R40*100*($E40/366))+(P41/$R41*100*($E41/366))</f>
        <v>16.323127611700418</v>
      </c>
      <c r="K87" s="822"/>
      <c r="L87" s="822">
        <f>(Q40/$R40*100*($E40/366))+(Q41/$R41*100*($E41/366))</f>
        <v>80.533813065266202</v>
      </c>
      <c r="M87" s="822"/>
      <c r="N87" s="822">
        <f t="shared" si="19"/>
        <v>100</v>
      </c>
      <c r="O87" s="822"/>
      <c r="P87" s="12"/>
      <c r="Q87" s="12"/>
      <c r="R87" s="12">
        <v>2008</v>
      </c>
      <c r="S87" s="8">
        <f>(O40*($E40/366))+(O41*($E41/366))</f>
        <v>1.7475409836065574</v>
      </c>
      <c r="T87" s="8">
        <f>(P40*($E40/366))+(P41*($E41/366))</f>
        <v>8.8797814207650276</v>
      </c>
      <c r="U87" s="8">
        <f>(Q40*($E40/366))+(Q41*($E41/366))</f>
        <v>43.907103825136609</v>
      </c>
      <c r="V87" s="12"/>
      <c r="W87" s="7">
        <f t="shared" si="20"/>
        <v>54.534426229508192</v>
      </c>
    </row>
    <row r="88" spans="1:23" ht="9" customHeight="1" x14ac:dyDescent="0.15">
      <c r="A88" s="1">
        <v>2009</v>
      </c>
      <c r="B88" s="8">
        <f>(K42*($E42/365))+(K43*($E43/365))</f>
        <v>31.578947368421051</v>
      </c>
      <c r="C88" s="8">
        <f>(L42*($E42/365))+(L43*($E43/365))</f>
        <v>0</v>
      </c>
      <c r="D88" s="8">
        <f>(M42*($E42/365))+(M43*($E43/365))</f>
        <v>68.421052631578945</v>
      </c>
      <c r="E88" s="52">
        <f t="shared" si="18"/>
        <v>100</v>
      </c>
      <c r="F88" s="12"/>
      <c r="G88" s="12">
        <v>2009</v>
      </c>
      <c r="H88" s="822">
        <f>(O42/$R42*100*($E42/365))+(O43/$R43*100*($E43/365))</f>
        <v>28.057553956834528</v>
      </c>
      <c r="I88" s="822"/>
      <c r="J88" s="822">
        <f>(P42/$R42*100*($E42/365))+(P43/$R43*100*($E43/365))</f>
        <v>0</v>
      </c>
      <c r="K88" s="822"/>
      <c r="L88" s="822">
        <f>(Q42/$R42*100*($E42/365))+(Q43/$R43*100*($E43/365))</f>
        <v>71.942446043165461</v>
      </c>
      <c r="M88" s="822"/>
      <c r="N88" s="822">
        <f t="shared" si="19"/>
        <v>99.999999999999986</v>
      </c>
      <c r="O88" s="822"/>
      <c r="P88" s="12"/>
      <c r="Q88" s="12"/>
      <c r="R88" s="12">
        <v>2009</v>
      </c>
      <c r="S88" s="8">
        <f>(O42*($E42/365))+(O43*($E43/365))</f>
        <v>15.6</v>
      </c>
      <c r="T88" s="8">
        <f>(P42*($E42/365))+(P43*($E43/365))</f>
        <v>0</v>
      </c>
      <c r="U88" s="8">
        <f>(Q42*($E42/365))+(Q43*($E43/365))</f>
        <v>40</v>
      </c>
      <c r="V88" s="12"/>
      <c r="W88" s="7">
        <f t="shared" si="20"/>
        <v>55.6</v>
      </c>
    </row>
    <row r="89" spans="1:23" ht="9" customHeight="1" x14ac:dyDescent="0.15">
      <c r="A89" s="1">
        <v>2010</v>
      </c>
      <c r="B89" s="8">
        <f>(K44*($E44/365))+(K45*($E45/365))</f>
        <v>31.578947368421051</v>
      </c>
      <c r="C89" s="8">
        <f>(L44*($E44/365))+(L45*($E45/365))</f>
        <v>0</v>
      </c>
      <c r="D89" s="8">
        <f>(M44*($E44/365))+(M45*($E45/365))</f>
        <v>68.421052631578945</v>
      </c>
      <c r="E89" s="52">
        <f t="shared" si="18"/>
        <v>100</v>
      </c>
      <c r="F89" s="12"/>
      <c r="G89" s="12">
        <v>2010</v>
      </c>
      <c r="H89" s="822">
        <f>(O44/$R44*100*($E44/365))+(O45/$R45*100*($E45/365))</f>
        <v>28.057553956834528</v>
      </c>
      <c r="I89" s="822"/>
      <c r="J89" s="822">
        <f>(P44/$R44*100*($E44/365))+(P45/$R45*100*($E45/365))</f>
        <v>0</v>
      </c>
      <c r="K89" s="822"/>
      <c r="L89" s="822">
        <f>(Q44/$R44*100*($E44/365))+(Q45/$R45*100*($E45/365))</f>
        <v>71.942446043165461</v>
      </c>
      <c r="M89" s="822"/>
      <c r="N89" s="822">
        <f t="shared" si="19"/>
        <v>99.999999999999986</v>
      </c>
      <c r="O89" s="822"/>
      <c r="P89" s="12"/>
      <c r="Q89" s="12"/>
      <c r="R89" s="12">
        <v>2010</v>
      </c>
      <c r="S89" s="8">
        <f>(O44*($E44/365))+(O45*($E45/365))</f>
        <v>15.6</v>
      </c>
      <c r="T89" s="8">
        <f>(P44*($E44/365))+(P45*($E45/365))</f>
        <v>0</v>
      </c>
      <c r="U89" s="8">
        <f>(Q44*($E44/365))+(Q45*($E45/365))</f>
        <v>40</v>
      </c>
      <c r="V89" s="12"/>
      <c r="W89" s="7">
        <f t="shared" si="20"/>
        <v>55.6</v>
      </c>
    </row>
    <row r="90" spans="1:23" ht="9" customHeight="1" x14ac:dyDescent="0.15">
      <c r="A90" s="1">
        <v>2011</v>
      </c>
      <c r="B90" s="8">
        <f>(K46*($E46/365))+(K47*($E47/365))+(K48*($E48/365))+(K49*($E49/365))</f>
        <v>20.672640505373021</v>
      </c>
      <c r="C90" s="8">
        <f>(L46*($E46/365))+(L47*($E47/365))+(L48*($E48/365))+(L49*($E49/365))</f>
        <v>0</v>
      </c>
      <c r="D90" s="8">
        <f>(M46*($E46/365))+(M47*($E47/365))+(M48*($E48/365))+(M49*($E49/365))</f>
        <v>79.327359494626975</v>
      </c>
      <c r="E90" s="52">
        <f t="shared" si="18"/>
        <v>100</v>
      </c>
      <c r="F90" s="12"/>
      <c r="G90" s="12">
        <v>2011</v>
      </c>
      <c r="H90" s="822">
        <f>(O46/$R46*100*($E46/365))+(O47/$R47*100*($E47/365))+(O48/$R48*100*($E48/365))+(O49/$R49*100*($E49/365))</f>
        <v>20.53653400279056</v>
      </c>
      <c r="I90" s="822"/>
      <c r="J90" s="822">
        <f>(P46/$R46*100*($E46/365))+(P47/$R47*100*($E47/365))+(P48/$R48*100*($E48/365))+(P49/$R49*100*($E49/365))</f>
        <v>0</v>
      </c>
      <c r="K90" s="822"/>
      <c r="L90" s="822">
        <f>(Q46/$R46*100*($E46/365))+(Q47/$R47*100*($E47/365))+(Q48/$R48*100*($E48/365))+(Q49/$R49*100*($E49/365))</f>
        <v>79.46346599720944</v>
      </c>
      <c r="M90" s="822"/>
      <c r="N90" s="822">
        <f t="shared" si="19"/>
        <v>100</v>
      </c>
      <c r="O90" s="822"/>
      <c r="P90" s="12"/>
      <c r="Q90" s="12"/>
      <c r="R90" s="12">
        <v>2011</v>
      </c>
      <c r="S90" s="8">
        <f>(O46*($E46/365))+(O47*($E47/365))+(O48*($E48/365))+(O49*($E49/365))</f>
        <v>10.832876712328767</v>
      </c>
      <c r="T90" s="8">
        <f>(P46*($E46/365))+(P47*($E47/365))+(P48*($E48/365))+(P49*($E49/365))</f>
        <v>0</v>
      </c>
      <c r="U90" s="8">
        <f>(Q46*($E46/365))+(Q47*($E47/365))+(Q48*($E48/365))+(Q49*($E49/365))</f>
        <v>40</v>
      </c>
      <c r="V90" s="12"/>
      <c r="W90" s="7">
        <f t="shared" si="20"/>
        <v>50.832876712328769</v>
      </c>
    </row>
    <row r="91" spans="1:23" ht="9" customHeight="1" x14ac:dyDescent="0.15">
      <c r="A91" s="1">
        <v>2012</v>
      </c>
      <c r="B91" s="8">
        <f>(K50*($E50/366))+(K51*($E51/366))</f>
        <v>14.483876778958745</v>
      </c>
      <c r="C91" s="8">
        <f>(L50*($E50/366))+(L51*($E51/366))</f>
        <v>13.703236654056326</v>
      </c>
      <c r="D91" s="8">
        <f>(M50*($E50/366))+(M51*($E51/366))</f>
        <v>71.812886566984915</v>
      </c>
      <c r="E91" s="52">
        <f t="shared" si="18"/>
        <v>99.999999999999986</v>
      </c>
      <c r="F91" s="12"/>
      <c r="G91" s="12">
        <v>2012</v>
      </c>
      <c r="H91" s="822">
        <f>(O50/$R50*100*($E50/366))+(O51/$R51*100*($E51/366))</f>
        <v>15.599927305782643</v>
      </c>
      <c r="I91" s="822"/>
      <c r="J91" s="822">
        <f>(P50/$R50*100*($E50/366))+(P51/$R51*100*($E51/366))</f>
        <v>7.0487871997483982</v>
      </c>
      <c r="K91" s="822"/>
      <c r="L91" s="822">
        <f>(Q50/$R50*100*($E50/366))+(Q51/$R51*100*($E51/366))</f>
        <v>77.351285494468968</v>
      </c>
      <c r="M91" s="822"/>
      <c r="N91" s="822">
        <f t="shared" si="19"/>
        <v>100</v>
      </c>
      <c r="O91" s="822"/>
      <c r="P91" s="12"/>
      <c r="Q91" s="12"/>
      <c r="R91" s="12">
        <v>2012</v>
      </c>
      <c r="S91" s="8">
        <f>(O50*($E50/366))+(O51*($E51/366))</f>
        <v>8.5393442622950833</v>
      </c>
      <c r="T91" s="8">
        <f>(P50*($E50/366))+(P51*($E51/366))</f>
        <v>3.9191256830601096</v>
      </c>
      <c r="U91" s="8">
        <f>(Q50*($E50/366))+(Q51*($E51/366))</f>
        <v>42.048633879781413</v>
      </c>
      <c r="V91" s="12"/>
      <c r="W91" s="7">
        <f t="shared" si="20"/>
        <v>54.507103825136603</v>
      </c>
    </row>
    <row r="92" spans="1:23" s="12" customFormat="1" ht="9" customHeight="1" x14ac:dyDescent="0.15">
      <c r="A92" s="1">
        <v>2013</v>
      </c>
      <c r="B92" s="8">
        <f>(K52*($E52/365))+(K53*($E53/365))+(K54*($E54/365))+(K55*($E55/365))+(K56*($E56/365))</f>
        <v>18.540569020021074</v>
      </c>
      <c r="C92" s="8">
        <f>(L52*($E52/365))+(L53*($E53/365))+(L54*($E54/365))+(L55*($E55/365))+(L56*($E56/365))</f>
        <v>3.6478589903247438</v>
      </c>
      <c r="D92" s="8">
        <f>(M52*($E52/365))+(M53*($E53/365))+(M54*($E54/365))+(M55*($E55/365))+(M56*($E56/365))</f>
        <v>77.811571989654183</v>
      </c>
      <c r="E92" s="52">
        <f>B92+C92+D92</f>
        <v>100</v>
      </c>
      <c r="G92" s="12">
        <v>2013</v>
      </c>
      <c r="H92" s="822">
        <f>(O52/$R52*100*($E52/365))+(O53/$R53*100*($E53/365))+(O54/$R54*100*($E54/365))+(O55/$R55*100*($E55/365))+(O56/$R56*100*($E56/365))</f>
        <v>12.613002622911099</v>
      </c>
      <c r="I92" s="822"/>
      <c r="J92" s="822">
        <f>(P52/$R52*100*($E52/365))+(P53/$R53*100*($E53/365))+(P54/$R54*100*($E54/365))+(P55/$R55*100*($E55/365))+(P56/$R56*100*($E56/365))</f>
        <v>1.9146096244849831</v>
      </c>
      <c r="K92" s="822"/>
      <c r="L92" s="822">
        <f>(Q52/$R52*100*($E52/365))+(Q53/$R53*100*($E53/365))+(Q54/$R54*100*($E54/365))+(Q55/$R55*100*($E55/365))+(Q56/$R56*100*($E56/365))</f>
        <v>85.472387752603936</v>
      </c>
      <c r="M92" s="822"/>
      <c r="N92" s="822">
        <f>H92+J92+L92</f>
        <v>100.00000000000001</v>
      </c>
      <c r="O92" s="822"/>
      <c r="R92" s="12">
        <v>2013</v>
      </c>
      <c r="S92" s="8">
        <f>(O52*($E52/365))+(O53*($E53/365))+(O54*($E54/365))+(O55*($E55/365))+(O56*($E56/365))</f>
        <v>6.8890410958904109</v>
      </c>
      <c r="T92" s="8">
        <f>(P52*($E52/365))+(P53*($E53/365))+(P54*($E54/365))+(P55*($E55/365))+(P56*($E56/365))</f>
        <v>0.94027397260273982</v>
      </c>
      <c r="U92" s="8">
        <f>(Q52*($E52/365))+(Q53*($E53/365))+(Q54*($E54/365))+(Q55*($E55/365))+(Q56*($E56/365))</f>
        <v>45.618082191780822</v>
      </c>
      <c r="W92" s="7">
        <f>S92+T92+U92</f>
        <v>53.447397260273974</v>
      </c>
    </row>
    <row r="93" spans="1:23" s="12" customFormat="1" ht="9" customHeight="1" x14ac:dyDescent="0.15">
      <c r="A93" s="1">
        <v>2014</v>
      </c>
      <c r="B93" s="674">
        <f>(K57*($E57/365))+(K58*($E58/365))+(K59*($E59/365))</f>
        <v>40.104134382941794</v>
      </c>
      <c r="C93" s="674">
        <f>(L57*($E57/365))+(L58*($E58/365))+(L59*($E59/365))</f>
        <v>0</v>
      </c>
      <c r="D93" s="674">
        <f>(M57*($E57/365))+(M58*($E58/365))+(M59*($E59/365))</f>
        <v>59.895865617058199</v>
      </c>
      <c r="E93" s="52">
        <f>B93+C93+D93</f>
        <v>100</v>
      </c>
      <c r="G93" s="12">
        <v>2014</v>
      </c>
      <c r="H93" s="822">
        <f>(O57/$R57*100*($E57/365))+(O58/$R58*100*($E58/365))+(O59/$R59*100*($E59/365))</f>
        <v>34.313649710728903</v>
      </c>
      <c r="I93" s="822"/>
      <c r="J93" s="822">
        <f>(P57/$R57*100*($E57/365))+(P58/$R58*100*($E58/365))+(P59/$R59*100*($E59/365))</f>
        <v>0</v>
      </c>
      <c r="K93" s="822"/>
      <c r="L93" s="822">
        <f>(Q57/$R57*100*($E57/365))+(Q58/$R58*100*($E58/365))+(Q59/$R59*100*($E59/365))</f>
        <v>65.68635028927109</v>
      </c>
      <c r="M93" s="822"/>
      <c r="N93" s="822">
        <f>H93+J93+L93</f>
        <v>100</v>
      </c>
      <c r="O93" s="822"/>
      <c r="R93" s="12">
        <v>2014</v>
      </c>
      <c r="S93" s="674">
        <f>(O57*($E57/365))+(O58*($E58/365))+(O59*($E59/365))</f>
        <v>19.13095890410959</v>
      </c>
      <c r="T93" s="674">
        <f>(P57*($E57/365))+(P58*($E58/365))+(P59*($E59/365))</f>
        <v>0</v>
      </c>
      <c r="U93" s="674">
        <f>(Q57*($E57/365))+(Q58*($E58/365))+(Q59*($E59/365))</f>
        <v>35.70356164383562</v>
      </c>
      <c r="W93" s="680">
        <f>S93+T93+U93</f>
        <v>54.83452054794521</v>
      </c>
    </row>
    <row r="94" spans="1:23" s="12" customFormat="1" ht="9" customHeight="1" x14ac:dyDescent="0.15">
      <c r="A94" s="763">
        <v>2015</v>
      </c>
      <c r="B94" s="757">
        <f>(K60*($E60/365))+(K61*($E61/365))</f>
        <v>58.82352941176471</v>
      </c>
      <c r="C94" s="757">
        <f>(L60*($E60/365))+(L61*($E61/365))</f>
        <v>0</v>
      </c>
      <c r="D94" s="757">
        <f>(M60*($E60/365))+(M61*($E61/365))</f>
        <v>41.17647058823529</v>
      </c>
      <c r="E94" s="52">
        <f>B94+C94+D94</f>
        <v>100</v>
      </c>
      <c r="G94" s="12">
        <v>2015</v>
      </c>
      <c r="H94" s="822">
        <f>(O60/$R60*100*($E60/365))+(O61/$R61*100*($E61/365))</f>
        <v>69.20415224913495</v>
      </c>
      <c r="I94" s="822"/>
      <c r="J94" s="822">
        <f>(P60/$R60*100*($E60/365))+(P61/$R61*100*($E61/365))</f>
        <v>0</v>
      </c>
      <c r="K94" s="822"/>
      <c r="L94" s="822">
        <f>(Q60/$R60*100*($E60/365))+(Q61/$R61*100*($E61/365))</f>
        <v>30.79584775086505</v>
      </c>
      <c r="M94" s="822"/>
      <c r="N94" s="822">
        <f>H94+J94+L94</f>
        <v>100</v>
      </c>
      <c r="O94" s="822"/>
      <c r="R94" s="12">
        <v>2015</v>
      </c>
      <c r="S94" s="757">
        <f>(O60*($E60/365))+(O61*($E61/365))</f>
        <v>40</v>
      </c>
      <c r="T94" s="757">
        <f>(P60*($E60/365))+(P61*($E61/365))</f>
        <v>0</v>
      </c>
      <c r="U94" s="757">
        <f>(Q60*($E60/365))+(Q61*($E61/365))</f>
        <v>17.8</v>
      </c>
      <c r="W94" s="760">
        <f>S94+T94+U94</f>
        <v>57.8</v>
      </c>
    </row>
    <row r="95" spans="1:23" s="12" customFormat="1" ht="9" customHeight="1" x14ac:dyDescent="0.15">
      <c r="A95" s="763"/>
    </row>
    <row r="96" spans="1:23" s="681" customFormat="1" x14ac:dyDescent="0.15"/>
    <row r="97" s="681" customFormat="1" x14ac:dyDescent="0.15"/>
    <row r="98" s="681" customFormat="1" x14ac:dyDescent="0.15"/>
    <row r="99" s="681" customFormat="1" x14ac:dyDescent="0.15"/>
    <row r="100" s="681" customFormat="1" x14ac:dyDescent="0.15"/>
    <row r="101" s="681" customFormat="1" x14ac:dyDescent="0.15"/>
    <row r="102" s="681" customFormat="1" x14ac:dyDescent="0.15"/>
    <row r="103" s="681" customFormat="1" x14ac:dyDescent="0.15"/>
  </sheetData>
  <mergeCells count="186">
    <mergeCell ref="C21:D21"/>
    <mergeCell ref="C23:D23"/>
    <mergeCell ref="C24:D24"/>
    <mergeCell ref="N76:O76"/>
    <mergeCell ref="N73:O73"/>
    <mergeCell ref="N74:O74"/>
    <mergeCell ref="N83:O83"/>
    <mergeCell ref="N84:O84"/>
    <mergeCell ref="N81:O81"/>
    <mergeCell ref="N72:O72"/>
    <mergeCell ref="L72:M72"/>
    <mergeCell ref="H69:I69"/>
    <mergeCell ref="N82:O82"/>
    <mergeCell ref="N79:O79"/>
    <mergeCell ref="N80:O80"/>
    <mergeCell ref="L78:M78"/>
    <mergeCell ref="J72:K72"/>
    <mergeCell ref="C26:D26"/>
    <mergeCell ref="C27:D27"/>
    <mergeCell ref="C28:D28"/>
    <mergeCell ref="C22:D22"/>
    <mergeCell ref="C32:D32"/>
    <mergeCell ref="C37:D37"/>
    <mergeCell ref="C25:D25"/>
    <mergeCell ref="AT4:AW4"/>
    <mergeCell ref="AX4:BA4"/>
    <mergeCell ref="H92:I92"/>
    <mergeCell ref="J92:K92"/>
    <mergeCell ref="L92:M92"/>
    <mergeCell ref="N92:O92"/>
    <mergeCell ref="AP4:AS4"/>
    <mergeCell ref="S4:S5"/>
    <mergeCell ref="T4:T5"/>
    <mergeCell ref="U4:U5"/>
    <mergeCell ref="V4:Y4"/>
    <mergeCell ref="AH4:AK4"/>
    <mergeCell ref="AD4:AG4"/>
    <mergeCell ref="AL4:AO4"/>
    <mergeCell ref="Z4:AC4"/>
    <mergeCell ref="N77:O77"/>
    <mergeCell ref="N78:O78"/>
    <mergeCell ref="N75:O75"/>
    <mergeCell ref="N89:O89"/>
    <mergeCell ref="N90:O90"/>
    <mergeCell ref="N87:O87"/>
    <mergeCell ref="N88:O88"/>
    <mergeCell ref="N85:O85"/>
    <mergeCell ref="N86:O86"/>
    <mergeCell ref="G3:M3"/>
    <mergeCell ref="O3:Q3"/>
    <mergeCell ref="N69:O69"/>
    <mergeCell ref="H71:I71"/>
    <mergeCell ref="J69:K69"/>
    <mergeCell ref="J70:K70"/>
    <mergeCell ref="J71:K71"/>
    <mergeCell ref="L69:M69"/>
    <mergeCell ref="N70:O70"/>
    <mergeCell ref="N71:O71"/>
    <mergeCell ref="O4:R4"/>
    <mergeCell ref="H68:I68"/>
    <mergeCell ref="J68:K68"/>
    <mergeCell ref="L68:M68"/>
    <mergeCell ref="N68:O68"/>
    <mergeCell ref="H70:I70"/>
    <mergeCell ref="L71:M71"/>
    <mergeCell ref="A4:A5"/>
    <mergeCell ref="B4:B5"/>
    <mergeCell ref="C4:D5"/>
    <mergeCell ref="E4:E5"/>
    <mergeCell ref="F4:F5"/>
    <mergeCell ref="L70:M70"/>
    <mergeCell ref="K4:N4"/>
    <mergeCell ref="G4:J4"/>
    <mergeCell ref="C11:D11"/>
    <mergeCell ref="C12:D12"/>
    <mergeCell ref="C13:D13"/>
    <mergeCell ref="C6:D6"/>
    <mergeCell ref="C7:D7"/>
    <mergeCell ref="C8:D8"/>
    <mergeCell ref="C9:D9"/>
    <mergeCell ref="C10:D10"/>
    <mergeCell ref="C14:D14"/>
    <mergeCell ref="C15:D15"/>
    <mergeCell ref="C16:D16"/>
    <mergeCell ref="C17:D17"/>
    <mergeCell ref="C18:D18"/>
    <mergeCell ref="C19:D19"/>
    <mergeCell ref="C20:D20"/>
    <mergeCell ref="C35:D35"/>
    <mergeCell ref="C38:D38"/>
    <mergeCell ref="C39:D39"/>
    <mergeCell ref="C40:D40"/>
    <mergeCell ref="C41:D41"/>
    <mergeCell ref="C29:D29"/>
    <mergeCell ref="C30:D30"/>
    <mergeCell ref="C31:D31"/>
    <mergeCell ref="C33:D33"/>
    <mergeCell ref="C34:D34"/>
    <mergeCell ref="C42:D42"/>
    <mergeCell ref="C43:D43"/>
    <mergeCell ref="C44:D44"/>
    <mergeCell ref="C45:D45"/>
    <mergeCell ref="C48:D48"/>
    <mergeCell ref="C49:D49"/>
    <mergeCell ref="C50:D50"/>
    <mergeCell ref="C51:D51"/>
    <mergeCell ref="R66:W66"/>
    <mergeCell ref="C55:D55"/>
    <mergeCell ref="C56:D56"/>
    <mergeCell ref="C52:D52"/>
    <mergeCell ref="C53:D53"/>
    <mergeCell ref="C54:D54"/>
    <mergeCell ref="C57:D57"/>
    <mergeCell ref="C58:D58"/>
    <mergeCell ref="C60:D60"/>
    <mergeCell ref="C61:D61"/>
    <mergeCell ref="N91:O91"/>
    <mergeCell ref="C36:D36"/>
    <mergeCell ref="C46:D46"/>
    <mergeCell ref="C47:D47"/>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J79:K79"/>
    <mergeCell ref="J91:K91"/>
    <mergeCell ref="J80:K80"/>
    <mergeCell ref="J81:K81"/>
    <mergeCell ref="J82:K82"/>
    <mergeCell ref="J83:K83"/>
    <mergeCell ref="J84:K84"/>
    <mergeCell ref="J85:K85"/>
    <mergeCell ref="J86:K86"/>
    <mergeCell ref="J87:K87"/>
    <mergeCell ref="J88:K88"/>
    <mergeCell ref="J90:K90"/>
    <mergeCell ref="J89:K89"/>
    <mergeCell ref="L75:M75"/>
    <mergeCell ref="L76:M76"/>
    <mergeCell ref="L77:M77"/>
    <mergeCell ref="J73:K73"/>
    <mergeCell ref="J74:K74"/>
    <mergeCell ref="J75:K75"/>
    <mergeCell ref="J76:K76"/>
    <mergeCell ref="J77:K77"/>
    <mergeCell ref="J78:K78"/>
    <mergeCell ref="H94:I94"/>
    <mergeCell ref="J94:K94"/>
    <mergeCell ref="L94:M94"/>
    <mergeCell ref="N94:O94"/>
    <mergeCell ref="H93:I93"/>
    <mergeCell ref="J93:K93"/>
    <mergeCell ref="L93:M93"/>
    <mergeCell ref="N93:O93"/>
    <mergeCell ref="C59:D59"/>
    <mergeCell ref="L91:M91"/>
    <mergeCell ref="L85:M85"/>
    <mergeCell ref="L86:M86"/>
    <mergeCell ref="L87:M87"/>
    <mergeCell ref="L88:M88"/>
    <mergeCell ref="L89:M89"/>
    <mergeCell ref="L90:M90"/>
    <mergeCell ref="L79:M79"/>
    <mergeCell ref="L73:M73"/>
    <mergeCell ref="L80:M80"/>
    <mergeCell ref="L81:M81"/>
    <mergeCell ref="L82:M82"/>
    <mergeCell ref="L83:M83"/>
    <mergeCell ref="L84:M84"/>
    <mergeCell ref="L74:M74"/>
  </mergeCells>
  <pageMargins left="0.78740157499999996" right="0.78740157499999996" top="0.984251969" bottom="0.984251969" header="0.4921259845" footer="0.4921259845"/>
  <pageSetup paperSize="9" orientation="portrait" r:id="rId1"/>
  <headerFooter alignWithMargins="0"/>
  <drawing r:id="rId2"/>
  <legacyDrawing r:id="rId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47"/>
  <sheetViews>
    <sheetView zoomScale="120" zoomScaleNormal="120" workbookViewId="0">
      <pane xSplit="1" ySplit="5" topLeftCell="B68" activePane="bottomRight" state="frozen"/>
      <selection pane="topRight" activeCell="B1" sqref="B1"/>
      <selection pane="bottomLeft" activeCell="A6" sqref="A6"/>
      <selection pane="bottomRight" activeCell="S146" sqref="S146:U146"/>
    </sheetView>
  </sheetViews>
  <sheetFormatPr baseColWidth="10" defaultColWidth="10.7109375" defaultRowHeight="9" x14ac:dyDescent="0.15"/>
  <cols>
    <col min="1" max="1" width="5.85546875" style="1" customWidth="1"/>
    <col min="2" max="6" width="7.85546875" style="1" customWidth="1"/>
    <col min="7" max="18" width="4.42578125" style="1" customWidth="1"/>
    <col min="19" max="21" width="7.85546875" style="1" customWidth="1"/>
    <col min="22" max="53" width="5.7109375" style="1" customWidth="1"/>
    <col min="54" max="16384" width="10.7109375" style="1"/>
  </cols>
  <sheetData>
    <row r="1" spans="1:53" s="2" customFormat="1" ht="15" customHeight="1" x14ac:dyDescent="0.2">
      <c r="B1" s="22" t="s">
        <v>14</v>
      </c>
    </row>
    <row r="2" spans="1:53" s="2" customFormat="1" ht="15" customHeight="1" x14ac:dyDescent="0.2">
      <c r="B2" s="22" t="s">
        <v>67</v>
      </c>
    </row>
    <row r="3" spans="1:53" s="2" customFormat="1" x14ac:dyDescent="0.15">
      <c r="G3" s="814"/>
      <c r="H3" s="814"/>
      <c r="I3" s="814"/>
      <c r="J3" s="814"/>
      <c r="K3" s="814"/>
      <c r="L3" s="814"/>
      <c r="M3" s="814"/>
      <c r="O3" s="814"/>
      <c r="P3" s="814"/>
      <c r="Q3" s="814"/>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1" t="s">
        <v>23</v>
      </c>
      <c r="AU5" s="351" t="s">
        <v>24</v>
      </c>
      <c r="AV5" s="351" t="s">
        <v>25</v>
      </c>
      <c r="AW5" s="353" t="s">
        <v>1217</v>
      </c>
      <c r="AX5" s="351" t="s">
        <v>23</v>
      </c>
      <c r="AY5" s="351" t="s">
        <v>24</v>
      </c>
      <c r="AZ5" s="351" t="s">
        <v>25</v>
      </c>
      <c r="BA5" s="354" t="s">
        <v>1217</v>
      </c>
    </row>
    <row r="6" spans="1:53" s="208" customFormat="1" x14ac:dyDescent="0.15">
      <c r="A6" s="102">
        <v>1977</v>
      </c>
      <c r="B6" s="207"/>
      <c r="C6" s="860" t="s">
        <v>1283</v>
      </c>
      <c r="D6" s="860"/>
      <c r="E6" s="208">
        <v>185</v>
      </c>
      <c r="G6" s="123"/>
      <c r="J6" s="134"/>
      <c r="K6" s="92"/>
      <c r="L6" s="92"/>
      <c r="M6" s="92"/>
      <c r="N6" s="125"/>
      <c r="O6" s="91"/>
      <c r="P6" s="92"/>
      <c r="Q6" s="92"/>
      <c r="R6" s="93"/>
      <c r="T6" s="81"/>
      <c r="V6" s="82"/>
      <c r="Y6" s="83"/>
      <c r="AD6" s="82"/>
      <c r="AG6" s="83"/>
      <c r="AL6" s="82"/>
      <c r="AO6" s="83"/>
      <c r="AP6" s="82"/>
      <c r="AS6" s="83"/>
      <c r="AW6" s="83"/>
      <c r="BA6" s="84"/>
    </row>
    <row r="7" spans="1:53" s="334" customFormat="1" x14ac:dyDescent="0.15">
      <c r="A7" s="386">
        <v>1977</v>
      </c>
      <c r="B7" s="355">
        <v>28311</v>
      </c>
      <c r="C7" s="812" t="s">
        <v>854</v>
      </c>
      <c r="D7" s="812"/>
      <c r="E7" s="334">
        <f>365-E6</f>
        <v>180</v>
      </c>
      <c r="F7" s="334" t="s">
        <v>348</v>
      </c>
      <c r="G7" s="419"/>
      <c r="H7" s="334">
        <v>19</v>
      </c>
      <c r="J7" s="435">
        <v>20</v>
      </c>
      <c r="K7" s="384">
        <f>G7/$J7*100</f>
        <v>0</v>
      </c>
      <c r="L7" s="384">
        <f>H7/$J7*100</f>
        <v>95</v>
      </c>
      <c r="M7" s="384">
        <f>I7/$J7*100</f>
        <v>0</v>
      </c>
      <c r="N7" s="421">
        <f>K7+L7+M7</f>
        <v>95</v>
      </c>
      <c r="O7" s="383"/>
      <c r="P7" s="384">
        <v>47.1</v>
      </c>
      <c r="Q7" s="384"/>
      <c r="R7" s="385">
        <f>O7+P7+Q7</f>
        <v>47.1</v>
      </c>
      <c r="S7" s="334">
        <v>4</v>
      </c>
      <c r="T7" s="342">
        <v>28291</v>
      </c>
      <c r="U7" s="355">
        <v>28311</v>
      </c>
      <c r="V7" s="343" t="s">
        <v>487</v>
      </c>
      <c r="W7" s="334" t="s">
        <v>74</v>
      </c>
      <c r="X7" s="334" t="s">
        <v>18</v>
      </c>
      <c r="Y7" s="344">
        <v>47.1</v>
      </c>
      <c r="AD7" s="343"/>
      <c r="AG7" s="344"/>
      <c r="AL7" s="343"/>
      <c r="AO7" s="344"/>
      <c r="AP7" s="343"/>
      <c r="AS7" s="344"/>
      <c r="AW7" s="344"/>
      <c r="BA7" s="345"/>
    </row>
    <row r="8" spans="1:53" s="334" customFormat="1" x14ac:dyDescent="0.15">
      <c r="A8" s="386">
        <v>1978</v>
      </c>
      <c r="B8" s="355"/>
      <c r="C8" s="812" t="s">
        <v>854</v>
      </c>
      <c r="D8" s="812"/>
      <c r="E8" s="334">
        <v>0</v>
      </c>
      <c r="G8" s="419"/>
      <c r="H8" s="334">
        <v>19</v>
      </c>
      <c r="J8" s="435">
        <v>20</v>
      </c>
      <c r="K8" s="384">
        <f t="shared" ref="K8:M23" si="0">G8/$J8*100</f>
        <v>0</v>
      </c>
      <c r="L8" s="384">
        <f t="shared" si="0"/>
        <v>95</v>
      </c>
      <c r="M8" s="384">
        <f t="shared" si="0"/>
        <v>0</v>
      </c>
      <c r="N8" s="421">
        <f t="shared" ref="N8:N71" si="1">K8+L8+M8</f>
        <v>95</v>
      </c>
      <c r="O8" s="383"/>
      <c r="P8" s="384">
        <v>47.1</v>
      </c>
      <c r="Q8" s="384"/>
      <c r="R8" s="385">
        <f t="shared" ref="R8:R71" si="2">O8+P8+Q8</f>
        <v>47.1</v>
      </c>
      <c r="S8" s="334">
        <v>4</v>
      </c>
      <c r="T8" s="357"/>
      <c r="V8" s="343" t="s">
        <v>487</v>
      </c>
      <c r="W8" s="334" t="s">
        <v>74</v>
      </c>
      <c r="X8" s="334" t="s">
        <v>18</v>
      </c>
      <c r="Y8" s="344">
        <v>47.1</v>
      </c>
      <c r="AD8" s="343"/>
      <c r="AG8" s="344"/>
      <c r="AL8" s="343"/>
      <c r="AO8" s="344"/>
      <c r="AP8" s="343"/>
      <c r="AS8" s="344"/>
      <c r="AW8" s="344"/>
      <c r="BA8" s="345"/>
    </row>
    <row r="9" spans="1:53" s="334" customFormat="1" x14ac:dyDescent="0.15">
      <c r="A9" s="386">
        <v>1978</v>
      </c>
      <c r="B9" s="355"/>
      <c r="C9" s="812" t="s">
        <v>854</v>
      </c>
      <c r="D9" s="812"/>
      <c r="E9" s="334">
        <v>365</v>
      </c>
      <c r="G9" s="419"/>
      <c r="H9" s="334">
        <v>19</v>
      </c>
      <c r="J9" s="435">
        <v>20</v>
      </c>
      <c r="K9" s="384">
        <f t="shared" si="0"/>
        <v>0</v>
      </c>
      <c r="L9" s="384">
        <f t="shared" si="0"/>
        <v>95</v>
      </c>
      <c r="M9" s="384">
        <f t="shared" si="0"/>
        <v>0</v>
      </c>
      <c r="N9" s="421">
        <f t="shared" si="1"/>
        <v>95</v>
      </c>
      <c r="O9" s="383"/>
      <c r="P9" s="384">
        <v>47.1</v>
      </c>
      <c r="Q9" s="384"/>
      <c r="R9" s="385">
        <f t="shared" si="2"/>
        <v>47.1</v>
      </c>
      <c r="S9" s="334">
        <v>4</v>
      </c>
      <c r="T9" s="357"/>
      <c r="V9" s="343" t="s">
        <v>487</v>
      </c>
      <c r="W9" s="334" t="s">
        <v>74</v>
      </c>
      <c r="X9" s="334" t="s">
        <v>18</v>
      </c>
      <c r="Y9" s="344">
        <v>47.1</v>
      </c>
      <c r="AD9" s="343"/>
      <c r="AG9" s="344"/>
      <c r="AL9" s="343"/>
      <c r="AO9" s="344"/>
      <c r="AP9" s="343"/>
      <c r="AS9" s="344"/>
      <c r="AW9" s="344"/>
      <c r="BA9" s="345"/>
    </row>
    <row r="10" spans="1:53" s="334" customFormat="1" x14ac:dyDescent="0.15">
      <c r="A10" s="386">
        <v>1979</v>
      </c>
      <c r="B10" s="355"/>
      <c r="C10" s="812" t="s">
        <v>854</v>
      </c>
      <c r="D10" s="812"/>
      <c r="E10" s="334">
        <v>95</v>
      </c>
      <c r="G10" s="419"/>
      <c r="H10" s="334">
        <v>19</v>
      </c>
      <c r="J10" s="435">
        <v>20</v>
      </c>
      <c r="K10" s="384">
        <f t="shared" si="0"/>
        <v>0</v>
      </c>
      <c r="L10" s="384">
        <f t="shared" si="0"/>
        <v>95</v>
      </c>
      <c r="M10" s="384">
        <f t="shared" si="0"/>
        <v>0</v>
      </c>
      <c r="N10" s="421">
        <f t="shared" si="1"/>
        <v>95</v>
      </c>
      <c r="O10" s="383"/>
      <c r="P10" s="384">
        <v>47.1</v>
      </c>
      <c r="Q10" s="384"/>
      <c r="R10" s="385">
        <f t="shared" si="2"/>
        <v>47.1</v>
      </c>
      <c r="S10" s="334">
        <v>4</v>
      </c>
      <c r="T10" s="357"/>
      <c r="V10" s="343" t="s">
        <v>487</v>
      </c>
      <c r="W10" s="334" t="s">
        <v>74</v>
      </c>
      <c r="X10" s="334" t="s">
        <v>18</v>
      </c>
      <c r="Y10" s="344">
        <v>47.1</v>
      </c>
      <c r="AD10" s="343"/>
      <c r="AG10" s="344"/>
      <c r="AL10" s="343"/>
      <c r="AO10" s="344"/>
      <c r="AP10" s="343"/>
      <c r="AS10" s="344"/>
      <c r="AW10" s="344"/>
      <c r="BA10" s="345"/>
    </row>
    <row r="11" spans="1:53" s="208" customFormat="1" x14ac:dyDescent="0.15">
      <c r="A11" s="102">
        <v>1979</v>
      </c>
      <c r="B11" s="207">
        <v>28951</v>
      </c>
      <c r="C11" s="811" t="s">
        <v>855</v>
      </c>
      <c r="D11" s="811"/>
      <c r="E11" s="208">
        <f>365-E10</f>
        <v>270</v>
      </c>
      <c r="F11" s="208">
        <v>1</v>
      </c>
      <c r="G11" s="123"/>
      <c r="H11" s="208">
        <v>22</v>
      </c>
      <c r="J11" s="134">
        <v>24</v>
      </c>
      <c r="K11" s="92">
        <f t="shared" si="0"/>
        <v>0</v>
      </c>
      <c r="L11" s="92">
        <f t="shared" si="0"/>
        <v>91.666666666666657</v>
      </c>
      <c r="M11" s="92">
        <f t="shared" si="0"/>
        <v>0</v>
      </c>
      <c r="N11" s="125">
        <f t="shared" si="1"/>
        <v>91.666666666666657</v>
      </c>
      <c r="O11" s="91"/>
      <c r="P11" s="92">
        <v>48</v>
      </c>
      <c r="Q11" s="92"/>
      <c r="R11" s="93">
        <f t="shared" si="2"/>
        <v>48</v>
      </c>
      <c r="S11" s="208">
        <v>4</v>
      </c>
      <c r="T11" s="95">
        <v>28915</v>
      </c>
      <c r="U11" s="207">
        <v>28951</v>
      </c>
      <c r="V11" s="82" t="s">
        <v>487</v>
      </c>
      <c r="W11" s="208" t="s">
        <v>74</v>
      </c>
      <c r="X11" s="208" t="s">
        <v>18</v>
      </c>
      <c r="Y11" s="83">
        <v>48</v>
      </c>
      <c r="AD11" s="82"/>
      <c r="AG11" s="83"/>
      <c r="AL11" s="82"/>
      <c r="AO11" s="83"/>
      <c r="AP11" s="82"/>
      <c r="AS11" s="83"/>
      <c r="AW11" s="83"/>
      <c r="BA11" s="84"/>
    </row>
    <row r="12" spans="1:53" s="208" customFormat="1" x14ac:dyDescent="0.15">
      <c r="A12" s="102">
        <v>1980</v>
      </c>
      <c r="B12" s="207"/>
      <c r="C12" s="811" t="s">
        <v>855</v>
      </c>
      <c r="D12" s="811"/>
      <c r="E12" s="208">
        <v>0</v>
      </c>
      <c r="G12" s="123"/>
      <c r="H12" s="208">
        <v>22</v>
      </c>
      <c r="J12" s="134">
        <v>24</v>
      </c>
      <c r="K12" s="92">
        <f t="shared" si="0"/>
        <v>0</v>
      </c>
      <c r="L12" s="92">
        <f t="shared" si="0"/>
        <v>91.666666666666657</v>
      </c>
      <c r="M12" s="92">
        <f t="shared" si="0"/>
        <v>0</v>
      </c>
      <c r="N12" s="125">
        <f t="shared" si="1"/>
        <v>91.666666666666657</v>
      </c>
      <c r="O12" s="91"/>
      <c r="P12" s="92">
        <v>48</v>
      </c>
      <c r="Q12" s="92"/>
      <c r="R12" s="93">
        <f t="shared" si="2"/>
        <v>48</v>
      </c>
      <c r="S12" s="208">
        <v>4</v>
      </c>
      <c r="T12" s="81"/>
      <c r="V12" s="82" t="s">
        <v>487</v>
      </c>
      <c r="W12" s="208" t="s">
        <v>74</v>
      </c>
      <c r="X12" s="208" t="s">
        <v>18</v>
      </c>
      <c r="Y12" s="83">
        <v>48</v>
      </c>
      <c r="AD12" s="82"/>
      <c r="AG12" s="83"/>
      <c r="AL12" s="82"/>
      <c r="AO12" s="83"/>
      <c r="AP12" s="82"/>
      <c r="AS12" s="83"/>
      <c r="AW12" s="83"/>
      <c r="BA12" s="84"/>
    </row>
    <row r="13" spans="1:53" s="208" customFormat="1" x14ac:dyDescent="0.15">
      <c r="A13" s="102">
        <v>1980</v>
      </c>
      <c r="B13" s="207"/>
      <c r="C13" s="811" t="s">
        <v>855</v>
      </c>
      <c r="D13" s="811"/>
      <c r="E13" s="208">
        <v>366</v>
      </c>
      <c r="G13" s="123"/>
      <c r="H13" s="208">
        <v>22</v>
      </c>
      <c r="J13" s="134">
        <v>24</v>
      </c>
      <c r="K13" s="92">
        <f t="shared" si="0"/>
        <v>0</v>
      </c>
      <c r="L13" s="92">
        <f t="shared" si="0"/>
        <v>91.666666666666657</v>
      </c>
      <c r="M13" s="92">
        <f t="shared" si="0"/>
        <v>0</v>
      </c>
      <c r="N13" s="125">
        <f t="shared" si="1"/>
        <v>91.666666666666657</v>
      </c>
      <c r="O13" s="91"/>
      <c r="P13" s="92">
        <v>48</v>
      </c>
      <c r="Q13" s="92"/>
      <c r="R13" s="93">
        <f t="shared" si="2"/>
        <v>48</v>
      </c>
      <c r="S13" s="208">
        <v>4</v>
      </c>
      <c r="T13" s="81"/>
      <c r="V13" s="82" t="s">
        <v>487</v>
      </c>
      <c r="W13" s="208" t="s">
        <v>74</v>
      </c>
      <c r="X13" s="208" t="s">
        <v>18</v>
      </c>
      <c r="Y13" s="83">
        <v>48</v>
      </c>
      <c r="AD13" s="82"/>
      <c r="AG13" s="83"/>
      <c r="AL13" s="82"/>
      <c r="AO13" s="83"/>
      <c r="AP13" s="82"/>
      <c r="AS13" s="83"/>
      <c r="AW13" s="83"/>
      <c r="BA13" s="84"/>
    </row>
    <row r="14" spans="1:53" s="208" customFormat="1" x14ac:dyDescent="0.15">
      <c r="A14" s="102">
        <v>1981</v>
      </c>
      <c r="B14" s="207"/>
      <c r="C14" s="811" t="s">
        <v>855</v>
      </c>
      <c r="D14" s="811"/>
      <c r="E14" s="208">
        <v>57</v>
      </c>
      <c r="G14" s="123"/>
      <c r="H14" s="208">
        <v>22</v>
      </c>
      <c r="J14" s="134">
        <v>24</v>
      </c>
      <c r="K14" s="92">
        <f t="shared" si="0"/>
        <v>0</v>
      </c>
      <c r="L14" s="92">
        <f t="shared" si="0"/>
        <v>91.666666666666657</v>
      </c>
      <c r="M14" s="92">
        <f t="shared" si="0"/>
        <v>0</v>
      </c>
      <c r="N14" s="125">
        <f t="shared" si="1"/>
        <v>91.666666666666657</v>
      </c>
      <c r="O14" s="91"/>
      <c r="P14" s="92">
        <v>48</v>
      </c>
      <c r="Q14" s="92"/>
      <c r="R14" s="93">
        <f t="shared" si="2"/>
        <v>48</v>
      </c>
      <c r="S14" s="208">
        <v>4</v>
      </c>
      <c r="T14" s="81"/>
      <c r="V14" s="82" t="s">
        <v>487</v>
      </c>
      <c r="W14" s="208" t="s">
        <v>74</v>
      </c>
      <c r="X14" s="208" t="s">
        <v>18</v>
      </c>
      <c r="Y14" s="83">
        <v>48</v>
      </c>
      <c r="AD14" s="82"/>
      <c r="AG14" s="83"/>
      <c r="AL14" s="82"/>
      <c r="AO14" s="83"/>
      <c r="AP14" s="82"/>
      <c r="AS14" s="83"/>
      <c r="AW14" s="83"/>
      <c r="BA14" s="84"/>
    </row>
    <row r="15" spans="1:53" s="334" customFormat="1" x14ac:dyDescent="0.15">
      <c r="A15" s="386">
        <v>1981</v>
      </c>
      <c r="B15" s="355">
        <v>29644</v>
      </c>
      <c r="C15" s="812" t="s">
        <v>856</v>
      </c>
      <c r="D15" s="812"/>
      <c r="E15" s="334">
        <v>308</v>
      </c>
      <c r="F15" s="334">
        <v>2</v>
      </c>
      <c r="G15" s="419"/>
      <c r="H15" s="334">
        <v>16</v>
      </c>
      <c r="J15" s="435">
        <v>16</v>
      </c>
      <c r="K15" s="384">
        <f t="shared" si="0"/>
        <v>0</v>
      </c>
      <c r="L15" s="384">
        <f t="shared" si="0"/>
        <v>100</v>
      </c>
      <c r="M15" s="384">
        <f t="shared" si="0"/>
        <v>0</v>
      </c>
      <c r="N15" s="421">
        <f t="shared" si="1"/>
        <v>100</v>
      </c>
      <c r="O15" s="383"/>
      <c r="P15" s="384">
        <v>48</v>
      </c>
      <c r="Q15" s="384"/>
      <c r="R15" s="385">
        <f t="shared" si="2"/>
        <v>48</v>
      </c>
      <c r="S15" s="334">
        <v>4</v>
      </c>
      <c r="T15" s="357"/>
      <c r="U15" s="355">
        <v>29644</v>
      </c>
      <c r="V15" s="343" t="s">
        <v>487</v>
      </c>
      <c r="W15" s="334" t="s">
        <v>74</v>
      </c>
      <c r="X15" s="334" t="s">
        <v>18</v>
      </c>
      <c r="Y15" s="344">
        <v>48</v>
      </c>
      <c r="AD15" s="343"/>
      <c r="AG15" s="344"/>
      <c r="AL15" s="343"/>
      <c r="AO15" s="344"/>
      <c r="AP15" s="343"/>
      <c r="AS15" s="344"/>
      <c r="AW15" s="344"/>
      <c r="BA15" s="345"/>
    </row>
    <row r="16" spans="1:53" s="334" customFormat="1" x14ac:dyDescent="0.15">
      <c r="A16" s="386">
        <v>1982</v>
      </c>
      <c r="B16" s="355"/>
      <c r="C16" s="812" t="s">
        <v>856</v>
      </c>
      <c r="D16" s="812"/>
      <c r="E16" s="334">
        <v>336</v>
      </c>
      <c r="G16" s="419"/>
      <c r="H16" s="334">
        <v>16</v>
      </c>
      <c r="J16" s="435">
        <v>16</v>
      </c>
      <c r="K16" s="384">
        <f t="shared" si="0"/>
        <v>0</v>
      </c>
      <c r="L16" s="384">
        <f t="shared" si="0"/>
        <v>100</v>
      </c>
      <c r="M16" s="384">
        <f t="shared" si="0"/>
        <v>0</v>
      </c>
      <c r="N16" s="421">
        <f t="shared" si="1"/>
        <v>100</v>
      </c>
      <c r="O16" s="383"/>
      <c r="P16" s="384">
        <v>48</v>
      </c>
      <c r="Q16" s="384"/>
      <c r="R16" s="385">
        <f t="shared" si="2"/>
        <v>48</v>
      </c>
      <c r="S16" s="334">
        <v>4</v>
      </c>
      <c r="T16" s="357"/>
      <c r="V16" s="343" t="s">
        <v>487</v>
      </c>
      <c r="W16" s="334" t="s">
        <v>74</v>
      </c>
      <c r="X16" s="334" t="s">
        <v>18</v>
      </c>
      <c r="Y16" s="344">
        <v>48</v>
      </c>
      <c r="AD16" s="343"/>
      <c r="AG16" s="344"/>
      <c r="AL16" s="343"/>
      <c r="AO16" s="344"/>
      <c r="AP16" s="343"/>
      <c r="AS16" s="344"/>
      <c r="AW16" s="344"/>
      <c r="BA16" s="345"/>
    </row>
    <row r="17" spans="1:53" s="208" customFormat="1" x14ac:dyDescent="0.15">
      <c r="A17" s="102">
        <v>1982</v>
      </c>
      <c r="B17" s="207">
        <v>30288</v>
      </c>
      <c r="C17" s="811" t="s">
        <v>857</v>
      </c>
      <c r="D17" s="811"/>
      <c r="E17" s="208">
        <f>365-E16</f>
        <v>29</v>
      </c>
      <c r="F17" s="208">
        <v>1</v>
      </c>
      <c r="G17" s="123"/>
      <c r="I17" s="208">
        <v>17</v>
      </c>
      <c r="J17" s="134">
        <v>17</v>
      </c>
      <c r="K17" s="92">
        <f t="shared" si="0"/>
        <v>0</v>
      </c>
      <c r="L17" s="92">
        <f t="shared" si="0"/>
        <v>0</v>
      </c>
      <c r="M17" s="92">
        <f t="shared" si="0"/>
        <v>100</v>
      </c>
      <c r="N17" s="125">
        <f t="shared" si="1"/>
        <v>100</v>
      </c>
      <c r="O17" s="91"/>
      <c r="P17" s="92"/>
      <c r="Q17" s="92">
        <v>57.7</v>
      </c>
      <c r="R17" s="93">
        <f t="shared" si="2"/>
        <v>57.7</v>
      </c>
      <c r="S17" s="208">
        <v>1</v>
      </c>
      <c r="T17" s="95">
        <v>30124</v>
      </c>
      <c r="U17" s="207">
        <v>30288</v>
      </c>
      <c r="V17" s="82" t="s">
        <v>488</v>
      </c>
      <c r="W17" s="208" t="s">
        <v>20</v>
      </c>
      <c r="X17" s="208" t="s">
        <v>12</v>
      </c>
      <c r="Y17" s="83">
        <v>57.7</v>
      </c>
      <c r="AD17" s="82"/>
      <c r="AG17" s="83"/>
      <c r="AL17" s="82"/>
      <c r="AO17" s="83"/>
      <c r="AP17" s="82"/>
      <c r="AS17" s="83"/>
      <c r="AW17" s="83"/>
      <c r="BA17" s="84"/>
    </row>
    <row r="18" spans="1:53" s="208" customFormat="1" x14ac:dyDescent="0.15">
      <c r="A18" s="102">
        <v>1983</v>
      </c>
      <c r="B18" s="207"/>
      <c r="C18" s="811" t="s">
        <v>857</v>
      </c>
      <c r="D18" s="811"/>
      <c r="E18" s="208">
        <v>0</v>
      </c>
      <c r="G18" s="123"/>
      <c r="I18" s="208">
        <v>17</v>
      </c>
      <c r="J18" s="134">
        <v>17</v>
      </c>
      <c r="K18" s="92">
        <f t="shared" si="0"/>
        <v>0</v>
      </c>
      <c r="L18" s="92">
        <f t="shared" si="0"/>
        <v>0</v>
      </c>
      <c r="M18" s="92">
        <f t="shared" si="0"/>
        <v>100</v>
      </c>
      <c r="N18" s="125">
        <f t="shared" si="1"/>
        <v>100</v>
      </c>
      <c r="O18" s="91"/>
      <c r="P18" s="92"/>
      <c r="Q18" s="92">
        <v>57.7</v>
      </c>
      <c r="R18" s="93">
        <f t="shared" si="2"/>
        <v>57.7</v>
      </c>
      <c r="S18" s="208">
        <v>1</v>
      </c>
      <c r="T18" s="81"/>
      <c r="V18" s="82" t="s">
        <v>488</v>
      </c>
      <c r="W18" s="208" t="s">
        <v>20</v>
      </c>
      <c r="X18" s="208" t="s">
        <v>12</v>
      </c>
      <c r="Y18" s="83">
        <v>57.7</v>
      </c>
      <c r="AD18" s="82"/>
      <c r="AG18" s="83"/>
      <c r="AL18" s="82"/>
      <c r="AO18" s="83"/>
      <c r="AP18" s="82"/>
      <c r="AS18" s="83"/>
      <c r="AW18" s="83"/>
      <c r="BA18" s="84"/>
    </row>
    <row r="19" spans="1:53" s="208" customFormat="1" x14ac:dyDescent="0.15">
      <c r="A19" s="102">
        <v>1983</v>
      </c>
      <c r="B19" s="207"/>
      <c r="C19" s="811" t="s">
        <v>857</v>
      </c>
      <c r="D19" s="811"/>
      <c r="E19" s="208">
        <v>365</v>
      </c>
      <c r="G19" s="123"/>
      <c r="I19" s="208">
        <v>17</v>
      </c>
      <c r="J19" s="134">
        <v>17</v>
      </c>
      <c r="K19" s="92">
        <f t="shared" si="0"/>
        <v>0</v>
      </c>
      <c r="L19" s="92">
        <f t="shared" si="0"/>
        <v>0</v>
      </c>
      <c r="M19" s="92">
        <f t="shared" si="0"/>
        <v>100</v>
      </c>
      <c r="N19" s="125">
        <f t="shared" si="1"/>
        <v>100</v>
      </c>
      <c r="O19" s="91"/>
      <c r="P19" s="92"/>
      <c r="Q19" s="92">
        <v>57.7</v>
      </c>
      <c r="R19" s="93">
        <f t="shared" si="2"/>
        <v>57.7</v>
      </c>
      <c r="S19" s="208">
        <v>1</v>
      </c>
      <c r="T19" s="81"/>
      <c r="V19" s="82" t="s">
        <v>488</v>
      </c>
      <c r="W19" s="208" t="s">
        <v>20</v>
      </c>
      <c r="X19" s="208" t="s">
        <v>12</v>
      </c>
      <c r="Y19" s="83">
        <v>57.7</v>
      </c>
      <c r="AD19" s="82"/>
      <c r="AG19" s="83"/>
      <c r="AL19" s="82"/>
      <c r="AO19" s="83"/>
      <c r="AP19" s="82"/>
      <c r="AS19" s="83"/>
      <c r="AW19" s="83"/>
      <c r="BA19" s="84"/>
    </row>
    <row r="20" spans="1:53" s="208" customFormat="1" x14ac:dyDescent="0.15">
      <c r="A20" s="102">
        <v>1984</v>
      </c>
      <c r="B20" s="207"/>
      <c r="C20" s="811" t="s">
        <v>857</v>
      </c>
      <c r="D20" s="811"/>
      <c r="E20" s="208">
        <v>0</v>
      </c>
      <c r="G20" s="123"/>
      <c r="I20" s="208">
        <v>17</v>
      </c>
      <c r="J20" s="134">
        <v>17</v>
      </c>
      <c r="K20" s="92">
        <f t="shared" si="0"/>
        <v>0</v>
      </c>
      <c r="L20" s="92">
        <f t="shared" si="0"/>
        <v>0</v>
      </c>
      <c r="M20" s="92">
        <f t="shared" si="0"/>
        <v>100</v>
      </c>
      <c r="N20" s="125">
        <f t="shared" si="1"/>
        <v>100</v>
      </c>
      <c r="O20" s="91"/>
      <c r="P20" s="92"/>
      <c r="Q20" s="92">
        <v>57.7</v>
      </c>
      <c r="R20" s="93">
        <f t="shared" si="2"/>
        <v>57.7</v>
      </c>
      <c r="S20" s="208">
        <v>1</v>
      </c>
      <c r="T20" s="81"/>
      <c r="V20" s="82" t="s">
        <v>488</v>
      </c>
      <c r="W20" s="208" t="s">
        <v>20</v>
      </c>
      <c r="X20" s="208" t="s">
        <v>12</v>
      </c>
      <c r="Y20" s="83">
        <v>57.7</v>
      </c>
      <c r="AD20" s="82"/>
      <c r="AG20" s="83"/>
      <c r="AL20" s="82"/>
      <c r="AO20" s="83"/>
      <c r="AP20" s="82"/>
      <c r="AS20" s="83"/>
      <c r="AW20" s="83"/>
      <c r="BA20" s="84"/>
    </row>
    <row r="21" spans="1:53" s="208" customFormat="1" x14ac:dyDescent="0.15">
      <c r="A21" s="102">
        <v>1984</v>
      </c>
      <c r="B21" s="207"/>
      <c r="C21" s="811" t="s">
        <v>857</v>
      </c>
      <c r="D21" s="811"/>
      <c r="E21" s="208">
        <v>366</v>
      </c>
      <c r="G21" s="123"/>
      <c r="I21" s="208">
        <v>17</v>
      </c>
      <c r="J21" s="134">
        <v>17</v>
      </c>
      <c r="K21" s="92">
        <f t="shared" si="0"/>
        <v>0</v>
      </c>
      <c r="L21" s="92">
        <f t="shared" si="0"/>
        <v>0</v>
      </c>
      <c r="M21" s="92">
        <f t="shared" si="0"/>
        <v>100</v>
      </c>
      <c r="N21" s="125">
        <f t="shared" si="1"/>
        <v>100</v>
      </c>
      <c r="O21" s="91"/>
      <c r="P21" s="92"/>
      <c r="Q21" s="92">
        <v>57.7</v>
      </c>
      <c r="R21" s="93">
        <f t="shared" si="2"/>
        <v>57.7</v>
      </c>
      <c r="S21" s="208">
        <v>1</v>
      </c>
      <c r="T21" s="81"/>
      <c r="V21" s="82" t="s">
        <v>488</v>
      </c>
      <c r="W21" s="208" t="s">
        <v>20</v>
      </c>
      <c r="X21" s="208" t="s">
        <v>12</v>
      </c>
      <c r="Y21" s="83">
        <v>57.7</v>
      </c>
      <c r="AD21" s="82"/>
      <c r="AG21" s="83"/>
      <c r="AL21" s="82"/>
      <c r="AO21" s="83"/>
      <c r="AP21" s="82"/>
      <c r="AS21" s="83"/>
      <c r="AW21" s="83"/>
      <c r="BA21" s="84"/>
    </row>
    <row r="22" spans="1:53" s="208" customFormat="1" x14ac:dyDescent="0.15">
      <c r="A22" s="102">
        <v>1985</v>
      </c>
      <c r="B22" s="207"/>
      <c r="C22" s="811" t="s">
        <v>857</v>
      </c>
      <c r="D22" s="811"/>
      <c r="E22" s="208">
        <v>0</v>
      </c>
      <c r="G22" s="123"/>
      <c r="I22" s="208">
        <v>17</v>
      </c>
      <c r="J22" s="134">
        <v>17</v>
      </c>
      <c r="K22" s="92">
        <f t="shared" si="0"/>
        <v>0</v>
      </c>
      <c r="L22" s="92">
        <f t="shared" si="0"/>
        <v>0</v>
      </c>
      <c r="M22" s="92">
        <f t="shared" si="0"/>
        <v>100</v>
      </c>
      <c r="N22" s="125">
        <f t="shared" si="1"/>
        <v>100</v>
      </c>
      <c r="O22" s="91"/>
      <c r="P22" s="92"/>
      <c r="Q22" s="92">
        <v>57.7</v>
      </c>
      <c r="R22" s="93">
        <f t="shared" si="2"/>
        <v>57.7</v>
      </c>
      <c r="S22" s="208">
        <v>1</v>
      </c>
      <c r="T22" s="81"/>
      <c r="V22" s="82" t="s">
        <v>488</v>
      </c>
      <c r="W22" s="208" t="s">
        <v>20</v>
      </c>
      <c r="X22" s="208" t="s">
        <v>12</v>
      </c>
      <c r="Y22" s="83">
        <v>57.7</v>
      </c>
      <c r="AD22" s="82"/>
      <c r="AG22" s="83"/>
      <c r="AL22" s="82"/>
      <c r="AO22" s="83"/>
      <c r="AP22" s="82"/>
      <c r="AS22" s="83"/>
      <c r="AW22" s="83"/>
      <c r="BA22" s="84"/>
    </row>
    <row r="23" spans="1:53" s="208" customFormat="1" x14ac:dyDescent="0.15">
      <c r="A23" s="102">
        <v>1985</v>
      </c>
      <c r="B23" s="207"/>
      <c r="C23" s="811" t="s">
        <v>857</v>
      </c>
      <c r="D23" s="811"/>
      <c r="E23" s="208">
        <v>365</v>
      </c>
      <c r="G23" s="123"/>
      <c r="I23" s="208">
        <v>17</v>
      </c>
      <c r="J23" s="134">
        <v>17</v>
      </c>
      <c r="K23" s="92">
        <f t="shared" si="0"/>
        <v>0</v>
      </c>
      <c r="L23" s="92">
        <f t="shared" si="0"/>
        <v>0</v>
      </c>
      <c r="M23" s="92">
        <f t="shared" si="0"/>
        <v>100</v>
      </c>
      <c r="N23" s="125">
        <f t="shared" si="1"/>
        <v>100</v>
      </c>
      <c r="O23" s="91"/>
      <c r="P23" s="92"/>
      <c r="Q23" s="92">
        <v>57.7</v>
      </c>
      <c r="R23" s="93">
        <f t="shared" si="2"/>
        <v>57.7</v>
      </c>
      <c r="S23" s="208">
        <v>1</v>
      </c>
      <c r="T23" s="81"/>
      <c r="V23" s="82" t="s">
        <v>488</v>
      </c>
      <c r="W23" s="208" t="s">
        <v>20</v>
      </c>
      <c r="X23" s="208" t="s">
        <v>12</v>
      </c>
      <c r="Y23" s="83">
        <v>57.7</v>
      </c>
      <c r="AD23" s="82"/>
      <c r="AG23" s="83"/>
      <c r="AL23" s="82"/>
      <c r="AO23" s="83"/>
      <c r="AP23" s="82"/>
      <c r="AS23" s="83"/>
      <c r="AW23" s="83"/>
      <c r="BA23" s="84"/>
    </row>
    <row r="24" spans="1:53" s="208" customFormat="1" x14ac:dyDescent="0.15">
      <c r="A24" s="102">
        <v>1986</v>
      </c>
      <c r="B24" s="207"/>
      <c r="C24" s="811" t="s">
        <v>857</v>
      </c>
      <c r="D24" s="811"/>
      <c r="E24" s="208">
        <v>209</v>
      </c>
      <c r="G24" s="123"/>
      <c r="I24" s="208">
        <v>17</v>
      </c>
      <c r="J24" s="134">
        <v>17</v>
      </c>
      <c r="K24" s="92">
        <f t="shared" ref="K24:M79" si="3">G24/$J24*100</f>
        <v>0</v>
      </c>
      <c r="L24" s="92">
        <f t="shared" si="3"/>
        <v>0</v>
      </c>
      <c r="M24" s="92">
        <f t="shared" si="3"/>
        <v>100</v>
      </c>
      <c r="N24" s="125">
        <f t="shared" si="1"/>
        <v>100</v>
      </c>
      <c r="O24" s="91"/>
      <c r="P24" s="92"/>
      <c r="Q24" s="92">
        <v>57.7</v>
      </c>
      <c r="R24" s="93">
        <f t="shared" si="2"/>
        <v>57.7</v>
      </c>
      <c r="S24" s="208">
        <v>1</v>
      </c>
      <c r="T24" s="81"/>
      <c r="V24" s="82" t="s">
        <v>488</v>
      </c>
      <c r="W24" s="208" t="s">
        <v>20</v>
      </c>
      <c r="X24" s="208" t="s">
        <v>12</v>
      </c>
      <c r="Y24" s="83">
        <v>57.7</v>
      </c>
      <c r="AD24" s="82"/>
      <c r="AG24" s="83"/>
      <c r="AL24" s="82"/>
      <c r="AO24" s="83"/>
      <c r="AP24" s="82"/>
      <c r="AS24" s="83"/>
      <c r="AW24" s="83"/>
      <c r="BA24" s="84"/>
    </row>
    <row r="25" spans="1:53" s="334" customFormat="1" x14ac:dyDescent="0.15">
      <c r="A25" s="386">
        <v>1986</v>
      </c>
      <c r="B25" s="355">
        <v>31619</v>
      </c>
      <c r="C25" s="812" t="s">
        <v>858</v>
      </c>
      <c r="D25" s="812"/>
      <c r="E25" s="334">
        <f>365-E24</f>
        <v>156</v>
      </c>
      <c r="F25" s="334">
        <v>1</v>
      </c>
      <c r="G25" s="419"/>
      <c r="I25" s="334">
        <v>17</v>
      </c>
      <c r="J25" s="435">
        <v>17</v>
      </c>
      <c r="K25" s="384">
        <f t="shared" si="3"/>
        <v>0</v>
      </c>
      <c r="L25" s="384">
        <f t="shared" si="3"/>
        <v>0</v>
      </c>
      <c r="M25" s="384">
        <f t="shared" si="3"/>
        <v>100</v>
      </c>
      <c r="N25" s="421">
        <f t="shared" si="1"/>
        <v>100</v>
      </c>
      <c r="O25" s="383"/>
      <c r="P25" s="384"/>
      <c r="Q25" s="384">
        <v>52.6</v>
      </c>
      <c r="R25" s="385">
        <f t="shared" si="2"/>
        <v>52.6</v>
      </c>
      <c r="S25" s="334">
        <v>1</v>
      </c>
      <c r="T25" s="342">
        <v>31585</v>
      </c>
      <c r="U25" s="355">
        <v>31619</v>
      </c>
      <c r="V25" s="343" t="s">
        <v>488</v>
      </c>
      <c r="W25" s="334" t="s">
        <v>20</v>
      </c>
      <c r="X25" s="334" t="s">
        <v>12</v>
      </c>
      <c r="Y25" s="344">
        <v>52.6</v>
      </c>
      <c r="AD25" s="343"/>
      <c r="AG25" s="344"/>
      <c r="AL25" s="343"/>
      <c r="AO25" s="344"/>
      <c r="AP25" s="343"/>
      <c r="AS25" s="344"/>
      <c r="AW25" s="344"/>
      <c r="BA25" s="345"/>
    </row>
    <row r="26" spans="1:53" s="334" customFormat="1" x14ac:dyDescent="0.15">
      <c r="A26" s="386">
        <v>1987</v>
      </c>
      <c r="B26" s="355"/>
      <c r="C26" s="812" t="s">
        <v>858</v>
      </c>
      <c r="D26" s="812"/>
      <c r="E26" s="334">
        <v>0</v>
      </c>
      <c r="G26" s="419"/>
      <c r="I26" s="334">
        <v>17</v>
      </c>
      <c r="J26" s="435">
        <v>17</v>
      </c>
      <c r="K26" s="384">
        <f t="shared" si="3"/>
        <v>0</v>
      </c>
      <c r="L26" s="384">
        <f t="shared" si="3"/>
        <v>0</v>
      </c>
      <c r="M26" s="384">
        <f t="shared" si="3"/>
        <v>100</v>
      </c>
      <c r="N26" s="421">
        <f t="shared" si="1"/>
        <v>100</v>
      </c>
      <c r="O26" s="383"/>
      <c r="P26" s="384"/>
      <c r="Q26" s="384">
        <v>52.6</v>
      </c>
      <c r="R26" s="385">
        <f t="shared" si="2"/>
        <v>52.6</v>
      </c>
      <c r="S26" s="334">
        <v>1</v>
      </c>
      <c r="T26" s="357"/>
      <c r="V26" s="343" t="s">
        <v>488</v>
      </c>
      <c r="W26" s="334" t="s">
        <v>20</v>
      </c>
      <c r="X26" s="334" t="s">
        <v>12</v>
      </c>
      <c r="Y26" s="344">
        <v>52.6</v>
      </c>
      <c r="AD26" s="343"/>
      <c r="AG26" s="344"/>
      <c r="AL26" s="343"/>
      <c r="AO26" s="344"/>
      <c r="AP26" s="343"/>
      <c r="AS26" s="344"/>
      <c r="AW26" s="344"/>
      <c r="BA26" s="345"/>
    </row>
    <row r="27" spans="1:53" s="334" customFormat="1" x14ac:dyDescent="0.15">
      <c r="A27" s="386">
        <v>1987</v>
      </c>
      <c r="B27" s="355"/>
      <c r="C27" s="812" t="s">
        <v>858</v>
      </c>
      <c r="D27" s="812"/>
      <c r="E27" s="334">
        <v>365</v>
      </c>
      <c r="G27" s="419"/>
      <c r="I27" s="334">
        <v>17</v>
      </c>
      <c r="J27" s="435">
        <v>17</v>
      </c>
      <c r="K27" s="384">
        <f t="shared" si="3"/>
        <v>0</v>
      </c>
      <c r="L27" s="384">
        <f t="shared" si="3"/>
        <v>0</v>
      </c>
      <c r="M27" s="384">
        <f t="shared" si="3"/>
        <v>100</v>
      </c>
      <c r="N27" s="421">
        <f t="shared" si="1"/>
        <v>100</v>
      </c>
      <c r="O27" s="383"/>
      <c r="P27" s="384"/>
      <c r="Q27" s="384">
        <v>52.6</v>
      </c>
      <c r="R27" s="385">
        <f t="shared" si="2"/>
        <v>52.6</v>
      </c>
      <c r="S27" s="334">
        <v>1</v>
      </c>
      <c r="T27" s="357"/>
      <c r="V27" s="343" t="s">
        <v>488</v>
      </c>
      <c r="W27" s="334" t="s">
        <v>20</v>
      </c>
      <c r="X27" s="334" t="s">
        <v>12</v>
      </c>
      <c r="Y27" s="344">
        <v>52.6</v>
      </c>
      <c r="AD27" s="343"/>
      <c r="AG27" s="344"/>
      <c r="AL27" s="343"/>
      <c r="AO27" s="344"/>
      <c r="AP27" s="343"/>
      <c r="AS27" s="344"/>
      <c r="AW27" s="344"/>
      <c r="BA27" s="345"/>
    </row>
    <row r="28" spans="1:53" s="334" customFormat="1" x14ac:dyDescent="0.15">
      <c r="A28" s="386">
        <v>1988</v>
      </c>
      <c r="B28" s="355"/>
      <c r="C28" s="812" t="s">
        <v>858</v>
      </c>
      <c r="D28" s="812"/>
      <c r="E28" s="334">
        <v>0</v>
      </c>
      <c r="G28" s="419"/>
      <c r="I28" s="334">
        <v>17</v>
      </c>
      <c r="J28" s="435">
        <v>17</v>
      </c>
      <c r="K28" s="384">
        <f t="shared" si="3"/>
        <v>0</v>
      </c>
      <c r="L28" s="384">
        <f t="shared" si="3"/>
        <v>0</v>
      </c>
      <c r="M28" s="384">
        <f t="shared" si="3"/>
        <v>100</v>
      </c>
      <c r="N28" s="421">
        <f t="shared" si="1"/>
        <v>100</v>
      </c>
      <c r="O28" s="383"/>
      <c r="P28" s="384"/>
      <c r="Q28" s="384">
        <v>52.6</v>
      </c>
      <c r="R28" s="385">
        <f t="shared" si="2"/>
        <v>52.6</v>
      </c>
      <c r="S28" s="334">
        <v>1</v>
      </c>
      <c r="T28" s="357"/>
      <c r="V28" s="343" t="s">
        <v>488</v>
      </c>
      <c r="W28" s="334" t="s">
        <v>20</v>
      </c>
      <c r="X28" s="334" t="s">
        <v>12</v>
      </c>
      <c r="Y28" s="344">
        <v>52.6</v>
      </c>
      <c r="AD28" s="343"/>
      <c r="AG28" s="344"/>
      <c r="AL28" s="343"/>
      <c r="AO28" s="344"/>
      <c r="AP28" s="343"/>
      <c r="AS28" s="344"/>
      <c r="AW28" s="344"/>
      <c r="BA28" s="345"/>
    </row>
    <row r="29" spans="1:53" s="334" customFormat="1" x14ac:dyDescent="0.15">
      <c r="A29" s="386">
        <v>1988</v>
      </c>
      <c r="B29" s="355"/>
      <c r="C29" s="812" t="s">
        <v>858</v>
      </c>
      <c r="D29" s="812"/>
      <c r="E29" s="334">
        <v>366</v>
      </c>
      <c r="G29" s="419"/>
      <c r="I29" s="334">
        <v>17</v>
      </c>
      <c r="J29" s="435">
        <v>17</v>
      </c>
      <c r="K29" s="384">
        <f t="shared" si="3"/>
        <v>0</v>
      </c>
      <c r="L29" s="384">
        <f t="shared" si="3"/>
        <v>0</v>
      </c>
      <c r="M29" s="384">
        <f t="shared" si="3"/>
        <v>100</v>
      </c>
      <c r="N29" s="421">
        <f t="shared" si="1"/>
        <v>100</v>
      </c>
      <c r="O29" s="383"/>
      <c r="P29" s="384"/>
      <c r="Q29" s="384">
        <v>52.6</v>
      </c>
      <c r="R29" s="385">
        <f t="shared" si="2"/>
        <v>52.6</v>
      </c>
      <c r="S29" s="334">
        <v>1</v>
      </c>
      <c r="T29" s="357"/>
      <c r="V29" s="343" t="s">
        <v>488</v>
      </c>
      <c r="W29" s="334" t="s">
        <v>20</v>
      </c>
      <c r="X29" s="334" t="s">
        <v>12</v>
      </c>
      <c r="Y29" s="344">
        <v>52.6</v>
      </c>
      <c r="AD29" s="343"/>
      <c r="AG29" s="344"/>
      <c r="AL29" s="343"/>
      <c r="AO29" s="344"/>
      <c r="AP29" s="343"/>
      <c r="AS29" s="344"/>
      <c r="AW29" s="344"/>
      <c r="BA29" s="345"/>
    </row>
    <row r="30" spans="1:53" s="334" customFormat="1" x14ac:dyDescent="0.15">
      <c r="A30" s="386">
        <v>1989</v>
      </c>
      <c r="B30" s="355"/>
      <c r="C30" s="812" t="s">
        <v>858</v>
      </c>
      <c r="D30" s="812"/>
      <c r="E30" s="334">
        <v>340</v>
      </c>
      <c r="G30" s="419"/>
      <c r="I30" s="334">
        <v>17</v>
      </c>
      <c r="J30" s="435">
        <v>17</v>
      </c>
      <c r="K30" s="384">
        <f t="shared" si="3"/>
        <v>0</v>
      </c>
      <c r="L30" s="384">
        <f t="shared" si="3"/>
        <v>0</v>
      </c>
      <c r="M30" s="384">
        <f t="shared" si="3"/>
        <v>100</v>
      </c>
      <c r="N30" s="421">
        <f t="shared" si="1"/>
        <v>100</v>
      </c>
      <c r="O30" s="383"/>
      <c r="P30" s="384"/>
      <c r="Q30" s="384">
        <v>52.6</v>
      </c>
      <c r="R30" s="385">
        <f t="shared" si="2"/>
        <v>52.6</v>
      </c>
      <c r="S30" s="334">
        <v>1</v>
      </c>
      <c r="T30" s="357"/>
      <c r="V30" s="343" t="s">
        <v>488</v>
      </c>
      <c r="W30" s="334" t="s">
        <v>20</v>
      </c>
      <c r="X30" s="334" t="s">
        <v>12</v>
      </c>
      <c r="Y30" s="344">
        <v>52.6</v>
      </c>
      <c r="AD30" s="343"/>
      <c r="AG30" s="344"/>
      <c r="AL30" s="343"/>
      <c r="AO30" s="344"/>
      <c r="AP30" s="343"/>
      <c r="AS30" s="344"/>
      <c r="AW30" s="344"/>
      <c r="BA30" s="345"/>
    </row>
    <row r="31" spans="1:53" s="208" customFormat="1" x14ac:dyDescent="0.15">
      <c r="A31" s="102">
        <v>1989</v>
      </c>
      <c r="B31" s="207">
        <v>32849</v>
      </c>
      <c r="C31" s="811" t="s">
        <v>859</v>
      </c>
      <c r="D31" s="811"/>
      <c r="E31" s="208">
        <f>365-E30</f>
        <v>25</v>
      </c>
      <c r="F31" s="208">
        <v>1</v>
      </c>
      <c r="G31" s="123"/>
      <c r="I31" s="208">
        <v>19</v>
      </c>
      <c r="J31" s="134">
        <v>19</v>
      </c>
      <c r="K31" s="92">
        <f t="shared" si="3"/>
        <v>0</v>
      </c>
      <c r="L31" s="92">
        <f t="shared" si="3"/>
        <v>0</v>
      </c>
      <c r="M31" s="92">
        <f t="shared" si="3"/>
        <v>100</v>
      </c>
      <c r="N31" s="125">
        <f t="shared" si="1"/>
        <v>100</v>
      </c>
      <c r="O31" s="91"/>
      <c r="P31" s="92"/>
      <c r="Q31" s="92">
        <v>50</v>
      </c>
      <c r="R31" s="93">
        <f t="shared" si="2"/>
        <v>50</v>
      </c>
      <c r="S31" s="208">
        <v>4</v>
      </c>
      <c r="T31" s="95">
        <v>32810</v>
      </c>
      <c r="U31" s="207">
        <v>32849</v>
      </c>
      <c r="V31" s="82" t="s">
        <v>488</v>
      </c>
      <c r="W31" s="208" t="s">
        <v>20</v>
      </c>
      <c r="X31" s="208" t="s">
        <v>12</v>
      </c>
      <c r="Y31" s="83">
        <v>50</v>
      </c>
      <c r="AD31" s="82"/>
      <c r="AG31" s="83"/>
      <c r="AL31" s="82"/>
      <c r="AO31" s="83"/>
      <c r="AP31" s="82"/>
      <c r="AS31" s="83"/>
      <c r="AW31" s="83"/>
      <c r="BA31" s="84"/>
    </row>
    <row r="32" spans="1:53" s="209" customFormat="1" x14ac:dyDescent="0.15">
      <c r="A32" s="209">
        <v>1990</v>
      </c>
      <c r="C32" s="852" t="s">
        <v>859</v>
      </c>
      <c r="D32" s="852"/>
      <c r="E32" s="209">
        <v>0</v>
      </c>
      <c r="G32" s="165"/>
      <c r="I32" s="209">
        <v>19</v>
      </c>
      <c r="J32" s="166">
        <v>19</v>
      </c>
      <c r="K32" s="169">
        <f t="shared" si="3"/>
        <v>0</v>
      </c>
      <c r="L32" s="167">
        <f t="shared" si="3"/>
        <v>0</v>
      </c>
      <c r="M32" s="167">
        <f t="shared" si="3"/>
        <v>100</v>
      </c>
      <c r="N32" s="170">
        <f t="shared" si="1"/>
        <v>100</v>
      </c>
      <c r="O32" s="169"/>
      <c r="P32" s="167"/>
      <c r="Q32" s="167">
        <v>50</v>
      </c>
      <c r="R32" s="170">
        <f t="shared" si="2"/>
        <v>50</v>
      </c>
      <c r="S32" s="209">
        <v>4</v>
      </c>
      <c r="T32" s="171"/>
      <c r="V32" s="172" t="s">
        <v>488</v>
      </c>
      <c r="W32" s="209" t="s">
        <v>20</v>
      </c>
      <c r="X32" s="209" t="s">
        <v>12</v>
      </c>
      <c r="Y32" s="173">
        <v>50</v>
      </c>
      <c r="AD32" s="172"/>
      <c r="AG32" s="173"/>
      <c r="AL32" s="172"/>
      <c r="AO32" s="173"/>
      <c r="AP32" s="172"/>
      <c r="AS32" s="173"/>
      <c r="AW32" s="173"/>
      <c r="BA32" s="174"/>
    </row>
    <row r="33" spans="1:53" s="208" customFormat="1" x14ac:dyDescent="0.15">
      <c r="A33" s="208">
        <v>1990</v>
      </c>
      <c r="C33" s="811" t="s">
        <v>859</v>
      </c>
      <c r="D33" s="811"/>
      <c r="E33" s="208">
        <f>365-E32</f>
        <v>365</v>
      </c>
      <c r="G33" s="123"/>
      <c r="I33" s="208">
        <v>19</v>
      </c>
      <c r="J33" s="134">
        <v>19</v>
      </c>
      <c r="K33" s="92">
        <f t="shared" si="3"/>
        <v>0</v>
      </c>
      <c r="L33" s="92">
        <f t="shared" si="3"/>
        <v>0</v>
      </c>
      <c r="M33" s="92">
        <f t="shared" si="3"/>
        <v>100</v>
      </c>
      <c r="N33" s="125">
        <f t="shared" si="1"/>
        <v>100</v>
      </c>
      <c r="O33" s="91"/>
      <c r="P33" s="92"/>
      <c r="Q33" s="92">
        <v>50</v>
      </c>
      <c r="R33" s="93">
        <f t="shared" si="2"/>
        <v>50</v>
      </c>
      <c r="S33" s="208">
        <v>4</v>
      </c>
      <c r="T33" s="81"/>
      <c r="V33" s="82" t="s">
        <v>488</v>
      </c>
      <c r="W33" s="208" t="s">
        <v>20</v>
      </c>
      <c r="X33" s="208" t="s">
        <v>12</v>
      </c>
      <c r="Y33" s="83">
        <v>50</v>
      </c>
      <c r="AD33" s="82"/>
      <c r="AG33" s="83"/>
      <c r="AL33" s="82"/>
      <c r="AO33" s="83"/>
      <c r="AP33" s="82"/>
      <c r="AS33" s="83"/>
      <c r="AW33" s="83"/>
      <c r="BA33" s="84"/>
    </row>
    <row r="34" spans="1:53" s="208" customFormat="1" x14ac:dyDescent="0.15">
      <c r="A34" s="208">
        <v>1991</v>
      </c>
      <c r="C34" s="811" t="s">
        <v>859</v>
      </c>
      <c r="D34" s="811"/>
      <c r="E34" s="208">
        <v>0</v>
      </c>
      <c r="G34" s="123"/>
      <c r="I34" s="208">
        <v>19</v>
      </c>
      <c r="J34" s="134">
        <v>19</v>
      </c>
      <c r="K34" s="92">
        <f t="shared" si="3"/>
        <v>0</v>
      </c>
      <c r="L34" s="92">
        <f t="shared" si="3"/>
        <v>0</v>
      </c>
      <c r="M34" s="92">
        <f t="shared" si="3"/>
        <v>100</v>
      </c>
      <c r="N34" s="125">
        <f t="shared" si="1"/>
        <v>100</v>
      </c>
      <c r="O34" s="91"/>
      <c r="P34" s="92"/>
      <c r="Q34" s="92">
        <v>50</v>
      </c>
      <c r="R34" s="93">
        <f t="shared" si="2"/>
        <v>50</v>
      </c>
      <c r="S34" s="208">
        <v>4</v>
      </c>
      <c r="T34" s="81"/>
      <c r="V34" s="82" t="s">
        <v>488</v>
      </c>
      <c r="W34" s="208" t="s">
        <v>20</v>
      </c>
      <c r="X34" s="208" t="s">
        <v>12</v>
      </c>
      <c r="Y34" s="83">
        <v>50</v>
      </c>
      <c r="AD34" s="82"/>
      <c r="AG34" s="83"/>
      <c r="AL34" s="82"/>
      <c r="AO34" s="83"/>
      <c r="AP34" s="82"/>
      <c r="AS34" s="83"/>
      <c r="AW34" s="83"/>
      <c r="BA34" s="84"/>
    </row>
    <row r="35" spans="1:53" s="208" customFormat="1" x14ac:dyDescent="0.15">
      <c r="A35" s="208">
        <v>1991</v>
      </c>
      <c r="C35" s="811" t="s">
        <v>859</v>
      </c>
      <c r="D35" s="811"/>
      <c r="E35" s="208">
        <f>365-E34</f>
        <v>365</v>
      </c>
      <c r="G35" s="123"/>
      <c r="I35" s="208">
        <v>19</v>
      </c>
      <c r="J35" s="134">
        <v>19</v>
      </c>
      <c r="K35" s="92">
        <f t="shared" si="3"/>
        <v>0</v>
      </c>
      <c r="L35" s="92">
        <f t="shared" si="3"/>
        <v>0</v>
      </c>
      <c r="M35" s="92">
        <f t="shared" si="3"/>
        <v>100</v>
      </c>
      <c r="N35" s="125">
        <f t="shared" si="1"/>
        <v>100</v>
      </c>
      <c r="O35" s="91"/>
      <c r="P35" s="92"/>
      <c r="Q35" s="92">
        <v>50</v>
      </c>
      <c r="R35" s="93">
        <f t="shared" si="2"/>
        <v>50</v>
      </c>
      <c r="S35" s="236">
        <v>4</v>
      </c>
      <c r="T35" s="81"/>
      <c r="V35" s="82" t="s">
        <v>488</v>
      </c>
      <c r="W35" s="208" t="s">
        <v>20</v>
      </c>
      <c r="X35" s="208" t="s">
        <v>12</v>
      </c>
      <c r="Y35" s="83">
        <v>50</v>
      </c>
      <c r="AD35" s="82"/>
      <c r="AG35" s="83"/>
      <c r="AL35" s="82"/>
      <c r="AO35" s="83"/>
      <c r="AP35" s="82"/>
      <c r="AS35" s="83"/>
      <c r="AW35" s="83"/>
      <c r="BA35" s="84"/>
    </row>
    <row r="36" spans="1:53" s="208" customFormat="1" x14ac:dyDescent="0.15">
      <c r="A36" s="208">
        <v>1992</v>
      </c>
      <c r="C36" s="811" t="s">
        <v>859</v>
      </c>
      <c r="D36" s="811"/>
      <c r="E36" s="208">
        <v>0</v>
      </c>
      <c r="G36" s="123"/>
      <c r="I36" s="208">
        <v>18</v>
      </c>
      <c r="J36" s="134">
        <v>18</v>
      </c>
      <c r="K36" s="92">
        <f t="shared" si="3"/>
        <v>0</v>
      </c>
      <c r="L36" s="92">
        <f t="shared" si="3"/>
        <v>0</v>
      </c>
      <c r="M36" s="92">
        <f t="shared" si="3"/>
        <v>100</v>
      </c>
      <c r="N36" s="125">
        <f t="shared" si="1"/>
        <v>100</v>
      </c>
      <c r="O36" s="91"/>
      <c r="P36" s="92"/>
      <c r="Q36" s="92">
        <v>50</v>
      </c>
      <c r="R36" s="93">
        <f t="shared" si="2"/>
        <v>50</v>
      </c>
      <c r="S36" s="236">
        <v>4</v>
      </c>
      <c r="T36" s="81"/>
      <c r="V36" s="82" t="s">
        <v>488</v>
      </c>
      <c r="W36" s="208" t="s">
        <v>20</v>
      </c>
      <c r="X36" s="208" t="s">
        <v>12</v>
      </c>
      <c r="Y36" s="83">
        <v>50</v>
      </c>
      <c r="AD36" s="82"/>
      <c r="AG36" s="83"/>
      <c r="AL36" s="82"/>
      <c r="AO36" s="83"/>
      <c r="AP36" s="82"/>
      <c r="AS36" s="83"/>
      <c r="AW36" s="83"/>
      <c r="BA36" s="84"/>
    </row>
    <row r="37" spans="1:53" s="208" customFormat="1" x14ac:dyDescent="0.15">
      <c r="A37" s="208">
        <v>1992</v>
      </c>
      <c r="C37" s="811" t="s">
        <v>859</v>
      </c>
      <c r="D37" s="811"/>
      <c r="E37" s="208">
        <v>366</v>
      </c>
      <c r="G37" s="123"/>
      <c r="I37" s="208">
        <v>18</v>
      </c>
      <c r="J37" s="134">
        <v>18</v>
      </c>
      <c r="K37" s="92">
        <f t="shared" si="3"/>
        <v>0</v>
      </c>
      <c r="L37" s="92">
        <f t="shared" si="3"/>
        <v>0</v>
      </c>
      <c r="M37" s="92">
        <f t="shared" si="3"/>
        <v>100</v>
      </c>
      <c r="N37" s="125">
        <f t="shared" si="1"/>
        <v>100</v>
      </c>
      <c r="O37" s="91"/>
      <c r="P37" s="92"/>
      <c r="Q37" s="92">
        <v>50</v>
      </c>
      <c r="R37" s="93">
        <f t="shared" si="2"/>
        <v>50</v>
      </c>
      <c r="S37" s="236">
        <v>4</v>
      </c>
      <c r="T37" s="81"/>
      <c r="V37" s="82" t="s">
        <v>488</v>
      </c>
      <c r="W37" s="208" t="s">
        <v>20</v>
      </c>
      <c r="X37" s="208" t="s">
        <v>12</v>
      </c>
      <c r="Y37" s="83">
        <v>50</v>
      </c>
      <c r="AD37" s="82"/>
      <c r="AG37" s="83"/>
      <c r="AL37" s="82"/>
      <c r="AO37" s="83"/>
      <c r="AP37" s="82"/>
      <c r="AS37" s="83"/>
      <c r="AW37" s="83"/>
      <c r="BA37" s="84"/>
    </row>
    <row r="38" spans="1:53" s="208" customFormat="1" x14ac:dyDescent="0.15">
      <c r="A38" s="208">
        <v>1993</v>
      </c>
      <c r="C38" s="811" t="s">
        <v>859</v>
      </c>
      <c r="D38" s="811"/>
      <c r="E38" s="208">
        <v>194</v>
      </c>
      <c r="G38" s="123"/>
      <c r="I38" s="208">
        <v>18</v>
      </c>
      <c r="J38" s="134">
        <v>18</v>
      </c>
      <c r="K38" s="92">
        <f t="shared" si="3"/>
        <v>0</v>
      </c>
      <c r="L38" s="92">
        <f t="shared" si="3"/>
        <v>0</v>
      </c>
      <c r="M38" s="92">
        <f t="shared" si="3"/>
        <v>100</v>
      </c>
      <c r="N38" s="125">
        <f t="shared" si="1"/>
        <v>100</v>
      </c>
      <c r="O38" s="91"/>
      <c r="P38" s="92"/>
      <c r="Q38" s="92">
        <v>50</v>
      </c>
      <c r="R38" s="93">
        <f t="shared" si="2"/>
        <v>50</v>
      </c>
      <c r="S38" s="236">
        <v>4</v>
      </c>
      <c r="T38" s="81"/>
      <c r="V38" s="82" t="s">
        <v>488</v>
      </c>
      <c r="W38" s="208" t="s">
        <v>20</v>
      </c>
      <c r="X38" s="208" t="s">
        <v>12</v>
      </c>
      <c r="Y38" s="83">
        <v>50</v>
      </c>
      <c r="AD38" s="82"/>
      <c r="AG38" s="83"/>
      <c r="AL38" s="82"/>
      <c r="AO38" s="83"/>
      <c r="AP38" s="82"/>
      <c r="AS38" s="83"/>
      <c r="AW38" s="83"/>
      <c r="BA38" s="84"/>
    </row>
    <row r="39" spans="1:53" s="334" customFormat="1" x14ac:dyDescent="0.15">
      <c r="A39" s="334">
        <v>1993</v>
      </c>
      <c r="B39" s="355">
        <v>34164</v>
      </c>
      <c r="C39" s="812" t="s">
        <v>860</v>
      </c>
      <c r="D39" s="812"/>
      <c r="E39" s="334">
        <f>365-E38</f>
        <v>171</v>
      </c>
      <c r="F39" s="334">
        <v>1</v>
      </c>
      <c r="G39" s="419"/>
      <c r="I39" s="334">
        <v>18</v>
      </c>
      <c r="J39" s="435">
        <v>18</v>
      </c>
      <c r="K39" s="384">
        <f t="shared" si="3"/>
        <v>0</v>
      </c>
      <c r="L39" s="384">
        <f t="shared" si="3"/>
        <v>0</v>
      </c>
      <c r="M39" s="384">
        <f t="shared" si="3"/>
        <v>100</v>
      </c>
      <c r="N39" s="421">
        <f t="shared" si="1"/>
        <v>100</v>
      </c>
      <c r="O39" s="383"/>
      <c r="P39" s="384"/>
      <c r="Q39" s="384">
        <v>45.4</v>
      </c>
      <c r="R39" s="385">
        <f t="shared" si="2"/>
        <v>45.4</v>
      </c>
      <c r="S39" s="334">
        <v>4</v>
      </c>
      <c r="T39" s="342">
        <v>34126</v>
      </c>
      <c r="U39" s="355">
        <v>34164</v>
      </c>
      <c r="V39" s="343" t="s">
        <v>488</v>
      </c>
      <c r="W39" s="334" t="s">
        <v>20</v>
      </c>
      <c r="X39" s="334" t="s">
        <v>12</v>
      </c>
      <c r="Y39" s="344">
        <v>45.4</v>
      </c>
      <c r="AD39" s="343"/>
      <c r="AG39" s="344"/>
      <c r="AL39" s="343"/>
      <c r="AO39" s="344"/>
      <c r="AP39" s="343"/>
      <c r="AS39" s="344"/>
      <c r="AW39" s="344"/>
      <c r="BA39" s="345"/>
    </row>
    <row r="40" spans="1:53" s="334" customFormat="1" x14ac:dyDescent="0.15">
      <c r="A40" s="334">
        <v>1994</v>
      </c>
      <c r="C40" s="812" t="s">
        <v>860</v>
      </c>
      <c r="D40" s="812"/>
      <c r="E40" s="334">
        <v>0</v>
      </c>
      <c r="G40" s="419"/>
      <c r="I40" s="334">
        <v>18</v>
      </c>
      <c r="J40" s="435">
        <v>18</v>
      </c>
      <c r="K40" s="384">
        <f t="shared" si="3"/>
        <v>0</v>
      </c>
      <c r="L40" s="384">
        <f t="shared" si="3"/>
        <v>0</v>
      </c>
      <c r="M40" s="384">
        <f t="shared" si="3"/>
        <v>100</v>
      </c>
      <c r="N40" s="421">
        <f t="shared" si="1"/>
        <v>100</v>
      </c>
      <c r="O40" s="383"/>
      <c r="P40" s="384"/>
      <c r="Q40" s="384">
        <v>45.4</v>
      </c>
      <c r="R40" s="385">
        <f t="shared" si="2"/>
        <v>45.4</v>
      </c>
      <c r="S40" s="334">
        <v>4</v>
      </c>
      <c r="T40" s="357"/>
      <c r="V40" s="343" t="s">
        <v>488</v>
      </c>
      <c r="W40" s="334" t="s">
        <v>20</v>
      </c>
      <c r="X40" s="334" t="s">
        <v>12</v>
      </c>
      <c r="Y40" s="344">
        <v>45.4</v>
      </c>
      <c r="AD40" s="343"/>
      <c r="AG40" s="344"/>
      <c r="AL40" s="343"/>
      <c r="AO40" s="344"/>
      <c r="AP40" s="343"/>
      <c r="AS40" s="344"/>
      <c r="AW40" s="344"/>
      <c r="BA40" s="345"/>
    </row>
    <row r="41" spans="1:53" s="334" customFormat="1" x14ac:dyDescent="0.15">
      <c r="A41" s="334">
        <v>1994</v>
      </c>
      <c r="C41" s="812" t="s">
        <v>860</v>
      </c>
      <c r="D41" s="812"/>
      <c r="E41" s="334">
        <f>365-E40</f>
        <v>365</v>
      </c>
      <c r="G41" s="419"/>
      <c r="I41" s="334">
        <v>18</v>
      </c>
      <c r="J41" s="435">
        <v>18</v>
      </c>
      <c r="K41" s="384">
        <f t="shared" si="3"/>
        <v>0</v>
      </c>
      <c r="L41" s="384">
        <f t="shared" si="3"/>
        <v>0</v>
      </c>
      <c r="M41" s="384">
        <f t="shared" si="3"/>
        <v>100</v>
      </c>
      <c r="N41" s="421">
        <f t="shared" si="1"/>
        <v>100</v>
      </c>
      <c r="O41" s="383"/>
      <c r="P41" s="384"/>
      <c r="Q41" s="384">
        <v>45.4</v>
      </c>
      <c r="R41" s="385">
        <f t="shared" si="2"/>
        <v>45.4</v>
      </c>
      <c r="S41" s="334">
        <v>4</v>
      </c>
      <c r="T41" s="357"/>
      <c r="V41" s="343" t="s">
        <v>488</v>
      </c>
      <c r="W41" s="334" t="s">
        <v>20</v>
      </c>
      <c r="X41" s="334" t="s">
        <v>12</v>
      </c>
      <c r="Y41" s="344">
        <v>45.4</v>
      </c>
      <c r="AD41" s="343"/>
      <c r="AG41" s="344"/>
      <c r="AL41" s="343"/>
      <c r="AO41" s="344"/>
      <c r="AP41" s="343"/>
      <c r="AS41" s="344"/>
      <c r="AW41" s="344"/>
      <c r="BA41" s="345"/>
    </row>
    <row r="42" spans="1:53" s="334" customFormat="1" x14ac:dyDescent="0.15">
      <c r="A42" s="334">
        <v>1995</v>
      </c>
      <c r="C42" s="812" t="s">
        <v>860</v>
      </c>
      <c r="D42" s="812"/>
      <c r="E42" s="334">
        <v>0</v>
      </c>
      <c r="G42" s="419"/>
      <c r="I42" s="334">
        <v>18</v>
      </c>
      <c r="J42" s="435">
        <v>18</v>
      </c>
      <c r="K42" s="384">
        <f t="shared" si="3"/>
        <v>0</v>
      </c>
      <c r="L42" s="384">
        <f t="shared" si="3"/>
        <v>0</v>
      </c>
      <c r="M42" s="384">
        <f t="shared" si="3"/>
        <v>100</v>
      </c>
      <c r="N42" s="421">
        <f t="shared" si="1"/>
        <v>100</v>
      </c>
      <c r="O42" s="383"/>
      <c r="P42" s="384"/>
      <c r="Q42" s="384">
        <v>45.4</v>
      </c>
      <c r="R42" s="385">
        <f t="shared" si="2"/>
        <v>45.4</v>
      </c>
      <c r="S42" s="334">
        <v>4</v>
      </c>
      <c r="T42" s="357"/>
      <c r="V42" s="343" t="s">
        <v>488</v>
      </c>
      <c r="W42" s="334" t="s">
        <v>20</v>
      </c>
      <c r="X42" s="334" t="s">
        <v>12</v>
      </c>
      <c r="Y42" s="344">
        <v>45.4</v>
      </c>
      <c r="AD42" s="343"/>
      <c r="AG42" s="344"/>
      <c r="AL42" s="343"/>
      <c r="AO42" s="344"/>
      <c r="AP42" s="343"/>
      <c r="AS42" s="344"/>
      <c r="AW42" s="344"/>
      <c r="BA42" s="345"/>
    </row>
    <row r="43" spans="1:53" s="334" customFormat="1" x14ac:dyDescent="0.15">
      <c r="A43" s="334">
        <v>1995</v>
      </c>
      <c r="C43" s="812" t="s">
        <v>860</v>
      </c>
      <c r="D43" s="812"/>
      <c r="E43" s="334">
        <f>365-E42</f>
        <v>365</v>
      </c>
      <c r="G43" s="419"/>
      <c r="I43" s="334">
        <v>18</v>
      </c>
      <c r="J43" s="435">
        <v>18</v>
      </c>
      <c r="K43" s="384">
        <f t="shared" si="3"/>
        <v>0</v>
      </c>
      <c r="L43" s="384">
        <f t="shared" si="3"/>
        <v>0</v>
      </c>
      <c r="M43" s="384">
        <f t="shared" si="3"/>
        <v>100</v>
      </c>
      <c r="N43" s="421">
        <f t="shared" si="1"/>
        <v>100</v>
      </c>
      <c r="O43" s="383"/>
      <c r="P43" s="384"/>
      <c r="Q43" s="384">
        <v>45.4</v>
      </c>
      <c r="R43" s="385">
        <f t="shared" si="2"/>
        <v>45.4</v>
      </c>
      <c r="S43" s="334">
        <v>4</v>
      </c>
      <c r="T43" s="357"/>
      <c r="V43" s="343" t="s">
        <v>488</v>
      </c>
      <c r="W43" s="334" t="s">
        <v>20</v>
      </c>
      <c r="X43" s="334" t="s">
        <v>12</v>
      </c>
      <c r="Y43" s="344">
        <v>45.4</v>
      </c>
      <c r="AD43" s="343"/>
      <c r="AG43" s="344"/>
      <c r="AL43" s="343"/>
      <c r="AO43" s="344"/>
      <c r="AP43" s="343"/>
      <c r="AS43" s="344"/>
      <c r="AW43" s="344"/>
      <c r="BA43" s="345"/>
    </row>
    <row r="44" spans="1:53" s="334" customFormat="1" x14ac:dyDescent="0.15">
      <c r="A44" s="334">
        <v>1996</v>
      </c>
      <c r="C44" s="812" t="s">
        <v>860</v>
      </c>
      <c r="D44" s="812"/>
      <c r="E44" s="334">
        <v>124</v>
      </c>
      <c r="G44" s="419"/>
      <c r="I44" s="334">
        <v>17</v>
      </c>
      <c r="J44" s="435">
        <v>17</v>
      </c>
      <c r="K44" s="384">
        <f t="shared" si="3"/>
        <v>0</v>
      </c>
      <c r="L44" s="384">
        <f t="shared" si="3"/>
        <v>0</v>
      </c>
      <c r="M44" s="384">
        <f t="shared" si="3"/>
        <v>100</v>
      </c>
      <c r="N44" s="421">
        <f t="shared" si="1"/>
        <v>100</v>
      </c>
      <c r="O44" s="383"/>
      <c r="P44" s="384"/>
      <c r="Q44" s="384">
        <v>45.4</v>
      </c>
      <c r="R44" s="385">
        <f t="shared" si="2"/>
        <v>45.4</v>
      </c>
      <c r="S44" s="334">
        <v>4</v>
      </c>
      <c r="T44" s="357"/>
      <c r="V44" s="343" t="s">
        <v>488</v>
      </c>
      <c r="W44" s="334" t="s">
        <v>20</v>
      </c>
      <c r="X44" s="334" t="s">
        <v>12</v>
      </c>
      <c r="Y44" s="344">
        <v>45.4</v>
      </c>
      <c r="AD44" s="343"/>
      <c r="AG44" s="344"/>
      <c r="AL44" s="343"/>
      <c r="AO44" s="344"/>
      <c r="AP44" s="343"/>
      <c r="AS44" s="344"/>
      <c r="AW44" s="344"/>
      <c r="BA44" s="345"/>
    </row>
    <row r="45" spans="1:53" s="208" customFormat="1" x14ac:dyDescent="0.15">
      <c r="A45" s="208">
        <v>1996</v>
      </c>
      <c r="B45" s="207">
        <v>35189</v>
      </c>
      <c r="C45" s="811" t="s">
        <v>862</v>
      </c>
      <c r="D45" s="811"/>
      <c r="E45" s="208">
        <f>366-E44</f>
        <v>242</v>
      </c>
      <c r="F45" s="208">
        <v>1</v>
      </c>
      <c r="G45" s="123"/>
      <c r="H45" s="208">
        <v>15</v>
      </c>
      <c r="J45" s="134">
        <v>15</v>
      </c>
      <c r="K45" s="92">
        <f t="shared" si="3"/>
        <v>0</v>
      </c>
      <c r="L45" s="92">
        <f t="shared" si="3"/>
        <v>100</v>
      </c>
      <c r="M45" s="92">
        <f t="shared" si="3"/>
        <v>0</v>
      </c>
      <c r="N45" s="125">
        <f t="shared" si="1"/>
        <v>100</v>
      </c>
      <c r="O45" s="91"/>
      <c r="P45" s="92">
        <v>44.6</v>
      </c>
      <c r="Q45" s="92"/>
      <c r="R45" s="93">
        <f t="shared" si="2"/>
        <v>44.6</v>
      </c>
      <c r="S45" s="208">
        <v>4</v>
      </c>
      <c r="T45" s="95">
        <v>35127</v>
      </c>
      <c r="U45" s="207">
        <v>35189</v>
      </c>
      <c r="V45" s="82" t="s">
        <v>489</v>
      </c>
      <c r="W45" s="208" t="s">
        <v>76</v>
      </c>
      <c r="X45" s="208" t="s">
        <v>18</v>
      </c>
      <c r="Y45" s="83">
        <v>44.6</v>
      </c>
      <c r="AD45" s="82"/>
      <c r="AG45" s="83"/>
      <c r="AL45" s="82"/>
      <c r="AO45" s="83"/>
      <c r="AP45" s="82"/>
      <c r="AS45" s="83"/>
      <c r="AW45" s="83"/>
      <c r="BA45" s="84"/>
    </row>
    <row r="46" spans="1:53" s="208" customFormat="1" x14ac:dyDescent="0.15">
      <c r="A46" s="208">
        <v>1997</v>
      </c>
      <c r="C46" s="811" t="s">
        <v>862</v>
      </c>
      <c r="D46" s="811"/>
      <c r="E46" s="208">
        <v>0</v>
      </c>
      <c r="G46" s="123"/>
      <c r="H46" s="208">
        <v>15</v>
      </c>
      <c r="J46" s="134">
        <v>15</v>
      </c>
      <c r="K46" s="92">
        <f t="shared" si="3"/>
        <v>0</v>
      </c>
      <c r="L46" s="92">
        <f t="shared" si="3"/>
        <v>100</v>
      </c>
      <c r="M46" s="92">
        <f t="shared" si="3"/>
        <v>0</v>
      </c>
      <c r="N46" s="125">
        <f t="shared" si="1"/>
        <v>100</v>
      </c>
      <c r="O46" s="91"/>
      <c r="P46" s="92">
        <v>44.6</v>
      </c>
      <c r="Q46" s="92"/>
      <c r="R46" s="93">
        <f t="shared" si="2"/>
        <v>44.6</v>
      </c>
      <c r="S46" s="208">
        <v>4</v>
      </c>
      <c r="T46" s="81"/>
      <c r="V46" s="82" t="s">
        <v>489</v>
      </c>
      <c r="W46" s="208" t="s">
        <v>76</v>
      </c>
      <c r="X46" s="208" t="s">
        <v>18</v>
      </c>
      <c r="Y46" s="83">
        <v>44.6</v>
      </c>
      <c r="AD46" s="82"/>
      <c r="AG46" s="83"/>
      <c r="AL46" s="82"/>
      <c r="AO46" s="83"/>
      <c r="AP46" s="82"/>
      <c r="AS46" s="83"/>
      <c r="AW46" s="83"/>
      <c r="BA46" s="84"/>
    </row>
    <row r="47" spans="1:53" s="208" customFormat="1" x14ac:dyDescent="0.15">
      <c r="A47" s="208">
        <v>1997</v>
      </c>
      <c r="C47" s="811" t="s">
        <v>862</v>
      </c>
      <c r="D47" s="811"/>
      <c r="E47" s="208">
        <f>365-E46</f>
        <v>365</v>
      </c>
      <c r="G47" s="123"/>
      <c r="H47" s="208">
        <v>15</v>
      </c>
      <c r="J47" s="134">
        <v>15</v>
      </c>
      <c r="K47" s="92">
        <f t="shared" si="3"/>
        <v>0</v>
      </c>
      <c r="L47" s="92">
        <f t="shared" si="3"/>
        <v>100</v>
      </c>
      <c r="M47" s="92">
        <f t="shared" si="3"/>
        <v>0</v>
      </c>
      <c r="N47" s="125">
        <f t="shared" si="1"/>
        <v>100</v>
      </c>
      <c r="O47" s="91"/>
      <c r="P47" s="92">
        <v>44.6</v>
      </c>
      <c r="Q47" s="92"/>
      <c r="R47" s="93">
        <f t="shared" si="2"/>
        <v>44.6</v>
      </c>
      <c r="S47" s="208">
        <v>4</v>
      </c>
      <c r="T47" s="81"/>
      <c r="V47" s="82" t="s">
        <v>489</v>
      </c>
      <c r="W47" s="208" t="s">
        <v>76</v>
      </c>
      <c r="X47" s="208" t="s">
        <v>18</v>
      </c>
      <c r="Y47" s="83">
        <v>44.6</v>
      </c>
      <c r="AD47" s="82"/>
      <c r="AG47" s="83"/>
      <c r="AL47" s="82"/>
      <c r="AO47" s="83"/>
      <c r="AP47" s="82"/>
      <c r="AS47" s="83"/>
      <c r="AW47" s="83"/>
      <c r="BA47" s="84"/>
    </row>
    <row r="48" spans="1:53" s="208" customFormat="1" x14ac:dyDescent="0.15">
      <c r="A48" s="208">
        <v>1998</v>
      </c>
      <c r="C48" s="811" t="s">
        <v>862</v>
      </c>
      <c r="D48" s="811"/>
      <c r="E48" s="208">
        <v>0</v>
      </c>
      <c r="G48" s="123"/>
      <c r="H48" s="208">
        <v>15</v>
      </c>
      <c r="J48" s="134">
        <v>15</v>
      </c>
      <c r="K48" s="92">
        <f t="shared" si="3"/>
        <v>0</v>
      </c>
      <c r="L48" s="92">
        <f t="shared" si="3"/>
        <v>100</v>
      </c>
      <c r="M48" s="92">
        <f t="shared" si="3"/>
        <v>0</v>
      </c>
      <c r="N48" s="125">
        <f t="shared" si="1"/>
        <v>100</v>
      </c>
      <c r="O48" s="91"/>
      <c r="P48" s="92">
        <v>44.6</v>
      </c>
      <c r="Q48" s="92"/>
      <c r="R48" s="93">
        <f t="shared" si="2"/>
        <v>44.6</v>
      </c>
      <c r="S48" s="208">
        <v>4</v>
      </c>
      <c r="T48" s="81"/>
      <c r="V48" s="82" t="s">
        <v>489</v>
      </c>
      <c r="W48" s="208" t="s">
        <v>76</v>
      </c>
      <c r="X48" s="208" t="s">
        <v>18</v>
      </c>
      <c r="Y48" s="83">
        <v>44.6</v>
      </c>
      <c r="AD48" s="82"/>
      <c r="AG48" s="83"/>
      <c r="AL48" s="82"/>
      <c r="AO48" s="83"/>
      <c r="AP48" s="82"/>
      <c r="AS48" s="83"/>
      <c r="AW48" s="83"/>
      <c r="BA48" s="84"/>
    </row>
    <row r="49" spans="1:53" s="208" customFormat="1" x14ac:dyDescent="0.15">
      <c r="A49" s="208">
        <v>1998</v>
      </c>
      <c r="C49" s="811" t="s">
        <v>862</v>
      </c>
      <c r="D49" s="811"/>
      <c r="E49" s="208">
        <f>365-E48</f>
        <v>365</v>
      </c>
      <c r="G49" s="123"/>
      <c r="H49" s="208">
        <v>15</v>
      </c>
      <c r="J49" s="134">
        <v>15</v>
      </c>
      <c r="K49" s="92">
        <f t="shared" si="3"/>
        <v>0</v>
      </c>
      <c r="L49" s="92">
        <f t="shared" si="3"/>
        <v>100</v>
      </c>
      <c r="M49" s="92">
        <f t="shared" si="3"/>
        <v>0</v>
      </c>
      <c r="N49" s="125">
        <f t="shared" si="1"/>
        <v>100</v>
      </c>
      <c r="O49" s="91"/>
      <c r="P49" s="92">
        <v>44.6</v>
      </c>
      <c r="Q49" s="92"/>
      <c r="R49" s="93">
        <f t="shared" si="2"/>
        <v>44.6</v>
      </c>
      <c r="S49" s="208">
        <v>4</v>
      </c>
      <c r="T49" s="81"/>
      <c r="V49" s="82" t="s">
        <v>489</v>
      </c>
      <c r="W49" s="208" t="s">
        <v>76</v>
      </c>
      <c r="X49" s="208" t="s">
        <v>18</v>
      </c>
      <c r="Y49" s="83">
        <v>44.6</v>
      </c>
      <c r="AD49" s="82"/>
      <c r="AG49" s="83"/>
      <c r="AL49" s="82"/>
      <c r="AO49" s="83"/>
      <c r="AP49" s="82"/>
      <c r="AS49" s="83"/>
      <c r="AW49" s="83"/>
      <c r="BA49" s="84"/>
    </row>
    <row r="50" spans="1:53" s="208" customFormat="1" x14ac:dyDescent="0.15">
      <c r="A50" s="208">
        <v>1999</v>
      </c>
      <c r="C50" s="811" t="s">
        <v>862</v>
      </c>
      <c r="D50" s="811"/>
      <c r="E50" s="208">
        <v>0</v>
      </c>
      <c r="G50" s="123"/>
      <c r="H50" s="208">
        <v>14</v>
      </c>
      <c r="J50" s="134">
        <v>14</v>
      </c>
      <c r="K50" s="92">
        <f t="shared" si="3"/>
        <v>0</v>
      </c>
      <c r="L50" s="92">
        <f t="shared" si="3"/>
        <v>100</v>
      </c>
      <c r="M50" s="92">
        <f t="shared" si="3"/>
        <v>0</v>
      </c>
      <c r="N50" s="125">
        <f t="shared" si="1"/>
        <v>100</v>
      </c>
      <c r="O50" s="91"/>
      <c r="P50" s="92">
        <v>44.6</v>
      </c>
      <c r="Q50" s="92"/>
      <c r="R50" s="93">
        <f t="shared" si="2"/>
        <v>44.6</v>
      </c>
      <c r="S50" s="208">
        <v>4</v>
      </c>
      <c r="T50" s="81"/>
      <c r="V50" s="82" t="s">
        <v>489</v>
      </c>
      <c r="W50" s="208" t="s">
        <v>76</v>
      </c>
      <c r="X50" s="208" t="s">
        <v>18</v>
      </c>
      <c r="Y50" s="83">
        <v>44.6</v>
      </c>
      <c r="AD50" s="82"/>
      <c r="AG50" s="83"/>
      <c r="AL50" s="82"/>
      <c r="AO50" s="83"/>
      <c r="AP50" s="82"/>
      <c r="AS50" s="83"/>
      <c r="AW50" s="83"/>
      <c r="BA50" s="84"/>
    </row>
    <row r="51" spans="1:53" s="208" customFormat="1" x14ac:dyDescent="0.15">
      <c r="A51" s="208">
        <v>1999</v>
      </c>
      <c r="C51" s="811" t="s">
        <v>862</v>
      </c>
      <c r="D51" s="811"/>
      <c r="E51" s="208">
        <f>365-E50</f>
        <v>365</v>
      </c>
      <c r="G51" s="123"/>
      <c r="H51" s="208">
        <v>14</v>
      </c>
      <c r="J51" s="134">
        <v>14</v>
      </c>
      <c r="K51" s="92">
        <f t="shared" si="3"/>
        <v>0</v>
      </c>
      <c r="L51" s="92">
        <f t="shared" si="3"/>
        <v>100</v>
      </c>
      <c r="M51" s="92">
        <f t="shared" si="3"/>
        <v>0</v>
      </c>
      <c r="N51" s="125">
        <f t="shared" si="1"/>
        <v>100</v>
      </c>
      <c r="O51" s="91"/>
      <c r="P51" s="92">
        <v>44.6</v>
      </c>
      <c r="Q51" s="92"/>
      <c r="R51" s="93">
        <f t="shared" si="2"/>
        <v>44.6</v>
      </c>
      <c r="S51" s="208">
        <v>4</v>
      </c>
      <c r="T51" s="81"/>
      <c r="V51" s="82" t="s">
        <v>489</v>
      </c>
      <c r="W51" s="208" t="s">
        <v>76</v>
      </c>
      <c r="X51" s="208" t="s">
        <v>18</v>
      </c>
      <c r="Y51" s="83">
        <v>44.6</v>
      </c>
      <c r="AD51" s="82"/>
      <c r="AG51" s="83"/>
      <c r="AL51" s="82"/>
      <c r="AO51" s="83"/>
      <c r="AP51" s="82"/>
      <c r="AS51" s="83"/>
      <c r="AW51" s="83"/>
      <c r="BA51" s="84"/>
    </row>
    <row r="52" spans="1:53" s="208" customFormat="1" x14ac:dyDescent="0.15">
      <c r="A52" s="208">
        <v>2000</v>
      </c>
      <c r="C52" s="811" t="s">
        <v>862</v>
      </c>
      <c r="D52" s="811"/>
      <c r="E52" s="208">
        <v>116</v>
      </c>
      <c r="G52" s="123"/>
      <c r="H52" s="208">
        <v>14</v>
      </c>
      <c r="J52" s="134">
        <v>14</v>
      </c>
      <c r="K52" s="92">
        <f t="shared" si="3"/>
        <v>0</v>
      </c>
      <c r="L52" s="92">
        <f t="shared" si="3"/>
        <v>100</v>
      </c>
      <c r="M52" s="92">
        <f t="shared" si="3"/>
        <v>0</v>
      </c>
      <c r="N52" s="125">
        <f t="shared" si="1"/>
        <v>100</v>
      </c>
      <c r="O52" s="91"/>
      <c r="P52" s="92">
        <v>44.6</v>
      </c>
      <c r="Q52" s="92"/>
      <c r="R52" s="93">
        <f t="shared" si="2"/>
        <v>44.6</v>
      </c>
      <c r="S52" s="208">
        <v>4</v>
      </c>
      <c r="T52" s="81"/>
      <c r="V52" s="82" t="s">
        <v>489</v>
      </c>
      <c r="W52" s="208" t="s">
        <v>76</v>
      </c>
      <c r="X52" s="208" t="s">
        <v>18</v>
      </c>
      <c r="Y52" s="83">
        <v>44.6</v>
      </c>
      <c r="AD52" s="82"/>
      <c r="AG52" s="83"/>
      <c r="AL52" s="82"/>
      <c r="AO52" s="83"/>
      <c r="AP52" s="82"/>
      <c r="AS52" s="83"/>
      <c r="AW52" s="83"/>
      <c r="BA52" s="84"/>
    </row>
    <row r="53" spans="1:53" s="334" customFormat="1" x14ac:dyDescent="0.15">
      <c r="A53" s="334">
        <v>2000</v>
      </c>
      <c r="B53" s="355">
        <v>36642</v>
      </c>
      <c r="C53" s="812" t="s">
        <v>861</v>
      </c>
      <c r="D53" s="812"/>
      <c r="E53" s="334">
        <f>366-E52</f>
        <v>250</v>
      </c>
      <c r="F53" s="334">
        <v>1</v>
      </c>
      <c r="G53" s="419"/>
      <c r="H53" s="334">
        <v>16</v>
      </c>
      <c r="J53" s="435">
        <v>16</v>
      </c>
      <c r="K53" s="384">
        <f t="shared" si="3"/>
        <v>0</v>
      </c>
      <c r="L53" s="384">
        <f t="shared" si="3"/>
        <v>100</v>
      </c>
      <c r="M53" s="384">
        <f t="shared" si="3"/>
        <v>0</v>
      </c>
      <c r="N53" s="421">
        <f t="shared" si="1"/>
        <v>100</v>
      </c>
      <c r="O53" s="383"/>
      <c r="P53" s="384">
        <v>52.3</v>
      </c>
      <c r="Q53" s="384"/>
      <c r="R53" s="385">
        <f t="shared" si="2"/>
        <v>52.3</v>
      </c>
      <c r="S53" s="334">
        <v>1</v>
      </c>
      <c r="T53" s="342">
        <v>36597</v>
      </c>
      <c r="U53" s="355">
        <v>36642</v>
      </c>
      <c r="V53" s="343" t="s">
        <v>489</v>
      </c>
      <c r="W53" s="334" t="s">
        <v>76</v>
      </c>
      <c r="X53" s="334" t="s">
        <v>18</v>
      </c>
      <c r="Y53" s="344">
        <v>52.3</v>
      </c>
      <c r="AD53" s="343"/>
      <c r="AG53" s="344"/>
      <c r="AL53" s="343"/>
      <c r="AO53" s="344"/>
      <c r="AP53" s="343"/>
      <c r="AS53" s="344"/>
      <c r="AW53" s="344"/>
      <c r="BA53" s="345"/>
    </row>
    <row r="54" spans="1:53" s="334" customFormat="1" x14ac:dyDescent="0.15">
      <c r="A54" s="334">
        <v>2001</v>
      </c>
      <c r="C54" s="812" t="s">
        <v>861</v>
      </c>
      <c r="D54" s="812"/>
      <c r="E54" s="334">
        <v>0</v>
      </c>
      <c r="G54" s="419"/>
      <c r="H54" s="334">
        <v>16</v>
      </c>
      <c r="J54" s="435">
        <v>16</v>
      </c>
      <c r="K54" s="384">
        <f t="shared" si="3"/>
        <v>0</v>
      </c>
      <c r="L54" s="384">
        <f t="shared" si="3"/>
        <v>100</v>
      </c>
      <c r="M54" s="384">
        <f t="shared" si="3"/>
        <v>0</v>
      </c>
      <c r="N54" s="421">
        <f t="shared" si="1"/>
        <v>100</v>
      </c>
      <c r="O54" s="383"/>
      <c r="P54" s="384">
        <v>52.3</v>
      </c>
      <c r="Q54" s="384"/>
      <c r="R54" s="385">
        <f t="shared" si="2"/>
        <v>52.3</v>
      </c>
      <c r="S54" s="334">
        <v>1</v>
      </c>
      <c r="T54" s="357"/>
      <c r="V54" s="343" t="s">
        <v>489</v>
      </c>
      <c r="W54" s="334" t="s">
        <v>76</v>
      </c>
      <c r="X54" s="334" t="s">
        <v>18</v>
      </c>
      <c r="Y54" s="344">
        <v>52.3</v>
      </c>
      <c r="AD54" s="343"/>
      <c r="AG54" s="344"/>
      <c r="AL54" s="343"/>
      <c r="AO54" s="344"/>
      <c r="AP54" s="343"/>
      <c r="AS54" s="344"/>
      <c r="AW54" s="344"/>
      <c r="BA54" s="345"/>
    </row>
    <row r="55" spans="1:53" s="334" customFormat="1" x14ac:dyDescent="0.15">
      <c r="A55" s="334">
        <v>2001</v>
      </c>
      <c r="C55" s="812" t="s">
        <v>861</v>
      </c>
      <c r="D55" s="812"/>
      <c r="E55" s="334">
        <f>365-E54</f>
        <v>365</v>
      </c>
      <c r="G55" s="419"/>
      <c r="H55" s="334">
        <v>16</v>
      </c>
      <c r="J55" s="435">
        <v>16</v>
      </c>
      <c r="K55" s="384">
        <f t="shared" si="3"/>
        <v>0</v>
      </c>
      <c r="L55" s="384">
        <f t="shared" si="3"/>
        <v>100</v>
      </c>
      <c r="M55" s="384">
        <f t="shared" si="3"/>
        <v>0</v>
      </c>
      <c r="N55" s="421">
        <f t="shared" si="1"/>
        <v>100</v>
      </c>
      <c r="O55" s="383"/>
      <c r="P55" s="384">
        <v>52.3</v>
      </c>
      <c r="Q55" s="384"/>
      <c r="R55" s="385">
        <f t="shared" si="2"/>
        <v>52.3</v>
      </c>
      <c r="S55" s="334">
        <v>1</v>
      </c>
      <c r="T55" s="357"/>
      <c r="V55" s="343" t="s">
        <v>489</v>
      </c>
      <c r="W55" s="334" t="s">
        <v>76</v>
      </c>
      <c r="X55" s="334" t="s">
        <v>18</v>
      </c>
      <c r="Y55" s="344">
        <v>52.3</v>
      </c>
      <c r="AD55" s="343"/>
      <c r="AG55" s="344"/>
      <c r="AL55" s="343"/>
      <c r="AO55" s="344"/>
      <c r="AP55" s="343"/>
      <c r="AS55" s="344"/>
      <c r="AW55" s="344"/>
      <c r="BA55" s="345"/>
    </row>
    <row r="56" spans="1:53" s="334" customFormat="1" x14ac:dyDescent="0.15">
      <c r="A56" s="334">
        <v>2002</v>
      </c>
      <c r="C56" s="812" t="s">
        <v>861</v>
      </c>
      <c r="D56" s="812"/>
      <c r="E56" s="334">
        <v>0</v>
      </c>
      <c r="G56" s="419"/>
      <c r="H56" s="334">
        <v>16</v>
      </c>
      <c r="J56" s="435">
        <v>16</v>
      </c>
      <c r="K56" s="384">
        <f t="shared" si="3"/>
        <v>0</v>
      </c>
      <c r="L56" s="384">
        <f t="shared" si="3"/>
        <v>100</v>
      </c>
      <c r="M56" s="384">
        <f t="shared" si="3"/>
        <v>0</v>
      </c>
      <c r="N56" s="421">
        <f t="shared" si="1"/>
        <v>100</v>
      </c>
      <c r="O56" s="383"/>
      <c r="P56" s="384">
        <v>52.3</v>
      </c>
      <c r="Q56" s="384"/>
      <c r="R56" s="385">
        <f t="shared" si="2"/>
        <v>52.3</v>
      </c>
      <c r="S56" s="334">
        <v>1</v>
      </c>
      <c r="T56" s="357"/>
      <c r="V56" s="343" t="s">
        <v>489</v>
      </c>
      <c r="W56" s="334" t="s">
        <v>76</v>
      </c>
      <c r="X56" s="334" t="s">
        <v>18</v>
      </c>
      <c r="Y56" s="344">
        <v>52.3</v>
      </c>
      <c r="AD56" s="343"/>
      <c r="AG56" s="344"/>
      <c r="AL56" s="343"/>
      <c r="AO56" s="344"/>
      <c r="AP56" s="343"/>
      <c r="AS56" s="344"/>
      <c r="AW56" s="344"/>
      <c r="BA56" s="345"/>
    </row>
    <row r="57" spans="1:53" s="334" customFormat="1" x14ac:dyDescent="0.15">
      <c r="A57" s="334">
        <v>2002</v>
      </c>
      <c r="C57" s="812" t="s">
        <v>861</v>
      </c>
      <c r="D57" s="812"/>
      <c r="E57" s="334">
        <f>365-E56</f>
        <v>365</v>
      </c>
      <c r="G57" s="419"/>
      <c r="H57" s="334">
        <v>16</v>
      </c>
      <c r="J57" s="435">
        <v>16</v>
      </c>
      <c r="K57" s="384">
        <f t="shared" si="3"/>
        <v>0</v>
      </c>
      <c r="L57" s="384">
        <f t="shared" si="3"/>
        <v>100</v>
      </c>
      <c r="M57" s="384">
        <f t="shared" si="3"/>
        <v>0</v>
      </c>
      <c r="N57" s="421">
        <f t="shared" si="1"/>
        <v>100</v>
      </c>
      <c r="O57" s="383"/>
      <c r="P57" s="384">
        <v>52.3</v>
      </c>
      <c r="Q57" s="384"/>
      <c r="R57" s="385">
        <f t="shared" si="2"/>
        <v>52.3</v>
      </c>
      <c r="S57" s="334">
        <v>1</v>
      </c>
      <c r="T57" s="357"/>
      <c r="V57" s="343" t="s">
        <v>489</v>
      </c>
      <c r="W57" s="334" t="s">
        <v>76</v>
      </c>
      <c r="X57" s="334" t="s">
        <v>18</v>
      </c>
      <c r="Y57" s="344">
        <v>52.3</v>
      </c>
      <c r="AD57" s="343"/>
      <c r="AG57" s="344"/>
      <c r="AL57" s="343"/>
      <c r="AO57" s="344"/>
      <c r="AP57" s="343"/>
      <c r="AS57" s="344"/>
      <c r="AW57" s="344"/>
      <c r="BA57" s="345"/>
    </row>
    <row r="58" spans="1:53" s="334" customFormat="1" x14ac:dyDescent="0.15">
      <c r="A58" s="334">
        <v>2003</v>
      </c>
      <c r="C58" s="812" t="s">
        <v>861</v>
      </c>
      <c r="D58" s="812"/>
      <c r="E58" s="334">
        <v>0</v>
      </c>
      <c r="G58" s="419"/>
      <c r="H58" s="334">
        <v>16</v>
      </c>
      <c r="J58" s="435">
        <v>16</v>
      </c>
      <c r="K58" s="384">
        <f t="shared" si="3"/>
        <v>0</v>
      </c>
      <c r="L58" s="384">
        <f t="shared" si="3"/>
        <v>100</v>
      </c>
      <c r="M58" s="384">
        <f t="shared" si="3"/>
        <v>0</v>
      </c>
      <c r="N58" s="421">
        <f t="shared" si="1"/>
        <v>100</v>
      </c>
      <c r="O58" s="383"/>
      <c r="P58" s="384">
        <v>52.3</v>
      </c>
      <c r="Q58" s="384"/>
      <c r="R58" s="385">
        <f t="shared" si="2"/>
        <v>52.3</v>
      </c>
      <c r="S58" s="334">
        <v>1</v>
      </c>
      <c r="T58" s="357"/>
      <c r="V58" s="343" t="s">
        <v>489</v>
      </c>
      <c r="W58" s="334" t="s">
        <v>76</v>
      </c>
      <c r="X58" s="334" t="s">
        <v>18</v>
      </c>
      <c r="Y58" s="344">
        <v>52.3</v>
      </c>
      <c r="AD58" s="343"/>
      <c r="AG58" s="344"/>
      <c r="AL58" s="343"/>
      <c r="AO58" s="344"/>
      <c r="AP58" s="343"/>
      <c r="AS58" s="344"/>
      <c r="AW58" s="344"/>
      <c r="BA58" s="345"/>
    </row>
    <row r="59" spans="1:53" s="334" customFormat="1" x14ac:dyDescent="0.15">
      <c r="A59" s="334">
        <v>2003</v>
      </c>
      <c r="C59" s="812" t="s">
        <v>861</v>
      </c>
      <c r="D59" s="812"/>
      <c r="E59" s="334">
        <f>365-E58</f>
        <v>365</v>
      </c>
      <c r="G59" s="419"/>
      <c r="H59" s="334">
        <v>16</v>
      </c>
      <c r="J59" s="435">
        <v>16</v>
      </c>
      <c r="K59" s="384">
        <f t="shared" si="3"/>
        <v>0</v>
      </c>
      <c r="L59" s="384">
        <f t="shared" si="3"/>
        <v>100</v>
      </c>
      <c r="M59" s="384">
        <f t="shared" si="3"/>
        <v>0</v>
      </c>
      <c r="N59" s="421">
        <f t="shared" si="1"/>
        <v>100</v>
      </c>
      <c r="O59" s="383"/>
      <c r="P59" s="384">
        <v>52.3</v>
      </c>
      <c r="Q59" s="384"/>
      <c r="R59" s="385">
        <f t="shared" si="2"/>
        <v>52.3</v>
      </c>
      <c r="S59" s="334">
        <v>1</v>
      </c>
      <c r="T59" s="357"/>
      <c r="V59" s="343" t="s">
        <v>489</v>
      </c>
      <c r="W59" s="334" t="s">
        <v>76</v>
      </c>
      <c r="X59" s="334" t="s">
        <v>18</v>
      </c>
      <c r="Y59" s="344">
        <v>52.3</v>
      </c>
      <c r="AD59" s="343"/>
      <c r="AG59" s="344"/>
      <c r="AL59" s="343"/>
      <c r="AO59" s="344"/>
      <c r="AP59" s="343"/>
      <c r="AS59" s="344"/>
      <c r="AW59" s="344"/>
      <c r="BA59" s="345"/>
    </row>
    <row r="60" spans="1:53" s="334" customFormat="1" x14ac:dyDescent="0.15">
      <c r="A60" s="334">
        <v>2004</v>
      </c>
      <c r="C60" s="812" t="s">
        <v>861</v>
      </c>
      <c r="D60" s="812"/>
      <c r="E60" s="334">
        <v>107</v>
      </c>
      <c r="G60" s="419"/>
      <c r="H60" s="334">
        <v>16</v>
      </c>
      <c r="J60" s="435">
        <v>16</v>
      </c>
      <c r="K60" s="384">
        <f t="shared" si="3"/>
        <v>0</v>
      </c>
      <c r="L60" s="384">
        <f t="shared" si="3"/>
        <v>100</v>
      </c>
      <c r="M60" s="384">
        <f t="shared" si="3"/>
        <v>0</v>
      </c>
      <c r="N60" s="421">
        <f t="shared" si="1"/>
        <v>100</v>
      </c>
      <c r="O60" s="383"/>
      <c r="P60" s="384">
        <v>52.3</v>
      </c>
      <c r="Q60" s="384"/>
      <c r="R60" s="385">
        <f t="shared" si="2"/>
        <v>52.3</v>
      </c>
      <c r="S60" s="334">
        <v>1</v>
      </c>
      <c r="T60" s="357"/>
      <c r="V60" s="343" t="s">
        <v>489</v>
      </c>
      <c r="W60" s="334" t="s">
        <v>76</v>
      </c>
      <c r="X60" s="334" t="s">
        <v>18</v>
      </c>
      <c r="Y60" s="344">
        <v>52.3</v>
      </c>
      <c r="AD60" s="343"/>
      <c r="AG60" s="344"/>
      <c r="AL60" s="343"/>
      <c r="AO60" s="344"/>
      <c r="AP60" s="343"/>
      <c r="AS60" s="344"/>
      <c r="AW60" s="344"/>
      <c r="BA60" s="345"/>
    </row>
    <row r="61" spans="1:53" s="208" customFormat="1" x14ac:dyDescent="0.15">
      <c r="A61" s="208">
        <v>2004</v>
      </c>
      <c r="B61" s="207">
        <v>38094</v>
      </c>
      <c r="C61" s="811" t="s">
        <v>863</v>
      </c>
      <c r="D61" s="811"/>
      <c r="E61" s="208">
        <f>366-E60</f>
        <v>259</v>
      </c>
      <c r="F61" s="208">
        <v>1</v>
      </c>
      <c r="G61" s="123"/>
      <c r="I61" s="208">
        <v>17</v>
      </c>
      <c r="J61" s="134">
        <v>17</v>
      </c>
      <c r="K61" s="92">
        <f t="shared" si="3"/>
        <v>0</v>
      </c>
      <c r="L61" s="92">
        <f t="shared" si="3"/>
        <v>0</v>
      </c>
      <c r="M61" s="92">
        <f t="shared" si="3"/>
        <v>100</v>
      </c>
      <c r="N61" s="125">
        <f t="shared" si="1"/>
        <v>100</v>
      </c>
      <c r="O61" s="91"/>
      <c r="P61" s="92"/>
      <c r="Q61" s="92">
        <v>46.9</v>
      </c>
      <c r="R61" s="93">
        <f t="shared" si="2"/>
        <v>46.9</v>
      </c>
      <c r="S61" s="208">
        <v>4</v>
      </c>
      <c r="T61" s="95">
        <v>38060</v>
      </c>
      <c r="U61" s="207">
        <v>38094</v>
      </c>
      <c r="V61" s="82" t="s">
        <v>488</v>
      </c>
      <c r="W61" s="208" t="s">
        <v>20</v>
      </c>
      <c r="X61" s="208" t="s">
        <v>12</v>
      </c>
      <c r="Y61" s="83">
        <v>46.9</v>
      </c>
      <c r="AD61" s="82"/>
      <c r="AG61" s="83"/>
      <c r="AL61" s="82"/>
      <c r="AO61" s="83"/>
      <c r="AP61" s="82"/>
      <c r="AS61" s="83"/>
      <c r="AW61" s="83"/>
      <c r="BA61" s="84"/>
    </row>
    <row r="62" spans="1:53" s="208" customFormat="1" x14ac:dyDescent="0.15">
      <c r="A62" s="208">
        <v>2005</v>
      </c>
      <c r="C62" s="811" t="s">
        <v>863</v>
      </c>
      <c r="D62" s="811"/>
      <c r="E62" s="208">
        <v>0</v>
      </c>
      <c r="G62" s="123"/>
      <c r="I62" s="208">
        <v>17</v>
      </c>
      <c r="J62" s="134">
        <v>17</v>
      </c>
      <c r="K62" s="92">
        <f t="shared" si="3"/>
        <v>0</v>
      </c>
      <c r="L62" s="92">
        <f t="shared" si="3"/>
        <v>0</v>
      </c>
      <c r="M62" s="92">
        <f t="shared" si="3"/>
        <v>100</v>
      </c>
      <c r="N62" s="125">
        <f t="shared" si="1"/>
        <v>100</v>
      </c>
      <c r="O62" s="91"/>
      <c r="P62" s="92"/>
      <c r="Q62" s="92">
        <v>46.9</v>
      </c>
      <c r="R62" s="93">
        <f t="shared" si="2"/>
        <v>46.9</v>
      </c>
      <c r="S62" s="208">
        <v>4</v>
      </c>
      <c r="T62" s="81"/>
      <c r="V62" s="82" t="s">
        <v>488</v>
      </c>
      <c r="W62" s="208" t="s">
        <v>20</v>
      </c>
      <c r="X62" s="208" t="s">
        <v>12</v>
      </c>
      <c r="Y62" s="83">
        <v>46.9</v>
      </c>
      <c r="AD62" s="82"/>
      <c r="AG62" s="83"/>
      <c r="AL62" s="82"/>
      <c r="AO62" s="83"/>
      <c r="AP62" s="82"/>
      <c r="AS62" s="83"/>
      <c r="AW62" s="83"/>
      <c r="BA62" s="84"/>
    </row>
    <row r="63" spans="1:53" s="208" customFormat="1" x14ac:dyDescent="0.15">
      <c r="A63" s="208">
        <v>2005</v>
      </c>
      <c r="C63" s="811" t="s">
        <v>863</v>
      </c>
      <c r="D63" s="811"/>
      <c r="E63" s="208">
        <f>365-E62</f>
        <v>365</v>
      </c>
      <c r="G63" s="123"/>
      <c r="I63" s="208">
        <v>17</v>
      </c>
      <c r="J63" s="134">
        <v>17</v>
      </c>
      <c r="K63" s="92">
        <f t="shared" si="3"/>
        <v>0</v>
      </c>
      <c r="L63" s="92">
        <f t="shared" si="3"/>
        <v>0</v>
      </c>
      <c r="M63" s="92">
        <f t="shared" si="3"/>
        <v>100</v>
      </c>
      <c r="N63" s="125">
        <f t="shared" si="1"/>
        <v>100</v>
      </c>
      <c r="O63" s="91"/>
      <c r="P63" s="92"/>
      <c r="Q63" s="92">
        <v>46.9</v>
      </c>
      <c r="R63" s="93">
        <f t="shared" si="2"/>
        <v>46.9</v>
      </c>
      <c r="S63" s="208">
        <v>4</v>
      </c>
      <c r="T63" s="81"/>
      <c r="V63" s="82" t="s">
        <v>488</v>
      </c>
      <c r="W63" s="208" t="s">
        <v>20</v>
      </c>
      <c r="X63" s="208" t="s">
        <v>12</v>
      </c>
      <c r="Y63" s="83">
        <v>46.9</v>
      </c>
      <c r="AD63" s="82"/>
      <c r="AG63" s="83"/>
      <c r="AL63" s="82"/>
      <c r="AO63" s="83"/>
      <c r="AP63" s="82"/>
      <c r="AS63" s="83"/>
      <c r="AW63" s="83"/>
      <c r="BA63" s="84"/>
    </row>
    <row r="64" spans="1:53" s="208" customFormat="1" x14ac:dyDescent="0.15">
      <c r="A64" s="208">
        <v>2006</v>
      </c>
      <c r="C64" s="811" t="s">
        <v>863</v>
      </c>
      <c r="D64" s="811"/>
      <c r="E64" s="208">
        <v>0</v>
      </c>
      <c r="G64" s="123"/>
      <c r="I64" s="208">
        <v>17</v>
      </c>
      <c r="J64" s="134">
        <v>17</v>
      </c>
      <c r="K64" s="92">
        <f t="shared" si="3"/>
        <v>0</v>
      </c>
      <c r="L64" s="92">
        <f t="shared" si="3"/>
        <v>0</v>
      </c>
      <c r="M64" s="92">
        <f t="shared" si="3"/>
        <v>100</v>
      </c>
      <c r="N64" s="125">
        <f t="shared" si="1"/>
        <v>100</v>
      </c>
      <c r="O64" s="91"/>
      <c r="P64" s="92"/>
      <c r="Q64" s="92">
        <v>46.9</v>
      </c>
      <c r="R64" s="93">
        <f t="shared" si="2"/>
        <v>46.9</v>
      </c>
      <c r="S64" s="208">
        <v>4</v>
      </c>
      <c r="T64" s="81"/>
      <c r="V64" s="82" t="s">
        <v>488</v>
      </c>
      <c r="W64" s="208" t="s">
        <v>20</v>
      </c>
      <c r="X64" s="208" t="s">
        <v>12</v>
      </c>
      <c r="Y64" s="83">
        <v>46.9</v>
      </c>
      <c r="AD64" s="82"/>
      <c r="AG64" s="83"/>
      <c r="AL64" s="82"/>
      <c r="AO64" s="83"/>
      <c r="AP64" s="82"/>
      <c r="AS64" s="83"/>
      <c r="AW64" s="83"/>
      <c r="BA64" s="84"/>
    </row>
    <row r="65" spans="1:53" s="208" customFormat="1" x14ac:dyDescent="0.15">
      <c r="A65" s="208">
        <v>2006</v>
      </c>
      <c r="C65" s="811" t="s">
        <v>863</v>
      </c>
      <c r="D65" s="811"/>
      <c r="E65" s="208">
        <f>365-E64</f>
        <v>365</v>
      </c>
      <c r="G65" s="123"/>
      <c r="I65" s="208">
        <v>17</v>
      </c>
      <c r="J65" s="134">
        <v>17</v>
      </c>
      <c r="K65" s="92">
        <f t="shared" si="3"/>
        <v>0</v>
      </c>
      <c r="L65" s="92">
        <f t="shared" si="3"/>
        <v>0</v>
      </c>
      <c r="M65" s="92">
        <f t="shared" si="3"/>
        <v>100</v>
      </c>
      <c r="N65" s="125">
        <f t="shared" si="1"/>
        <v>100</v>
      </c>
      <c r="O65" s="91"/>
      <c r="P65" s="92"/>
      <c r="Q65" s="92">
        <v>46.9</v>
      </c>
      <c r="R65" s="93">
        <f t="shared" si="2"/>
        <v>46.9</v>
      </c>
      <c r="S65" s="208">
        <v>4</v>
      </c>
      <c r="T65" s="81"/>
      <c r="V65" s="82" t="s">
        <v>488</v>
      </c>
      <c r="W65" s="208" t="s">
        <v>20</v>
      </c>
      <c r="X65" s="208" t="s">
        <v>12</v>
      </c>
      <c r="Y65" s="83">
        <v>46.9</v>
      </c>
      <c r="AD65" s="82"/>
      <c r="AG65" s="83"/>
      <c r="AL65" s="82"/>
      <c r="AO65" s="83"/>
      <c r="AP65" s="82"/>
      <c r="AS65" s="83"/>
      <c r="AW65" s="83"/>
      <c r="BA65" s="84"/>
    </row>
    <row r="66" spans="1:53" s="208" customFormat="1" x14ac:dyDescent="0.15">
      <c r="A66" s="208">
        <v>2007</v>
      </c>
      <c r="C66" s="811" t="s">
        <v>863</v>
      </c>
      <c r="D66" s="811"/>
      <c r="E66" s="208">
        <v>0</v>
      </c>
      <c r="G66" s="123"/>
      <c r="I66" s="208">
        <v>17</v>
      </c>
      <c r="J66" s="134">
        <v>17</v>
      </c>
      <c r="K66" s="92">
        <f t="shared" si="3"/>
        <v>0</v>
      </c>
      <c r="L66" s="92">
        <f t="shared" si="3"/>
        <v>0</v>
      </c>
      <c r="M66" s="92">
        <f t="shared" si="3"/>
        <v>100</v>
      </c>
      <c r="N66" s="125">
        <f t="shared" si="1"/>
        <v>100</v>
      </c>
      <c r="O66" s="91"/>
      <c r="P66" s="92"/>
      <c r="Q66" s="92">
        <v>46.9</v>
      </c>
      <c r="R66" s="93">
        <f t="shared" si="2"/>
        <v>46.9</v>
      </c>
      <c r="S66" s="208">
        <v>4</v>
      </c>
      <c r="T66" s="81"/>
      <c r="V66" s="82" t="s">
        <v>488</v>
      </c>
      <c r="W66" s="208" t="s">
        <v>20</v>
      </c>
      <c r="X66" s="208" t="s">
        <v>12</v>
      </c>
      <c r="Y66" s="83">
        <v>46.9</v>
      </c>
      <c r="AD66" s="82"/>
      <c r="AG66" s="83"/>
      <c r="AL66" s="82"/>
      <c r="AO66" s="83"/>
      <c r="AP66" s="82"/>
      <c r="AS66" s="83"/>
      <c r="AW66" s="83"/>
      <c r="BA66" s="84"/>
    </row>
    <row r="67" spans="1:53" s="208" customFormat="1" x14ac:dyDescent="0.15">
      <c r="A67" s="208">
        <v>2007</v>
      </c>
      <c r="C67" s="811" t="s">
        <v>863</v>
      </c>
      <c r="D67" s="811"/>
      <c r="E67" s="208">
        <v>365</v>
      </c>
      <c r="G67" s="123"/>
      <c r="I67" s="208">
        <v>17</v>
      </c>
      <c r="J67" s="134">
        <v>17</v>
      </c>
      <c r="K67" s="92">
        <f t="shared" si="3"/>
        <v>0</v>
      </c>
      <c r="L67" s="92">
        <f t="shared" si="3"/>
        <v>0</v>
      </c>
      <c r="M67" s="92">
        <f t="shared" si="3"/>
        <v>100</v>
      </c>
      <c r="N67" s="125">
        <f t="shared" si="1"/>
        <v>100</v>
      </c>
      <c r="O67" s="91"/>
      <c r="P67" s="92"/>
      <c r="Q67" s="92">
        <v>46.9</v>
      </c>
      <c r="R67" s="93">
        <f t="shared" si="2"/>
        <v>46.9</v>
      </c>
      <c r="S67" s="208">
        <v>4</v>
      </c>
      <c r="T67" s="81"/>
      <c r="V67" s="82" t="s">
        <v>488</v>
      </c>
      <c r="W67" s="208" t="s">
        <v>20</v>
      </c>
      <c r="X67" s="208" t="s">
        <v>12</v>
      </c>
      <c r="Y67" s="83">
        <v>46.9</v>
      </c>
      <c r="AD67" s="82"/>
      <c r="AG67" s="83"/>
      <c r="AL67" s="82"/>
      <c r="AO67" s="83"/>
      <c r="AP67" s="82"/>
      <c r="AS67" s="83"/>
      <c r="AW67" s="83"/>
      <c r="BA67" s="84"/>
    </row>
    <row r="68" spans="1:53" s="208" customFormat="1" x14ac:dyDescent="0.15">
      <c r="A68" s="208">
        <v>2008</v>
      </c>
      <c r="C68" s="811" t="s">
        <v>863</v>
      </c>
      <c r="D68" s="811"/>
      <c r="E68" s="208">
        <v>98</v>
      </c>
      <c r="G68" s="123"/>
      <c r="I68" s="208">
        <v>17</v>
      </c>
      <c r="J68" s="134">
        <v>17</v>
      </c>
      <c r="K68" s="92">
        <f t="shared" si="3"/>
        <v>0</v>
      </c>
      <c r="L68" s="92">
        <f t="shared" si="3"/>
        <v>0</v>
      </c>
      <c r="M68" s="92">
        <f t="shared" si="3"/>
        <v>100</v>
      </c>
      <c r="N68" s="125">
        <f t="shared" si="1"/>
        <v>100</v>
      </c>
      <c r="O68" s="91"/>
      <c r="P68" s="92"/>
      <c r="Q68" s="92">
        <v>46.9</v>
      </c>
      <c r="R68" s="93">
        <f t="shared" si="2"/>
        <v>46.9</v>
      </c>
      <c r="S68" s="208">
        <v>4</v>
      </c>
      <c r="T68" s="81"/>
      <c r="V68" s="82" t="s">
        <v>488</v>
      </c>
      <c r="W68" s="208" t="s">
        <v>20</v>
      </c>
      <c r="X68" s="208" t="s">
        <v>12</v>
      </c>
      <c r="Y68" s="83">
        <v>46.9</v>
      </c>
      <c r="AD68" s="82"/>
      <c r="AG68" s="83"/>
      <c r="AL68" s="82"/>
      <c r="AO68" s="83"/>
      <c r="AP68" s="82"/>
      <c r="AS68" s="83"/>
      <c r="AW68" s="83"/>
      <c r="BA68" s="84"/>
    </row>
    <row r="69" spans="1:53" s="334" customFormat="1" x14ac:dyDescent="0.15">
      <c r="A69" s="334">
        <v>2008</v>
      </c>
      <c r="B69" s="355">
        <v>39546</v>
      </c>
      <c r="C69" s="812" t="s">
        <v>864</v>
      </c>
      <c r="D69" s="812"/>
      <c r="E69" s="334">
        <f>366-E68</f>
        <v>268</v>
      </c>
      <c r="F69" s="334">
        <v>1</v>
      </c>
      <c r="G69" s="419"/>
      <c r="I69" s="334">
        <v>17</v>
      </c>
      <c r="J69" s="435">
        <v>17</v>
      </c>
      <c r="K69" s="384">
        <f t="shared" si="3"/>
        <v>0</v>
      </c>
      <c r="L69" s="384">
        <f t="shared" si="3"/>
        <v>0</v>
      </c>
      <c r="M69" s="384">
        <f t="shared" si="3"/>
        <v>100</v>
      </c>
      <c r="N69" s="421">
        <f t="shared" si="1"/>
        <v>100</v>
      </c>
      <c r="O69" s="383"/>
      <c r="P69" s="384"/>
      <c r="Q69" s="384">
        <v>48.28</v>
      </c>
      <c r="R69" s="385">
        <f t="shared" si="2"/>
        <v>48.28</v>
      </c>
      <c r="S69" s="334">
        <v>4</v>
      </c>
      <c r="T69" s="342">
        <v>39516</v>
      </c>
      <c r="U69" s="355">
        <v>39546</v>
      </c>
      <c r="V69" s="343" t="s">
        <v>488</v>
      </c>
      <c r="W69" s="334" t="s">
        <v>20</v>
      </c>
      <c r="X69" s="334" t="s">
        <v>12</v>
      </c>
      <c r="Y69" s="344">
        <v>48.3</v>
      </c>
      <c r="AD69" s="343"/>
      <c r="AG69" s="344"/>
      <c r="AL69" s="343"/>
      <c r="AO69" s="344"/>
      <c r="AP69" s="343"/>
      <c r="AS69" s="344"/>
      <c r="AW69" s="344"/>
      <c r="BA69" s="345"/>
    </row>
    <row r="70" spans="1:53" s="334" customFormat="1" x14ac:dyDescent="0.15">
      <c r="A70" s="334">
        <v>2009</v>
      </c>
      <c r="C70" s="812" t="s">
        <v>864</v>
      </c>
      <c r="D70" s="812"/>
      <c r="E70" s="334">
        <v>96</v>
      </c>
      <c r="G70" s="419"/>
      <c r="I70" s="334">
        <v>17</v>
      </c>
      <c r="J70" s="435">
        <v>17</v>
      </c>
      <c r="K70" s="384">
        <f t="shared" si="3"/>
        <v>0</v>
      </c>
      <c r="L70" s="384">
        <f t="shared" si="3"/>
        <v>0</v>
      </c>
      <c r="M70" s="384">
        <f t="shared" si="3"/>
        <v>100</v>
      </c>
      <c r="N70" s="421">
        <f t="shared" si="1"/>
        <v>100</v>
      </c>
      <c r="O70" s="383"/>
      <c r="P70" s="384"/>
      <c r="Q70" s="384">
        <v>48.28</v>
      </c>
      <c r="R70" s="385">
        <f t="shared" si="2"/>
        <v>48.28</v>
      </c>
      <c r="S70" s="334">
        <v>4</v>
      </c>
      <c r="T70" s="357"/>
      <c r="V70" s="343" t="s">
        <v>488</v>
      </c>
      <c r="W70" s="334" t="s">
        <v>20</v>
      </c>
      <c r="X70" s="334" t="s">
        <v>12</v>
      </c>
      <c r="Y70" s="344">
        <v>48.3</v>
      </c>
      <c r="AD70" s="343"/>
      <c r="AG70" s="344"/>
      <c r="AL70" s="343"/>
      <c r="AO70" s="344"/>
      <c r="AP70" s="343"/>
      <c r="AS70" s="344"/>
      <c r="AW70" s="344"/>
      <c r="BA70" s="345"/>
    </row>
    <row r="71" spans="1:53" s="334" customFormat="1" x14ac:dyDescent="0.15">
      <c r="A71" s="334">
        <v>2009</v>
      </c>
      <c r="B71" s="445">
        <v>39910</v>
      </c>
      <c r="C71" s="812" t="s">
        <v>864</v>
      </c>
      <c r="D71" s="812"/>
      <c r="E71" s="334">
        <f>365-E70</f>
        <v>269</v>
      </c>
      <c r="F71" s="441">
        <v>0</v>
      </c>
      <c r="G71" s="419"/>
      <c r="I71" s="334">
        <v>18</v>
      </c>
      <c r="J71" s="435">
        <v>18</v>
      </c>
      <c r="K71" s="384">
        <f t="shared" si="3"/>
        <v>0</v>
      </c>
      <c r="L71" s="384">
        <f t="shared" si="3"/>
        <v>0</v>
      </c>
      <c r="M71" s="384">
        <f t="shared" si="3"/>
        <v>100</v>
      </c>
      <c r="N71" s="421">
        <f t="shared" si="1"/>
        <v>100</v>
      </c>
      <c r="O71" s="383"/>
      <c r="P71" s="384"/>
      <c r="Q71" s="384">
        <v>48.28</v>
      </c>
      <c r="R71" s="385">
        <f t="shared" si="2"/>
        <v>48.28</v>
      </c>
      <c r="S71" s="334">
        <v>4</v>
      </c>
      <c r="T71" s="357"/>
      <c r="V71" s="343" t="s">
        <v>488</v>
      </c>
      <c r="W71" s="334" t="s">
        <v>20</v>
      </c>
      <c r="X71" s="334" t="s">
        <v>12</v>
      </c>
      <c r="Y71" s="344">
        <v>48.3</v>
      </c>
      <c r="AD71" s="343"/>
      <c r="AG71" s="344"/>
      <c r="AL71" s="343"/>
      <c r="AO71" s="344"/>
      <c r="AP71" s="343"/>
      <c r="AS71" s="344"/>
      <c r="AW71" s="344"/>
      <c r="BA71" s="345"/>
    </row>
    <row r="72" spans="1:53" s="334" customFormat="1" x14ac:dyDescent="0.15">
      <c r="A72" s="334">
        <v>2010</v>
      </c>
      <c r="C72" s="812" t="s">
        <v>864</v>
      </c>
      <c r="D72" s="812"/>
      <c r="E72" s="334">
        <v>292</v>
      </c>
      <c r="G72" s="419"/>
      <c r="I72" s="334">
        <v>18</v>
      </c>
      <c r="J72" s="435">
        <v>18</v>
      </c>
      <c r="K72" s="384">
        <f t="shared" si="3"/>
        <v>0</v>
      </c>
      <c r="L72" s="384">
        <f t="shared" si="3"/>
        <v>0</v>
      </c>
      <c r="M72" s="384">
        <f t="shared" si="3"/>
        <v>100</v>
      </c>
      <c r="N72" s="421">
        <f t="shared" ref="N72:N79" si="4">K72+L72+M72</f>
        <v>100</v>
      </c>
      <c r="O72" s="383"/>
      <c r="P72" s="384"/>
      <c r="Q72" s="384">
        <v>48.28</v>
      </c>
      <c r="R72" s="385">
        <f t="shared" ref="R72:R79" si="5">O72+P72+Q72</f>
        <v>48.28</v>
      </c>
      <c r="S72" s="334">
        <v>4</v>
      </c>
      <c r="T72" s="357"/>
      <c r="V72" s="343" t="s">
        <v>488</v>
      </c>
      <c r="W72" s="334" t="s">
        <v>20</v>
      </c>
      <c r="X72" s="334" t="s">
        <v>12</v>
      </c>
      <c r="Y72" s="344">
        <v>48.3</v>
      </c>
      <c r="AD72" s="343"/>
      <c r="AG72" s="344"/>
      <c r="AL72" s="343"/>
      <c r="AO72" s="344"/>
      <c r="AP72" s="343"/>
      <c r="AS72" s="344"/>
      <c r="AW72" s="344"/>
      <c r="BA72" s="345"/>
    </row>
    <row r="73" spans="1:53" s="334" customFormat="1" x14ac:dyDescent="0.15">
      <c r="A73" s="334">
        <v>2010</v>
      </c>
      <c r="B73" s="445">
        <v>40471</v>
      </c>
      <c r="C73" s="812" t="s">
        <v>864</v>
      </c>
      <c r="D73" s="812"/>
      <c r="E73" s="334">
        <f>365-E72</f>
        <v>73</v>
      </c>
      <c r="F73" s="441">
        <v>0</v>
      </c>
      <c r="G73" s="419"/>
      <c r="I73" s="334">
        <v>15</v>
      </c>
      <c r="J73" s="435">
        <v>16</v>
      </c>
      <c r="K73" s="384">
        <f t="shared" si="3"/>
        <v>0</v>
      </c>
      <c r="L73" s="384">
        <f t="shared" si="3"/>
        <v>0</v>
      </c>
      <c r="M73" s="384">
        <f t="shared" si="3"/>
        <v>93.75</v>
      </c>
      <c r="N73" s="421">
        <f t="shared" si="4"/>
        <v>93.75</v>
      </c>
      <c r="O73" s="383"/>
      <c r="P73" s="384"/>
      <c r="Q73" s="384">
        <v>48.28</v>
      </c>
      <c r="R73" s="385">
        <f t="shared" si="5"/>
        <v>48.28</v>
      </c>
      <c r="S73" s="334">
        <v>4</v>
      </c>
      <c r="T73" s="357"/>
      <c r="V73" s="343" t="s">
        <v>488</v>
      </c>
      <c r="W73" s="334" t="s">
        <v>20</v>
      </c>
      <c r="X73" s="334" t="s">
        <v>12</v>
      </c>
      <c r="Y73" s="344">
        <v>48.3</v>
      </c>
      <c r="AD73" s="343"/>
      <c r="AG73" s="344"/>
      <c r="AL73" s="343"/>
      <c r="AO73" s="344"/>
      <c r="AP73" s="343"/>
      <c r="AS73" s="344"/>
      <c r="AW73" s="344"/>
      <c r="BA73" s="345"/>
    </row>
    <row r="74" spans="1:53" s="334" customFormat="1" x14ac:dyDescent="0.15">
      <c r="A74" s="334">
        <v>2011</v>
      </c>
      <c r="C74" s="812" t="s">
        <v>864</v>
      </c>
      <c r="D74" s="812"/>
      <c r="E74" s="334">
        <v>352</v>
      </c>
      <c r="G74" s="419"/>
      <c r="I74" s="334">
        <v>15</v>
      </c>
      <c r="J74" s="435">
        <v>16</v>
      </c>
      <c r="K74" s="384">
        <f t="shared" si="3"/>
        <v>0</v>
      </c>
      <c r="L74" s="384">
        <f t="shared" si="3"/>
        <v>0</v>
      </c>
      <c r="M74" s="384">
        <f t="shared" si="3"/>
        <v>93.75</v>
      </c>
      <c r="N74" s="421">
        <f t="shared" si="4"/>
        <v>93.75</v>
      </c>
      <c r="O74" s="383"/>
      <c r="P74" s="384"/>
      <c r="Q74" s="384">
        <v>48.28</v>
      </c>
      <c r="R74" s="385">
        <f t="shared" si="5"/>
        <v>48.28</v>
      </c>
      <c r="S74" s="334">
        <v>4</v>
      </c>
      <c r="T74" s="357"/>
      <c r="V74" s="343" t="s">
        <v>488</v>
      </c>
      <c r="W74" s="334" t="s">
        <v>20</v>
      </c>
      <c r="X74" s="334" t="s">
        <v>12</v>
      </c>
      <c r="Y74" s="344">
        <v>48.3</v>
      </c>
      <c r="AD74" s="343"/>
      <c r="AG74" s="344"/>
      <c r="AL74" s="343"/>
      <c r="AO74" s="344"/>
      <c r="AP74" s="343"/>
      <c r="AS74" s="344"/>
      <c r="AW74" s="344"/>
      <c r="BA74" s="345"/>
    </row>
    <row r="75" spans="1:53" s="208" customFormat="1" x14ac:dyDescent="0.15">
      <c r="A75" s="208">
        <v>2011</v>
      </c>
      <c r="B75" s="207">
        <v>40896</v>
      </c>
      <c r="C75" s="843" t="s">
        <v>865</v>
      </c>
      <c r="D75" s="843"/>
      <c r="E75" s="208">
        <v>13</v>
      </c>
      <c r="F75" s="208">
        <v>1</v>
      </c>
      <c r="G75" s="123"/>
      <c r="H75" s="208">
        <v>14</v>
      </c>
      <c r="J75" s="134">
        <v>14</v>
      </c>
      <c r="K75" s="92">
        <f t="shared" si="3"/>
        <v>0</v>
      </c>
      <c r="L75" s="92">
        <f t="shared" si="3"/>
        <v>100</v>
      </c>
      <c r="M75" s="92">
        <f t="shared" si="3"/>
        <v>0</v>
      </c>
      <c r="N75" s="125">
        <f t="shared" si="4"/>
        <v>100</v>
      </c>
      <c r="O75" s="91"/>
      <c r="P75" s="92">
        <v>53.14</v>
      </c>
      <c r="Q75" s="92"/>
      <c r="R75" s="93">
        <f t="shared" si="5"/>
        <v>53.14</v>
      </c>
      <c r="S75" s="208">
        <v>1</v>
      </c>
      <c r="T75" s="95">
        <v>40867</v>
      </c>
      <c r="U75" s="207">
        <v>40896</v>
      </c>
      <c r="V75" s="82" t="s">
        <v>489</v>
      </c>
      <c r="W75" s="208" t="s">
        <v>76</v>
      </c>
      <c r="X75" s="208" t="s">
        <v>18</v>
      </c>
      <c r="Y75" s="83">
        <v>53.1</v>
      </c>
      <c r="AD75" s="82"/>
      <c r="AG75" s="83"/>
      <c r="AL75" s="82"/>
      <c r="AO75" s="83"/>
      <c r="AP75" s="82"/>
      <c r="AS75" s="83"/>
      <c r="AW75" s="83"/>
      <c r="BA75" s="84"/>
    </row>
    <row r="76" spans="1:53" s="208" customFormat="1" x14ac:dyDescent="0.15">
      <c r="A76" s="208">
        <v>2012</v>
      </c>
      <c r="B76" s="213"/>
      <c r="C76" s="843" t="s">
        <v>865</v>
      </c>
      <c r="D76" s="843"/>
      <c r="E76" s="208">
        <v>0</v>
      </c>
      <c r="G76" s="123"/>
      <c r="H76" s="208">
        <v>14</v>
      </c>
      <c r="J76" s="134">
        <v>14</v>
      </c>
      <c r="K76" s="92">
        <f t="shared" si="3"/>
        <v>0</v>
      </c>
      <c r="L76" s="92">
        <f t="shared" si="3"/>
        <v>100</v>
      </c>
      <c r="M76" s="92">
        <f t="shared" si="3"/>
        <v>0</v>
      </c>
      <c r="N76" s="125">
        <f t="shared" si="4"/>
        <v>100</v>
      </c>
      <c r="O76" s="91"/>
      <c r="P76" s="92">
        <v>53.14</v>
      </c>
      <c r="Q76" s="92"/>
      <c r="R76" s="93">
        <f t="shared" si="5"/>
        <v>53.14</v>
      </c>
      <c r="S76" s="208">
        <v>1</v>
      </c>
      <c r="T76" s="81"/>
      <c r="V76" s="82" t="s">
        <v>489</v>
      </c>
      <c r="W76" s="208" t="s">
        <v>76</v>
      </c>
      <c r="X76" s="208" t="s">
        <v>18</v>
      </c>
      <c r="Y76" s="83">
        <v>53.1</v>
      </c>
      <c r="AD76" s="82"/>
      <c r="AG76" s="83"/>
      <c r="AL76" s="82"/>
      <c r="AO76" s="83"/>
      <c r="AP76" s="82"/>
      <c r="AS76" s="83"/>
      <c r="AW76" s="83"/>
      <c r="BA76" s="84"/>
    </row>
    <row r="77" spans="1:53" s="208" customFormat="1" x14ac:dyDescent="0.15">
      <c r="A77" s="208">
        <v>2012</v>
      </c>
      <c r="B77" s="213"/>
      <c r="C77" s="843" t="s">
        <v>865</v>
      </c>
      <c r="D77" s="843"/>
      <c r="E77" s="208">
        <v>366</v>
      </c>
      <c r="G77" s="123"/>
      <c r="H77" s="208">
        <v>14</v>
      </c>
      <c r="J77" s="134">
        <v>14</v>
      </c>
      <c r="K77" s="92">
        <f t="shared" si="3"/>
        <v>0</v>
      </c>
      <c r="L77" s="92">
        <f t="shared" si="3"/>
        <v>100</v>
      </c>
      <c r="M77" s="92">
        <f t="shared" si="3"/>
        <v>0</v>
      </c>
      <c r="N77" s="125">
        <f t="shared" si="4"/>
        <v>100</v>
      </c>
      <c r="O77" s="91"/>
      <c r="P77" s="92">
        <v>53.14</v>
      </c>
      <c r="Q77" s="92"/>
      <c r="R77" s="93">
        <f t="shared" si="5"/>
        <v>53.14</v>
      </c>
      <c r="S77" s="208">
        <v>1</v>
      </c>
      <c r="T77" s="81"/>
      <c r="V77" s="82" t="s">
        <v>489</v>
      </c>
      <c r="W77" s="208" t="s">
        <v>76</v>
      </c>
      <c r="X77" s="208" t="s">
        <v>18</v>
      </c>
      <c r="Y77" s="83">
        <v>53.1</v>
      </c>
      <c r="AD77" s="82"/>
      <c r="AG77" s="83"/>
      <c r="AL77" s="82"/>
      <c r="AO77" s="83"/>
      <c r="AP77" s="82"/>
      <c r="AS77" s="83"/>
      <c r="AW77" s="83"/>
      <c r="BA77" s="84"/>
    </row>
    <row r="78" spans="1:53" s="310" customFormat="1" x14ac:dyDescent="0.15">
      <c r="A78" s="310">
        <v>2013</v>
      </c>
      <c r="B78" s="311"/>
      <c r="C78" s="843" t="s">
        <v>865</v>
      </c>
      <c r="D78" s="843"/>
      <c r="E78" s="310">
        <v>0</v>
      </c>
      <c r="G78" s="123"/>
      <c r="H78" s="310">
        <v>14</v>
      </c>
      <c r="J78" s="134">
        <v>14</v>
      </c>
      <c r="K78" s="92">
        <f t="shared" si="3"/>
        <v>0</v>
      </c>
      <c r="L78" s="92">
        <f t="shared" si="3"/>
        <v>100</v>
      </c>
      <c r="M78" s="92">
        <f t="shared" si="3"/>
        <v>0</v>
      </c>
      <c r="N78" s="125">
        <f t="shared" si="4"/>
        <v>100</v>
      </c>
      <c r="O78" s="91"/>
      <c r="P78" s="92">
        <v>53.14</v>
      </c>
      <c r="Q78" s="92"/>
      <c r="R78" s="93">
        <f t="shared" si="5"/>
        <v>53.14</v>
      </c>
      <c r="S78" s="310">
        <v>1</v>
      </c>
      <c r="T78" s="81"/>
      <c r="V78" s="82" t="s">
        <v>489</v>
      </c>
      <c r="W78" s="310" t="s">
        <v>76</v>
      </c>
      <c r="X78" s="310" t="s">
        <v>18</v>
      </c>
      <c r="Y78" s="83">
        <v>53.1</v>
      </c>
      <c r="AD78" s="82"/>
      <c r="AG78" s="83"/>
      <c r="AL78" s="82"/>
      <c r="AO78" s="83"/>
      <c r="AP78" s="82"/>
      <c r="AS78" s="83"/>
      <c r="AW78" s="83"/>
      <c r="BA78" s="84"/>
    </row>
    <row r="79" spans="1:53" s="310" customFormat="1" x14ac:dyDescent="0.15">
      <c r="A79" s="310">
        <v>2013</v>
      </c>
      <c r="B79" s="311"/>
      <c r="C79" s="843" t="s">
        <v>865</v>
      </c>
      <c r="D79" s="843"/>
      <c r="E79" s="310">
        <v>365</v>
      </c>
      <c r="G79" s="123"/>
      <c r="H79" s="310">
        <v>14</v>
      </c>
      <c r="J79" s="134">
        <v>14</v>
      </c>
      <c r="K79" s="92">
        <f t="shared" si="3"/>
        <v>0</v>
      </c>
      <c r="L79" s="92">
        <f t="shared" si="3"/>
        <v>100</v>
      </c>
      <c r="M79" s="92">
        <f t="shared" si="3"/>
        <v>0</v>
      </c>
      <c r="N79" s="125">
        <f t="shared" si="4"/>
        <v>100</v>
      </c>
      <c r="O79" s="91"/>
      <c r="P79" s="92">
        <v>53.14</v>
      </c>
      <c r="Q79" s="92"/>
      <c r="R79" s="93">
        <f t="shared" si="5"/>
        <v>53.14</v>
      </c>
      <c r="S79" s="310">
        <v>1</v>
      </c>
      <c r="T79" s="81"/>
      <c r="V79" s="82" t="s">
        <v>489</v>
      </c>
      <c r="W79" s="310" t="s">
        <v>76</v>
      </c>
      <c r="X79" s="310" t="s">
        <v>18</v>
      </c>
      <c r="Y79" s="83">
        <v>53.1</v>
      </c>
      <c r="AD79" s="82"/>
      <c r="AG79" s="83"/>
      <c r="AL79" s="82"/>
      <c r="AO79" s="83"/>
      <c r="AP79" s="82"/>
      <c r="AS79" s="83"/>
      <c r="AW79" s="83"/>
      <c r="BA79" s="84"/>
    </row>
    <row r="80" spans="1:53" s="663" customFormat="1" x14ac:dyDescent="0.15">
      <c r="A80" s="663">
        <v>2014</v>
      </c>
      <c r="B80" s="665"/>
      <c r="C80" s="843" t="s">
        <v>865</v>
      </c>
      <c r="D80" s="843"/>
      <c r="E80" s="663">
        <v>0</v>
      </c>
      <c r="G80" s="600"/>
      <c r="H80" s="663">
        <v>14</v>
      </c>
      <c r="J80" s="602">
        <v>14</v>
      </c>
      <c r="K80" s="597">
        <f t="shared" ref="K80:M81" si="6">G80/$J80*100</f>
        <v>0</v>
      </c>
      <c r="L80" s="597">
        <f t="shared" si="6"/>
        <v>100</v>
      </c>
      <c r="M80" s="597">
        <f t="shared" si="6"/>
        <v>0</v>
      </c>
      <c r="N80" s="601">
        <f>K80+L80+M80</f>
        <v>100</v>
      </c>
      <c r="O80" s="596"/>
      <c r="P80" s="597">
        <v>53.14</v>
      </c>
      <c r="Q80" s="597"/>
      <c r="R80" s="598">
        <f>O80+P80+Q80</f>
        <v>53.14</v>
      </c>
      <c r="S80" s="663">
        <v>1</v>
      </c>
      <c r="T80" s="577"/>
      <c r="V80" s="592" t="s">
        <v>489</v>
      </c>
      <c r="W80" s="663" t="s">
        <v>76</v>
      </c>
      <c r="X80" s="663" t="s">
        <v>18</v>
      </c>
      <c r="Y80" s="593">
        <v>53.1</v>
      </c>
      <c r="AD80" s="592"/>
      <c r="AG80" s="593"/>
      <c r="AL80" s="592"/>
      <c r="AO80" s="593"/>
      <c r="AP80" s="592"/>
      <c r="AS80" s="593"/>
      <c r="AW80" s="593"/>
      <c r="BA80" s="594"/>
    </row>
    <row r="81" spans="1:53" s="663" customFormat="1" x14ac:dyDescent="0.15">
      <c r="A81" s="663">
        <v>2014</v>
      </c>
      <c r="B81" s="665"/>
      <c r="C81" s="843" t="s">
        <v>865</v>
      </c>
      <c r="D81" s="843"/>
      <c r="E81" s="663">
        <v>365</v>
      </c>
      <c r="G81" s="600"/>
      <c r="H81" s="663">
        <v>14</v>
      </c>
      <c r="J81" s="602">
        <v>14</v>
      </c>
      <c r="K81" s="597">
        <f t="shared" si="6"/>
        <v>0</v>
      </c>
      <c r="L81" s="597">
        <f t="shared" si="6"/>
        <v>100</v>
      </c>
      <c r="M81" s="597">
        <f t="shared" si="6"/>
        <v>0</v>
      </c>
      <c r="N81" s="601">
        <f>K81+L81+M81</f>
        <v>100</v>
      </c>
      <c r="O81" s="596"/>
      <c r="P81" s="597">
        <v>53.14</v>
      </c>
      <c r="Q81" s="597"/>
      <c r="R81" s="598">
        <f>O81+P81+Q81</f>
        <v>53.14</v>
      </c>
      <c r="S81" s="663">
        <v>1</v>
      </c>
      <c r="T81" s="577"/>
      <c r="V81" s="592" t="s">
        <v>489</v>
      </c>
      <c r="W81" s="663" t="s">
        <v>76</v>
      </c>
      <c r="X81" s="663" t="s">
        <v>18</v>
      </c>
      <c r="Y81" s="593">
        <v>53.1</v>
      </c>
      <c r="AD81" s="592"/>
      <c r="AG81" s="593"/>
      <c r="AL81" s="592"/>
      <c r="AO81" s="593"/>
      <c r="AP81" s="592"/>
      <c r="AS81" s="593"/>
      <c r="AW81" s="593"/>
      <c r="BA81" s="594"/>
    </row>
    <row r="82" spans="1:53" s="758" customFormat="1" x14ac:dyDescent="0.15">
      <c r="A82" s="758">
        <v>2015</v>
      </c>
      <c r="B82" s="762"/>
      <c r="C82" s="843" t="s">
        <v>865</v>
      </c>
      <c r="D82" s="843"/>
      <c r="E82" s="758">
        <v>0</v>
      </c>
      <c r="G82" s="600"/>
      <c r="H82" s="758">
        <v>14</v>
      </c>
      <c r="J82" s="602">
        <v>14</v>
      </c>
      <c r="K82" s="597">
        <f t="shared" ref="K82:K83" si="7">G82/$J82*100</f>
        <v>0</v>
      </c>
      <c r="L82" s="597">
        <f t="shared" ref="L82:L83" si="8">H82/$J82*100</f>
        <v>100</v>
      </c>
      <c r="M82" s="597">
        <f t="shared" ref="M82:M83" si="9">I82/$J82*100</f>
        <v>0</v>
      </c>
      <c r="N82" s="601">
        <f t="shared" ref="N82:N83" si="10">K82+L82+M82</f>
        <v>100</v>
      </c>
      <c r="O82" s="596"/>
      <c r="P82" s="597">
        <v>53.14</v>
      </c>
      <c r="Q82" s="597"/>
      <c r="R82" s="598">
        <f t="shared" ref="R82:R83" si="11">O82+P82+Q82</f>
        <v>53.14</v>
      </c>
      <c r="S82" s="758">
        <v>1</v>
      </c>
      <c r="T82" s="577"/>
      <c r="V82" s="592" t="s">
        <v>489</v>
      </c>
      <c r="W82" s="758" t="s">
        <v>76</v>
      </c>
      <c r="X82" s="758" t="s">
        <v>18</v>
      </c>
      <c r="Y82" s="593">
        <v>53.1</v>
      </c>
      <c r="AD82" s="592"/>
      <c r="AG82" s="593"/>
      <c r="AL82" s="592"/>
      <c r="AO82" s="593"/>
      <c r="AP82" s="592"/>
      <c r="AS82" s="593"/>
      <c r="AW82" s="593"/>
      <c r="BA82" s="594"/>
    </row>
    <row r="83" spans="1:53" s="758" customFormat="1" x14ac:dyDescent="0.15">
      <c r="A83" s="758">
        <v>2015</v>
      </c>
      <c r="B83" s="762"/>
      <c r="C83" s="843" t="s">
        <v>865</v>
      </c>
      <c r="D83" s="843"/>
      <c r="E83" s="758">
        <v>365</v>
      </c>
      <c r="G83" s="600"/>
      <c r="H83" s="758">
        <v>14</v>
      </c>
      <c r="J83" s="602">
        <v>14</v>
      </c>
      <c r="K83" s="597">
        <f t="shared" si="7"/>
        <v>0</v>
      </c>
      <c r="L83" s="597">
        <f t="shared" si="8"/>
        <v>100</v>
      </c>
      <c r="M83" s="597">
        <f t="shared" si="9"/>
        <v>0</v>
      </c>
      <c r="N83" s="601">
        <f t="shared" si="10"/>
        <v>100</v>
      </c>
      <c r="O83" s="596"/>
      <c r="P83" s="597">
        <v>53.14</v>
      </c>
      <c r="Q83" s="597"/>
      <c r="R83" s="598">
        <f t="shared" si="11"/>
        <v>53.14</v>
      </c>
      <c r="S83" s="758">
        <v>1</v>
      </c>
      <c r="T83" s="577"/>
      <c r="V83" s="592" t="s">
        <v>489</v>
      </c>
      <c r="W83" s="758" t="s">
        <v>76</v>
      </c>
      <c r="X83" s="758" t="s">
        <v>18</v>
      </c>
      <c r="Y83" s="593">
        <v>53.1</v>
      </c>
      <c r="AD83" s="592"/>
      <c r="AG83" s="593"/>
      <c r="AL83" s="592"/>
      <c r="AO83" s="593"/>
      <c r="AP83" s="592"/>
      <c r="AS83" s="593"/>
      <c r="AW83" s="593"/>
      <c r="BA83" s="594"/>
    </row>
    <row r="86" spans="1:53" s="2" customFormat="1" ht="18" customHeight="1" x14ac:dyDescent="0.2">
      <c r="B86" s="22" t="s">
        <v>1284</v>
      </c>
      <c r="H86" s="6"/>
    </row>
    <row r="87" spans="1:53" s="2" customFormat="1" ht="9" customHeight="1" x14ac:dyDescent="0.15">
      <c r="H87" s="6"/>
    </row>
    <row r="88" spans="1:53" s="364" customFormat="1" ht="9" customHeight="1" x14ac:dyDescent="0.15">
      <c r="A88" s="362"/>
      <c r="B88" s="363" t="s">
        <v>1235</v>
      </c>
      <c r="C88" s="363"/>
      <c r="D88" s="363"/>
      <c r="E88" s="363"/>
      <c r="F88" s="363"/>
      <c r="G88" s="363" t="s">
        <v>1236</v>
      </c>
      <c r="H88" s="363"/>
      <c r="I88" s="363"/>
      <c r="J88" s="363"/>
      <c r="K88" s="363"/>
      <c r="L88" s="363"/>
      <c r="M88" s="363"/>
      <c r="N88" s="363"/>
      <c r="R88" s="802" t="s">
        <v>1237</v>
      </c>
      <c r="S88" s="802"/>
      <c r="T88" s="802"/>
      <c r="U88" s="802"/>
      <c r="V88" s="802"/>
      <c r="W88" s="802"/>
      <c r="X88" s="365"/>
      <c r="Y88" s="365"/>
      <c r="AA88" s="365"/>
      <c r="AB88" s="365"/>
      <c r="AC88" s="365"/>
      <c r="AD88" s="365"/>
    </row>
    <row r="89" spans="1:53" s="369" customFormat="1" ht="9" customHeight="1" x14ac:dyDescent="0.15">
      <c r="A89" s="366"/>
      <c r="B89" s="367" t="s">
        <v>1239</v>
      </c>
      <c r="C89" s="368"/>
      <c r="D89" s="368"/>
      <c r="E89" s="368"/>
      <c r="F89" s="368"/>
      <c r="G89" s="367" t="s">
        <v>1238</v>
      </c>
      <c r="H89" s="368"/>
      <c r="I89" s="368"/>
      <c r="J89" s="368"/>
      <c r="K89" s="368"/>
      <c r="L89" s="368"/>
      <c r="M89" s="368"/>
      <c r="N89" s="368"/>
      <c r="R89" s="370" t="s">
        <v>1240</v>
      </c>
      <c r="S89" s="371"/>
      <c r="T89" s="372"/>
      <c r="U89" s="372"/>
      <c r="V89" s="372"/>
      <c r="W89" s="370" t="s">
        <v>1241</v>
      </c>
      <c r="X89" s="372"/>
      <c r="Y89" s="372"/>
      <c r="AA89" s="372"/>
      <c r="AB89" s="372"/>
      <c r="AC89" s="372"/>
      <c r="AD89" s="372"/>
    </row>
    <row r="90" spans="1:53" s="351" customFormat="1" ht="12" customHeight="1" x14ac:dyDescent="0.15">
      <c r="A90" s="373" t="s">
        <v>3</v>
      </c>
      <c r="B90" s="374" t="s">
        <v>8</v>
      </c>
      <c r="C90" s="374" t="s">
        <v>9</v>
      </c>
      <c r="D90" s="374" t="s">
        <v>10</v>
      </c>
      <c r="E90" s="375" t="s">
        <v>1215</v>
      </c>
      <c r="F90" s="374"/>
      <c r="G90" s="351" t="s">
        <v>3</v>
      </c>
      <c r="H90" s="803" t="s">
        <v>0</v>
      </c>
      <c r="I90" s="803"/>
      <c r="J90" s="803" t="s">
        <v>1</v>
      </c>
      <c r="K90" s="803"/>
      <c r="L90" s="803" t="s">
        <v>2</v>
      </c>
      <c r="M90" s="803"/>
      <c r="N90" s="804" t="s">
        <v>1215</v>
      </c>
      <c r="O90" s="804"/>
      <c r="P90" s="376"/>
      <c r="Q90" s="376"/>
      <c r="R90" s="377" t="s">
        <v>3</v>
      </c>
      <c r="S90" s="378" t="s">
        <v>136</v>
      </c>
      <c r="T90" s="376" t="s">
        <v>134</v>
      </c>
      <c r="U90" s="374" t="s">
        <v>135</v>
      </c>
      <c r="V90" s="376"/>
      <c r="W90" s="379" t="s">
        <v>26</v>
      </c>
    </row>
    <row r="91" spans="1:53" s="16" customFormat="1" ht="9" customHeight="1" x14ac:dyDescent="0.15">
      <c r="A91" s="1">
        <v>1960</v>
      </c>
      <c r="B91" s="196"/>
      <c r="C91" s="196"/>
      <c r="D91" s="196"/>
      <c r="E91" s="232"/>
      <c r="F91" s="196"/>
      <c r="G91" s="1">
        <v>1960</v>
      </c>
      <c r="H91" s="196"/>
      <c r="I91" s="196"/>
      <c r="J91" s="196"/>
      <c r="K91" s="196"/>
      <c r="L91" s="196"/>
      <c r="M91" s="196"/>
      <c r="N91" s="232"/>
      <c r="O91" s="232"/>
      <c r="P91" s="197"/>
      <c r="Q91" s="197"/>
      <c r="R91" s="1">
        <v>1960</v>
      </c>
      <c r="S91" s="54"/>
      <c r="T91" s="197"/>
      <c r="U91" s="196"/>
      <c r="V91" s="197"/>
      <c r="W91" s="198"/>
    </row>
    <row r="92" spans="1:53" s="16" customFormat="1" ht="9" customHeight="1" x14ac:dyDescent="0.15">
      <c r="A92" s="1">
        <v>1961</v>
      </c>
      <c r="B92" s="196"/>
      <c r="C92" s="196"/>
      <c r="D92" s="196"/>
      <c r="E92" s="232"/>
      <c r="F92" s="196"/>
      <c r="G92" s="1">
        <v>1961</v>
      </c>
      <c r="H92" s="196"/>
      <c r="I92" s="196"/>
      <c r="J92" s="196"/>
      <c r="K92" s="196"/>
      <c r="L92" s="196"/>
      <c r="M92" s="196"/>
      <c r="N92" s="232"/>
      <c r="O92" s="232"/>
      <c r="P92" s="197"/>
      <c r="Q92" s="197"/>
      <c r="R92" s="1">
        <v>1961</v>
      </c>
      <c r="S92" s="54"/>
      <c r="T92" s="197"/>
      <c r="U92" s="196"/>
      <c r="V92" s="197"/>
      <c r="W92" s="198"/>
    </row>
    <row r="93" spans="1:53" s="16" customFormat="1" ht="9" customHeight="1" x14ac:dyDescent="0.15">
      <c r="A93" s="1">
        <v>1962</v>
      </c>
      <c r="B93" s="196"/>
      <c r="C93" s="196"/>
      <c r="D93" s="196"/>
      <c r="E93" s="232"/>
      <c r="F93" s="196"/>
      <c r="G93" s="1">
        <v>1962</v>
      </c>
      <c r="H93" s="196"/>
      <c r="I93" s="196"/>
      <c r="J93" s="196"/>
      <c r="K93" s="196"/>
      <c r="L93" s="196"/>
      <c r="M93" s="196"/>
      <c r="N93" s="232"/>
      <c r="O93" s="232"/>
      <c r="P93" s="197"/>
      <c r="Q93" s="197"/>
      <c r="R93" s="1">
        <v>1962</v>
      </c>
      <c r="S93" s="54"/>
      <c r="T93" s="197"/>
      <c r="U93" s="196"/>
      <c r="V93" s="197"/>
      <c r="W93" s="198"/>
    </row>
    <row r="94" spans="1:53" s="16" customFormat="1" ht="9" customHeight="1" x14ac:dyDescent="0.15">
      <c r="A94" s="1">
        <v>1963</v>
      </c>
      <c r="B94" s="196"/>
      <c r="C94" s="196"/>
      <c r="D94" s="196"/>
      <c r="E94" s="232"/>
      <c r="F94" s="196"/>
      <c r="G94" s="1">
        <v>1963</v>
      </c>
      <c r="H94" s="196"/>
      <c r="I94" s="196"/>
      <c r="J94" s="196"/>
      <c r="K94" s="196"/>
      <c r="L94" s="196"/>
      <c r="M94" s="196"/>
      <c r="N94" s="232"/>
      <c r="O94" s="232"/>
      <c r="P94" s="197"/>
      <c r="Q94" s="197"/>
      <c r="R94" s="1">
        <v>1963</v>
      </c>
      <c r="S94" s="54"/>
      <c r="T94" s="197"/>
      <c r="U94" s="196"/>
      <c r="V94" s="197"/>
      <c r="W94" s="198"/>
    </row>
    <row r="95" spans="1:53" s="16" customFormat="1" ht="9" customHeight="1" x14ac:dyDescent="0.15">
      <c r="A95" s="1">
        <v>1964</v>
      </c>
      <c r="B95" s="196"/>
      <c r="C95" s="196"/>
      <c r="D95" s="196"/>
      <c r="E95" s="232"/>
      <c r="F95" s="196"/>
      <c r="G95" s="1">
        <v>1964</v>
      </c>
      <c r="H95" s="196"/>
      <c r="I95" s="196"/>
      <c r="J95" s="196"/>
      <c r="K95" s="196"/>
      <c r="L95" s="196"/>
      <c r="M95" s="196"/>
      <c r="N95" s="232"/>
      <c r="O95" s="232"/>
      <c r="P95" s="197"/>
      <c r="Q95" s="197"/>
      <c r="R95" s="1">
        <v>1964</v>
      </c>
      <c r="S95" s="54"/>
      <c r="T95" s="197"/>
      <c r="U95" s="196"/>
      <c r="V95" s="197"/>
      <c r="W95" s="198"/>
    </row>
    <row r="96" spans="1:53" s="16" customFormat="1" ht="9" customHeight="1" x14ac:dyDescent="0.15">
      <c r="A96" s="1">
        <v>1965</v>
      </c>
      <c r="B96" s="196"/>
      <c r="C96" s="196"/>
      <c r="D96" s="196"/>
      <c r="E96" s="232"/>
      <c r="F96" s="196"/>
      <c r="G96" s="1">
        <v>1965</v>
      </c>
      <c r="H96" s="196"/>
      <c r="I96" s="196"/>
      <c r="J96" s="196"/>
      <c r="K96" s="196"/>
      <c r="L96" s="196"/>
      <c r="M96" s="196"/>
      <c r="N96" s="232"/>
      <c r="O96" s="232"/>
      <c r="P96" s="197"/>
      <c r="Q96" s="197"/>
      <c r="R96" s="1">
        <v>1965</v>
      </c>
      <c r="S96" s="54"/>
      <c r="T96" s="197"/>
      <c r="U96" s="196"/>
      <c r="V96" s="197"/>
      <c r="W96" s="198"/>
    </row>
    <row r="97" spans="1:29" s="16" customFormat="1" ht="9" customHeight="1" x14ac:dyDescent="0.15">
      <c r="A97" s="1">
        <v>1966</v>
      </c>
      <c r="B97" s="196"/>
      <c r="C97" s="196"/>
      <c r="D97" s="196"/>
      <c r="E97" s="232"/>
      <c r="F97" s="196"/>
      <c r="G97" s="1">
        <v>1966</v>
      </c>
      <c r="H97" s="196"/>
      <c r="I97" s="196"/>
      <c r="J97" s="196"/>
      <c r="K97" s="196"/>
      <c r="L97" s="196"/>
      <c r="M97" s="196"/>
      <c r="N97" s="232"/>
      <c r="O97" s="232"/>
      <c r="P97" s="197"/>
      <c r="Q97" s="197"/>
      <c r="R97" s="1">
        <v>1966</v>
      </c>
      <c r="S97" s="54"/>
      <c r="T97" s="197"/>
      <c r="U97" s="196"/>
      <c r="V97" s="197"/>
      <c r="W97" s="198"/>
    </row>
    <row r="98" spans="1:29" s="16" customFormat="1" ht="9" customHeight="1" x14ac:dyDescent="0.15">
      <c r="A98" s="1">
        <v>1967</v>
      </c>
      <c r="B98" s="196"/>
      <c r="C98" s="196"/>
      <c r="D98" s="196"/>
      <c r="E98" s="232"/>
      <c r="F98" s="196"/>
      <c r="G98" s="1">
        <v>1967</v>
      </c>
      <c r="H98" s="196"/>
      <c r="I98" s="196"/>
      <c r="J98" s="196"/>
      <c r="K98" s="196"/>
      <c r="L98" s="196"/>
      <c r="M98" s="196"/>
      <c r="N98" s="232"/>
      <c r="O98" s="232"/>
      <c r="P98" s="197"/>
      <c r="Q98" s="197"/>
      <c r="R98" s="1">
        <v>1967</v>
      </c>
      <c r="S98" s="54"/>
      <c r="T98" s="197"/>
      <c r="U98" s="196"/>
      <c r="V98" s="197"/>
      <c r="W98" s="198"/>
    </row>
    <row r="99" spans="1:29" s="16" customFormat="1" ht="9" customHeight="1" x14ac:dyDescent="0.15">
      <c r="A99" s="1">
        <v>1968</v>
      </c>
      <c r="B99" s="196"/>
      <c r="C99" s="196"/>
      <c r="D99" s="196"/>
      <c r="E99" s="232"/>
      <c r="F99" s="196"/>
      <c r="G99" s="1">
        <v>1968</v>
      </c>
      <c r="H99" s="196"/>
      <c r="I99" s="196"/>
      <c r="J99" s="196"/>
      <c r="K99" s="196"/>
      <c r="L99" s="196"/>
      <c r="M99" s="196"/>
      <c r="N99" s="232"/>
      <c r="O99" s="232"/>
      <c r="P99" s="197"/>
      <c r="Q99" s="197"/>
      <c r="R99" s="1">
        <v>1968</v>
      </c>
      <c r="S99" s="54"/>
      <c r="T99" s="197"/>
      <c r="U99" s="196"/>
      <c r="V99" s="197"/>
      <c r="W99" s="198"/>
    </row>
    <row r="100" spans="1:29" s="16" customFormat="1" ht="9" customHeight="1" x14ac:dyDescent="0.15">
      <c r="A100" s="1">
        <v>1969</v>
      </c>
      <c r="B100" s="196"/>
      <c r="C100" s="196"/>
      <c r="D100" s="196"/>
      <c r="E100" s="232"/>
      <c r="F100" s="196"/>
      <c r="G100" s="1">
        <v>1969</v>
      </c>
      <c r="H100" s="196"/>
      <c r="I100" s="196"/>
      <c r="J100" s="196"/>
      <c r="K100" s="196"/>
      <c r="L100" s="196"/>
      <c r="M100" s="196"/>
      <c r="N100" s="232"/>
      <c r="O100" s="232"/>
      <c r="P100" s="197"/>
      <c r="Q100" s="197"/>
      <c r="R100" s="1">
        <v>1969</v>
      </c>
      <c r="S100" s="54"/>
      <c r="T100" s="197"/>
      <c r="U100" s="196"/>
      <c r="V100" s="197"/>
      <c r="W100" s="198"/>
    </row>
    <row r="101" spans="1:29" s="16" customFormat="1" ht="9" customHeight="1" x14ac:dyDescent="0.15">
      <c r="A101" s="1">
        <v>1970</v>
      </c>
      <c r="B101" s="196"/>
      <c r="C101" s="196"/>
      <c r="D101" s="196"/>
      <c r="E101" s="232"/>
      <c r="F101" s="196"/>
      <c r="G101" s="1">
        <v>1970</v>
      </c>
      <c r="H101" s="196"/>
      <c r="I101" s="196"/>
      <c r="J101" s="196"/>
      <c r="K101" s="196"/>
      <c r="L101" s="196"/>
      <c r="M101" s="196"/>
      <c r="N101" s="232"/>
      <c r="O101" s="232"/>
      <c r="P101" s="197"/>
      <c r="Q101" s="197"/>
      <c r="R101" s="1">
        <v>1970</v>
      </c>
      <c r="S101" s="54"/>
      <c r="T101" s="197"/>
      <c r="U101" s="196"/>
      <c r="V101" s="197"/>
      <c r="W101" s="198"/>
    </row>
    <row r="102" spans="1:29" s="16" customFormat="1" ht="9" customHeight="1" x14ac:dyDescent="0.15">
      <c r="A102" s="1">
        <v>1971</v>
      </c>
      <c r="B102" s="196"/>
      <c r="C102" s="196"/>
      <c r="D102" s="196"/>
      <c r="E102" s="232"/>
      <c r="F102" s="196"/>
      <c r="G102" s="1">
        <v>1971</v>
      </c>
      <c r="H102" s="196"/>
      <c r="I102" s="196"/>
      <c r="J102" s="196"/>
      <c r="K102" s="196"/>
      <c r="L102" s="196"/>
      <c r="M102" s="196"/>
      <c r="N102" s="232"/>
      <c r="O102" s="232"/>
      <c r="P102" s="197"/>
      <c r="Q102" s="197"/>
      <c r="R102" s="1">
        <v>1971</v>
      </c>
      <c r="S102" s="54"/>
      <c r="T102" s="197"/>
      <c r="U102" s="196"/>
      <c r="V102" s="197"/>
      <c r="W102" s="198"/>
    </row>
    <row r="103" spans="1:29" s="16" customFormat="1" ht="9" customHeight="1" x14ac:dyDescent="0.15">
      <c r="A103" s="1">
        <v>1972</v>
      </c>
      <c r="B103" s="196"/>
      <c r="C103" s="196"/>
      <c r="D103" s="196"/>
      <c r="E103" s="232"/>
      <c r="F103" s="196"/>
      <c r="G103" s="1">
        <v>1972</v>
      </c>
      <c r="H103" s="196"/>
      <c r="I103" s="196"/>
      <c r="J103" s="196"/>
      <c r="K103" s="196"/>
      <c r="L103" s="196"/>
      <c r="M103" s="196"/>
      <c r="N103" s="232"/>
      <c r="O103" s="232"/>
      <c r="P103" s="197"/>
      <c r="Q103" s="197"/>
      <c r="R103" s="1">
        <v>1972</v>
      </c>
      <c r="S103" s="54"/>
      <c r="T103" s="197"/>
      <c r="U103" s="196"/>
      <c r="V103" s="197"/>
      <c r="W103" s="198"/>
    </row>
    <row r="104" spans="1:29" s="16" customFormat="1" ht="9" customHeight="1" x14ac:dyDescent="0.15">
      <c r="A104" s="1">
        <v>1973</v>
      </c>
      <c r="B104" s="196"/>
      <c r="C104" s="196"/>
      <c r="D104" s="196"/>
      <c r="E104" s="232"/>
      <c r="F104" s="196"/>
      <c r="G104" s="1">
        <v>1973</v>
      </c>
      <c r="H104" s="196"/>
      <c r="I104" s="196"/>
      <c r="J104" s="196"/>
      <c r="K104" s="196"/>
      <c r="L104" s="196"/>
      <c r="M104" s="196"/>
      <c r="N104" s="232"/>
      <c r="O104" s="232"/>
      <c r="P104" s="197"/>
      <c r="Q104" s="197"/>
      <c r="R104" s="1">
        <v>1973</v>
      </c>
      <c r="S104" s="54"/>
      <c r="T104" s="197"/>
      <c r="U104" s="196"/>
      <c r="V104" s="197"/>
      <c r="W104" s="198"/>
    </row>
    <row r="105" spans="1:29" s="16" customFormat="1" ht="9" customHeight="1" x14ac:dyDescent="0.15">
      <c r="A105" s="1">
        <v>1974</v>
      </c>
      <c r="B105" s="196"/>
      <c r="C105" s="196"/>
      <c r="D105" s="196"/>
      <c r="E105" s="232"/>
      <c r="F105" s="196"/>
      <c r="G105" s="1">
        <v>1974</v>
      </c>
      <c r="H105" s="196"/>
      <c r="I105" s="196"/>
      <c r="J105" s="196"/>
      <c r="K105" s="196"/>
      <c r="L105" s="196"/>
      <c r="M105" s="196"/>
      <c r="N105" s="232"/>
      <c r="O105" s="232"/>
      <c r="P105" s="197"/>
      <c r="Q105" s="197"/>
      <c r="R105" s="1">
        <v>1974</v>
      </c>
      <c r="S105" s="54"/>
      <c r="T105" s="197"/>
      <c r="U105" s="196"/>
      <c r="V105" s="197"/>
      <c r="W105" s="198"/>
    </row>
    <row r="106" spans="1:29" s="16" customFormat="1" ht="9" customHeight="1" x14ac:dyDescent="0.15">
      <c r="A106" s="1">
        <v>1975</v>
      </c>
      <c r="B106" s="196"/>
      <c r="C106" s="196"/>
      <c r="D106" s="196"/>
      <c r="E106" s="232"/>
      <c r="F106" s="196"/>
      <c r="G106" s="1">
        <v>1975</v>
      </c>
      <c r="H106" s="196"/>
      <c r="I106" s="196"/>
      <c r="J106" s="196"/>
      <c r="K106" s="196"/>
      <c r="L106" s="196"/>
      <c r="M106" s="196"/>
      <c r="N106" s="232"/>
      <c r="O106" s="232"/>
      <c r="P106" s="197"/>
      <c r="Q106" s="197"/>
      <c r="R106" s="1">
        <v>1975</v>
      </c>
      <c r="S106" s="54"/>
      <c r="T106" s="197"/>
      <c r="U106" s="196"/>
      <c r="V106" s="197"/>
      <c r="W106" s="198"/>
    </row>
    <row r="107" spans="1:29" s="16" customFormat="1" ht="9" customHeight="1" x14ac:dyDescent="0.15">
      <c r="A107" s="1">
        <v>1976</v>
      </c>
      <c r="B107" s="196"/>
      <c r="C107" s="196"/>
      <c r="D107" s="196"/>
      <c r="E107" s="232"/>
      <c r="F107" s="196"/>
      <c r="G107" s="1">
        <v>1976</v>
      </c>
      <c r="H107" s="196"/>
      <c r="I107" s="196"/>
      <c r="J107" s="196"/>
      <c r="K107" s="196"/>
      <c r="L107" s="196"/>
      <c r="M107" s="196"/>
      <c r="N107" s="232"/>
      <c r="O107" s="232"/>
      <c r="P107" s="197"/>
      <c r="Q107" s="197"/>
      <c r="R107" s="1">
        <v>1976</v>
      </c>
      <c r="S107" s="54"/>
      <c r="T107" s="197"/>
      <c r="U107" s="196"/>
      <c r="V107" s="197"/>
      <c r="W107" s="198"/>
    </row>
    <row r="108" spans="1:29" x14ac:dyDescent="0.15">
      <c r="A108" s="1">
        <v>1977</v>
      </c>
      <c r="B108" s="8">
        <f>(K7*($E7/180))</f>
        <v>0</v>
      </c>
      <c r="C108" s="8">
        <f>(L7*($E7/180))</f>
        <v>95</v>
      </c>
      <c r="D108" s="8">
        <f>(M7*($E7/180))</f>
        <v>0</v>
      </c>
      <c r="E108" s="49">
        <f>B108+C108+D108</f>
        <v>95</v>
      </c>
      <c r="G108" s="1">
        <v>1977</v>
      </c>
      <c r="H108" s="809">
        <f>(O7/$R7*100*($E7/180))</f>
        <v>0</v>
      </c>
      <c r="I108" s="809"/>
      <c r="J108" s="809">
        <f>(P7/$R7*100*($E7/180))</f>
        <v>100</v>
      </c>
      <c r="K108" s="809"/>
      <c r="L108" s="809">
        <f>(Q7/$R7*100*($E7/180))</f>
        <v>0</v>
      </c>
      <c r="M108" s="809"/>
      <c r="N108" s="781">
        <f t="shared" ref="N108:N143" si="12">H108+J108+L108</f>
        <v>100</v>
      </c>
      <c r="O108" s="781"/>
      <c r="R108" s="1">
        <v>1977</v>
      </c>
      <c r="S108" s="8">
        <f>(O7*($E7/180))</f>
        <v>0</v>
      </c>
      <c r="T108" s="8">
        <f>(P7*($E7/180))</f>
        <v>47.1</v>
      </c>
      <c r="U108" s="8">
        <f>(Q7*($E7/180))</f>
        <v>0</v>
      </c>
      <c r="V108" s="7"/>
      <c r="W108" s="7">
        <f>S108+T108+U108</f>
        <v>47.1</v>
      </c>
      <c r="Y108" s="233" t="s">
        <v>1243</v>
      </c>
      <c r="Z108" s="233"/>
      <c r="AA108" s="233"/>
      <c r="AB108" s="233"/>
      <c r="AC108" s="233"/>
    </row>
    <row r="109" spans="1:29" x14ac:dyDescent="0.15">
      <c r="A109" s="1">
        <v>1978</v>
      </c>
      <c r="B109" s="8">
        <f>(K8*($E8/365))+(K9*($E9/365))</f>
        <v>0</v>
      </c>
      <c r="C109" s="8">
        <f>(L8*($E8/365))+(L9*($E9/365))</f>
        <v>95</v>
      </c>
      <c r="D109" s="8">
        <f>(M8*($E8/365))+(M9*($E9/365))</f>
        <v>0</v>
      </c>
      <c r="E109" s="49">
        <f t="shared" ref="E109:E144" si="13">B109+C109+D109</f>
        <v>95</v>
      </c>
      <c r="G109" s="1">
        <v>1978</v>
      </c>
      <c r="H109" s="809">
        <f>(O8/$R8*100*($E8/365))+(O9/$R9*100*($E9/365))</f>
        <v>0</v>
      </c>
      <c r="I109" s="809"/>
      <c r="J109" s="809">
        <f>(P8/$R8*100*($E8/365))+(P9/$R9*100*($E9/365))</f>
        <v>100</v>
      </c>
      <c r="K109" s="809"/>
      <c r="L109" s="809">
        <f>(Q8/$R8*100*($E8/365))+(Q9/$R9*100*($E9/365))</f>
        <v>0</v>
      </c>
      <c r="M109" s="809"/>
      <c r="N109" s="781">
        <f t="shared" si="12"/>
        <v>100</v>
      </c>
      <c r="O109" s="781"/>
      <c r="R109" s="1">
        <v>1978</v>
      </c>
      <c r="S109" s="8">
        <f>(O8*($E8/365))+(O9*($E9/365))</f>
        <v>0</v>
      </c>
      <c r="T109" s="8">
        <f>(P8*($E8/365))+(P9*($E9/365))</f>
        <v>47.1</v>
      </c>
      <c r="U109" s="8">
        <f>(Q8*($E8/365))+(Q9*($E9/365))</f>
        <v>0</v>
      </c>
      <c r="V109" s="7"/>
      <c r="W109" s="7">
        <f t="shared" ref="W109:W144" si="14">S109+T109+U109</f>
        <v>47.1</v>
      </c>
    </row>
    <row r="110" spans="1:29" x14ac:dyDescent="0.15">
      <c r="A110" s="1">
        <v>1979</v>
      </c>
      <c r="B110" s="8">
        <f>(K10*($E10/365))+(K11*($E11/365))</f>
        <v>0</v>
      </c>
      <c r="C110" s="8">
        <f>(L10*($E10/365))+(L11*($E11/365))</f>
        <v>92.534246575342451</v>
      </c>
      <c r="D110" s="8">
        <f>(M10*($E10/365))+(M11*($E11/365))</f>
        <v>0</v>
      </c>
      <c r="E110" s="49">
        <f t="shared" si="13"/>
        <v>92.534246575342451</v>
      </c>
      <c r="G110" s="1">
        <v>1979</v>
      </c>
      <c r="H110" s="809">
        <f>(O10/$R10*100*($E10/365))+(O11/$R11*100*($E11/365))</f>
        <v>0</v>
      </c>
      <c r="I110" s="809"/>
      <c r="J110" s="809">
        <f>(P10/$R10*100*($E10/365))+(P11/$R11*100*($E11/365))</f>
        <v>100</v>
      </c>
      <c r="K110" s="809"/>
      <c r="L110" s="809">
        <f>(Q10/$R10*100*($E10/365))+(Q11/$R11*100*($E11/365))</f>
        <v>0</v>
      </c>
      <c r="M110" s="809"/>
      <c r="N110" s="781">
        <f t="shared" si="12"/>
        <v>100</v>
      </c>
      <c r="O110" s="781"/>
      <c r="R110" s="1">
        <v>1979</v>
      </c>
      <c r="S110" s="8">
        <f>(O10*($E10/365))+(O11*($E11/365))</f>
        <v>0</v>
      </c>
      <c r="T110" s="8">
        <f>(P10*($E10/365))+(P11*($E11/365))</f>
        <v>47.765753424657532</v>
      </c>
      <c r="U110" s="8">
        <f>(Q10*($E10/365))+(Q11*($E11/365))</f>
        <v>0</v>
      </c>
      <c r="V110" s="7"/>
      <c r="W110" s="7">
        <f t="shared" si="14"/>
        <v>47.765753424657532</v>
      </c>
    </row>
    <row r="111" spans="1:29" x14ac:dyDescent="0.15">
      <c r="A111" s="1">
        <v>1980</v>
      </c>
      <c r="B111" s="8">
        <f>(K12*($E12/366))+(K13*($E13/366))</f>
        <v>0</v>
      </c>
      <c r="C111" s="8">
        <f>(L12*($E12/366))+(L13*($E13/366))</f>
        <v>91.666666666666657</v>
      </c>
      <c r="D111" s="8">
        <f>(M12*($E12/366))+(M13*($E13/366))</f>
        <v>0</v>
      </c>
      <c r="E111" s="49">
        <f t="shared" si="13"/>
        <v>91.666666666666657</v>
      </c>
      <c r="G111" s="1">
        <v>1980</v>
      </c>
      <c r="H111" s="809">
        <f>(O12/$R12*100*($E12/366))+(O13/$R13*100*($E13/366))</f>
        <v>0</v>
      </c>
      <c r="I111" s="809"/>
      <c r="J111" s="809">
        <f>(P12/$R12*100*($E12/366))+(P13/$R13*100*($E13/366))</f>
        <v>100</v>
      </c>
      <c r="K111" s="809"/>
      <c r="L111" s="809">
        <f>(Q12/$R12*100*($E12/366))+(Q13/$R13*100*($E13/366))</f>
        <v>0</v>
      </c>
      <c r="M111" s="809"/>
      <c r="N111" s="781">
        <f t="shared" si="12"/>
        <v>100</v>
      </c>
      <c r="O111" s="781"/>
      <c r="R111" s="1">
        <v>1980</v>
      </c>
      <c r="S111" s="8">
        <f>(O12*($E12/366))+(O13*($E13/366))</f>
        <v>0</v>
      </c>
      <c r="T111" s="8">
        <f>(P12*($E12/366))+(P13*($E13/366))</f>
        <v>48</v>
      </c>
      <c r="U111" s="8">
        <f>(Q12*($E12/366))+(Q13*($E13/366))</f>
        <v>0</v>
      </c>
      <c r="V111" s="7"/>
      <c r="W111" s="7">
        <f t="shared" si="14"/>
        <v>48</v>
      </c>
    </row>
    <row r="112" spans="1:29" x14ac:dyDescent="0.15">
      <c r="A112" s="1">
        <v>1981</v>
      </c>
      <c r="B112" s="8">
        <f>(K14*($E14/365))+(K15*($E15/365))</f>
        <v>0</v>
      </c>
      <c r="C112" s="8">
        <f>(L14*($E14/365))+(L15*($E15/365))</f>
        <v>98.69863013698631</v>
      </c>
      <c r="D112" s="8">
        <f>(M14*($E14/365))+(M15*($E15/365))</f>
        <v>0</v>
      </c>
      <c r="E112" s="49">
        <f t="shared" si="13"/>
        <v>98.69863013698631</v>
      </c>
      <c r="G112" s="1">
        <v>1981</v>
      </c>
      <c r="H112" s="809">
        <f>(O14/$R14*100*($E14/365))+(O15/$R15*100*($E15/365))</f>
        <v>0</v>
      </c>
      <c r="I112" s="809"/>
      <c r="J112" s="809">
        <f>(P14/$R14*100*($E14/365))+(P15/$R15*100*($E15/365))</f>
        <v>100</v>
      </c>
      <c r="K112" s="809"/>
      <c r="L112" s="809">
        <f>(Q14/$R14*100*($E14/365))+(Q15/$R15*100*($E15/365))</f>
        <v>0</v>
      </c>
      <c r="M112" s="809"/>
      <c r="N112" s="781">
        <f t="shared" si="12"/>
        <v>100</v>
      </c>
      <c r="O112" s="781"/>
      <c r="R112" s="1">
        <v>1981</v>
      </c>
      <c r="S112" s="8">
        <f>(O14*($E14/365))+(O15*($E15/365))</f>
        <v>0</v>
      </c>
      <c r="T112" s="8">
        <f>(P14*($E14/365))+(P15*($E15/365))</f>
        <v>48</v>
      </c>
      <c r="U112" s="8">
        <f>(Q14*($E14/365))+(Q15*($E15/365))</f>
        <v>0</v>
      </c>
      <c r="V112" s="7"/>
      <c r="W112" s="7">
        <f t="shared" si="14"/>
        <v>48</v>
      </c>
    </row>
    <row r="113" spans="1:23" x14ac:dyDescent="0.15">
      <c r="A113" s="1">
        <v>1982</v>
      </c>
      <c r="B113" s="8">
        <f>(K16*($E16/365))+(K17*($E17/365))</f>
        <v>0</v>
      </c>
      <c r="C113" s="8">
        <f>(L16*($E16/365))+(L17*($E17/365))</f>
        <v>92.054794520547944</v>
      </c>
      <c r="D113" s="8">
        <f>(M16*($E16/365))+(M17*($E17/365))</f>
        <v>7.9452054794520555</v>
      </c>
      <c r="E113" s="49">
        <f t="shared" si="13"/>
        <v>100</v>
      </c>
      <c r="G113" s="1">
        <v>1982</v>
      </c>
      <c r="H113" s="809">
        <f>(O16/$R16*100*($E16/365))+(O17/$R17*100*($E17/365))</f>
        <v>0</v>
      </c>
      <c r="I113" s="809"/>
      <c r="J113" s="809">
        <f>(P16/$R16*100*($E16/365))+(P17/$R17*100*($E17/365))</f>
        <v>92.054794520547944</v>
      </c>
      <c r="K113" s="809"/>
      <c r="L113" s="809">
        <f>(Q16/$R16*100*($E16/365))+(Q17/$R17*100*($E17/365))</f>
        <v>7.9452054794520555</v>
      </c>
      <c r="M113" s="809"/>
      <c r="N113" s="781">
        <f t="shared" si="12"/>
        <v>100</v>
      </c>
      <c r="O113" s="781"/>
      <c r="R113" s="1">
        <v>1982</v>
      </c>
      <c r="S113" s="8">
        <f>(O16*($E16/365))+(O17*($E17/365))</f>
        <v>0</v>
      </c>
      <c r="T113" s="8">
        <f>(P16*($E16/365))+(P17*($E17/365))</f>
        <v>44.186301369863017</v>
      </c>
      <c r="U113" s="8">
        <f>(Q16*($E16/365))+(Q17*($E17/365))</f>
        <v>4.5843835616438362</v>
      </c>
      <c r="V113" s="7"/>
      <c r="W113" s="7">
        <f t="shared" si="14"/>
        <v>48.77068493150685</v>
      </c>
    </row>
    <row r="114" spans="1:23" x14ac:dyDescent="0.15">
      <c r="A114" s="1">
        <v>1983</v>
      </c>
      <c r="B114" s="8">
        <f>(K18*($E18/365))+(K19*($E19/365))</f>
        <v>0</v>
      </c>
      <c r="C114" s="8">
        <f>(L18*($E18/365))+(L19*($E19/365))</f>
        <v>0</v>
      </c>
      <c r="D114" s="8">
        <f>(M18*($E18/365))+(M19*($E19/365))</f>
        <v>100</v>
      </c>
      <c r="E114" s="49">
        <f t="shared" si="13"/>
        <v>100</v>
      </c>
      <c r="G114" s="1">
        <v>1983</v>
      </c>
      <c r="H114" s="809">
        <f>(O18/$R18*100*($E18/365))+(O19/$R19*100*($E19/365))</f>
        <v>0</v>
      </c>
      <c r="I114" s="809"/>
      <c r="J114" s="809">
        <f>(P18/$R18*100*($E18/365))+(P19/$R19*100*($E19/365))</f>
        <v>0</v>
      </c>
      <c r="K114" s="809"/>
      <c r="L114" s="809">
        <f>(Q18/$R18*100*($E18/365))+(Q19/$R19*100*($E19/365))</f>
        <v>100</v>
      </c>
      <c r="M114" s="809"/>
      <c r="N114" s="781">
        <f t="shared" si="12"/>
        <v>100</v>
      </c>
      <c r="O114" s="781"/>
      <c r="R114" s="1">
        <v>1983</v>
      </c>
      <c r="S114" s="8">
        <f>(O18*($E18/365))+(O19*($E19/365))</f>
        <v>0</v>
      </c>
      <c r="T114" s="8">
        <f>(P18*($E18/365))+(P19*($E19/365))</f>
        <v>0</v>
      </c>
      <c r="U114" s="8">
        <f>(Q18*($E18/365))+(Q19*($E19/365))</f>
        <v>57.7</v>
      </c>
      <c r="V114" s="7"/>
      <c r="W114" s="7">
        <f t="shared" si="14"/>
        <v>57.7</v>
      </c>
    </row>
    <row r="115" spans="1:23" x14ac:dyDescent="0.15">
      <c r="A115" s="1">
        <v>1984</v>
      </c>
      <c r="B115" s="8">
        <f>(K20*($E20/366))+(K21*($E21/366))</f>
        <v>0</v>
      </c>
      <c r="C115" s="8">
        <f>(L20*($E20/366))+(L21*($E21/366))</f>
        <v>0</v>
      </c>
      <c r="D115" s="8">
        <f>(M20*($E20/366))+(M21*($E21/366))</f>
        <v>100</v>
      </c>
      <c r="E115" s="49">
        <f t="shared" si="13"/>
        <v>100</v>
      </c>
      <c r="G115" s="1">
        <v>1984</v>
      </c>
      <c r="H115" s="809">
        <f>(O20/$R20*100*($E20/366))+(O21/$R21*100*($E21/366))</f>
        <v>0</v>
      </c>
      <c r="I115" s="809"/>
      <c r="J115" s="809">
        <f>(P20/$R20*100*($E20/366))+(P21/$R21*100*($E21/366))</f>
        <v>0</v>
      </c>
      <c r="K115" s="809"/>
      <c r="L115" s="809">
        <f>(Q20/$R20*100*($E20/366))+(Q21/$R21*100*($E21/366))</f>
        <v>100</v>
      </c>
      <c r="M115" s="809"/>
      <c r="N115" s="781">
        <f t="shared" si="12"/>
        <v>100</v>
      </c>
      <c r="O115" s="781"/>
      <c r="R115" s="1">
        <v>1984</v>
      </c>
      <c r="S115" s="8">
        <f>(O20*($E20/366))+(O21*($E21/366))</f>
        <v>0</v>
      </c>
      <c r="T115" s="8">
        <f>(P20*($E20/366))+(P21*($E21/366))</f>
        <v>0</v>
      </c>
      <c r="U115" s="8">
        <f>(Q20*($E20/366))+(Q21*($E21/366))</f>
        <v>57.7</v>
      </c>
      <c r="V115" s="7"/>
      <c r="W115" s="7">
        <f t="shared" si="14"/>
        <v>57.7</v>
      </c>
    </row>
    <row r="116" spans="1:23" x14ac:dyDescent="0.15">
      <c r="A116" s="1">
        <v>1985</v>
      </c>
      <c r="B116" s="8">
        <f>(K22*($E22/365))+(K23*($E23/365))</f>
        <v>0</v>
      </c>
      <c r="C116" s="8">
        <f>(L22*($E22/365))+(L23*($E23/365))</f>
        <v>0</v>
      </c>
      <c r="D116" s="8">
        <f>(M22*($E22/365))+(M23*($E23/365))</f>
        <v>100</v>
      </c>
      <c r="E116" s="49">
        <f t="shared" si="13"/>
        <v>100</v>
      </c>
      <c r="G116" s="1">
        <v>1985</v>
      </c>
      <c r="H116" s="809">
        <f>(O22/$R22*100*($E22/365))+(O23/$R23*100*($E23/365))</f>
        <v>0</v>
      </c>
      <c r="I116" s="809"/>
      <c r="J116" s="809">
        <f>(P22/$R22*100*($E22/365))+(P23/$R23*100*($E23/365))</f>
        <v>0</v>
      </c>
      <c r="K116" s="809"/>
      <c r="L116" s="809">
        <f>(Q22/$R22*100*($E22/365))+(Q23/$R23*100*($E23/365))</f>
        <v>100</v>
      </c>
      <c r="M116" s="809"/>
      <c r="N116" s="781">
        <f t="shared" si="12"/>
        <v>100</v>
      </c>
      <c r="O116" s="781"/>
      <c r="R116" s="1">
        <v>1985</v>
      </c>
      <c r="S116" s="8">
        <f>(O22*($E22/365))+(O23*($E23/365))</f>
        <v>0</v>
      </c>
      <c r="T116" s="8">
        <f>(P22*($E22/365))+(P23*($E23/365))</f>
        <v>0</v>
      </c>
      <c r="U116" s="8">
        <f>(Q22*($E22/365))+(Q23*($E23/365))</f>
        <v>57.7</v>
      </c>
      <c r="V116" s="7"/>
      <c r="W116" s="7">
        <f t="shared" si="14"/>
        <v>57.7</v>
      </c>
    </row>
    <row r="117" spans="1:23" x14ac:dyDescent="0.15">
      <c r="A117" s="1">
        <v>1986</v>
      </c>
      <c r="B117" s="8">
        <f>(K24*($E24/365))+(K25*($E25/365))</f>
        <v>0</v>
      </c>
      <c r="C117" s="8">
        <f>(L24*($E24/365))+(L25*($E25/365))</f>
        <v>0</v>
      </c>
      <c r="D117" s="8">
        <f>(M24*($E24/365))+(M25*($E25/365))</f>
        <v>100</v>
      </c>
      <c r="E117" s="49">
        <f t="shared" si="13"/>
        <v>100</v>
      </c>
      <c r="G117" s="1">
        <v>1986</v>
      </c>
      <c r="H117" s="809">
        <f>(O24/$R24*100*($E24/365))+(O25/$R25*100*($E25/365))</f>
        <v>0</v>
      </c>
      <c r="I117" s="809"/>
      <c r="J117" s="809">
        <f>(P24/$R24*100*($E24/365))+(P25/$R25*100*($E25/365))</f>
        <v>0</v>
      </c>
      <c r="K117" s="809"/>
      <c r="L117" s="809">
        <f>(Q24/$R24*100*($E24/365))+(Q25/$R25*100*($E25/365))</f>
        <v>100</v>
      </c>
      <c r="M117" s="809"/>
      <c r="N117" s="781">
        <f t="shared" si="12"/>
        <v>100</v>
      </c>
      <c r="O117" s="781"/>
      <c r="R117" s="1">
        <v>1986</v>
      </c>
      <c r="S117" s="8">
        <f>(O24*($E24/365))+(O25*($E25/365))</f>
        <v>0</v>
      </c>
      <c r="T117" s="8">
        <f>(P24*($E24/365))+(P25*($E25/365))</f>
        <v>0</v>
      </c>
      <c r="U117" s="8">
        <f>(Q24*($E24/365))+(Q25*($E25/365))</f>
        <v>55.520273972602737</v>
      </c>
      <c r="V117" s="7"/>
      <c r="W117" s="7">
        <f t="shared" si="14"/>
        <v>55.520273972602737</v>
      </c>
    </row>
    <row r="118" spans="1:23" x14ac:dyDescent="0.15">
      <c r="A118" s="1">
        <v>1987</v>
      </c>
      <c r="B118" s="8">
        <f>(K26*($E26/365))+(K27*($E27/365))</f>
        <v>0</v>
      </c>
      <c r="C118" s="8">
        <f>(L26*($E26/365))+(L27*($E27/365))</f>
        <v>0</v>
      </c>
      <c r="D118" s="8">
        <f>(M26*($E26/365))+(M27*($E27/365))</f>
        <v>100</v>
      </c>
      <c r="E118" s="49">
        <f t="shared" si="13"/>
        <v>100</v>
      </c>
      <c r="G118" s="1">
        <v>1987</v>
      </c>
      <c r="H118" s="809">
        <f>(O26/$R26*100*($E26/365))+(O27/$R27*100*($E27/365))</f>
        <v>0</v>
      </c>
      <c r="I118" s="809"/>
      <c r="J118" s="809">
        <f>(P26/$R26*100*($E26/365))+(P27/$R27*100*($E27/365))</f>
        <v>0</v>
      </c>
      <c r="K118" s="809"/>
      <c r="L118" s="809">
        <f>(Q26/$R26*100*($E26/365))+(Q27/$R27*100*($E27/365))</f>
        <v>100</v>
      </c>
      <c r="M118" s="809"/>
      <c r="N118" s="781">
        <f t="shared" si="12"/>
        <v>100</v>
      </c>
      <c r="O118" s="781"/>
      <c r="R118" s="1">
        <v>1987</v>
      </c>
      <c r="S118" s="8">
        <f>(O26*($E26/365))+(O27*($E27/365))</f>
        <v>0</v>
      </c>
      <c r="T118" s="8">
        <f>(P26*($E26/365))+(P27*($E27/365))</f>
        <v>0</v>
      </c>
      <c r="U118" s="8">
        <f>(Q26*($E26/365))+(Q27*($E27/365))</f>
        <v>52.6</v>
      </c>
      <c r="V118" s="7"/>
      <c r="W118" s="7">
        <f t="shared" si="14"/>
        <v>52.6</v>
      </c>
    </row>
    <row r="119" spans="1:23" x14ac:dyDescent="0.15">
      <c r="A119" s="1">
        <v>1988</v>
      </c>
      <c r="B119" s="8">
        <f>(K28*($E28/366))+(K29*($E29/366))</f>
        <v>0</v>
      </c>
      <c r="C119" s="8">
        <f>(L28*($E28/366))+(L29*($E29/366))</f>
        <v>0</v>
      </c>
      <c r="D119" s="8">
        <f>(M28*($E28/366))+(M29*($E29/366))</f>
        <v>100</v>
      </c>
      <c r="E119" s="49">
        <f t="shared" si="13"/>
        <v>100</v>
      </c>
      <c r="G119" s="1">
        <v>1988</v>
      </c>
      <c r="H119" s="809">
        <f>(O28/$R28*100*($E28/366))+(O29/$R29*100*($E29/366))</f>
        <v>0</v>
      </c>
      <c r="I119" s="809"/>
      <c r="J119" s="809">
        <f>(P28/$R28*100*($E28/366))+(P29/$R29*100*($E29/366))</f>
        <v>0</v>
      </c>
      <c r="K119" s="809"/>
      <c r="L119" s="809">
        <f>(Q28/$R28*100*($E28/366))+(Q29/$R29*100*($E29/366))</f>
        <v>100</v>
      </c>
      <c r="M119" s="809"/>
      <c r="N119" s="781">
        <f t="shared" si="12"/>
        <v>100</v>
      </c>
      <c r="O119" s="781"/>
      <c r="R119" s="1">
        <v>1988</v>
      </c>
      <c r="S119" s="8">
        <f>(O28*($E28/366))+(O29*($E29/366))</f>
        <v>0</v>
      </c>
      <c r="T119" s="8">
        <f>(P28*($E28/366))+(P29*($E29/366))</f>
        <v>0</v>
      </c>
      <c r="U119" s="8">
        <f>(Q28*($E28/366))+(Q29*($E29/366))</f>
        <v>52.6</v>
      </c>
      <c r="V119" s="7"/>
      <c r="W119" s="7">
        <f t="shared" si="14"/>
        <v>52.6</v>
      </c>
    </row>
    <row r="120" spans="1:23" x14ac:dyDescent="0.15">
      <c r="A120" s="1">
        <v>1989</v>
      </c>
      <c r="B120" s="8">
        <f>(K30*($E30/365))+(K31*($E31/365))</f>
        <v>0</v>
      </c>
      <c r="C120" s="8">
        <f>(L30*($E30/365))+(L31*($E31/365))</f>
        <v>0</v>
      </c>
      <c r="D120" s="8">
        <f>(M30*($E30/365))+(M31*($E31/365))</f>
        <v>100</v>
      </c>
      <c r="E120" s="49">
        <f t="shared" si="13"/>
        <v>100</v>
      </c>
      <c r="G120" s="1">
        <v>1989</v>
      </c>
      <c r="H120" s="809">
        <f>(O30/$R30*100*($E30/365))+(O31/$R31*100*($E31/365))</f>
        <v>0</v>
      </c>
      <c r="I120" s="809"/>
      <c r="J120" s="809">
        <f>(P30/$R30*100*($E30/365))+(P31/$R31*100*($E31/365))</f>
        <v>0</v>
      </c>
      <c r="K120" s="809"/>
      <c r="L120" s="809">
        <f>(Q30/$R30*100*($E30/365))+(Q31/$R31*100*($E31/365))</f>
        <v>100</v>
      </c>
      <c r="M120" s="809"/>
      <c r="N120" s="781">
        <f t="shared" si="12"/>
        <v>100</v>
      </c>
      <c r="O120" s="781"/>
      <c r="R120" s="1">
        <v>1989</v>
      </c>
      <c r="S120" s="8">
        <f>(O30*($E30/365))+(O31*($E31/365))</f>
        <v>0</v>
      </c>
      <c r="T120" s="8">
        <f>(P30*($E30/365))+(P31*($E31/365))</f>
        <v>0</v>
      </c>
      <c r="U120" s="8">
        <f>(Q30*($E30/365))+(Q31*($E31/365))</f>
        <v>52.421917808219177</v>
      </c>
      <c r="V120" s="7"/>
      <c r="W120" s="7">
        <f t="shared" si="14"/>
        <v>52.421917808219177</v>
      </c>
    </row>
    <row r="121" spans="1:23" x14ac:dyDescent="0.15">
      <c r="A121" s="1">
        <v>1990</v>
      </c>
      <c r="B121" s="8">
        <f>(K32*($E32/365))+(K33*($E33/365))</f>
        <v>0</v>
      </c>
      <c r="C121" s="8">
        <f>(L32*($E32/365))+(L33*($E33/365))</f>
        <v>0</v>
      </c>
      <c r="D121" s="8">
        <f>(M32*($E32/365))+(M33*($E33/365))</f>
        <v>100</v>
      </c>
      <c r="E121" s="49">
        <f t="shared" si="13"/>
        <v>100</v>
      </c>
      <c r="G121" s="1">
        <v>1990</v>
      </c>
      <c r="H121" s="809">
        <f>(O32/$R32*100*($E32/365))+(O33/$R33*100*($E33/365))</f>
        <v>0</v>
      </c>
      <c r="I121" s="809"/>
      <c r="J121" s="809">
        <f>(P32/$R32*100*($E32/365))+(P33/$R33*100*($E33/365))</f>
        <v>0</v>
      </c>
      <c r="K121" s="809"/>
      <c r="L121" s="809">
        <f>(Q32/$R32*100*($E32/365))+(Q33/$R33*100*($E33/365))</f>
        <v>100</v>
      </c>
      <c r="M121" s="809"/>
      <c r="N121" s="781">
        <f t="shared" si="12"/>
        <v>100</v>
      </c>
      <c r="O121" s="781"/>
      <c r="R121" s="1">
        <v>1990</v>
      </c>
      <c r="S121" s="8">
        <f>(O32*($E32/365))+(O33*($E33/365))</f>
        <v>0</v>
      </c>
      <c r="T121" s="8">
        <f>(P32*($E32/365))+(P33*($E33/365))</f>
        <v>0</v>
      </c>
      <c r="U121" s="8">
        <f>(Q32*($E32/365))+(Q33*($E33/365))</f>
        <v>50</v>
      </c>
      <c r="V121" s="7"/>
      <c r="W121" s="7">
        <f t="shared" si="14"/>
        <v>50</v>
      </c>
    </row>
    <row r="122" spans="1:23" x14ac:dyDescent="0.15">
      <c r="A122" s="1">
        <v>1991</v>
      </c>
      <c r="B122" s="8">
        <f>(K34*($E34/365))+(K35*($E35/365))</f>
        <v>0</v>
      </c>
      <c r="C122" s="8">
        <f>(L34*($E34/365))+(L35*($E35/365))</f>
        <v>0</v>
      </c>
      <c r="D122" s="8">
        <f>(M34*($E34/365))+(M35*($E35/365))</f>
        <v>100</v>
      </c>
      <c r="E122" s="49">
        <f t="shared" si="13"/>
        <v>100</v>
      </c>
      <c r="G122" s="1">
        <v>1991</v>
      </c>
      <c r="H122" s="809">
        <f>(O34/$R34*100*($E34/365))+(O35/$R35*100*($E35/365))</f>
        <v>0</v>
      </c>
      <c r="I122" s="809"/>
      <c r="J122" s="809">
        <f>(P34/$R34*100*($E34/365))+(P35/$R35*100*($E35/365))</f>
        <v>0</v>
      </c>
      <c r="K122" s="809"/>
      <c r="L122" s="809">
        <f>(Q34/$R34*100*($E34/365))+(Q35/$R35*100*($E35/365))</f>
        <v>100</v>
      </c>
      <c r="M122" s="809"/>
      <c r="N122" s="781">
        <f t="shared" si="12"/>
        <v>100</v>
      </c>
      <c r="O122" s="781"/>
      <c r="R122" s="1">
        <v>1991</v>
      </c>
      <c r="S122" s="8">
        <f>(O34*($E34/365))+(O35*($E35/365))</f>
        <v>0</v>
      </c>
      <c r="T122" s="8">
        <f>(P34*($E34/365))+(P35*($E35/365))</f>
        <v>0</v>
      </c>
      <c r="U122" s="8">
        <f>(Q34*($E34/365))+(Q35*($E35/365))</f>
        <v>50</v>
      </c>
      <c r="V122" s="7"/>
      <c r="W122" s="7">
        <f t="shared" si="14"/>
        <v>50</v>
      </c>
    </row>
    <row r="123" spans="1:23" x14ac:dyDescent="0.15">
      <c r="A123" s="1">
        <v>1992</v>
      </c>
      <c r="B123" s="8">
        <f>(K36*($E36/366))+(K37*($E37/366))</f>
        <v>0</v>
      </c>
      <c r="C123" s="8">
        <f>(L36*($E36/366))+(L37*($E37/366))</f>
        <v>0</v>
      </c>
      <c r="D123" s="8">
        <f>(M36*($E36/366))+(M37*($E37/366))</f>
        <v>100</v>
      </c>
      <c r="E123" s="49">
        <f t="shared" si="13"/>
        <v>100</v>
      </c>
      <c r="G123" s="1">
        <v>1992</v>
      </c>
      <c r="H123" s="809">
        <f>(O36/$R36*100*($E36/366))+(O37/$R37*100*($E37/366))</f>
        <v>0</v>
      </c>
      <c r="I123" s="809"/>
      <c r="J123" s="809">
        <f>(P36/$R36*100*($E36/366))+(P37/$R37*100*($E37/366))</f>
        <v>0</v>
      </c>
      <c r="K123" s="809"/>
      <c r="L123" s="809">
        <f>(Q36/$R36*100*($E36/366))+(Q37/$R37*100*($E37/366))</f>
        <v>100</v>
      </c>
      <c r="M123" s="809"/>
      <c r="N123" s="781">
        <f t="shared" si="12"/>
        <v>100</v>
      </c>
      <c r="O123" s="781"/>
      <c r="R123" s="1">
        <v>1992</v>
      </c>
      <c r="S123" s="8">
        <f>(O36*($E36/366))+(O37*($E37/366))</f>
        <v>0</v>
      </c>
      <c r="T123" s="8">
        <f>(P36*($E36/366))+(P37*($E37/366))</f>
        <v>0</v>
      </c>
      <c r="U123" s="8">
        <f>(Q36*($E36/366))+(Q37*($E37/366))</f>
        <v>50</v>
      </c>
      <c r="V123" s="7"/>
      <c r="W123" s="7">
        <f t="shared" si="14"/>
        <v>50</v>
      </c>
    </row>
    <row r="124" spans="1:23" x14ac:dyDescent="0.15">
      <c r="A124" s="1">
        <v>1993</v>
      </c>
      <c r="B124" s="8">
        <f>(K38*($E38/365))+(K39*($E39/365))</f>
        <v>0</v>
      </c>
      <c r="C124" s="8">
        <f>(L38*($E38/365))+(L39*($E39/365))</f>
        <v>0</v>
      </c>
      <c r="D124" s="8">
        <f>(M38*($E38/365))+(M39*($E39/365))</f>
        <v>100</v>
      </c>
      <c r="E124" s="49">
        <f t="shared" si="13"/>
        <v>100</v>
      </c>
      <c r="G124" s="1">
        <v>1993</v>
      </c>
      <c r="H124" s="809">
        <f>(O38/$R38*100*($E38/365))+(O39/$R39*100*($E39/365))</f>
        <v>0</v>
      </c>
      <c r="I124" s="809"/>
      <c r="J124" s="809">
        <f>(P38/$R38*100*($E38/365))+(P39/$R39*100*($E39/365))</f>
        <v>0</v>
      </c>
      <c r="K124" s="809"/>
      <c r="L124" s="809">
        <f>(Q38/$R38*100*($E38/365))+(Q39/$R39*100*($E39/365))</f>
        <v>100</v>
      </c>
      <c r="M124" s="809"/>
      <c r="N124" s="781">
        <f t="shared" si="12"/>
        <v>100</v>
      </c>
      <c r="O124" s="781"/>
      <c r="R124" s="1">
        <v>1993</v>
      </c>
      <c r="S124" s="8">
        <f>(O38*($E38/365))+(O39*($E39/365))</f>
        <v>0</v>
      </c>
      <c r="T124" s="8">
        <f>(P38*($E38/365))+(P39*($E39/365))</f>
        <v>0</v>
      </c>
      <c r="U124" s="8">
        <f>(Q38*($E38/365))+(Q39*($E39/365))</f>
        <v>47.844931506849321</v>
      </c>
      <c r="V124" s="7"/>
      <c r="W124" s="7">
        <f t="shared" si="14"/>
        <v>47.844931506849321</v>
      </c>
    </row>
    <row r="125" spans="1:23" x14ac:dyDescent="0.15">
      <c r="A125" s="1">
        <v>1994</v>
      </c>
      <c r="B125" s="8">
        <f>(K40*($E40/365))+(K41*($E41/365))</f>
        <v>0</v>
      </c>
      <c r="C125" s="8">
        <f>(L40*($E40/365))+(L41*($E41/365))</f>
        <v>0</v>
      </c>
      <c r="D125" s="8">
        <f>(M40*($E40/365))+(M41*($E41/365))</f>
        <v>100</v>
      </c>
      <c r="E125" s="49">
        <f t="shared" si="13"/>
        <v>100</v>
      </c>
      <c r="G125" s="1">
        <v>1994</v>
      </c>
      <c r="H125" s="809">
        <f>(O40/$R40*100*($E40/365))+(O41/$R41*100*($E41/365))</f>
        <v>0</v>
      </c>
      <c r="I125" s="809"/>
      <c r="J125" s="809">
        <f>(P40/$R40*100*($E40/365))+(P41/$R41*100*($E41/365))</f>
        <v>0</v>
      </c>
      <c r="K125" s="809"/>
      <c r="L125" s="809">
        <f>(Q40/$R40*100*($E40/365))+(Q41/$R41*100*($E41/365))</f>
        <v>100</v>
      </c>
      <c r="M125" s="809"/>
      <c r="N125" s="781">
        <f t="shared" si="12"/>
        <v>100</v>
      </c>
      <c r="O125" s="781"/>
      <c r="R125" s="1">
        <v>1994</v>
      </c>
      <c r="S125" s="8">
        <f>(O40*($E40/365))+(O41*($E41/365))</f>
        <v>0</v>
      </c>
      <c r="T125" s="8">
        <f>(P40*($E40/365))+(P41*($E41/365))</f>
        <v>0</v>
      </c>
      <c r="U125" s="8">
        <f>(Q40*($E40/365))+(Q41*($E41/365))</f>
        <v>45.4</v>
      </c>
      <c r="V125" s="7"/>
      <c r="W125" s="7">
        <f t="shared" si="14"/>
        <v>45.4</v>
      </c>
    </row>
    <row r="126" spans="1:23" x14ac:dyDescent="0.15">
      <c r="A126" s="1">
        <v>1995</v>
      </c>
      <c r="B126" s="8">
        <f>(K42*($E42/365))+(K43*($E43/365))</f>
        <v>0</v>
      </c>
      <c r="C126" s="8">
        <f>(L42*($E42/365))+(L43*($E43/365))</f>
        <v>0</v>
      </c>
      <c r="D126" s="8">
        <f>(M42*($E42/365))+(M43*($E43/365))</f>
        <v>100</v>
      </c>
      <c r="E126" s="49">
        <f t="shared" si="13"/>
        <v>100</v>
      </c>
      <c r="G126" s="1">
        <v>1995</v>
      </c>
      <c r="H126" s="809">
        <f>(O42/$R42*100*($E42/365))+(O43/$R43*100*($E43/365))</f>
        <v>0</v>
      </c>
      <c r="I126" s="809"/>
      <c r="J126" s="809">
        <f>(P42/$R42*100*($E42/365))+(P43/$R43*100*($E43/365))</f>
        <v>0</v>
      </c>
      <c r="K126" s="809"/>
      <c r="L126" s="809">
        <f>(Q42/$R42*100*($E42/365))+(Q43/$R43*100*($E43/365))</f>
        <v>100</v>
      </c>
      <c r="M126" s="809"/>
      <c r="N126" s="781">
        <f t="shared" si="12"/>
        <v>100</v>
      </c>
      <c r="O126" s="781"/>
      <c r="R126" s="1">
        <v>1995</v>
      </c>
      <c r="S126" s="8">
        <f>(O42*($E42/365))+(O43*($E43/365))</f>
        <v>0</v>
      </c>
      <c r="T126" s="8">
        <f>(P42*($E42/365))+(P43*($E43/365))</f>
        <v>0</v>
      </c>
      <c r="U126" s="8">
        <f>(Q42*($E42/365))+(Q43*($E43/365))</f>
        <v>45.4</v>
      </c>
      <c r="V126" s="7"/>
      <c r="W126" s="7">
        <f t="shared" si="14"/>
        <v>45.4</v>
      </c>
    </row>
    <row r="127" spans="1:23" x14ac:dyDescent="0.15">
      <c r="A127" s="1">
        <v>1996</v>
      </c>
      <c r="B127" s="8">
        <f>(K44*($E44/366))+(K45*($E45/366))</f>
        <v>0</v>
      </c>
      <c r="C127" s="8">
        <f>(L44*($E44/366))+(L45*($E45/366))</f>
        <v>66.120218579234972</v>
      </c>
      <c r="D127" s="8">
        <f>(M44*($E44/366))+(M45*($E45/366))</f>
        <v>33.879781420765028</v>
      </c>
      <c r="E127" s="49">
        <f t="shared" si="13"/>
        <v>100</v>
      </c>
      <c r="G127" s="1">
        <v>1996</v>
      </c>
      <c r="H127" s="809">
        <f>(O44/$R44*100*($E44/366))+(O45/$R45*100*($E45/366))</f>
        <v>0</v>
      </c>
      <c r="I127" s="809"/>
      <c r="J127" s="809">
        <f>(P44/$R44*100*($E44/366))+(P45/$R45*100*($E45/366))</f>
        <v>66.120218579234972</v>
      </c>
      <c r="K127" s="809"/>
      <c r="L127" s="809">
        <f>(Q44/$R44*100*($E44/366))+(Q45/$R45*100*($E45/366))</f>
        <v>33.879781420765028</v>
      </c>
      <c r="M127" s="809"/>
      <c r="N127" s="781">
        <f t="shared" si="12"/>
        <v>100</v>
      </c>
      <c r="O127" s="781"/>
      <c r="R127" s="1">
        <v>1996</v>
      </c>
      <c r="S127" s="8">
        <f>(O44*($E44/366))+(O45*($E45/366))</f>
        <v>0</v>
      </c>
      <c r="T127" s="8">
        <f>(P44*($E44/366))+(P45*($E45/366))</f>
        <v>29.489617486338798</v>
      </c>
      <c r="U127" s="8">
        <f>(Q44*($E44/366))+(Q45*($E45/366))</f>
        <v>15.381420765027322</v>
      </c>
      <c r="V127" s="7"/>
      <c r="W127" s="7">
        <f t="shared" si="14"/>
        <v>44.871038251366116</v>
      </c>
    </row>
    <row r="128" spans="1:23" x14ac:dyDescent="0.15">
      <c r="A128" s="1">
        <v>1997</v>
      </c>
      <c r="B128" s="8">
        <f>(K46*($E46/365))+(K47*($E47/365))</f>
        <v>0</v>
      </c>
      <c r="C128" s="8">
        <f>(L46*($E46/365))+(L47*($E47/365))</f>
        <v>100</v>
      </c>
      <c r="D128" s="8">
        <f>(M46*($E46/365))+(M47*($E47/365))</f>
        <v>0</v>
      </c>
      <c r="E128" s="49">
        <f t="shared" si="13"/>
        <v>100</v>
      </c>
      <c r="G128" s="1">
        <v>1997</v>
      </c>
      <c r="H128" s="809">
        <f>(O46/$R46*100*($E46/365))+(O47/$R47*100*($E47/365))</f>
        <v>0</v>
      </c>
      <c r="I128" s="809"/>
      <c r="J128" s="809">
        <f>(P46/$R46*100*($E46/365))+(P47/$R47*100*($E47/365))</f>
        <v>100</v>
      </c>
      <c r="K128" s="809"/>
      <c r="L128" s="809">
        <f>(Q46/$R46*100*($E46/365))+(Q47/$R47*100*($E47/365))</f>
        <v>0</v>
      </c>
      <c r="M128" s="809"/>
      <c r="N128" s="781">
        <f t="shared" si="12"/>
        <v>100</v>
      </c>
      <c r="O128" s="781"/>
      <c r="R128" s="1">
        <v>1997</v>
      </c>
      <c r="S128" s="8">
        <f>(O46*($E46/365))+(O47*($E47/365))</f>
        <v>0</v>
      </c>
      <c r="T128" s="8">
        <f>(P46*($E46/365))+(P47*($E47/365))</f>
        <v>44.6</v>
      </c>
      <c r="U128" s="8">
        <f>(Q46*($E46/365))+(Q47*($E47/365))</f>
        <v>0</v>
      </c>
      <c r="V128" s="7"/>
      <c r="W128" s="7">
        <f t="shared" si="14"/>
        <v>44.6</v>
      </c>
    </row>
    <row r="129" spans="1:23" x14ac:dyDescent="0.15">
      <c r="A129" s="1">
        <v>1998</v>
      </c>
      <c r="B129" s="8">
        <f>(K48*($E48/365))+(K49*($E49/365))</f>
        <v>0</v>
      </c>
      <c r="C129" s="8">
        <f>(L48*($E48/365))+(L49*($E49/365))</f>
        <v>100</v>
      </c>
      <c r="D129" s="8">
        <f>(M48*($E48/365))+(M49*($E49/365))</f>
        <v>0</v>
      </c>
      <c r="E129" s="49">
        <f t="shared" si="13"/>
        <v>100</v>
      </c>
      <c r="G129" s="1">
        <v>1998</v>
      </c>
      <c r="H129" s="809">
        <f>(O48/$R48*100*($E48/365))+(O49/$R49*100*($E49/365))</f>
        <v>0</v>
      </c>
      <c r="I129" s="809"/>
      <c r="J129" s="809">
        <f>(P48/$R48*100*($E48/365))+(P49/$R49*100*($E49/365))</f>
        <v>100</v>
      </c>
      <c r="K129" s="809"/>
      <c r="L129" s="809">
        <f>(Q48/$R48*100*($E48/365))+(Q49/$R49*100*($E49/365))</f>
        <v>0</v>
      </c>
      <c r="M129" s="809"/>
      <c r="N129" s="781">
        <f t="shared" si="12"/>
        <v>100</v>
      </c>
      <c r="O129" s="781"/>
      <c r="R129" s="1">
        <v>1998</v>
      </c>
      <c r="S129" s="8">
        <f>(O48*($E48/365))+(O49*($E49/365))</f>
        <v>0</v>
      </c>
      <c r="T129" s="8">
        <f>(P48*($E48/365))+(P49*($E49/365))</f>
        <v>44.6</v>
      </c>
      <c r="U129" s="8">
        <f>(Q48*($E48/365))+(Q49*($E49/365))</f>
        <v>0</v>
      </c>
      <c r="V129" s="7"/>
      <c r="W129" s="7">
        <f t="shared" si="14"/>
        <v>44.6</v>
      </c>
    </row>
    <row r="130" spans="1:23" x14ac:dyDescent="0.15">
      <c r="A130" s="1">
        <v>1999</v>
      </c>
      <c r="B130" s="8">
        <f>(K50*($E50/365))+(K51*($E51/365))</f>
        <v>0</v>
      </c>
      <c r="C130" s="8">
        <f>(L50*($E50/365))+(L51*($E51/365))</f>
        <v>100</v>
      </c>
      <c r="D130" s="8">
        <f>(M50*($E50/365))+(M51*($E51/365))</f>
        <v>0</v>
      </c>
      <c r="E130" s="49">
        <f t="shared" si="13"/>
        <v>100</v>
      </c>
      <c r="G130" s="1">
        <v>1999</v>
      </c>
      <c r="H130" s="809">
        <f>(O50/$R50*100*($E50/365))+(O51/$R51*100*($E51/365))</f>
        <v>0</v>
      </c>
      <c r="I130" s="809"/>
      <c r="J130" s="809">
        <f>(P50/$R50*100*($E50/365))+(P51/$R51*100*($E51/365))</f>
        <v>100</v>
      </c>
      <c r="K130" s="809"/>
      <c r="L130" s="809">
        <f>(Q50/$R50*100*($E50/365))+(Q51/$R51*100*($E51/365))</f>
        <v>0</v>
      </c>
      <c r="M130" s="809"/>
      <c r="N130" s="781">
        <f t="shared" si="12"/>
        <v>100</v>
      </c>
      <c r="O130" s="781"/>
      <c r="R130" s="1">
        <v>1999</v>
      </c>
      <c r="S130" s="8">
        <f>(O50*($E50/365))+(O51*($E51/365))</f>
        <v>0</v>
      </c>
      <c r="T130" s="8">
        <f>(P50*($E50/365))+(P51*($E51/365))</f>
        <v>44.6</v>
      </c>
      <c r="U130" s="8">
        <f>(Q50*($E50/365))+(Q51*($E51/365))</f>
        <v>0</v>
      </c>
      <c r="V130" s="7"/>
      <c r="W130" s="7">
        <f t="shared" si="14"/>
        <v>44.6</v>
      </c>
    </row>
    <row r="131" spans="1:23" x14ac:dyDescent="0.15">
      <c r="A131" s="1">
        <v>2000</v>
      </c>
      <c r="B131" s="8">
        <f>(K52*($E52/366))+(K53*($E53/366))</f>
        <v>0</v>
      </c>
      <c r="C131" s="8">
        <f>(L52*($E52/366))+(L53*($E53/366))</f>
        <v>100</v>
      </c>
      <c r="D131" s="8">
        <f>(M52*($E52/366))+(M53*($E53/366))</f>
        <v>0</v>
      </c>
      <c r="E131" s="49">
        <f t="shared" si="13"/>
        <v>100</v>
      </c>
      <c r="G131" s="1">
        <v>2000</v>
      </c>
      <c r="H131" s="809">
        <f>(O52/$R52*100*($E52/366))+(O53/$R53*100*($E53/366))</f>
        <v>0</v>
      </c>
      <c r="I131" s="809"/>
      <c r="J131" s="809">
        <f>(P52/$R52*100*($E52/366))+(P53/$R53*100*($E53/366))</f>
        <v>100</v>
      </c>
      <c r="K131" s="809"/>
      <c r="L131" s="809">
        <f>(Q52/$R52*100*($E52/366))+(Q53/$R53*100*($E53/366))</f>
        <v>0</v>
      </c>
      <c r="M131" s="809"/>
      <c r="N131" s="781">
        <f t="shared" si="12"/>
        <v>100</v>
      </c>
      <c r="O131" s="781"/>
      <c r="R131" s="1">
        <v>2000</v>
      </c>
      <c r="S131" s="8">
        <f>(O52*($E52/366))+(O53*($E53/366))</f>
        <v>0</v>
      </c>
      <c r="T131" s="8">
        <f>(P52*($E52/366))+(P53*($E53/366))</f>
        <v>49.85956284153005</v>
      </c>
      <c r="U131" s="8">
        <f>(Q52*($E52/366))+(Q53*($E53/366))</f>
        <v>0</v>
      </c>
      <c r="V131" s="7"/>
      <c r="W131" s="7">
        <f t="shared" si="14"/>
        <v>49.85956284153005</v>
      </c>
    </row>
    <row r="132" spans="1:23" x14ac:dyDescent="0.15">
      <c r="A132" s="1">
        <v>2001</v>
      </c>
      <c r="B132" s="8">
        <f>(K54*($E54/365))+(K55*($E55/365))</f>
        <v>0</v>
      </c>
      <c r="C132" s="8">
        <f>(L54*($E54/365))+(L55*($E55/365))</f>
        <v>100</v>
      </c>
      <c r="D132" s="8">
        <f>(M54*($E54/365))+(M55*($E55/365))</f>
        <v>0</v>
      </c>
      <c r="E132" s="49">
        <f t="shared" si="13"/>
        <v>100</v>
      </c>
      <c r="G132" s="1">
        <v>2001</v>
      </c>
      <c r="H132" s="809">
        <f>(O54/$R54*100*($E54/365))+(O55/$R55*100*($E55/365))</f>
        <v>0</v>
      </c>
      <c r="I132" s="809"/>
      <c r="J132" s="809">
        <f>(P54/$R54*100*($E54/365))+(P55/$R55*100*($E55/365))</f>
        <v>100</v>
      </c>
      <c r="K132" s="809"/>
      <c r="L132" s="809">
        <f>(Q54/$R54*100*($E54/365))+(Q55/$R55*100*($E55/365))</f>
        <v>0</v>
      </c>
      <c r="M132" s="809"/>
      <c r="N132" s="781">
        <f t="shared" si="12"/>
        <v>100</v>
      </c>
      <c r="O132" s="781"/>
      <c r="R132" s="1">
        <v>2001</v>
      </c>
      <c r="S132" s="8">
        <f>(O54*($E54/365))+(O55*($E55/365))</f>
        <v>0</v>
      </c>
      <c r="T132" s="8">
        <f>(P54*($E54/365))+(P55*($E55/365))</f>
        <v>52.3</v>
      </c>
      <c r="U132" s="8">
        <f>(Q54*($E54/365))+(Q55*($E55/365))</f>
        <v>0</v>
      </c>
      <c r="V132" s="7"/>
      <c r="W132" s="7">
        <f t="shared" si="14"/>
        <v>52.3</v>
      </c>
    </row>
    <row r="133" spans="1:23" x14ac:dyDescent="0.15">
      <c r="A133" s="1">
        <v>2002</v>
      </c>
      <c r="B133" s="8">
        <f>(K56*($E56/365))+(K57*($E57/365))</f>
        <v>0</v>
      </c>
      <c r="C133" s="8">
        <f>(L56*($E56/365))+(L57*($E57/365))</f>
        <v>100</v>
      </c>
      <c r="D133" s="8">
        <f>(M56*($E56/365))+(M57*($E57/365))</f>
        <v>0</v>
      </c>
      <c r="E133" s="49">
        <f t="shared" si="13"/>
        <v>100</v>
      </c>
      <c r="G133" s="1">
        <v>2002</v>
      </c>
      <c r="H133" s="809">
        <f>(O56/$R56*100*($E56/365))+(O57/$R57*100*($E57/365))</f>
        <v>0</v>
      </c>
      <c r="I133" s="809"/>
      <c r="J133" s="809">
        <f>(P56/$R56*100*($E56/365))+(P57/$R57*100*($E57/365))</f>
        <v>100</v>
      </c>
      <c r="K133" s="809"/>
      <c r="L133" s="809">
        <f>(Q56/$R56*100*($E56/365))+(Q57/$R57*100*($E57/365))</f>
        <v>0</v>
      </c>
      <c r="M133" s="809"/>
      <c r="N133" s="781">
        <f t="shared" si="12"/>
        <v>100</v>
      </c>
      <c r="O133" s="781"/>
      <c r="R133" s="1">
        <v>2002</v>
      </c>
      <c r="S133" s="8">
        <f>(O56*($E56/365))+(O57*($E57/365))</f>
        <v>0</v>
      </c>
      <c r="T133" s="8">
        <f>(P56*($E56/365))+(P57*($E57/365))</f>
        <v>52.3</v>
      </c>
      <c r="U133" s="8">
        <f>(Q56*($E56/365))+(Q57*($E57/365))</f>
        <v>0</v>
      </c>
      <c r="V133" s="7"/>
      <c r="W133" s="7">
        <f t="shared" si="14"/>
        <v>52.3</v>
      </c>
    </row>
    <row r="134" spans="1:23" x14ac:dyDescent="0.15">
      <c r="A134" s="1">
        <v>2003</v>
      </c>
      <c r="B134" s="8">
        <f>(K58*($E58/365))+(K59*($E59/365))</f>
        <v>0</v>
      </c>
      <c r="C134" s="8">
        <f>(L58*($E58/365))+(L59*($E59/365))</f>
        <v>100</v>
      </c>
      <c r="D134" s="8">
        <f>(M58*($E58/365))+(M59*($E59/365))</f>
        <v>0</v>
      </c>
      <c r="E134" s="49">
        <f t="shared" si="13"/>
        <v>100</v>
      </c>
      <c r="G134" s="1">
        <v>2003</v>
      </c>
      <c r="H134" s="809">
        <f>(O58/$R58*100*($E58/365))+(O59/$R59*100*($E59/365))</f>
        <v>0</v>
      </c>
      <c r="I134" s="809"/>
      <c r="J134" s="809">
        <f>(P58/$R58*100*($E58/365))+(P59/$R59*100*($E59/365))</f>
        <v>100</v>
      </c>
      <c r="K134" s="809"/>
      <c r="L134" s="809">
        <f>(Q58/$R58*100*($E58/365))+(Q59/$R59*100*($E59/365))</f>
        <v>0</v>
      </c>
      <c r="M134" s="809"/>
      <c r="N134" s="781">
        <f t="shared" si="12"/>
        <v>100</v>
      </c>
      <c r="O134" s="781"/>
      <c r="R134" s="1">
        <v>2003</v>
      </c>
      <c r="S134" s="8">
        <f>(O58*($E58/365))+(O59*($E59/365))</f>
        <v>0</v>
      </c>
      <c r="T134" s="8">
        <f>(P58*($E58/365))+(P59*($E59/365))</f>
        <v>52.3</v>
      </c>
      <c r="U134" s="8">
        <f>(Q58*($E58/365))+(Q59*($E59/365))</f>
        <v>0</v>
      </c>
      <c r="V134" s="7"/>
      <c r="W134" s="7">
        <f t="shared" si="14"/>
        <v>52.3</v>
      </c>
    </row>
    <row r="135" spans="1:23" x14ac:dyDescent="0.15">
      <c r="A135" s="1">
        <v>2004</v>
      </c>
      <c r="B135" s="8">
        <f>(K60*($E60/366))+(K61*($E61/366))</f>
        <v>0</v>
      </c>
      <c r="C135" s="8">
        <f>(L60*($E60/366))+(L61*($E61/366))</f>
        <v>29.234972677595628</v>
      </c>
      <c r="D135" s="8">
        <f>(M60*($E60/366))+(M61*($E61/366))</f>
        <v>70.765027322404379</v>
      </c>
      <c r="E135" s="49">
        <f t="shared" si="13"/>
        <v>100</v>
      </c>
      <c r="G135" s="1">
        <v>2004</v>
      </c>
      <c r="H135" s="809">
        <f>(O60/$R60*100*($E60/366))+(O61/$R61*100*($E61/366))</f>
        <v>0</v>
      </c>
      <c r="I135" s="809"/>
      <c r="J135" s="809">
        <f>(P60/$R60*100*($E60/366))+(P61/$R61*100*($E61/366))</f>
        <v>29.234972677595628</v>
      </c>
      <c r="K135" s="809"/>
      <c r="L135" s="809">
        <f>(Q60/$R60*100*($E60/366))+(Q61/$R61*100*($E61/366))</f>
        <v>70.765027322404379</v>
      </c>
      <c r="M135" s="809"/>
      <c r="N135" s="781">
        <f t="shared" si="12"/>
        <v>100</v>
      </c>
      <c r="O135" s="781"/>
      <c r="R135" s="1">
        <v>2004</v>
      </c>
      <c r="S135" s="8">
        <f>(O60*($E60/366))+(O61*($E61/366))</f>
        <v>0</v>
      </c>
      <c r="T135" s="8">
        <f>(P60*($E60/366))+(P61*($E61/366))</f>
        <v>15.289890710382512</v>
      </c>
      <c r="U135" s="8">
        <f>(Q60*($E60/366))+(Q61*($E61/366))</f>
        <v>33.188797814207646</v>
      </c>
      <c r="V135" s="7"/>
      <c r="W135" s="7">
        <f t="shared" si="14"/>
        <v>48.478688524590154</v>
      </c>
    </row>
    <row r="136" spans="1:23" x14ac:dyDescent="0.15">
      <c r="A136" s="1">
        <v>2005</v>
      </c>
      <c r="B136" s="8">
        <f>(K62*($E62/365))+(K63*($E63/365))</f>
        <v>0</v>
      </c>
      <c r="C136" s="8">
        <f>(L62*($E62/365))+(L63*($E63/365))</f>
        <v>0</v>
      </c>
      <c r="D136" s="8">
        <f>(M62*($E62/365))+(M63*($E63/365))</f>
        <v>100</v>
      </c>
      <c r="E136" s="49">
        <f t="shared" si="13"/>
        <v>100</v>
      </c>
      <c r="G136" s="1">
        <v>2005</v>
      </c>
      <c r="H136" s="809">
        <f>(O62/$R62*100*($E62/365))+(O63/$R63*100*($E63/365))</f>
        <v>0</v>
      </c>
      <c r="I136" s="809"/>
      <c r="J136" s="809">
        <f>(P62/$R62*100*($E62/365))+(P63/$R63*100*($E63/365))</f>
        <v>0</v>
      </c>
      <c r="K136" s="809"/>
      <c r="L136" s="809">
        <f>(Q62/$R62*100*($E62/365))+(Q63/$R63*100*($E63/365))</f>
        <v>100</v>
      </c>
      <c r="M136" s="809"/>
      <c r="N136" s="781">
        <f t="shared" si="12"/>
        <v>100</v>
      </c>
      <c r="O136" s="781"/>
      <c r="R136" s="1">
        <v>2005</v>
      </c>
      <c r="S136" s="8">
        <f>(O62*($E62/365))+(O63*($E63/365))</f>
        <v>0</v>
      </c>
      <c r="T136" s="8">
        <f>(P62*($E62/365))+(P63*($E63/365))</f>
        <v>0</v>
      </c>
      <c r="U136" s="8">
        <f>(Q62*($E62/365))+(Q63*($E63/365))</f>
        <v>46.9</v>
      </c>
      <c r="V136" s="7"/>
      <c r="W136" s="7">
        <f t="shared" si="14"/>
        <v>46.9</v>
      </c>
    </row>
    <row r="137" spans="1:23" x14ac:dyDescent="0.15">
      <c r="A137" s="1">
        <v>2006</v>
      </c>
      <c r="B137" s="8">
        <f>(K64*($E64/365))+(K65*($E65/365))</f>
        <v>0</v>
      </c>
      <c r="C137" s="8">
        <f>(L64*($E64/365))+(L65*($E65/365))</f>
        <v>0</v>
      </c>
      <c r="D137" s="8">
        <f>(M64*($E64/365))+(M65*($E65/365))</f>
        <v>100</v>
      </c>
      <c r="E137" s="49">
        <f t="shared" si="13"/>
        <v>100</v>
      </c>
      <c r="G137" s="1">
        <v>2006</v>
      </c>
      <c r="H137" s="809">
        <f>(O64/$R64*100*($E64/365))+(O65/$R65*100*($E65/365))</f>
        <v>0</v>
      </c>
      <c r="I137" s="809"/>
      <c r="J137" s="809">
        <f>(P64/$R64*100*($E64/365))+(P65/$R65*100*($E65/365))</f>
        <v>0</v>
      </c>
      <c r="K137" s="809"/>
      <c r="L137" s="809">
        <f>(Q64/$R64*100*($E64/365))+(Q65/$R65*100*($E65/365))</f>
        <v>100</v>
      </c>
      <c r="M137" s="809"/>
      <c r="N137" s="781">
        <f t="shared" si="12"/>
        <v>100</v>
      </c>
      <c r="O137" s="781"/>
      <c r="R137" s="1">
        <v>2006</v>
      </c>
      <c r="S137" s="8">
        <f>(O64*($E64/365))+(O65*($E65/365))</f>
        <v>0</v>
      </c>
      <c r="T137" s="8">
        <f>(P64*($E64/365))+(P65*($E65/365))</f>
        <v>0</v>
      </c>
      <c r="U137" s="8">
        <f>(Q64*($E64/365))+(Q65*($E65/365))</f>
        <v>46.9</v>
      </c>
      <c r="V137" s="7"/>
      <c r="W137" s="7">
        <f t="shared" si="14"/>
        <v>46.9</v>
      </c>
    </row>
    <row r="138" spans="1:23" x14ac:dyDescent="0.15">
      <c r="A138" s="1">
        <v>2007</v>
      </c>
      <c r="B138" s="8">
        <f>(K66*($E66/365))+(K67*($E67/365))</f>
        <v>0</v>
      </c>
      <c r="C138" s="8">
        <f>(L66*($E66/365))+(L67*($E67/365))</f>
        <v>0</v>
      </c>
      <c r="D138" s="8">
        <f>(M66*($E66/365))+(M67*($E67/365))</f>
        <v>100</v>
      </c>
      <c r="E138" s="49">
        <f t="shared" si="13"/>
        <v>100</v>
      </c>
      <c r="G138" s="1">
        <v>2007</v>
      </c>
      <c r="H138" s="809">
        <f>(O66/$R66*100*($E66/365))+(O67/$R67*100*($E67/365))</f>
        <v>0</v>
      </c>
      <c r="I138" s="809"/>
      <c r="J138" s="809">
        <f>(P66/$R66*100*($E66/365))+(P67/$R67*100*($E67/365))</f>
        <v>0</v>
      </c>
      <c r="K138" s="809"/>
      <c r="L138" s="809">
        <f>(Q66/$R66*100*($E66/365))+(Q67/$R67*100*($E67/365))</f>
        <v>100</v>
      </c>
      <c r="M138" s="809"/>
      <c r="N138" s="781">
        <f t="shared" si="12"/>
        <v>100</v>
      </c>
      <c r="O138" s="781"/>
      <c r="R138" s="1">
        <v>2007</v>
      </c>
      <c r="S138" s="8">
        <f>(O66*($E66/365))+(O67*($E67/365))</f>
        <v>0</v>
      </c>
      <c r="T138" s="8">
        <f>(P66*($E66/365))+(P67*($E67/365))</f>
        <v>0</v>
      </c>
      <c r="U138" s="8">
        <f>(Q66*($E66/365))+(Q67*($E67/365))</f>
        <v>46.9</v>
      </c>
      <c r="V138" s="7"/>
      <c r="W138" s="7">
        <f t="shared" si="14"/>
        <v>46.9</v>
      </c>
    </row>
    <row r="139" spans="1:23" x14ac:dyDescent="0.15">
      <c r="A139" s="1">
        <v>2008</v>
      </c>
      <c r="B139" s="8">
        <f>(K68*($E68/366))+(K69*($E69/366))</f>
        <v>0</v>
      </c>
      <c r="C139" s="8">
        <f>(L68*($E68/366))+(L69*($E69/366))</f>
        <v>0</v>
      </c>
      <c r="D139" s="8">
        <f>(M68*($E68/366))+(M69*($E69/366))</f>
        <v>100.00000000000001</v>
      </c>
      <c r="E139" s="49">
        <f t="shared" si="13"/>
        <v>100.00000000000001</v>
      </c>
      <c r="G139" s="1">
        <v>2008</v>
      </c>
      <c r="H139" s="809">
        <f>(O68/$R68*100*($E68/366))+(O69/$R69*100*($E69/366))</f>
        <v>0</v>
      </c>
      <c r="I139" s="809"/>
      <c r="J139" s="809">
        <f>(P68/$R68*100*($E68/366))+(P69/$R69*100*($E69/366))</f>
        <v>0</v>
      </c>
      <c r="K139" s="809"/>
      <c r="L139" s="809">
        <f>(Q68/$R68*100*($E68/366))+(Q69/$R69*100*($E69/366))</f>
        <v>100.00000000000001</v>
      </c>
      <c r="M139" s="809"/>
      <c r="N139" s="781">
        <f t="shared" si="12"/>
        <v>100.00000000000001</v>
      </c>
      <c r="O139" s="781"/>
      <c r="R139" s="1">
        <v>2008</v>
      </c>
      <c r="S139" s="8">
        <f>(O68*($E68/366))+(O69*($E69/366))</f>
        <v>0</v>
      </c>
      <c r="T139" s="8">
        <f>(P68*($E68/366))+(P69*($E69/366))</f>
        <v>0</v>
      </c>
      <c r="U139" s="8">
        <f>(Q68*($E68/366))+(Q69*($E69/366))</f>
        <v>47.910491803278688</v>
      </c>
      <c r="V139" s="7"/>
      <c r="W139" s="7">
        <f t="shared" si="14"/>
        <v>47.910491803278688</v>
      </c>
    </row>
    <row r="140" spans="1:23" x14ac:dyDescent="0.15">
      <c r="A140" s="1">
        <v>2009</v>
      </c>
      <c r="B140" s="8">
        <f>(K70*($E70/365))+(K71*($E71/365))</f>
        <v>0</v>
      </c>
      <c r="C140" s="8">
        <f>(L70*($E70/365))+(L71*($E71/365))</f>
        <v>0</v>
      </c>
      <c r="D140" s="8">
        <f>(M70*($E70/365))+(M71*($E71/365))</f>
        <v>100</v>
      </c>
      <c r="E140" s="49">
        <f t="shared" si="13"/>
        <v>100</v>
      </c>
      <c r="G140" s="1">
        <v>2009</v>
      </c>
      <c r="H140" s="809">
        <f>(O70/$R70*100*($E70/365))+(O71/$R71*100*($E71/365))</f>
        <v>0</v>
      </c>
      <c r="I140" s="809"/>
      <c r="J140" s="809">
        <f>(P70/$R70*100*($E70/365))+(P71/$R71*100*($E71/365))</f>
        <v>0</v>
      </c>
      <c r="K140" s="809"/>
      <c r="L140" s="809">
        <f>(Q70/$R70*100*($E70/365))+(Q71/$R71*100*($E71/365))</f>
        <v>100</v>
      </c>
      <c r="M140" s="809"/>
      <c r="N140" s="781">
        <f t="shared" si="12"/>
        <v>100</v>
      </c>
      <c r="O140" s="781"/>
      <c r="R140" s="1">
        <v>2009</v>
      </c>
      <c r="S140" s="8">
        <f>(O70*($E70/365))+(O71*($E71/365))</f>
        <v>0</v>
      </c>
      <c r="T140" s="8">
        <f>(P70*($E70/365))+(P71*($E71/365))</f>
        <v>0</v>
      </c>
      <c r="U140" s="8">
        <f>(Q70*($E70/365))+(Q71*($E71/365))</f>
        <v>48.279999999999994</v>
      </c>
      <c r="V140" s="7"/>
      <c r="W140" s="7">
        <f t="shared" si="14"/>
        <v>48.279999999999994</v>
      </c>
    </row>
    <row r="141" spans="1:23" x14ac:dyDescent="0.15">
      <c r="A141" s="1">
        <v>2010</v>
      </c>
      <c r="B141" s="8">
        <f>(K72*($E72/365))+(K73*($E73/365))</f>
        <v>0</v>
      </c>
      <c r="C141" s="8">
        <f>(L72*($E72/365))+(L73*($E73/365))</f>
        <v>0</v>
      </c>
      <c r="D141" s="8">
        <f>(M72*($E72/365))+(M73*($E73/365))</f>
        <v>98.75</v>
      </c>
      <c r="E141" s="49">
        <f t="shared" si="13"/>
        <v>98.75</v>
      </c>
      <c r="G141" s="1">
        <v>2010</v>
      </c>
      <c r="H141" s="809">
        <f>(O72/$R72*100*($E72/365))+(O73/$R73*100*($E73/365))</f>
        <v>0</v>
      </c>
      <c r="I141" s="809"/>
      <c r="J141" s="809">
        <f>(P72/$R72*100*($E72/365))+(P73/$R73*100*($E73/365))</f>
        <v>0</v>
      </c>
      <c r="K141" s="809"/>
      <c r="L141" s="809">
        <f>(Q72/$R72*100*($E72/365))+(Q73/$R73*100*($E73/365))</f>
        <v>100</v>
      </c>
      <c r="M141" s="809"/>
      <c r="N141" s="781">
        <f t="shared" si="12"/>
        <v>100</v>
      </c>
      <c r="O141" s="781"/>
      <c r="R141" s="1">
        <v>2010</v>
      </c>
      <c r="S141" s="8">
        <f>(O72*($E72/365))+(O73*($E73/365))</f>
        <v>0</v>
      </c>
      <c r="T141" s="8">
        <f>(P72*($E72/365))+(P73*($E73/365))</f>
        <v>0</v>
      </c>
      <c r="U141" s="8">
        <f>(Q72*($E72/365))+(Q73*($E73/365))</f>
        <v>48.28</v>
      </c>
      <c r="V141" s="7"/>
      <c r="W141" s="7">
        <f t="shared" si="14"/>
        <v>48.28</v>
      </c>
    </row>
    <row r="142" spans="1:23" x14ac:dyDescent="0.15">
      <c r="A142" s="1">
        <v>2011</v>
      </c>
      <c r="B142" s="8">
        <f>(K74*($E74/365))+(K75*($E75/365))</f>
        <v>0</v>
      </c>
      <c r="C142" s="8">
        <f>(L74*($E74/365))+(L75*($E75/365))</f>
        <v>3.5616438356164384</v>
      </c>
      <c r="D142" s="8">
        <f>(M74*($E74/365))+(M75*($E75/365))</f>
        <v>90.410958904109592</v>
      </c>
      <c r="E142" s="49">
        <f t="shared" si="13"/>
        <v>93.972602739726028</v>
      </c>
      <c r="G142" s="1">
        <v>2011</v>
      </c>
      <c r="H142" s="809">
        <f>(O74/$R74*100*($E74/365))+(O75/$R75*100*($E75/365))</f>
        <v>0</v>
      </c>
      <c r="I142" s="809"/>
      <c r="J142" s="809">
        <f>(P74/$R74*100*($E74/365))+(P75/$R75*100*($E75/365))</f>
        <v>3.5616438356164384</v>
      </c>
      <c r="K142" s="809"/>
      <c r="L142" s="809">
        <f>(Q74/$R74*100*($E74/365))+(Q75/$R75*100*($E75/365))</f>
        <v>96.438356164383563</v>
      </c>
      <c r="M142" s="809"/>
      <c r="N142" s="781">
        <f t="shared" si="12"/>
        <v>100</v>
      </c>
      <c r="O142" s="781"/>
      <c r="R142" s="1">
        <v>2011</v>
      </c>
      <c r="S142" s="8">
        <f>(O74*($E74/365))+(O75*($E75/365))</f>
        <v>0</v>
      </c>
      <c r="T142" s="8">
        <f>(P74*($E74/365))+(P75*($E75/365))</f>
        <v>1.8926575342465752</v>
      </c>
      <c r="U142" s="8">
        <f>(Q74*($E74/365))+(Q75*($E75/365))</f>
        <v>46.560438356164383</v>
      </c>
      <c r="V142" s="7"/>
      <c r="W142" s="7">
        <f t="shared" si="14"/>
        <v>48.453095890410957</v>
      </c>
    </row>
    <row r="143" spans="1:23" x14ac:dyDescent="0.15">
      <c r="A143" s="1">
        <v>2012</v>
      </c>
      <c r="B143" s="8">
        <f>(K76*($E76/366))+(K77*($E77/366))</f>
        <v>0</v>
      </c>
      <c r="C143" s="8">
        <f>(L76*($E76/366))+(L77*($E77/366))</f>
        <v>100</v>
      </c>
      <c r="D143" s="8">
        <f>(M76*($E76/366))+(M77*($E77/366))</f>
        <v>0</v>
      </c>
      <c r="E143" s="49">
        <f t="shared" si="13"/>
        <v>100</v>
      </c>
      <c r="G143" s="1">
        <v>2012</v>
      </c>
      <c r="H143" s="809">
        <f>(O76/$R76*100*($E76/366))+(O77/$R77*100*($E77/366))</f>
        <v>0</v>
      </c>
      <c r="I143" s="809"/>
      <c r="J143" s="809">
        <f>(P76/$R76*100*($E76/366))+(P77/$R77*100*($E77/366))</f>
        <v>100</v>
      </c>
      <c r="K143" s="809"/>
      <c r="L143" s="809">
        <f>(Q76/$R76*100*($E76/366))+(Q77/$R77*100*($E77/366))</f>
        <v>0</v>
      </c>
      <c r="M143" s="809"/>
      <c r="N143" s="781">
        <f t="shared" si="12"/>
        <v>100</v>
      </c>
      <c r="O143" s="781"/>
      <c r="R143" s="1">
        <v>2012</v>
      </c>
      <c r="S143" s="8">
        <f>(O76*($E76/366))+(O77*($E77/366))</f>
        <v>0</v>
      </c>
      <c r="T143" s="8">
        <f>(P76*($E76/366))+(P77*($E77/366))</f>
        <v>53.14</v>
      </c>
      <c r="U143" s="8">
        <f>(Q76*($E76/366))+(Q77*($E77/366))</f>
        <v>0</v>
      </c>
      <c r="V143" s="7"/>
      <c r="W143" s="7">
        <f t="shared" si="14"/>
        <v>53.14</v>
      </c>
    </row>
    <row r="144" spans="1:23" x14ac:dyDescent="0.15">
      <c r="A144" s="1">
        <v>2013</v>
      </c>
      <c r="B144" s="8">
        <f>(K78*($E78/365))+(K79*($E79/365))</f>
        <v>0</v>
      </c>
      <c r="C144" s="8">
        <f>(L78*($E78/365))+(L79*($E79/365))</f>
        <v>100</v>
      </c>
      <c r="D144" s="8">
        <f>(M78*($E78/365))+(M79*($E79/365))</f>
        <v>0</v>
      </c>
      <c r="E144" s="307">
        <f t="shared" si="13"/>
        <v>100</v>
      </c>
      <c r="G144" s="1">
        <v>2013</v>
      </c>
      <c r="H144" s="809">
        <f>(O78/$R78*100*($E78/365))+(O79/$R79*100*($E79/365))</f>
        <v>0</v>
      </c>
      <c r="I144" s="809"/>
      <c r="J144" s="809">
        <f>(P78/$R78*100*($E78/365))+(P79/$R79*100*($E79/365))</f>
        <v>100</v>
      </c>
      <c r="K144" s="809"/>
      <c r="L144" s="809">
        <f>(Q78/$R78*100*($E78/365))+(Q79/$R79*100*($E79/365))</f>
        <v>0</v>
      </c>
      <c r="M144" s="809"/>
      <c r="N144" s="781">
        <f>H144+J144+L144</f>
        <v>100</v>
      </c>
      <c r="O144" s="781"/>
      <c r="R144" s="1">
        <v>2013</v>
      </c>
      <c r="S144" s="8">
        <f>(O78*($E78/365))+(O79*($E79/365))</f>
        <v>0</v>
      </c>
      <c r="T144" s="8">
        <f>(P78*($E78/365))+(P79*($E79/365))</f>
        <v>53.14</v>
      </c>
      <c r="U144" s="8">
        <f>(Q78*($E78/365))+(Q79*($E79/365))</f>
        <v>0</v>
      </c>
      <c r="W144" s="7">
        <f t="shared" si="14"/>
        <v>53.14</v>
      </c>
    </row>
    <row r="145" spans="1:23" x14ac:dyDescent="0.15">
      <c r="A145" s="1">
        <v>2014</v>
      </c>
      <c r="B145" s="8">
        <f>(K80*($E80/365))+(K81*($E81/365))</f>
        <v>0</v>
      </c>
      <c r="C145" s="8">
        <f>(L80*($E80/365))+(L81*($E81/365))</f>
        <v>100</v>
      </c>
      <c r="D145" s="8">
        <f>(M80*($E80/365))+(M81*($E81/365))</f>
        <v>0</v>
      </c>
      <c r="E145" s="660">
        <f>B145+C145+D145</f>
        <v>100</v>
      </c>
      <c r="G145" s="1">
        <v>2014</v>
      </c>
      <c r="H145" s="809">
        <f>(O80/$R80*100*($E80/365))+(O81/$R81*100*($E81/365))</f>
        <v>0</v>
      </c>
      <c r="I145" s="809"/>
      <c r="J145" s="809">
        <f>(P80/$R80*100*($E80/365))+(P81/$R81*100*($E81/365))</f>
        <v>100</v>
      </c>
      <c r="K145" s="809"/>
      <c r="L145" s="809">
        <f>(Q80/$R80*100*($E80/365))+(Q81/$R81*100*($E81/365))</f>
        <v>0</v>
      </c>
      <c r="M145" s="809"/>
      <c r="N145" s="781">
        <f>H145+J145+L145</f>
        <v>100</v>
      </c>
      <c r="O145" s="781"/>
      <c r="R145" s="1">
        <v>2014</v>
      </c>
      <c r="S145" s="8">
        <f>(O80*($E80/365))+(O81*($E81/365))</f>
        <v>0</v>
      </c>
      <c r="T145" s="8">
        <f>(P80*($E80/365))+(P81*($E81/365))</f>
        <v>53.14</v>
      </c>
      <c r="U145" s="8">
        <f>(Q80*($E80/365))+(Q81*($E81/365))</f>
        <v>0</v>
      </c>
      <c r="W145" s="7">
        <f>S145+T145+U145</f>
        <v>53.14</v>
      </c>
    </row>
    <row r="146" spans="1:23" s="763" customFormat="1" x14ac:dyDescent="0.15">
      <c r="A146" s="763">
        <v>2015</v>
      </c>
      <c r="B146" s="757">
        <f>(K82*($E82/365))+(K83*($E83/365))</f>
        <v>0</v>
      </c>
      <c r="C146" s="757">
        <f>(L82*($E82/365))+(L83*($E83/365))</f>
        <v>100</v>
      </c>
      <c r="D146" s="757">
        <f>(M82*($E82/365))+(M83*($E83/365))</f>
        <v>0</v>
      </c>
      <c r="E146" s="755">
        <f>B146+C146+D146</f>
        <v>100</v>
      </c>
      <c r="G146" s="763">
        <v>2015</v>
      </c>
      <c r="H146" s="809">
        <f>(O82/$R82*100*($E82/365))+(O83/$R83*100*($E83/365))</f>
        <v>0</v>
      </c>
      <c r="I146" s="809"/>
      <c r="J146" s="809">
        <f>(P82/$R82*100*($E82/365))+(P83/$R83*100*($E83/365))</f>
        <v>100</v>
      </c>
      <c r="K146" s="809"/>
      <c r="L146" s="809">
        <f>(Q82/$R82*100*($E82/365))+(Q83/$R83*100*($E83/365))</f>
        <v>0</v>
      </c>
      <c r="M146" s="809"/>
      <c r="N146" s="781">
        <f>H146+J146+L146</f>
        <v>100</v>
      </c>
      <c r="O146" s="781"/>
      <c r="R146" s="763">
        <v>2015</v>
      </c>
      <c r="S146" s="757">
        <f>(O82*($E82/365))+(O83*($E83/365))</f>
        <v>0</v>
      </c>
      <c r="T146" s="757">
        <f>(P82*($E82/365))+(P83*($E83/365))</f>
        <v>53.14</v>
      </c>
      <c r="U146" s="757">
        <f>(Q82*($E82/365))+(Q83*($E83/365))</f>
        <v>0</v>
      </c>
      <c r="W146" s="760">
        <f>S146+T146+U146</f>
        <v>53.14</v>
      </c>
    </row>
    <row r="147" spans="1:23" s="763" customFormat="1" x14ac:dyDescent="0.15"/>
  </sheetData>
  <mergeCells count="260">
    <mergeCell ref="AT4:AW4"/>
    <mergeCell ref="AX4:BA4"/>
    <mergeCell ref="N138:O138"/>
    <mergeCell ref="N139:O139"/>
    <mergeCell ref="N128:O128"/>
    <mergeCell ref="N129:O129"/>
    <mergeCell ref="N109:O109"/>
    <mergeCell ref="N121:O121"/>
    <mergeCell ref="N122:O122"/>
    <mergeCell ref="N123:O123"/>
    <mergeCell ref="N124:O124"/>
    <mergeCell ref="N125:O125"/>
    <mergeCell ref="N126:O126"/>
    <mergeCell ref="N127:O127"/>
    <mergeCell ref="N142:O142"/>
    <mergeCell ref="N143:O143"/>
    <mergeCell ref="N140:O140"/>
    <mergeCell ref="N141:O141"/>
    <mergeCell ref="L125:M125"/>
    <mergeCell ref="L126:M126"/>
    <mergeCell ref="L127:M127"/>
    <mergeCell ref="L128:M128"/>
    <mergeCell ref="L139:M139"/>
    <mergeCell ref="L140:M140"/>
    <mergeCell ref="L141:M141"/>
    <mergeCell ref="L137:M137"/>
    <mergeCell ref="L138:M138"/>
    <mergeCell ref="N144:O144"/>
    <mergeCell ref="C78:D78"/>
    <mergeCell ref="C79:D79"/>
    <mergeCell ref="H144:I144"/>
    <mergeCell ref="J144:K144"/>
    <mergeCell ref="L144:M144"/>
    <mergeCell ref="N134:O134"/>
    <mergeCell ref="N135:O135"/>
    <mergeCell ref="N136:O136"/>
    <mergeCell ref="N137:O137"/>
    <mergeCell ref="N130:O130"/>
    <mergeCell ref="N131:O131"/>
    <mergeCell ref="N132:O132"/>
    <mergeCell ref="N133:O133"/>
    <mergeCell ref="L143:M143"/>
    <mergeCell ref="N119:O119"/>
    <mergeCell ref="N120:O120"/>
    <mergeCell ref="L132:M132"/>
    <mergeCell ref="L133:M133"/>
    <mergeCell ref="L134:M134"/>
    <mergeCell ref="L135:M135"/>
    <mergeCell ref="L136:M136"/>
    <mergeCell ref="L129:M129"/>
    <mergeCell ref="L130:M130"/>
    <mergeCell ref="J140:K140"/>
    <mergeCell ref="J141:K141"/>
    <mergeCell ref="J142:K142"/>
    <mergeCell ref="J143:K143"/>
    <mergeCell ref="J134:K134"/>
    <mergeCell ref="J135:K135"/>
    <mergeCell ref="J136:K136"/>
    <mergeCell ref="J137:K137"/>
    <mergeCell ref="L119:M119"/>
    <mergeCell ref="L120:M120"/>
    <mergeCell ref="L121:M121"/>
    <mergeCell ref="L122:M122"/>
    <mergeCell ref="L123:M123"/>
    <mergeCell ref="L124:M124"/>
    <mergeCell ref="J138:K138"/>
    <mergeCell ref="J139:K139"/>
    <mergeCell ref="J128:K128"/>
    <mergeCell ref="J129:K129"/>
    <mergeCell ref="J130:K130"/>
    <mergeCell ref="J131:K131"/>
    <mergeCell ref="J132:K132"/>
    <mergeCell ref="J133:K133"/>
    <mergeCell ref="L142:M142"/>
    <mergeCell ref="L131:M131"/>
    <mergeCell ref="H143:I143"/>
    <mergeCell ref="J119:K119"/>
    <mergeCell ref="J120:K120"/>
    <mergeCell ref="J121:K121"/>
    <mergeCell ref="J122:K122"/>
    <mergeCell ref="J123:K123"/>
    <mergeCell ref="J124:K124"/>
    <mergeCell ref="J125:K125"/>
    <mergeCell ref="J126:K126"/>
    <mergeCell ref="J127:K127"/>
    <mergeCell ref="H137:I137"/>
    <mergeCell ref="H138:I138"/>
    <mergeCell ref="H139:I139"/>
    <mergeCell ref="H140:I140"/>
    <mergeCell ref="H141:I141"/>
    <mergeCell ref="H142:I142"/>
    <mergeCell ref="H131:I131"/>
    <mergeCell ref="H132:I132"/>
    <mergeCell ref="H133:I133"/>
    <mergeCell ref="H134:I134"/>
    <mergeCell ref="H135:I135"/>
    <mergeCell ref="H136:I136"/>
    <mergeCell ref="H125:I125"/>
    <mergeCell ref="H126:I126"/>
    <mergeCell ref="H127:I127"/>
    <mergeCell ref="H128:I128"/>
    <mergeCell ref="H129:I129"/>
    <mergeCell ref="H130:I130"/>
    <mergeCell ref="H119:I119"/>
    <mergeCell ref="H120:I120"/>
    <mergeCell ref="H121:I121"/>
    <mergeCell ref="H122:I122"/>
    <mergeCell ref="H123:I123"/>
    <mergeCell ref="H124:I124"/>
    <mergeCell ref="H117:I117"/>
    <mergeCell ref="J117:K117"/>
    <mergeCell ref="L117:M117"/>
    <mergeCell ref="N117:O117"/>
    <mergeCell ref="H118:I118"/>
    <mergeCell ref="J118:K118"/>
    <mergeCell ref="L118:M118"/>
    <mergeCell ref="N118:O118"/>
    <mergeCell ref="H115:I115"/>
    <mergeCell ref="J115:K115"/>
    <mergeCell ref="L115:M115"/>
    <mergeCell ref="N115:O115"/>
    <mergeCell ref="H116:I116"/>
    <mergeCell ref="J116:K116"/>
    <mergeCell ref="L116:M116"/>
    <mergeCell ref="N116:O116"/>
    <mergeCell ref="G3:M3"/>
    <mergeCell ref="O3:Q3"/>
    <mergeCell ref="R88:W88"/>
    <mergeCell ref="H90:I90"/>
    <mergeCell ref="J90:K90"/>
    <mergeCell ref="H108:I108"/>
    <mergeCell ref="J108:K108"/>
    <mergeCell ref="L108:M108"/>
    <mergeCell ref="N108:O108"/>
    <mergeCell ref="G4:J4"/>
    <mergeCell ref="A4:A5"/>
    <mergeCell ref="B4:B5"/>
    <mergeCell ref="C4:D5"/>
    <mergeCell ref="E4:E5"/>
    <mergeCell ref="AP4:AS4"/>
    <mergeCell ref="K4:N4"/>
    <mergeCell ref="O4:R4"/>
    <mergeCell ref="S4:S5"/>
    <mergeCell ref="T4:T5"/>
    <mergeCell ref="F4:F5"/>
    <mergeCell ref="C6:D6"/>
    <mergeCell ref="Z4:AC4"/>
    <mergeCell ref="AD4:AG4"/>
    <mergeCell ref="AH4:AK4"/>
    <mergeCell ref="AL4:AO4"/>
    <mergeCell ref="C7:D7"/>
    <mergeCell ref="U4:U5"/>
    <mergeCell ref="V4:Y4"/>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73:D73"/>
    <mergeCell ref="C61:D61"/>
    <mergeCell ref="C62:D62"/>
    <mergeCell ref="C63:D63"/>
    <mergeCell ref="C64:D64"/>
    <mergeCell ref="C65:D65"/>
    <mergeCell ref="C66:D66"/>
    <mergeCell ref="C74:D74"/>
    <mergeCell ref="C67:D67"/>
    <mergeCell ref="C68:D68"/>
    <mergeCell ref="C75:D75"/>
    <mergeCell ref="C76:D76"/>
    <mergeCell ref="C77:D77"/>
    <mergeCell ref="C69:D69"/>
    <mergeCell ref="C70:D70"/>
    <mergeCell ref="C71:D71"/>
    <mergeCell ref="C72:D72"/>
    <mergeCell ref="C80:D80"/>
    <mergeCell ref="C81:D81"/>
    <mergeCell ref="N90:O90"/>
    <mergeCell ref="H109:I109"/>
    <mergeCell ref="J109:K109"/>
    <mergeCell ref="L109:M109"/>
    <mergeCell ref="L90:M90"/>
    <mergeCell ref="H110:I110"/>
    <mergeCell ref="J110:K110"/>
    <mergeCell ref="L110:M110"/>
    <mergeCell ref="N110:O110"/>
    <mergeCell ref="C82:D82"/>
    <mergeCell ref="C83:D83"/>
    <mergeCell ref="H111:I111"/>
    <mergeCell ref="J111:K111"/>
    <mergeCell ref="L111:M111"/>
    <mergeCell ref="N111:O111"/>
    <mergeCell ref="H112:I112"/>
    <mergeCell ref="J112:K112"/>
    <mergeCell ref="H146:I146"/>
    <mergeCell ref="J146:K146"/>
    <mergeCell ref="L146:M146"/>
    <mergeCell ref="N146:O146"/>
    <mergeCell ref="H145:I145"/>
    <mergeCell ref="J145:K145"/>
    <mergeCell ref="L145:M145"/>
    <mergeCell ref="N145:O145"/>
    <mergeCell ref="H113:I113"/>
    <mergeCell ref="J113:K113"/>
    <mergeCell ref="L113:M113"/>
    <mergeCell ref="N113:O113"/>
    <mergeCell ref="H114:I114"/>
    <mergeCell ref="J114:K114"/>
    <mergeCell ref="L114:M114"/>
    <mergeCell ref="N114:O114"/>
    <mergeCell ref="L112:M112"/>
    <mergeCell ref="N112:O112"/>
  </mergeCells>
  <phoneticPr fontId="0" type="noConversion"/>
  <pageMargins left="0.78740157499999996" right="0.78740157499999996" top="0.984251969" bottom="0.984251969" header="0.4921259845" footer="0.4921259845"/>
  <pageSetup paperSize="9" orientation="portrait" r:id="rId1"/>
  <headerFooter alignWithMargins="0"/>
  <drawing r:id="rId2"/>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84"/>
  <sheetViews>
    <sheetView zoomScale="120" zoomScaleNormal="120" workbookViewId="0">
      <pane xSplit="1" ySplit="5" topLeftCell="B83" activePane="bottomRight" state="frozen"/>
      <selection pane="topRight" activeCell="B1" sqref="B1"/>
      <selection pane="bottomLeft" activeCell="A6" sqref="A6"/>
      <selection pane="bottomRight" activeCell="W183" sqref="W183"/>
    </sheetView>
  </sheetViews>
  <sheetFormatPr baseColWidth="10" defaultColWidth="10.7109375" defaultRowHeight="9" x14ac:dyDescent="0.15"/>
  <cols>
    <col min="1" max="1" width="5.85546875" style="1" customWidth="1"/>
    <col min="2" max="6" width="7.85546875" style="1" customWidth="1"/>
    <col min="7" max="18" width="4.42578125" style="1" customWidth="1"/>
    <col min="19" max="21" width="7.85546875" style="1" customWidth="1"/>
    <col min="22" max="53" width="5.7109375" style="1" customWidth="1"/>
    <col min="54" max="16384" width="10.7109375" style="1"/>
  </cols>
  <sheetData>
    <row r="1" spans="1:53" s="2" customFormat="1" ht="15" customHeight="1" x14ac:dyDescent="0.2">
      <c r="B1" s="22" t="s">
        <v>14</v>
      </c>
    </row>
    <row r="2" spans="1:53" s="2" customFormat="1" ht="15" customHeight="1" x14ac:dyDescent="0.2">
      <c r="B2" s="22" t="s">
        <v>68</v>
      </c>
    </row>
    <row r="3" spans="1:53" s="2" customFormat="1" x14ac:dyDescent="0.15">
      <c r="G3" s="814"/>
      <c r="H3" s="814"/>
      <c r="I3" s="814"/>
      <c r="J3" s="814"/>
      <c r="K3" s="814"/>
      <c r="L3" s="814"/>
      <c r="M3" s="814"/>
      <c r="O3" s="814"/>
      <c r="P3" s="814"/>
      <c r="Q3" s="814"/>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1" t="s">
        <v>23</v>
      </c>
      <c r="AU5" s="351" t="s">
        <v>24</v>
      </c>
      <c r="AV5" s="351" t="s">
        <v>25</v>
      </c>
      <c r="AW5" s="353" t="s">
        <v>1217</v>
      </c>
      <c r="AX5" s="351" t="s">
        <v>23</v>
      </c>
      <c r="AY5" s="351" t="s">
        <v>24</v>
      </c>
      <c r="AZ5" s="351" t="s">
        <v>25</v>
      </c>
      <c r="BA5" s="354" t="s">
        <v>1217</v>
      </c>
    </row>
    <row r="6" spans="1:53" s="257" customFormat="1" x14ac:dyDescent="0.15">
      <c r="A6" s="263">
        <v>1959</v>
      </c>
      <c r="B6" s="252"/>
      <c r="C6" s="815" t="s">
        <v>598</v>
      </c>
      <c r="D6" s="815"/>
      <c r="E6" s="257">
        <v>0</v>
      </c>
      <c r="G6" s="265"/>
      <c r="I6" s="257">
        <v>14</v>
      </c>
      <c r="J6" s="272">
        <v>15</v>
      </c>
      <c r="K6" s="248">
        <f t="shared" ref="K6:M7" si="0">G6/$J6*100</f>
        <v>0</v>
      </c>
      <c r="L6" s="248">
        <f t="shared" si="0"/>
        <v>0</v>
      </c>
      <c r="M6" s="248">
        <f t="shared" si="0"/>
        <v>93.333333333333329</v>
      </c>
      <c r="N6" s="248">
        <f>K6+L6+M6</f>
        <v>93.333333333333329</v>
      </c>
      <c r="O6" s="247"/>
      <c r="P6" s="248"/>
      <c r="Q6" s="248">
        <v>48.1</v>
      </c>
      <c r="R6" s="249">
        <f>O6+P6+Q6</f>
        <v>48.1</v>
      </c>
      <c r="S6" s="257">
        <v>4</v>
      </c>
      <c r="T6" s="278"/>
      <c r="V6" s="256" t="s">
        <v>482</v>
      </c>
      <c r="W6" s="257" t="s">
        <v>20</v>
      </c>
      <c r="X6" s="257" t="s">
        <v>12</v>
      </c>
      <c r="Y6" s="258">
        <v>48.1</v>
      </c>
      <c r="AD6" s="256"/>
      <c r="AG6" s="258"/>
      <c r="AL6" s="256"/>
      <c r="AO6" s="258"/>
      <c r="AP6" s="256"/>
      <c r="AS6" s="258"/>
      <c r="AW6" s="258"/>
      <c r="BA6" s="259"/>
    </row>
    <row r="7" spans="1:53" s="257" customFormat="1" x14ac:dyDescent="0.15">
      <c r="A7" s="263">
        <v>1959</v>
      </c>
      <c r="B7" s="252"/>
      <c r="C7" s="815" t="s">
        <v>598</v>
      </c>
      <c r="D7" s="815"/>
      <c r="E7" s="257">
        <v>365</v>
      </c>
      <c r="G7" s="265"/>
      <c r="I7" s="257">
        <v>14</v>
      </c>
      <c r="J7" s="272">
        <v>15</v>
      </c>
      <c r="K7" s="248">
        <f t="shared" si="0"/>
        <v>0</v>
      </c>
      <c r="L7" s="248">
        <f t="shared" si="0"/>
        <v>0</v>
      </c>
      <c r="M7" s="248">
        <f t="shared" si="0"/>
        <v>93.333333333333329</v>
      </c>
      <c r="N7" s="248">
        <f>K7+L7+M7</f>
        <v>93.333333333333329</v>
      </c>
      <c r="O7" s="247"/>
      <c r="P7" s="248"/>
      <c r="Q7" s="248">
        <v>48.1</v>
      </c>
      <c r="R7" s="249">
        <f>O7+P7+Q7</f>
        <v>48.1</v>
      </c>
      <c r="S7" s="257">
        <v>4</v>
      </c>
      <c r="T7" s="278"/>
      <c r="V7" s="256" t="s">
        <v>482</v>
      </c>
      <c r="W7" s="257" t="s">
        <v>20</v>
      </c>
      <c r="X7" s="257" t="s">
        <v>12</v>
      </c>
      <c r="Y7" s="258">
        <v>48.1</v>
      </c>
      <c r="AD7" s="256"/>
      <c r="AG7" s="258"/>
      <c r="AL7" s="256"/>
      <c r="AO7" s="258"/>
      <c r="AP7" s="256"/>
      <c r="AS7" s="258"/>
      <c r="AW7" s="258"/>
      <c r="BA7" s="259"/>
    </row>
    <row r="8" spans="1:53" s="208" customFormat="1" x14ac:dyDescent="0.15">
      <c r="A8" s="102">
        <v>1960</v>
      </c>
      <c r="B8" s="207"/>
      <c r="C8" s="811" t="s">
        <v>598</v>
      </c>
      <c r="D8" s="811"/>
      <c r="E8" s="208">
        <v>274</v>
      </c>
      <c r="G8" s="123"/>
      <c r="I8" s="208">
        <v>14</v>
      </c>
      <c r="J8" s="134">
        <v>15</v>
      </c>
      <c r="K8" s="92">
        <f>G8/$J8*100</f>
        <v>0</v>
      </c>
      <c r="L8" s="92">
        <f t="shared" ref="L8:M23" si="1">H8/$J8*100</f>
        <v>0</v>
      </c>
      <c r="M8" s="92">
        <f t="shared" si="1"/>
        <v>93.333333333333329</v>
      </c>
      <c r="N8" s="92">
        <f>K8+L8+M8</f>
        <v>93.333333333333329</v>
      </c>
      <c r="O8" s="91"/>
      <c r="P8" s="92"/>
      <c r="Q8" s="92">
        <v>48.1</v>
      </c>
      <c r="R8" s="93">
        <f>O8+P8+Q8</f>
        <v>48.1</v>
      </c>
      <c r="S8" s="208">
        <v>4</v>
      </c>
      <c r="T8" s="81"/>
      <c r="V8" s="82" t="s">
        <v>482</v>
      </c>
      <c r="W8" s="208" t="s">
        <v>20</v>
      </c>
      <c r="X8" s="208" t="s">
        <v>12</v>
      </c>
      <c r="Y8" s="83">
        <v>48.1</v>
      </c>
      <c r="AD8" s="82"/>
      <c r="AG8" s="83"/>
      <c r="AL8" s="82"/>
      <c r="AO8" s="83"/>
      <c r="AP8" s="82"/>
      <c r="AS8" s="83"/>
      <c r="AW8" s="83"/>
      <c r="BA8" s="84"/>
    </row>
    <row r="9" spans="1:53" s="334" customFormat="1" x14ac:dyDescent="0.15">
      <c r="A9" s="386">
        <v>1960</v>
      </c>
      <c r="B9" s="355">
        <v>22190</v>
      </c>
      <c r="C9" s="812" t="s">
        <v>599</v>
      </c>
      <c r="D9" s="812"/>
      <c r="E9" s="334">
        <f>366-E8</f>
        <v>92</v>
      </c>
      <c r="F9" s="334">
        <v>1</v>
      </c>
      <c r="G9" s="419"/>
      <c r="I9" s="334">
        <v>13</v>
      </c>
      <c r="J9" s="435">
        <v>14</v>
      </c>
      <c r="K9" s="384">
        <f t="shared" ref="K9:M59" si="2">G9/$J9*100</f>
        <v>0</v>
      </c>
      <c r="L9" s="384">
        <f t="shared" si="1"/>
        <v>0</v>
      </c>
      <c r="M9" s="384">
        <f t="shared" si="1"/>
        <v>92.857142857142861</v>
      </c>
      <c r="N9" s="384">
        <f t="shared" ref="N9:N72" si="3">K9+L9+M9</f>
        <v>92.857142857142861</v>
      </c>
      <c r="O9" s="383"/>
      <c r="P9" s="384"/>
      <c r="Q9" s="384">
        <v>49.1</v>
      </c>
      <c r="R9" s="385">
        <f>O9+P9+Q9</f>
        <v>49.1</v>
      </c>
      <c r="S9" s="334">
        <v>4</v>
      </c>
      <c r="T9" s="342">
        <v>22177</v>
      </c>
      <c r="U9" s="355">
        <v>22190</v>
      </c>
      <c r="V9" s="343" t="s">
        <v>482</v>
      </c>
      <c r="W9" s="334" t="s">
        <v>20</v>
      </c>
      <c r="X9" s="334" t="s">
        <v>12</v>
      </c>
      <c r="Y9" s="344">
        <v>49.1</v>
      </c>
      <c r="AD9" s="343"/>
      <c r="AG9" s="344"/>
      <c r="AL9" s="343"/>
      <c r="AO9" s="344"/>
      <c r="AP9" s="343"/>
      <c r="AS9" s="344"/>
      <c r="AW9" s="344"/>
      <c r="BA9" s="345"/>
    </row>
    <row r="10" spans="1:53" s="334" customFormat="1" x14ac:dyDescent="0.15">
      <c r="A10" s="386">
        <v>1961</v>
      </c>
      <c r="B10" s="355"/>
      <c r="C10" s="812" t="s">
        <v>599</v>
      </c>
      <c r="D10" s="812"/>
      <c r="E10" s="334">
        <v>0</v>
      </c>
      <c r="G10" s="419"/>
      <c r="I10" s="334">
        <v>13</v>
      </c>
      <c r="J10" s="435">
        <v>14</v>
      </c>
      <c r="K10" s="384">
        <f t="shared" si="2"/>
        <v>0</v>
      </c>
      <c r="L10" s="384">
        <f t="shared" si="1"/>
        <v>0</v>
      </c>
      <c r="M10" s="384">
        <f t="shared" si="1"/>
        <v>92.857142857142861</v>
      </c>
      <c r="N10" s="384">
        <f t="shared" si="3"/>
        <v>92.857142857142861</v>
      </c>
      <c r="O10" s="383"/>
      <c r="P10" s="384"/>
      <c r="Q10" s="384">
        <v>49.1</v>
      </c>
      <c r="R10" s="385">
        <f t="shared" ref="R10:R73" si="4">O10+P10+Q10</f>
        <v>49.1</v>
      </c>
      <c r="S10" s="334">
        <v>4</v>
      </c>
      <c r="T10" s="357"/>
      <c r="V10" s="343" t="s">
        <v>482</v>
      </c>
      <c r="W10" s="334" t="s">
        <v>20</v>
      </c>
      <c r="X10" s="334" t="s">
        <v>12</v>
      </c>
      <c r="Y10" s="344">
        <v>49.1</v>
      </c>
      <c r="AD10" s="343"/>
      <c r="AG10" s="344"/>
      <c r="AL10" s="343"/>
      <c r="AO10" s="344"/>
      <c r="AP10" s="343"/>
      <c r="AS10" s="344"/>
      <c r="AW10" s="344"/>
      <c r="BA10" s="345"/>
    </row>
    <row r="11" spans="1:53" s="334" customFormat="1" x14ac:dyDescent="0.15">
      <c r="A11" s="386">
        <v>1961</v>
      </c>
      <c r="B11" s="355"/>
      <c r="C11" s="812" t="s">
        <v>599</v>
      </c>
      <c r="D11" s="812"/>
      <c r="E11" s="334">
        <v>365</v>
      </c>
      <c r="G11" s="419"/>
      <c r="I11" s="334">
        <v>13</v>
      </c>
      <c r="J11" s="435">
        <v>14</v>
      </c>
      <c r="K11" s="384">
        <f t="shared" si="2"/>
        <v>0</v>
      </c>
      <c r="L11" s="384">
        <f t="shared" si="1"/>
        <v>0</v>
      </c>
      <c r="M11" s="384">
        <f t="shared" si="1"/>
        <v>92.857142857142861</v>
      </c>
      <c r="N11" s="384">
        <f t="shared" si="3"/>
        <v>92.857142857142861</v>
      </c>
      <c r="O11" s="383"/>
      <c r="P11" s="384"/>
      <c r="Q11" s="384">
        <v>49.1</v>
      </c>
      <c r="R11" s="385">
        <f t="shared" si="4"/>
        <v>49.1</v>
      </c>
      <c r="S11" s="334">
        <v>4</v>
      </c>
      <c r="T11" s="357"/>
      <c r="V11" s="343" t="s">
        <v>482</v>
      </c>
      <c r="W11" s="334" t="s">
        <v>20</v>
      </c>
      <c r="X11" s="334" t="s">
        <v>12</v>
      </c>
      <c r="Y11" s="344">
        <v>49.1</v>
      </c>
      <c r="AD11" s="343"/>
      <c r="AG11" s="344"/>
      <c r="AL11" s="343"/>
      <c r="AO11" s="344"/>
      <c r="AP11" s="343"/>
      <c r="AS11" s="344"/>
      <c r="AW11" s="344"/>
      <c r="BA11" s="345"/>
    </row>
    <row r="12" spans="1:53" s="334" customFormat="1" x14ac:dyDescent="0.15">
      <c r="A12" s="386">
        <v>1962</v>
      </c>
      <c r="B12" s="355"/>
      <c r="C12" s="812" t="s">
        <v>599</v>
      </c>
      <c r="D12" s="812"/>
      <c r="E12" s="334">
        <v>0</v>
      </c>
      <c r="G12" s="419"/>
      <c r="I12" s="334">
        <v>13</v>
      </c>
      <c r="J12" s="435">
        <v>14</v>
      </c>
      <c r="K12" s="384">
        <f t="shared" si="2"/>
        <v>0</v>
      </c>
      <c r="L12" s="384">
        <f t="shared" si="1"/>
        <v>0</v>
      </c>
      <c r="M12" s="384">
        <f t="shared" si="1"/>
        <v>92.857142857142861</v>
      </c>
      <c r="N12" s="384">
        <f t="shared" si="3"/>
        <v>92.857142857142861</v>
      </c>
      <c r="O12" s="383"/>
      <c r="P12" s="384"/>
      <c r="Q12" s="384">
        <v>49.1</v>
      </c>
      <c r="R12" s="385">
        <f t="shared" si="4"/>
        <v>49.1</v>
      </c>
      <c r="S12" s="334">
        <v>4</v>
      </c>
      <c r="T12" s="357"/>
      <c r="V12" s="343" t="s">
        <v>482</v>
      </c>
      <c r="W12" s="334" t="s">
        <v>20</v>
      </c>
      <c r="X12" s="334" t="s">
        <v>12</v>
      </c>
      <c r="Y12" s="344">
        <v>49.1</v>
      </c>
      <c r="AD12" s="343"/>
      <c r="AG12" s="344"/>
      <c r="AL12" s="343"/>
      <c r="AO12" s="344"/>
      <c r="AP12" s="343"/>
      <c r="AS12" s="344"/>
      <c r="AW12" s="344"/>
      <c r="BA12" s="345"/>
    </row>
    <row r="13" spans="1:53" s="334" customFormat="1" x14ac:dyDescent="0.15">
      <c r="A13" s="386">
        <v>1962</v>
      </c>
      <c r="B13" s="355"/>
      <c r="C13" s="812" t="s">
        <v>599</v>
      </c>
      <c r="D13" s="812"/>
      <c r="E13" s="334">
        <v>365</v>
      </c>
      <c r="G13" s="419"/>
      <c r="I13" s="334">
        <v>13</v>
      </c>
      <c r="J13" s="435">
        <v>14</v>
      </c>
      <c r="K13" s="384">
        <f t="shared" si="2"/>
        <v>0</v>
      </c>
      <c r="L13" s="384">
        <f t="shared" si="1"/>
        <v>0</v>
      </c>
      <c r="M13" s="384">
        <f t="shared" si="1"/>
        <v>92.857142857142861</v>
      </c>
      <c r="N13" s="384">
        <f t="shared" si="3"/>
        <v>92.857142857142861</v>
      </c>
      <c r="O13" s="383"/>
      <c r="P13" s="384"/>
      <c r="Q13" s="384">
        <v>49.1</v>
      </c>
      <c r="R13" s="385">
        <f t="shared" si="4"/>
        <v>49.1</v>
      </c>
      <c r="S13" s="334">
        <v>4</v>
      </c>
      <c r="T13" s="357"/>
      <c r="V13" s="343" t="s">
        <v>482</v>
      </c>
      <c r="W13" s="334" t="s">
        <v>20</v>
      </c>
      <c r="X13" s="334" t="s">
        <v>12</v>
      </c>
      <c r="Y13" s="344">
        <v>49.1</v>
      </c>
      <c r="AD13" s="343"/>
      <c r="AG13" s="344"/>
      <c r="AL13" s="343"/>
      <c r="AO13" s="344"/>
      <c r="AP13" s="343"/>
      <c r="AS13" s="344"/>
      <c r="AW13" s="344"/>
      <c r="BA13" s="345"/>
    </row>
    <row r="14" spans="1:53" s="334" customFormat="1" x14ac:dyDescent="0.15">
      <c r="A14" s="386">
        <v>1962.6</v>
      </c>
      <c r="B14" s="355"/>
      <c r="C14" s="812" t="s">
        <v>599</v>
      </c>
      <c r="D14" s="812"/>
      <c r="E14" s="334">
        <v>0</v>
      </c>
      <c r="G14" s="419"/>
      <c r="I14" s="334">
        <v>13</v>
      </c>
      <c r="J14" s="435">
        <v>14</v>
      </c>
      <c r="K14" s="384">
        <f t="shared" si="2"/>
        <v>0</v>
      </c>
      <c r="L14" s="384">
        <f t="shared" si="1"/>
        <v>0</v>
      </c>
      <c r="M14" s="384">
        <f t="shared" si="1"/>
        <v>92.857142857142861</v>
      </c>
      <c r="N14" s="384">
        <f t="shared" si="3"/>
        <v>92.857142857142861</v>
      </c>
      <c r="O14" s="383"/>
      <c r="P14" s="384"/>
      <c r="Q14" s="384">
        <v>49.1</v>
      </c>
      <c r="R14" s="385">
        <f t="shared" si="4"/>
        <v>49.1</v>
      </c>
      <c r="S14" s="334">
        <v>4</v>
      </c>
      <c r="T14" s="357"/>
      <c r="V14" s="343" t="s">
        <v>482</v>
      </c>
      <c r="W14" s="334" t="s">
        <v>20</v>
      </c>
      <c r="X14" s="334" t="s">
        <v>12</v>
      </c>
      <c r="Y14" s="344">
        <v>49.1</v>
      </c>
      <c r="AD14" s="343"/>
      <c r="AG14" s="344"/>
      <c r="AL14" s="343"/>
      <c r="AO14" s="344"/>
      <c r="AP14" s="343"/>
      <c r="AS14" s="344"/>
      <c r="AW14" s="344"/>
      <c r="BA14" s="345"/>
    </row>
    <row r="15" spans="1:53" s="334" customFormat="1" x14ac:dyDescent="0.15">
      <c r="A15" s="386">
        <v>1963.05714285714</v>
      </c>
      <c r="B15" s="355"/>
      <c r="C15" s="812" t="s">
        <v>599</v>
      </c>
      <c r="D15" s="812"/>
      <c r="E15" s="334">
        <v>365</v>
      </c>
      <c r="G15" s="419"/>
      <c r="I15" s="334">
        <v>13</v>
      </c>
      <c r="J15" s="435">
        <v>14</v>
      </c>
      <c r="K15" s="384">
        <f t="shared" si="2"/>
        <v>0</v>
      </c>
      <c r="L15" s="384">
        <f t="shared" si="1"/>
        <v>0</v>
      </c>
      <c r="M15" s="384">
        <f t="shared" si="1"/>
        <v>92.857142857142861</v>
      </c>
      <c r="N15" s="384">
        <f t="shared" si="3"/>
        <v>92.857142857142861</v>
      </c>
      <c r="O15" s="383"/>
      <c r="P15" s="384"/>
      <c r="Q15" s="384">
        <v>49.1</v>
      </c>
      <c r="R15" s="385">
        <f t="shared" si="4"/>
        <v>49.1</v>
      </c>
      <c r="S15" s="334">
        <v>4</v>
      </c>
      <c r="T15" s="357"/>
      <c r="V15" s="343" t="s">
        <v>482</v>
      </c>
      <c r="W15" s="334" t="s">
        <v>20</v>
      </c>
      <c r="X15" s="334" t="s">
        <v>12</v>
      </c>
      <c r="Y15" s="344">
        <v>49.1</v>
      </c>
      <c r="AD15" s="343"/>
      <c r="AG15" s="344"/>
      <c r="AL15" s="343"/>
      <c r="AO15" s="344"/>
      <c r="AP15" s="343"/>
      <c r="AS15" s="344"/>
      <c r="AW15" s="344"/>
      <c r="BA15" s="345"/>
    </row>
    <row r="16" spans="1:53" s="334" customFormat="1" x14ac:dyDescent="0.15">
      <c r="A16" s="386">
        <v>1963.5142857142901</v>
      </c>
      <c r="B16" s="355"/>
      <c r="C16" s="812" t="s">
        <v>599</v>
      </c>
      <c r="D16" s="812"/>
      <c r="E16" s="334">
        <v>277</v>
      </c>
      <c r="G16" s="419"/>
      <c r="I16" s="334">
        <v>13</v>
      </c>
      <c r="J16" s="435">
        <v>14</v>
      </c>
      <c r="K16" s="384">
        <f t="shared" si="2"/>
        <v>0</v>
      </c>
      <c r="L16" s="384">
        <f t="shared" si="1"/>
        <v>0</v>
      </c>
      <c r="M16" s="384">
        <f t="shared" si="1"/>
        <v>92.857142857142861</v>
      </c>
      <c r="N16" s="384">
        <f t="shared" si="3"/>
        <v>92.857142857142861</v>
      </c>
      <c r="O16" s="383"/>
      <c r="P16" s="384"/>
      <c r="Q16" s="384">
        <v>49.1</v>
      </c>
      <c r="R16" s="385">
        <f t="shared" si="4"/>
        <v>49.1</v>
      </c>
      <c r="S16" s="334">
        <v>4</v>
      </c>
      <c r="T16" s="357"/>
      <c r="V16" s="343" t="s">
        <v>482</v>
      </c>
      <c r="W16" s="334" t="s">
        <v>20</v>
      </c>
      <c r="X16" s="334" t="s">
        <v>12</v>
      </c>
      <c r="Y16" s="344">
        <v>49.1</v>
      </c>
      <c r="AD16" s="343"/>
      <c r="AG16" s="344"/>
      <c r="AL16" s="343"/>
      <c r="AO16" s="344"/>
      <c r="AP16" s="343"/>
      <c r="AS16" s="344"/>
      <c r="AW16" s="344"/>
      <c r="BA16" s="345"/>
    </row>
    <row r="17" spans="1:53" s="208" customFormat="1" x14ac:dyDescent="0.15">
      <c r="A17" s="102">
        <v>1963.9714285714299</v>
      </c>
      <c r="B17" s="207">
        <v>23654</v>
      </c>
      <c r="C17" s="811" t="s">
        <v>600</v>
      </c>
      <c r="D17" s="811"/>
      <c r="E17" s="208">
        <f>366-E16</f>
        <v>89</v>
      </c>
      <c r="F17" s="208">
        <v>1</v>
      </c>
      <c r="G17" s="123"/>
      <c r="I17" s="208">
        <v>16</v>
      </c>
      <c r="J17" s="134">
        <v>16</v>
      </c>
      <c r="K17" s="92">
        <f t="shared" si="2"/>
        <v>0</v>
      </c>
      <c r="L17" s="92">
        <f t="shared" si="1"/>
        <v>0</v>
      </c>
      <c r="M17" s="92">
        <f t="shared" si="1"/>
        <v>100</v>
      </c>
      <c r="N17" s="92">
        <f t="shared" si="3"/>
        <v>100</v>
      </c>
      <c r="O17" s="91"/>
      <c r="P17" s="92"/>
      <c r="Q17" s="92">
        <v>48.5</v>
      </c>
      <c r="R17" s="93">
        <f t="shared" si="4"/>
        <v>48.5</v>
      </c>
      <c r="S17" s="208">
        <v>4</v>
      </c>
      <c r="T17" s="95">
        <v>23640</v>
      </c>
      <c r="U17" s="207">
        <v>23654</v>
      </c>
      <c r="V17" s="82" t="s">
        <v>482</v>
      </c>
      <c r="W17" s="208" t="s">
        <v>20</v>
      </c>
      <c r="X17" s="208" t="s">
        <v>12</v>
      </c>
      <c r="Y17" s="83">
        <v>48.5</v>
      </c>
      <c r="AD17" s="82"/>
      <c r="AG17" s="83"/>
      <c r="AL17" s="82"/>
      <c r="AO17" s="83"/>
      <c r="AP17" s="82"/>
      <c r="AS17" s="83"/>
      <c r="AW17" s="83"/>
      <c r="BA17" s="84"/>
    </row>
    <row r="18" spans="1:53" s="208" customFormat="1" x14ac:dyDescent="0.15">
      <c r="A18" s="102">
        <v>1965</v>
      </c>
      <c r="B18" s="207"/>
      <c r="C18" s="811" t="s">
        <v>600</v>
      </c>
      <c r="D18" s="811"/>
      <c r="E18" s="208">
        <v>0</v>
      </c>
      <c r="G18" s="123"/>
      <c r="I18" s="208">
        <v>16</v>
      </c>
      <c r="J18" s="134">
        <v>16</v>
      </c>
      <c r="K18" s="92">
        <f t="shared" si="2"/>
        <v>0</v>
      </c>
      <c r="L18" s="92">
        <f t="shared" si="1"/>
        <v>0</v>
      </c>
      <c r="M18" s="92">
        <f t="shared" si="1"/>
        <v>100</v>
      </c>
      <c r="N18" s="92">
        <f t="shared" si="3"/>
        <v>100</v>
      </c>
      <c r="O18" s="91"/>
      <c r="P18" s="92"/>
      <c r="Q18" s="92">
        <v>48.5</v>
      </c>
      <c r="R18" s="93">
        <f t="shared" si="4"/>
        <v>48.5</v>
      </c>
      <c r="S18" s="208">
        <v>4</v>
      </c>
      <c r="T18" s="81"/>
      <c r="V18" s="82" t="s">
        <v>482</v>
      </c>
      <c r="W18" s="208" t="s">
        <v>20</v>
      </c>
      <c r="X18" s="208" t="s">
        <v>12</v>
      </c>
      <c r="Y18" s="83">
        <v>48.5</v>
      </c>
      <c r="AD18" s="82"/>
      <c r="AG18" s="83"/>
      <c r="AL18" s="82"/>
      <c r="AO18" s="83"/>
      <c r="AP18" s="82"/>
      <c r="AS18" s="83"/>
      <c r="AW18" s="83"/>
      <c r="BA18" s="84"/>
    </row>
    <row r="19" spans="1:53" s="208" customFormat="1" x14ac:dyDescent="0.15">
      <c r="A19" s="102">
        <v>1964.88571428572</v>
      </c>
      <c r="B19" s="207"/>
      <c r="C19" s="811" t="s">
        <v>600</v>
      </c>
      <c r="D19" s="811"/>
      <c r="E19" s="208">
        <v>365</v>
      </c>
      <c r="G19" s="123"/>
      <c r="I19" s="208">
        <v>16</v>
      </c>
      <c r="J19" s="134">
        <v>16</v>
      </c>
      <c r="K19" s="92">
        <f t="shared" si="2"/>
        <v>0</v>
      </c>
      <c r="L19" s="92">
        <f t="shared" si="1"/>
        <v>0</v>
      </c>
      <c r="M19" s="92">
        <f t="shared" si="1"/>
        <v>100</v>
      </c>
      <c r="N19" s="92">
        <f t="shared" si="3"/>
        <v>100</v>
      </c>
      <c r="O19" s="91"/>
      <c r="P19" s="92"/>
      <c r="Q19" s="92">
        <v>48.5</v>
      </c>
      <c r="R19" s="93">
        <f t="shared" si="4"/>
        <v>48.5</v>
      </c>
      <c r="S19" s="208">
        <v>4</v>
      </c>
      <c r="T19" s="81"/>
      <c r="V19" s="82" t="s">
        <v>482</v>
      </c>
      <c r="W19" s="208" t="s">
        <v>20</v>
      </c>
      <c r="X19" s="208" t="s">
        <v>12</v>
      </c>
      <c r="Y19" s="83">
        <v>48.5</v>
      </c>
      <c r="AD19" s="82"/>
      <c r="AG19" s="83"/>
      <c r="AL19" s="82"/>
      <c r="AO19" s="83"/>
      <c r="AP19" s="82"/>
      <c r="AS19" s="83"/>
      <c r="AW19" s="83"/>
      <c r="BA19" s="84"/>
    </row>
    <row r="20" spans="1:53" s="208" customFormat="1" x14ac:dyDescent="0.15">
      <c r="A20" s="102">
        <v>1966</v>
      </c>
      <c r="B20" s="207"/>
      <c r="C20" s="811" t="s">
        <v>600</v>
      </c>
      <c r="D20" s="811"/>
      <c r="E20" s="208">
        <v>0</v>
      </c>
      <c r="G20" s="123"/>
      <c r="I20" s="208">
        <v>16</v>
      </c>
      <c r="J20" s="134">
        <v>16</v>
      </c>
      <c r="K20" s="92">
        <f t="shared" si="2"/>
        <v>0</v>
      </c>
      <c r="L20" s="92">
        <f t="shared" si="1"/>
        <v>0</v>
      </c>
      <c r="M20" s="92">
        <f t="shared" si="1"/>
        <v>100</v>
      </c>
      <c r="N20" s="92">
        <f t="shared" si="3"/>
        <v>100</v>
      </c>
      <c r="O20" s="91"/>
      <c r="P20" s="92"/>
      <c r="Q20" s="92">
        <v>48.5</v>
      </c>
      <c r="R20" s="93">
        <f t="shared" si="4"/>
        <v>48.5</v>
      </c>
      <c r="S20" s="208">
        <v>4</v>
      </c>
      <c r="T20" s="81"/>
      <c r="V20" s="82" t="s">
        <v>482</v>
      </c>
      <c r="W20" s="208" t="s">
        <v>20</v>
      </c>
      <c r="X20" s="208" t="s">
        <v>12</v>
      </c>
      <c r="Y20" s="83">
        <v>48.5</v>
      </c>
      <c r="AD20" s="82"/>
      <c r="AG20" s="83"/>
      <c r="AL20" s="82"/>
      <c r="AO20" s="83"/>
      <c r="AP20" s="82"/>
      <c r="AS20" s="83"/>
      <c r="AW20" s="83"/>
      <c r="BA20" s="84"/>
    </row>
    <row r="21" spans="1:53" s="208" customFormat="1" x14ac:dyDescent="0.15">
      <c r="A21" s="102">
        <v>1965.8</v>
      </c>
      <c r="B21" s="207"/>
      <c r="C21" s="811" t="s">
        <v>600</v>
      </c>
      <c r="D21" s="811"/>
      <c r="E21" s="208">
        <v>365</v>
      </c>
      <c r="G21" s="123"/>
      <c r="I21" s="208">
        <v>16</v>
      </c>
      <c r="J21" s="134">
        <v>16</v>
      </c>
      <c r="K21" s="92">
        <f t="shared" si="2"/>
        <v>0</v>
      </c>
      <c r="L21" s="92">
        <f t="shared" si="1"/>
        <v>0</v>
      </c>
      <c r="M21" s="92">
        <f t="shared" si="1"/>
        <v>100</v>
      </c>
      <c r="N21" s="92">
        <f t="shared" si="3"/>
        <v>100</v>
      </c>
      <c r="O21" s="91"/>
      <c r="P21" s="92"/>
      <c r="Q21" s="92">
        <v>48.5</v>
      </c>
      <c r="R21" s="93">
        <f t="shared" si="4"/>
        <v>48.5</v>
      </c>
      <c r="S21" s="208">
        <v>4</v>
      </c>
      <c r="T21" s="81"/>
      <c r="V21" s="82" t="s">
        <v>482</v>
      </c>
      <c r="W21" s="208" t="s">
        <v>20</v>
      </c>
      <c r="X21" s="208" t="s">
        <v>12</v>
      </c>
      <c r="Y21" s="83">
        <v>48.5</v>
      </c>
      <c r="AD21" s="82"/>
      <c r="AG21" s="83"/>
      <c r="AL21" s="82"/>
      <c r="AO21" s="83"/>
      <c r="AP21" s="82"/>
      <c r="AS21" s="83"/>
      <c r="AW21" s="83"/>
      <c r="BA21" s="84"/>
    </row>
    <row r="22" spans="1:53" s="208" customFormat="1" x14ac:dyDescent="0.15">
      <c r="A22" s="102">
        <v>1967</v>
      </c>
      <c r="B22" s="207"/>
      <c r="C22" s="811" t="s">
        <v>600</v>
      </c>
      <c r="D22" s="811"/>
      <c r="E22" s="208">
        <v>0</v>
      </c>
      <c r="G22" s="123"/>
      <c r="I22" s="208">
        <v>16</v>
      </c>
      <c r="J22" s="134">
        <v>16</v>
      </c>
      <c r="K22" s="92">
        <f t="shared" si="2"/>
        <v>0</v>
      </c>
      <c r="L22" s="92">
        <f t="shared" si="1"/>
        <v>0</v>
      </c>
      <c r="M22" s="92">
        <f t="shared" si="1"/>
        <v>100</v>
      </c>
      <c r="N22" s="92">
        <f t="shared" si="3"/>
        <v>100</v>
      </c>
      <c r="O22" s="91"/>
      <c r="P22" s="92"/>
      <c r="Q22" s="92">
        <v>48.5</v>
      </c>
      <c r="R22" s="93">
        <f t="shared" si="4"/>
        <v>48.5</v>
      </c>
      <c r="S22" s="208">
        <v>4</v>
      </c>
      <c r="T22" s="81"/>
      <c r="V22" s="82" t="s">
        <v>482</v>
      </c>
      <c r="W22" s="208" t="s">
        <v>20</v>
      </c>
      <c r="X22" s="208" t="s">
        <v>12</v>
      </c>
      <c r="Y22" s="83">
        <v>48.5</v>
      </c>
      <c r="AD22" s="82"/>
      <c r="AG22" s="83"/>
      <c r="AL22" s="82"/>
      <c r="AO22" s="83"/>
      <c r="AP22" s="82"/>
      <c r="AS22" s="83"/>
      <c r="AW22" s="83"/>
      <c r="BA22" s="84"/>
    </row>
    <row r="23" spans="1:53" s="208" customFormat="1" x14ac:dyDescent="0.15">
      <c r="A23" s="102">
        <v>1966.7142857142901</v>
      </c>
      <c r="B23" s="207"/>
      <c r="C23" s="811" t="s">
        <v>600</v>
      </c>
      <c r="D23" s="811"/>
      <c r="E23" s="208">
        <v>365</v>
      </c>
      <c r="G23" s="123"/>
      <c r="I23" s="208">
        <v>16</v>
      </c>
      <c r="J23" s="134">
        <v>16</v>
      </c>
      <c r="K23" s="92">
        <f t="shared" si="2"/>
        <v>0</v>
      </c>
      <c r="L23" s="92">
        <f t="shared" si="1"/>
        <v>0</v>
      </c>
      <c r="M23" s="92">
        <f t="shared" si="1"/>
        <v>100</v>
      </c>
      <c r="N23" s="92">
        <f t="shared" si="3"/>
        <v>100</v>
      </c>
      <c r="O23" s="91"/>
      <c r="P23" s="92"/>
      <c r="Q23" s="92">
        <v>48.5</v>
      </c>
      <c r="R23" s="93">
        <f t="shared" si="4"/>
        <v>48.5</v>
      </c>
      <c r="S23" s="208">
        <v>4</v>
      </c>
      <c r="T23" s="81"/>
      <c r="V23" s="82" t="s">
        <v>482</v>
      </c>
      <c r="W23" s="208" t="s">
        <v>20</v>
      </c>
      <c r="X23" s="208" t="s">
        <v>12</v>
      </c>
      <c r="Y23" s="83">
        <v>48.5</v>
      </c>
      <c r="AD23" s="82"/>
      <c r="AG23" s="83"/>
      <c r="AL23" s="82"/>
      <c r="AO23" s="83"/>
      <c r="AP23" s="82"/>
      <c r="AS23" s="83"/>
      <c r="AW23" s="83"/>
      <c r="BA23" s="84"/>
    </row>
    <row r="24" spans="1:53" s="208" customFormat="1" x14ac:dyDescent="0.15">
      <c r="A24" s="102">
        <v>1968</v>
      </c>
      <c r="B24" s="207"/>
      <c r="C24" s="811" t="s">
        <v>600</v>
      </c>
      <c r="D24" s="811"/>
      <c r="E24" s="208">
        <v>272</v>
      </c>
      <c r="G24" s="123"/>
      <c r="I24" s="208">
        <v>16</v>
      </c>
      <c r="J24" s="134">
        <v>16</v>
      </c>
      <c r="K24" s="92">
        <f t="shared" si="2"/>
        <v>0</v>
      </c>
      <c r="L24" s="92">
        <f t="shared" si="2"/>
        <v>0</v>
      </c>
      <c r="M24" s="92">
        <f t="shared" si="2"/>
        <v>100</v>
      </c>
      <c r="N24" s="92">
        <f t="shared" si="3"/>
        <v>100</v>
      </c>
      <c r="O24" s="91"/>
      <c r="P24" s="92"/>
      <c r="Q24" s="92">
        <v>48.5</v>
      </c>
      <c r="R24" s="93">
        <f t="shared" si="4"/>
        <v>48.5</v>
      </c>
      <c r="S24" s="208">
        <v>4</v>
      </c>
      <c r="T24" s="81"/>
      <c r="V24" s="82" t="s">
        <v>482</v>
      </c>
      <c r="W24" s="208" t="s">
        <v>20</v>
      </c>
      <c r="X24" s="208" t="s">
        <v>12</v>
      </c>
      <c r="Y24" s="83">
        <v>48.5</v>
      </c>
      <c r="AD24" s="82"/>
      <c r="AG24" s="83"/>
      <c r="AL24" s="82"/>
      <c r="AO24" s="83"/>
      <c r="AP24" s="82"/>
      <c r="AS24" s="83"/>
      <c r="AW24" s="83"/>
      <c r="BA24" s="84"/>
    </row>
    <row r="25" spans="1:53" s="334" customFormat="1" x14ac:dyDescent="0.15">
      <c r="A25" s="386">
        <v>1967.62857142857</v>
      </c>
      <c r="B25" s="355">
        <v>25110</v>
      </c>
      <c r="C25" s="812" t="s">
        <v>601</v>
      </c>
      <c r="D25" s="812"/>
      <c r="E25" s="334">
        <f>366-E24</f>
        <v>94</v>
      </c>
      <c r="F25" s="334">
        <v>1</v>
      </c>
      <c r="G25" s="419"/>
      <c r="I25" s="334">
        <v>17</v>
      </c>
      <c r="J25" s="435">
        <v>17</v>
      </c>
      <c r="K25" s="384">
        <f t="shared" si="2"/>
        <v>0</v>
      </c>
      <c r="L25" s="384">
        <f t="shared" si="2"/>
        <v>0</v>
      </c>
      <c r="M25" s="384">
        <f t="shared" si="2"/>
        <v>100</v>
      </c>
      <c r="N25" s="384">
        <f t="shared" si="3"/>
        <v>100</v>
      </c>
      <c r="O25" s="383"/>
      <c r="P25" s="384"/>
      <c r="Q25" s="384">
        <v>53.6</v>
      </c>
      <c r="R25" s="385">
        <f t="shared" si="4"/>
        <v>53.6</v>
      </c>
      <c r="S25" s="334">
        <v>1</v>
      </c>
      <c r="T25" s="342">
        <v>25096</v>
      </c>
      <c r="U25" s="355">
        <v>25110</v>
      </c>
      <c r="V25" s="343" t="s">
        <v>482</v>
      </c>
      <c r="W25" s="334" t="s">
        <v>20</v>
      </c>
      <c r="X25" s="334" t="s">
        <v>12</v>
      </c>
      <c r="Y25" s="344">
        <v>53.6</v>
      </c>
      <c r="AD25" s="343"/>
      <c r="AG25" s="344"/>
      <c r="AL25" s="343"/>
      <c r="AO25" s="344"/>
      <c r="AP25" s="343"/>
      <c r="AS25" s="344"/>
      <c r="AW25" s="344"/>
      <c r="BA25" s="345"/>
    </row>
    <row r="26" spans="1:53" s="334" customFormat="1" x14ac:dyDescent="0.15">
      <c r="A26" s="386">
        <v>1969</v>
      </c>
      <c r="B26" s="355"/>
      <c r="C26" s="812" t="s">
        <v>601</v>
      </c>
      <c r="D26" s="812"/>
      <c r="E26" s="334">
        <v>287</v>
      </c>
      <c r="G26" s="419"/>
      <c r="I26" s="334">
        <v>17</v>
      </c>
      <c r="J26" s="435">
        <v>17</v>
      </c>
      <c r="K26" s="384">
        <f t="shared" si="2"/>
        <v>0</v>
      </c>
      <c r="L26" s="384">
        <f t="shared" si="2"/>
        <v>0</v>
      </c>
      <c r="M26" s="384">
        <f t="shared" si="2"/>
        <v>100</v>
      </c>
      <c r="N26" s="384">
        <f t="shared" si="3"/>
        <v>100</v>
      </c>
      <c r="O26" s="383"/>
      <c r="P26" s="384"/>
      <c r="Q26" s="384">
        <v>53.6</v>
      </c>
      <c r="R26" s="385">
        <f t="shared" si="4"/>
        <v>53.6</v>
      </c>
      <c r="S26" s="334">
        <v>1</v>
      </c>
      <c r="T26" s="357"/>
      <c r="V26" s="343" t="s">
        <v>482</v>
      </c>
      <c r="W26" s="334" t="s">
        <v>20</v>
      </c>
      <c r="X26" s="334" t="s">
        <v>12</v>
      </c>
      <c r="Y26" s="344">
        <v>53.6</v>
      </c>
      <c r="AD26" s="343"/>
      <c r="AG26" s="344"/>
      <c r="AL26" s="343"/>
      <c r="AO26" s="344"/>
      <c r="AP26" s="343"/>
      <c r="AS26" s="344"/>
      <c r="AW26" s="344"/>
      <c r="BA26" s="345"/>
    </row>
    <row r="27" spans="1:53" s="208" customFormat="1" x14ac:dyDescent="0.15">
      <c r="A27" s="102">
        <v>1968.5428571428599</v>
      </c>
      <c r="B27" s="207">
        <v>25491</v>
      </c>
      <c r="C27" s="811" t="s">
        <v>602</v>
      </c>
      <c r="D27" s="811"/>
      <c r="E27" s="208">
        <f>365-E26</f>
        <v>78</v>
      </c>
      <c r="F27" s="208">
        <v>2</v>
      </c>
      <c r="G27" s="123"/>
      <c r="I27" s="208">
        <v>19</v>
      </c>
      <c r="J27" s="134">
        <v>19</v>
      </c>
      <c r="K27" s="92">
        <f t="shared" si="2"/>
        <v>0</v>
      </c>
      <c r="L27" s="92">
        <f t="shared" si="2"/>
        <v>0</v>
      </c>
      <c r="M27" s="92">
        <f t="shared" si="2"/>
        <v>100</v>
      </c>
      <c r="N27" s="92">
        <f t="shared" si="3"/>
        <v>100</v>
      </c>
      <c r="O27" s="91"/>
      <c r="P27" s="92"/>
      <c r="Q27" s="92">
        <v>53.6</v>
      </c>
      <c r="R27" s="93">
        <f t="shared" si="4"/>
        <v>53.6</v>
      </c>
      <c r="S27" s="208">
        <v>1</v>
      </c>
      <c r="T27" s="81"/>
      <c r="U27" s="207">
        <v>25491</v>
      </c>
      <c r="V27" s="82" t="s">
        <v>482</v>
      </c>
      <c r="W27" s="208" t="s">
        <v>20</v>
      </c>
      <c r="X27" s="208" t="s">
        <v>12</v>
      </c>
      <c r="Y27" s="83">
        <v>53.6</v>
      </c>
      <c r="AD27" s="82"/>
      <c r="AG27" s="83"/>
      <c r="AL27" s="82"/>
      <c r="AO27" s="83"/>
      <c r="AP27" s="82"/>
      <c r="AS27" s="83"/>
      <c r="AW27" s="83"/>
      <c r="BA27" s="84"/>
    </row>
    <row r="28" spans="1:53" s="208" customFormat="1" x14ac:dyDescent="0.15">
      <c r="A28" s="102">
        <v>1970</v>
      </c>
      <c r="B28" s="207"/>
      <c r="C28" s="811" t="s">
        <v>602</v>
      </c>
      <c r="D28" s="811"/>
      <c r="E28" s="208">
        <v>271</v>
      </c>
      <c r="G28" s="123"/>
      <c r="I28" s="208">
        <v>19</v>
      </c>
      <c r="J28" s="134">
        <v>19</v>
      </c>
      <c r="K28" s="92">
        <f t="shared" si="2"/>
        <v>0</v>
      </c>
      <c r="L28" s="92">
        <f t="shared" si="2"/>
        <v>0</v>
      </c>
      <c r="M28" s="92">
        <f t="shared" si="2"/>
        <v>100</v>
      </c>
      <c r="N28" s="92">
        <f t="shared" si="3"/>
        <v>100</v>
      </c>
      <c r="O28" s="91"/>
      <c r="P28" s="92"/>
      <c r="Q28" s="92">
        <v>53.6</v>
      </c>
      <c r="R28" s="93">
        <f t="shared" si="4"/>
        <v>53.6</v>
      </c>
      <c r="S28" s="208">
        <v>1</v>
      </c>
      <c r="T28" s="81"/>
      <c r="V28" s="82" t="s">
        <v>482</v>
      </c>
      <c r="W28" s="208" t="s">
        <v>20</v>
      </c>
      <c r="X28" s="208" t="s">
        <v>12</v>
      </c>
      <c r="Y28" s="83">
        <v>53.6</v>
      </c>
      <c r="AD28" s="82"/>
      <c r="AG28" s="83"/>
      <c r="AL28" s="82"/>
      <c r="AO28" s="83"/>
      <c r="AP28" s="82"/>
      <c r="AS28" s="83"/>
      <c r="AW28" s="83"/>
      <c r="BA28" s="84"/>
    </row>
    <row r="29" spans="1:53" s="334" customFormat="1" x14ac:dyDescent="0.15">
      <c r="A29" s="386">
        <v>1970</v>
      </c>
      <c r="B29" s="355">
        <v>25840</v>
      </c>
      <c r="C29" s="812" t="s">
        <v>603</v>
      </c>
      <c r="D29" s="812"/>
      <c r="E29" s="334">
        <f>365-E28</f>
        <v>94</v>
      </c>
      <c r="F29" s="334">
        <v>1</v>
      </c>
      <c r="G29" s="419"/>
      <c r="I29" s="334">
        <v>19</v>
      </c>
      <c r="J29" s="435">
        <v>19</v>
      </c>
      <c r="K29" s="384">
        <f t="shared" si="2"/>
        <v>0</v>
      </c>
      <c r="L29" s="384">
        <f t="shared" si="2"/>
        <v>0</v>
      </c>
      <c r="M29" s="384">
        <f t="shared" si="2"/>
        <v>100</v>
      </c>
      <c r="N29" s="384">
        <f t="shared" si="3"/>
        <v>100</v>
      </c>
      <c r="O29" s="383"/>
      <c r="P29" s="384"/>
      <c r="Q29" s="384">
        <v>46.6</v>
      </c>
      <c r="R29" s="385">
        <f t="shared" si="4"/>
        <v>46.6</v>
      </c>
      <c r="S29" s="334">
        <v>4</v>
      </c>
      <c r="T29" s="342">
        <v>25833</v>
      </c>
      <c r="U29" s="355">
        <v>25840</v>
      </c>
      <c r="V29" s="343" t="s">
        <v>482</v>
      </c>
      <c r="W29" s="334" t="s">
        <v>20</v>
      </c>
      <c r="X29" s="334" t="s">
        <v>12</v>
      </c>
      <c r="Y29" s="344">
        <v>46.6</v>
      </c>
      <c r="AD29" s="343"/>
      <c r="AG29" s="344"/>
      <c r="AL29" s="343"/>
      <c r="AO29" s="344"/>
      <c r="AP29" s="343"/>
      <c r="AS29" s="344"/>
      <c r="AW29" s="344"/>
      <c r="BA29" s="345"/>
    </row>
    <row r="30" spans="1:53" s="334" customFormat="1" x14ac:dyDescent="0.15">
      <c r="A30" s="386">
        <v>1971</v>
      </c>
      <c r="B30" s="355"/>
      <c r="C30" s="812" t="s">
        <v>603</v>
      </c>
      <c r="D30" s="812"/>
      <c r="E30" s="334">
        <v>0</v>
      </c>
      <c r="G30" s="419"/>
      <c r="I30" s="334">
        <v>19</v>
      </c>
      <c r="J30" s="435">
        <v>19</v>
      </c>
      <c r="K30" s="384">
        <f t="shared" si="2"/>
        <v>0</v>
      </c>
      <c r="L30" s="384">
        <f t="shared" si="2"/>
        <v>0</v>
      </c>
      <c r="M30" s="384">
        <f t="shared" si="2"/>
        <v>100</v>
      </c>
      <c r="N30" s="384">
        <f t="shared" si="3"/>
        <v>100</v>
      </c>
      <c r="O30" s="383"/>
      <c r="P30" s="384"/>
      <c r="Q30" s="384">
        <v>46.6</v>
      </c>
      <c r="R30" s="385">
        <f t="shared" si="4"/>
        <v>46.6</v>
      </c>
      <c r="S30" s="334">
        <v>4</v>
      </c>
      <c r="T30" s="357"/>
      <c r="V30" s="343" t="s">
        <v>482</v>
      </c>
      <c r="W30" s="334" t="s">
        <v>20</v>
      </c>
      <c r="X30" s="334" t="s">
        <v>12</v>
      </c>
      <c r="Y30" s="344">
        <v>46.6</v>
      </c>
      <c r="AD30" s="343"/>
      <c r="AG30" s="344"/>
      <c r="AL30" s="343"/>
      <c r="AO30" s="344"/>
      <c r="AP30" s="343"/>
      <c r="AS30" s="344"/>
      <c r="AW30" s="344"/>
      <c r="BA30" s="345"/>
    </row>
    <row r="31" spans="1:53" s="334" customFormat="1" x14ac:dyDescent="0.15">
      <c r="A31" s="386">
        <v>1971</v>
      </c>
      <c r="B31" s="355"/>
      <c r="C31" s="812" t="s">
        <v>603</v>
      </c>
      <c r="D31" s="812"/>
      <c r="E31" s="334">
        <v>365</v>
      </c>
      <c r="G31" s="419"/>
      <c r="I31" s="334">
        <v>19</v>
      </c>
      <c r="J31" s="435">
        <v>19</v>
      </c>
      <c r="K31" s="384">
        <f t="shared" si="2"/>
        <v>0</v>
      </c>
      <c r="L31" s="384">
        <f t="shared" si="2"/>
        <v>0</v>
      </c>
      <c r="M31" s="384">
        <f t="shared" si="2"/>
        <v>100</v>
      </c>
      <c r="N31" s="384">
        <f t="shared" si="3"/>
        <v>100</v>
      </c>
      <c r="O31" s="383"/>
      <c r="P31" s="384"/>
      <c r="Q31" s="384">
        <v>46.6</v>
      </c>
      <c r="R31" s="385">
        <f t="shared" si="4"/>
        <v>46.6</v>
      </c>
      <c r="S31" s="334">
        <v>4</v>
      </c>
      <c r="T31" s="357"/>
      <c r="V31" s="343" t="s">
        <v>482</v>
      </c>
      <c r="W31" s="334" t="s">
        <v>20</v>
      </c>
      <c r="X31" s="334" t="s">
        <v>12</v>
      </c>
      <c r="Y31" s="344">
        <v>46.6</v>
      </c>
      <c r="AD31" s="343"/>
      <c r="AG31" s="344"/>
      <c r="AL31" s="343"/>
      <c r="AO31" s="344"/>
      <c r="AP31" s="343"/>
      <c r="AS31" s="344"/>
      <c r="AW31" s="344"/>
      <c r="BA31" s="345"/>
    </row>
    <row r="32" spans="1:53" s="334" customFormat="1" x14ac:dyDescent="0.15">
      <c r="A32" s="386">
        <v>1972</v>
      </c>
      <c r="B32" s="355"/>
      <c r="C32" s="812" t="s">
        <v>603</v>
      </c>
      <c r="D32" s="812"/>
      <c r="E32" s="334">
        <v>0</v>
      </c>
      <c r="G32" s="419"/>
      <c r="I32" s="334">
        <v>19</v>
      </c>
      <c r="J32" s="435">
        <v>19</v>
      </c>
      <c r="K32" s="384">
        <f t="shared" si="2"/>
        <v>0</v>
      </c>
      <c r="L32" s="384">
        <f t="shared" si="2"/>
        <v>0</v>
      </c>
      <c r="M32" s="384">
        <f t="shared" si="2"/>
        <v>100</v>
      </c>
      <c r="N32" s="384">
        <f t="shared" si="3"/>
        <v>100</v>
      </c>
      <c r="O32" s="383"/>
      <c r="P32" s="384"/>
      <c r="Q32" s="384">
        <v>46.6</v>
      </c>
      <c r="R32" s="385">
        <f t="shared" si="4"/>
        <v>46.6</v>
      </c>
      <c r="S32" s="334">
        <v>4</v>
      </c>
      <c r="T32" s="357"/>
      <c r="V32" s="343" t="s">
        <v>482</v>
      </c>
      <c r="W32" s="334" t="s">
        <v>20</v>
      </c>
      <c r="X32" s="334" t="s">
        <v>12</v>
      </c>
      <c r="Y32" s="344">
        <v>46.6</v>
      </c>
      <c r="AD32" s="343"/>
      <c r="AG32" s="344"/>
      <c r="AL32" s="343"/>
      <c r="AO32" s="344"/>
      <c r="AP32" s="343"/>
      <c r="AS32" s="344"/>
      <c r="AW32" s="344"/>
      <c r="BA32" s="345"/>
    </row>
    <row r="33" spans="1:53" s="334" customFormat="1" x14ac:dyDescent="0.15">
      <c r="A33" s="386">
        <v>1972</v>
      </c>
      <c r="B33" s="355"/>
      <c r="C33" s="812" t="s">
        <v>603</v>
      </c>
      <c r="D33" s="812"/>
      <c r="E33" s="334">
        <v>366</v>
      </c>
      <c r="G33" s="419"/>
      <c r="I33" s="334">
        <v>19</v>
      </c>
      <c r="J33" s="435">
        <v>19</v>
      </c>
      <c r="K33" s="384">
        <f t="shared" si="2"/>
        <v>0</v>
      </c>
      <c r="L33" s="384">
        <f t="shared" si="2"/>
        <v>0</v>
      </c>
      <c r="M33" s="384">
        <f t="shared" si="2"/>
        <v>100</v>
      </c>
      <c r="N33" s="384">
        <f t="shared" si="3"/>
        <v>100</v>
      </c>
      <c r="O33" s="383"/>
      <c r="P33" s="384"/>
      <c r="Q33" s="384">
        <v>46.6</v>
      </c>
      <c r="R33" s="385">
        <f t="shared" si="4"/>
        <v>46.6</v>
      </c>
      <c r="S33" s="334">
        <v>4</v>
      </c>
      <c r="T33" s="357"/>
      <c r="V33" s="343" t="s">
        <v>482</v>
      </c>
      <c r="W33" s="334" t="s">
        <v>20</v>
      </c>
      <c r="X33" s="334" t="s">
        <v>12</v>
      </c>
      <c r="Y33" s="344">
        <v>46.6</v>
      </c>
      <c r="AD33" s="343"/>
      <c r="AG33" s="344"/>
      <c r="AL33" s="343"/>
      <c r="AO33" s="344"/>
      <c r="AP33" s="343"/>
      <c r="AS33" s="344"/>
      <c r="AW33" s="344"/>
      <c r="BA33" s="345"/>
    </row>
    <row r="34" spans="1:53" s="334" customFormat="1" x14ac:dyDescent="0.15">
      <c r="A34" s="386">
        <v>1973</v>
      </c>
      <c r="B34" s="355"/>
      <c r="C34" s="812" t="s">
        <v>603</v>
      </c>
      <c r="D34" s="812"/>
      <c r="E34" s="334">
        <v>303</v>
      </c>
      <c r="G34" s="419"/>
      <c r="I34" s="334">
        <v>19</v>
      </c>
      <c r="J34" s="435">
        <v>19</v>
      </c>
      <c r="K34" s="384">
        <f t="shared" si="2"/>
        <v>0</v>
      </c>
      <c r="L34" s="384">
        <f t="shared" si="2"/>
        <v>0</v>
      </c>
      <c r="M34" s="384">
        <f t="shared" si="2"/>
        <v>100</v>
      </c>
      <c r="N34" s="384">
        <f t="shared" si="3"/>
        <v>100</v>
      </c>
      <c r="O34" s="383"/>
      <c r="P34" s="384"/>
      <c r="Q34" s="384">
        <v>46.6</v>
      </c>
      <c r="R34" s="385">
        <f t="shared" si="4"/>
        <v>46.6</v>
      </c>
      <c r="S34" s="334">
        <v>4</v>
      </c>
      <c r="T34" s="357"/>
      <c r="V34" s="343" t="s">
        <v>482</v>
      </c>
      <c r="W34" s="334" t="s">
        <v>20</v>
      </c>
      <c r="X34" s="334" t="s">
        <v>12</v>
      </c>
      <c r="Y34" s="344">
        <v>46.6</v>
      </c>
      <c r="AD34" s="343"/>
      <c r="AG34" s="344"/>
      <c r="AL34" s="343"/>
      <c r="AO34" s="344"/>
      <c r="AP34" s="343"/>
      <c r="AS34" s="344"/>
      <c r="AW34" s="344"/>
      <c r="BA34" s="345"/>
    </row>
    <row r="35" spans="1:53" s="208" customFormat="1" x14ac:dyDescent="0.15">
      <c r="A35" s="102">
        <v>1973</v>
      </c>
      <c r="B35" s="207">
        <v>26968</v>
      </c>
      <c r="C35" s="811" t="s">
        <v>604</v>
      </c>
      <c r="D35" s="811"/>
      <c r="E35" s="208">
        <f>365-E34</f>
        <v>62</v>
      </c>
      <c r="F35" s="208">
        <v>1</v>
      </c>
      <c r="G35" s="123"/>
      <c r="I35" s="208">
        <v>18</v>
      </c>
      <c r="J35" s="134">
        <v>18</v>
      </c>
      <c r="K35" s="92">
        <f t="shared" si="2"/>
        <v>0</v>
      </c>
      <c r="L35" s="92">
        <f t="shared" si="2"/>
        <v>0</v>
      </c>
      <c r="M35" s="92">
        <f t="shared" si="2"/>
        <v>100</v>
      </c>
      <c r="N35" s="92">
        <f t="shared" si="3"/>
        <v>100</v>
      </c>
      <c r="O35" s="91"/>
      <c r="P35" s="92"/>
      <c r="Q35" s="92">
        <v>44.6</v>
      </c>
      <c r="R35" s="93">
        <f t="shared" si="4"/>
        <v>44.6</v>
      </c>
      <c r="S35" s="208">
        <v>4</v>
      </c>
      <c r="T35" s="95">
        <v>26923</v>
      </c>
      <c r="U35" s="207">
        <v>26968</v>
      </c>
      <c r="V35" s="82" t="s">
        <v>482</v>
      </c>
      <c r="W35" s="208" t="s">
        <v>20</v>
      </c>
      <c r="X35" s="208" t="s">
        <v>12</v>
      </c>
      <c r="Y35" s="83">
        <v>44.6</v>
      </c>
      <c r="AD35" s="82"/>
      <c r="AG35" s="83"/>
      <c r="AL35" s="82"/>
      <c r="AO35" s="83"/>
      <c r="AP35" s="82"/>
      <c r="AS35" s="83"/>
      <c r="AW35" s="83"/>
      <c r="BA35" s="84"/>
    </row>
    <row r="36" spans="1:53" s="208" customFormat="1" x14ac:dyDescent="0.15">
      <c r="A36" s="102">
        <v>1974</v>
      </c>
      <c r="B36" s="207"/>
      <c r="C36" s="811" t="s">
        <v>604</v>
      </c>
      <c r="D36" s="811"/>
      <c r="E36" s="208">
        <v>0</v>
      </c>
      <c r="G36" s="123"/>
      <c r="I36" s="208">
        <v>18</v>
      </c>
      <c r="J36" s="134">
        <v>18</v>
      </c>
      <c r="K36" s="92">
        <f t="shared" si="2"/>
        <v>0</v>
      </c>
      <c r="L36" s="92">
        <f t="shared" si="2"/>
        <v>0</v>
      </c>
      <c r="M36" s="92">
        <f t="shared" si="2"/>
        <v>100</v>
      </c>
      <c r="N36" s="92">
        <f t="shared" si="3"/>
        <v>100</v>
      </c>
      <c r="O36" s="91"/>
      <c r="P36" s="92"/>
      <c r="Q36" s="92">
        <v>44.6</v>
      </c>
      <c r="R36" s="93">
        <f t="shared" si="4"/>
        <v>44.6</v>
      </c>
      <c r="S36" s="208">
        <v>4</v>
      </c>
      <c r="T36" s="81"/>
      <c r="V36" s="82" t="s">
        <v>482</v>
      </c>
      <c r="W36" s="208" t="s">
        <v>20</v>
      </c>
      <c r="X36" s="208" t="s">
        <v>12</v>
      </c>
      <c r="Y36" s="83">
        <v>44.6</v>
      </c>
      <c r="AD36" s="82"/>
      <c r="AG36" s="83"/>
      <c r="AL36" s="82"/>
      <c r="AO36" s="83"/>
      <c r="AP36" s="82"/>
      <c r="AS36" s="83"/>
      <c r="AW36" s="83"/>
      <c r="BA36" s="84"/>
    </row>
    <row r="37" spans="1:53" s="208" customFormat="1" x14ac:dyDescent="0.15">
      <c r="A37" s="102">
        <v>1974</v>
      </c>
      <c r="B37" s="207"/>
      <c r="C37" s="811" t="s">
        <v>604</v>
      </c>
      <c r="D37" s="811"/>
      <c r="E37" s="208">
        <v>365</v>
      </c>
      <c r="G37" s="123"/>
      <c r="I37" s="208">
        <v>18</v>
      </c>
      <c r="J37" s="134">
        <v>18</v>
      </c>
      <c r="K37" s="92">
        <f t="shared" si="2"/>
        <v>0</v>
      </c>
      <c r="L37" s="92">
        <f t="shared" si="2"/>
        <v>0</v>
      </c>
      <c r="M37" s="92">
        <f t="shared" si="2"/>
        <v>100</v>
      </c>
      <c r="N37" s="92">
        <f t="shared" si="3"/>
        <v>100</v>
      </c>
      <c r="O37" s="91"/>
      <c r="P37" s="92"/>
      <c r="Q37" s="92">
        <v>44.6</v>
      </c>
      <c r="R37" s="93">
        <f t="shared" si="4"/>
        <v>44.6</v>
      </c>
      <c r="S37" s="208">
        <v>4</v>
      </c>
      <c r="T37" s="81"/>
      <c r="V37" s="82" t="s">
        <v>482</v>
      </c>
      <c r="W37" s="208" t="s">
        <v>20</v>
      </c>
      <c r="X37" s="208" t="s">
        <v>12</v>
      </c>
      <c r="Y37" s="83">
        <v>44.6</v>
      </c>
      <c r="AD37" s="82"/>
      <c r="AG37" s="83"/>
      <c r="AL37" s="82"/>
      <c r="AO37" s="83"/>
      <c r="AP37" s="82"/>
      <c r="AS37" s="83"/>
      <c r="AW37" s="83"/>
      <c r="BA37" s="84"/>
    </row>
    <row r="38" spans="1:53" s="208" customFormat="1" x14ac:dyDescent="0.15">
      <c r="A38" s="102">
        <v>1975</v>
      </c>
      <c r="B38" s="207"/>
      <c r="C38" s="811" t="s">
        <v>604</v>
      </c>
      <c r="D38" s="811"/>
      <c r="E38" s="208">
        <v>0</v>
      </c>
      <c r="G38" s="123"/>
      <c r="I38" s="208">
        <v>18</v>
      </c>
      <c r="J38" s="134">
        <v>18</v>
      </c>
      <c r="K38" s="92">
        <f t="shared" si="2"/>
        <v>0</v>
      </c>
      <c r="L38" s="92">
        <f t="shared" si="2"/>
        <v>0</v>
      </c>
      <c r="M38" s="92">
        <f t="shared" si="2"/>
        <v>100</v>
      </c>
      <c r="N38" s="92">
        <f t="shared" si="3"/>
        <v>100</v>
      </c>
      <c r="O38" s="91"/>
      <c r="P38" s="92"/>
      <c r="Q38" s="92">
        <v>44.6</v>
      </c>
      <c r="R38" s="93">
        <f t="shared" si="4"/>
        <v>44.6</v>
      </c>
      <c r="S38" s="208">
        <v>4</v>
      </c>
      <c r="T38" s="81"/>
      <c r="V38" s="82" t="s">
        <v>482</v>
      </c>
      <c r="W38" s="208" t="s">
        <v>20</v>
      </c>
      <c r="X38" s="208" t="s">
        <v>12</v>
      </c>
      <c r="Y38" s="83">
        <v>44.6</v>
      </c>
      <c r="AD38" s="82"/>
      <c r="AG38" s="83"/>
      <c r="AL38" s="82"/>
      <c r="AO38" s="83"/>
      <c r="AP38" s="82"/>
      <c r="AS38" s="83"/>
      <c r="AW38" s="83"/>
      <c r="BA38" s="84"/>
    </row>
    <row r="39" spans="1:53" s="208" customFormat="1" x14ac:dyDescent="0.15">
      <c r="A39" s="102">
        <v>1975</v>
      </c>
      <c r="B39" s="207"/>
      <c r="C39" s="811" t="s">
        <v>604</v>
      </c>
      <c r="D39" s="811"/>
      <c r="E39" s="208">
        <v>365</v>
      </c>
      <c r="G39" s="123"/>
      <c r="I39" s="208">
        <v>18</v>
      </c>
      <c r="J39" s="134">
        <v>18</v>
      </c>
      <c r="K39" s="92">
        <f t="shared" si="2"/>
        <v>0</v>
      </c>
      <c r="L39" s="92">
        <f t="shared" si="2"/>
        <v>0</v>
      </c>
      <c r="M39" s="92">
        <f t="shared" si="2"/>
        <v>100</v>
      </c>
      <c r="N39" s="92">
        <f t="shared" si="3"/>
        <v>100</v>
      </c>
      <c r="O39" s="91"/>
      <c r="P39" s="92"/>
      <c r="Q39" s="92">
        <v>44.6</v>
      </c>
      <c r="R39" s="93">
        <f t="shared" si="4"/>
        <v>44.6</v>
      </c>
      <c r="S39" s="208">
        <v>4</v>
      </c>
      <c r="T39" s="81"/>
      <c r="V39" s="82" t="s">
        <v>482</v>
      </c>
      <c r="W39" s="208" t="s">
        <v>20</v>
      </c>
      <c r="X39" s="208" t="s">
        <v>12</v>
      </c>
      <c r="Y39" s="83">
        <v>44.6</v>
      </c>
      <c r="AD39" s="82"/>
      <c r="AG39" s="83"/>
      <c r="AL39" s="82"/>
      <c r="AO39" s="83"/>
      <c r="AP39" s="82"/>
      <c r="AS39" s="83"/>
      <c r="AW39" s="83"/>
      <c r="BA39" s="84"/>
    </row>
    <row r="40" spans="1:53" s="208" customFormat="1" x14ac:dyDescent="0.15">
      <c r="A40" s="102">
        <v>1976</v>
      </c>
      <c r="B40" s="207"/>
      <c r="C40" s="811" t="s">
        <v>604</v>
      </c>
      <c r="D40" s="811"/>
      <c r="E40" s="208">
        <v>277</v>
      </c>
      <c r="G40" s="123"/>
      <c r="I40" s="208">
        <v>18</v>
      </c>
      <c r="J40" s="134">
        <v>18</v>
      </c>
      <c r="K40" s="92">
        <f t="shared" si="2"/>
        <v>0</v>
      </c>
      <c r="L40" s="92">
        <f t="shared" si="2"/>
        <v>0</v>
      </c>
      <c r="M40" s="92">
        <f t="shared" si="2"/>
        <v>100</v>
      </c>
      <c r="N40" s="92">
        <f t="shared" si="3"/>
        <v>100</v>
      </c>
      <c r="O40" s="91"/>
      <c r="P40" s="92"/>
      <c r="Q40" s="92">
        <v>44.6</v>
      </c>
      <c r="R40" s="93">
        <f t="shared" si="4"/>
        <v>44.6</v>
      </c>
      <c r="S40" s="208">
        <v>4</v>
      </c>
      <c r="T40" s="81"/>
      <c r="V40" s="82" t="s">
        <v>482</v>
      </c>
      <c r="W40" s="208" t="s">
        <v>20</v>
      </c>
      <c r="X40" s="208" t="s">
        <v>12</v>
      </c>
      <c r="Y40" s="83">
        <v>44.6</v>
      </c>
      <c r="AD40" s="82"/>
      <c r="AG40" s="83"/>
      <c r="AL40" s="82"/>
      <c r="AO40" s="83"/>
      <c r="AP40" s="82"/>
      <c r="AS40" s="83"/>
      <c r="AW40" s="83"/>
      <c r="BA40" s="84"/>
    </row>
    <row r="41" spans="1:53" s="334" customFormat="1" x14ac:dyDescent="0.15">
      <c r="A41" s="386">
        <v>1976</v>
      </c>
      <c r="B41" s="355">
        <v>28037</v>
      </c>
      <c r="C41" s="861" t="s">
        <v>605</v>
      </c>
      <c r="D41" s="861"/>
      <c r="E41" s="334">
        <f>366-E40</f>
        <v>89</v>
      </c>
      <c r="F41" s="334">
        <v>1</v>
      </c>
      <c r="G41" s="419">
        <v>10</v>
      </c>
      <c r="H41" s="334">
        <v>9</v>
      </c>
      <c r="J41" s="435">
        <v>20</v>
      </c>
      <c r="K41" s="384">
        <f t="shared" si="2"/>
        <v>50</v>
      </c>
      <c r="L41" s="384">
        <f t="shared" si="2"/>
        <v>45</v>
      </c>
      <c r="M41" s="384">
        <f t="shared" si="2"/>
        <v>0</v>
      </c>
      <c r="N41" s="384">
        <f t="shared" si="3"/>
        <v>95</v>
      </c>
      <c r="O41" s="383">
        <f xml:space="preserve"> 11.2+15.8</f>
        <v>27</v>
      </c>
      <c r="P41" s="384">
        <v>24.6</v>
      </c>
      <c r="Q41" s="384"/>
      <c r="R41" s="385">
        <f t="shared" si="4"/>
        <v>51.6</v>
      </c>
      <c r="S41" s="334">
        <v>2</v>
      </c>
      <c r="T41" s="342">
        <v>28022</v>
      </c>
      <c r="U41" s="355">
        <v>28037</v>
      </c>
      <c r="V41" s="343" t="s">
        <v>483</v>
      </c>
      <c r="W41" s="334" t="s">
        <v>75</v>
      </c>
      <c r="X41" s="334" t="s">
        <v>18</v>
      </c>
      <c r="Y41" s="344">
        <v>24.6</v>
      </c>
      <c r="Z41" s="334" t="s">
        <v>485</v>
      </c>
      <c r="AA41" s="334" t="s">
        <v>74</v>
      </c>
      <c r="AB41" s="334" t="s">
        <v>11</v>
      </c>
      <c r="AC41" s="334">
        <v>15.8</v>
      </c>
      <c r="AD41" s="343" t="s">
        <v>484</v>
      </c>
      <c r="AE41" s="334" t="s">
        <v>22</v>
      </c>
      <c r="AF41" s="334" t="s">
        <v>11</v>
      </c>
      <c r="AG41" s="344">
        <v>11.2</v>
      </c>
      <c r="AL41" s="343"/>
      <c r="AO41" s="344"/>
      <c r="AP41" s="343"/>
      <c r="AS41" s="344"/>
      <c r="AW41" s="344"/>
      <c r="BA41" s="345"/>
    </row>
    <row r="42" spans="1:53" s="334" customFormat="1" x14ac:dyDescent="0.15">
      <c r="A42" s="386">
        <v>1977</v>
      </c>
      <c r="B42" s="355"/>
      <c r="C42" s="861" t="s">
        <v>605</v>
      </c>
      <c r="D42" s="861"/>
      <c r="E42" s="334">
        <v>0</v>
      </c>
      <c r="G42" s="419">
        <v>10</v>
      </c>
      <c r="H42" s="334">
        <v>9</v>
      </c>
      <c r="J42" s="435">
        <v>20</v>
      </c>
      <c r="K42" s="384">
        <f t="shared" si="2"/>
        <v>50</v>
      </c>
      <c r="L42" s="384">
        <f t="shared" si="2"/>
        <v>45</v>
      </c>
      <c r="M42" s="384">
        <f t="shared" si="2"/>
        <v>0</v>
      </c>
      <c r="N42" s="384">
        <f t="shared" si="3"/>
        <v>95</v>
      </c>
      <c r="O42" s="383">
        <f xml:space="preserve"> 11.2+15.8</f>
        <v>27</v>
      </c>
      <c r="P42" s="384">
        <v>24.6</v>
      </c>
      <c r="Q42" s="384"/>
      <c r="R42" s="385">
        <f t="shared" si="4"/>
        <v>51.6</v>
      </c>
      <c r="S42" s="334">
        <v>2</v>
      </c>
      <c r="T42" s="357"/>
      <c r="V42" s="343" t="s">
        <v>483</v>
      </c>
      <c r="W42" s="334" t="s">
        <v>75</v>
      </c>
      <c r="X42" s="334" t="s">
        <v>18</v>
      </c>
      <c r="Y42" s="344">
        <v>24.6</v>
      </c>
      <c r="Z42" s="334" t="s">
        <v>485</v>
      </c>
      <c r="AA42" s="334" t="s">
        <v>74</v>
      </c>
      <c r="AB42" s="334" t="s">
        <v>11</v>
      </c>
      <c r="AC42" s="334">
        <v>15.8</v>
      </c>
      <c r="AD42" s="343" t="s">
        <v>484</v>
      </c>
      <c r="AE42" s="334" t="s">
        <v>22</v>
      </c>
      <c r="AF42" s="334" t="s">
        <v>11</v>
      </c>
      <c r="AG42" s="344">
        <v>11.2</v>
      </c>
      <c r="AL42" s="343"/>
      <c r="AO42" s="344"/>
      <c r="AP42" s="343"/>
      <c r="AS42" s="344"/>
      <c r="AW42" s="344"/>
      <c r="BA42" s="345"/>
    </row>
    <row r="43" spans="1:53" s="334" customFormat="1" x14ac:dyDescent="0.15">
      <c r="A43" s="386">
        <v>1977</v>
      </c>
      <c r="B43" s="355"/>
      <c r="C43" s="861" t="s">
        <v>605</v>
      </c>
      <c r="D43" s="861"/>
      <c r="E43" s="334">
        <v>365</v>
      </c>
      <c r="G43" s="419">
        <v>10</v>
      </c>
      <c r="H43" s="334">
        <v>9</v>
      </c>
      <c r="J43" s="435">
        <v>20</v>
      </c>
      <c r="K43" s="384">
        <f t="shared" si="2"/>
        <v>50</v>
      </c>
      <c r="L43" s="384">
        <f t="shared" si="2"/>
        <v>45</v>
      </c>
      <c r="M43" s="384">
        <f t="shared" si="2"/>
        <v>0</v>
      </c>
      <c r="N43" s="384">
        <f t="shared" si="3"/>
        <v>95</v>
      </c>
      <c r="O43" s="383">
        <f xml:space="preserve"> 11.2+15.8</f>
        <v>27</v>
      </c>
      <c r="P43" s="384">
        <v>24.6</v>
      </c>
      <c r="Q43" s="384"/>
      <c r="R43" s="385">
        <f t="shared" si="4"/>
        <v>51.6</v>
      </c>
      <c r="S43" s="334">
        <v>2</v>
      </c>
      <c r="T43" s="357"/>
      <c r="V43" s="343" t="s">
        <v>483</v>
      </c>
      <c r="W43" s="334" t="s">
        <v>75</v>
      </c>
      <c r="X43" s="334" t="s">
        <v>18</v>
      </c>
      <c r="Y43" s="344">
        <v>24.6</v>
      </c>
      <c r="Z43" s="334" t="s">
        <v>485</v>
      </c>
      <c r="AA43" s="334" t="s">
        <v>74</v>
      </c>
      <c r="AB43" s="334" t="s">
        <v>11</v>
      </c>
      <c r="AC43" s="334">
        <v>15.8</v>
      </c>
      <c r="AD43" s="343" t="s">
        <v>484</v>
      </c>
      <c r="AE43" s="334" t="s">
        <v>22</v>
      </c>
      <c r="AF43" s="334" t="s">
        <v>11</v>
      </c>
      <c r="AG43" s="344">
        <v>11.2</v>
      </c>
      <c r="AL43" s="343"/>
      <c r="AO43" s="344"/>
      <c r="AP43" s="343"/>
      <c r="AS43" s="344"/>
      <c r="AW43" s="344"/>
      <c r="BA43" s="345"/>
    </row>
    <row r="44" spans="1:53" s="334" customFormat="1" x14ac:dyDescent="0.15">
      <c r="A44" s="386">
        <v>1978</v>
      </c>
      <c r="B44" s="355"/>
      <c r="C44" s="861" t="s">
        <v>605</v>
      </c>
      <c r="D44" s="861"/>
      <c r="E44" s="334">
        <v>285</v>
      </c>
      <c r="G44" s="419">
        <v>10</v>
      </c>
      <c r="H44" s="334">
        <v>9</v>
      </c>
      <c r="J44" s="435">
        <v>20</v>
      </c>
      <c r="K44" s="384">
        <f t="shared" si="2"/>
        <v>50</v>
      </c>
      <c r="L44" s="384">
        <f t="shared" si="2"/>
        <v>45</v>
      </c>
      <c r="M44" s="384">
        <f t="shared" si="2"/>
        <v>0</v>
      </c>
      <c r="N44" s="384">
        <f t="shared" si="3"/>
        <v>95</v>
      </c>
      <c r="O44" s="383">
        <f xml:space="preserve"> 11.2+15.8</f>
        <v>27</v>
      </c>
      <c r="P44" s="384">
        <v>24.6</v>
      </c>
      <c r="Q44" s="384"/>
      <c r="R44" s="385">
        <f t="shared" si="4"/>
        <v>51.6</v>
      </c>
      <c r="S44" s="334">
        <v>2</v>
      </c>
      <c r="T44" s="357"/>
      <c r="V44" s="343" t="s">
        <v>483</v>
      </c>
      <c r="W44" s="334" t="s">
        <v>75</v>
      </c>
      <c r="X44" s="334" t="s">
        <v>18</v>
      </c>
      <c r="Y44" s="344">
        <v>24.6</v>
      </c>
      <c r="Z44" s="334" t="s">
        <v>485</v>
      </c>
      <c r="AA44" s="334" t="s">
        <v>74</v>
      </c>
      <c r="AB44" s="334" t="s">
        <v>11</v>
      </c>
      <c r="AC44" s="334">
        <v>15.8</v>
      </c>
      <c r="AD44" s="343" t="s">
        <v>484</v>
      </c>
      <c r="AE44" s="334" t="s">
        <v>22</v>
      </c>
      <c r="AF44" s="334" t="s">
        <v>11</v>
      </c>
      <c r="AG44" s="344">
        <v>11.2</v>
      </c>
      <c r="AL44" s="343"/>
      <c r="AO44" s="344"/>
      <c r="AP44" s="343"/>
      <c r="AS44" s="344"/>
      <c r="AW44" s="344"/>
      <c r="BA44" s="345"/>
    </row>
    <row r="45" spans="1:53" s="208" customFormat="1" x14ac:dyDescent="0.15">
      <c r="A45" s="102">
        <v>1978</v>
      </c>
      <c r="B45" s="207">
        <v>28776</v>
      </c>
      <c r="C45" s="811" t="s">
        <v>866</v>
      </c>
      <c r="D45" s="811"/>
      <c r="E45" s="208">
        <f>365-E44</f>
        <v>80</v>
      </c>
      <c r="F45" s="208">
        <v>4</v>
      </c>
      <c r="G45" s="123">
        <v>18</v>
      </c>
      <c r="J45" s="134">
        <v>19</v>
      </c>
      <c r="K45" s="92">
        <f t="shared" si="2"/>
        <v>94.73684210526315</v>
      </c>
      <c r="L45" s="92">
        <f t="shared" si="2"/>
        <v>0</v>
      </c>
      <c r="M45" s="92">
        <f t="shared" si="2"/>
        <v>0</v>
      </c>
      <c r="N45" s="92">
        <f t="shared" si="3"/>
        <v>94.73684210526315</v>
      </c>
      <c r="O45" s="91">
        <v>11.2</v>
      </c>
      <c r="P45" s="92"/>
      <c r="Q45" s="92"/>
      <c r="R45" s="93">
        <f t="shared" si="4"/>
        <v>11.2</v>
      </c>
      <c r="S45" s="208">
        <v>4</v>
      </c>
      <c r="T45" s="81"/>
      <c r="U45" s="207">
        <v>28776</v>
      </c>
      <c r="V45" s="82" t="s">
        <v>484</v>
      </c>
      <c r="W45" s="208" t="s">
        <v>22</v>
      </c>
      <c r="X45" s="208" t="s">
        <v>11</v>
      </c>
      <c r="Y45" s="83">
        <v>11.2</v>
      </c>
      <c r="AD45" s="82"/>
      <c r="AG45" s="83"/>
      <c r="AL45" s="82"/>
      <c r="AO45" s="83"/>
      <c r="AP45" s="82"/>
      <c r="AS45" s="83"/>
      <c r="AW45" s="83"/>
      <c r="BA45" s="84"/>
    </row>
    <row r="46" spans="1:53" s="208" customFormat="1" x14ac:dyDescent="0.15">
      <c r="A46" s="102">
        <v>1979</v>
      </c>
      <c r="B46" s="207"/>
      <c r="C46" s="811" t="s">
        <v>866</v>
      </c>
      <c r="D46" s="811"/>
      <c r="E46" s="208">
        <v>284</v>
      </c>
      <c r="G46" s="123">
        <v>18</v>
      </c>
      <c r="J46" s="134">
        <v>19</v>
      </c>
      <c r="K46" s="92">
        <f t="shared" si="2"/>
        <v>94.73684210526315</v>
      </c>
      <c r="L46" s="92">
        <f t="shared" si="2"/>
        <v>0</v>
      </c>
      <c r="M46" s="92">
        <f t="shared" si="2"/>
        <v>0</v>
      </c>
      <c r="N46" s="92">
        <f t="shared" si="3"/>
        <v>94.73684210526315</v>
      </c>
      <c r="O46" s="91">
        <v>11.2</v>
      </c>
      <c r="P46" s="92"/>
      <c r="Q46" s="92"/>
      <c r="R46" s="93">
        <f t="shared" si="4"/>
        <v>11.2</v>
      </c>
      <c r="S46" s="208">
        <v>4</v>
      </c>
      <c r="T46" s="81"/>
      <c r="V46" s="82" t="s">
        <v>484</v>
      </c>
      <c r="W46" s="208" t="s">
        <v>22</v>
      </c>
      <c r="X46" s="208" t="s">
        <v>11</v>
      </c>
      <c r="Y46" s="83">
        <v>11.2</v>
      </c>
      <c r="AD46" s="82"/>
      <c r="AG46" s="83"/>
      <c r="AL46" s="82"/>
      <c r="AO46" s="83"/>
      <c r="AP46" s="82"/>
      <c r="AS46" s="83"/>
      <c r="AW46" s="83"/>
      <c r="BA46" s="84"/>
    </row>
    <row r="47" spans="1:53" s="334" customFormat="1" x14ac:dyDescent="0.15">
      <c r="A47" s="386">
        <v>1979</v>
      </c>
      <c r="B47" s="355">
        <v>29140</v>
      </c>
      <c r="C47" s="861" t="s">
        <v>606</v>
      </c>
      <c r="D47" s="861"/>
      <c r="E47" s="334">
        <f>365-E46</f>
        <v>81</v>
      </c>
      <c r="F47" s="334">
        <v>1</v>
      </c>
      <c r="G47" s="419">
        <v>13</v>
      </c>
      <c r="H47" s="334">
        <v>7</v>
      </c>
      <c r="J47" s="435">
        <v>21</v>
      </c>
      <c r="K47" s="384">
        <f t="shared" si="2"/>
        <v>61.904761904761905</v>
      </c>
      <c r="L47" s="384">
        <f t="shared" si="2"/>
        <v>33.333333333333329</v>
      </c>
      <c r="M47" s="384">
        <f t="shared" si="2"/>
        <v>0</v>
      </c>
      <c r="N47" s="384">
        <f t="shared" si="3"/>
        <v>95.238095238095241</v>
      </c>
      <c r="O47" s="383">
        <f>10.9+20.9</f>
        <v>31.799999999999997</v>
      </c>
      <c r="P47" s="384">
        <v>18.3</v>
      </c>
      <c r="Q47" s="384"/>
      <c r="R47" s="385">
        <f t="shared" si="4"/>
        <v>50.099999999999994</v>
      </c>
      <c r="S47" s="334">
        <v>2</v>
      </c>
      <c r="T47" s="342">
        <v>29114</v>
      </c>
      <c r="U47" s="355">
        <v>29140</v>
      </c>
      <c r="V47" s="343" t="s">
        <v>483</v>
      </c>
      <c r="W47" s="334" t="s">
        <v>75</v>
      </c>
      <c r="X47" s="334" t="s">
        <v>18</v>
      </c>
      <c r="Y47" s="344">
        <v>18.3</v>
      </c>
      <c r="Z47" s="334" t="s">
        <v>485</v>
      </c>
      <c r="AA47" s="334" t="s">
        <v>74</v>
      </c>
      <c r="AB47" s="334" t="s">
        <v>11</v>
      </c>
      <c r="AC47" s="334">
        <v>20.9</v>
      </c>
      <c r="AD47" s="343" t="s">
        <v>484</v>
      </c>
      <c r="AE47" s="334" t="s">
        <v>22</v>
      </c>
      <c r="AF47" s="334" t="s">
        <v>11</v>
      </c>
      <c r="AG47" s="344">
        <v>10.9</v>
      </c>
      <c r="AL47" s="343"/>
      <c r="AO47" s="344"/>
      <c r="AP47" s="343"/>
      <c r="AS47" s="344"/>
      <c r="AW47" s="344"/>
      <c r="BA47" s="345"/>
    </row>
    <row r="48" spans="1:53" s="334" customFormat="1" x14ac:dyDescent="0.15">
      <c r="A48" s="386">
        <v>1980</v>
      </c>
      <c r="B48" s="355"/>
      <c r="C48" s="861" t="s">
        <v>606</v>
      </c>
      <c r="D48" s="861"/>
      <c r="E48" s="334">
        <v>0</v>
      </c>
      <c r="G48" s="419">
        <v>13</v>
      </c>
      <c r="H48" s="334">
        <v>7</v>
      </c>
      <c r="J48" s="435">
        <v>21</v>
      </c>
      <c r="K48" s="384">
        <f t="shared" si="2"/>
        <v>61.904761904761905</v>
      </c>
      <c r="L48" s="384">
        <f t="shared" si="2"/>
        <v>33.333333333333329</v>
      </c>
      <c r="M48" s="384">
        <f t="shared" si="2"/>
        <v>0</v>
      </c>
      <c r="N48" s="384">
        <f t="shared" si="3"/>
        <v>95.238095238095241</v>
      </c>
      <c r="O48" s="383">
        <f>10.9+20.9</f>
        <v>31.799999999999997</v>
      </c>
      <c r="P48" s="384">
        <v>18.3</v>
      </c>
      <c r="Q48" s="384"/>
      <c r="R48" s="385">
        <f t="shared" si="4"/>
        <v>50.099999999999994</v>
      </c>
      <c r="S48" s="334">
        <v>2</v>
      </c>
      <c r="T48" s="357"/>
      <c r="V48" s="343" t="s">
        <v>483</v>
      </c>
      <c r="W48" s="334" t="s">
        <v>75</v>
      </c>
      <c r="X48" s="334" t="s">
        <v>18</v>
      </c>
      <c r="Y48" s="344">
        <v>18.3</v>
      </c>
      <c r="Z48" s="334" t="s">
        <v>485</v>
      </c>
      <c r="AA48" s="334" t="s">
        <v>74</v>
      </c>
      <c r="AB48" s="334" t="s">
        <v>11</v>
      </c>
      <c r="AC48" s="334">
        <v>20.9</v>
      </c>
      <c r="AD48" s="343" t="s">
        <v>484</v>
      </c>
      <c r="AE48" s="334" t="s">
        <v>22</v>
      </c>
      <c r="AF48" s="334" t="s">
        <v>11</v>
      </c>
      <c r="AG48" s="344">
        <v>10.9</v>
      </c>
      <c r="AL48" s="343"/>
      <c r="AO48" s="344"/>
      <c r="AP48" s="343"/>
      <c r="AS48" s="344"/>
      <c r="AW48" s="344"/>
      <c r="BA48" s="345"/>
    </row>
    <row r="49" spans="1:53" s="334" customFormat="1" x14ac:dyDescent="0.15">
      <c r="A49" s="386">
        <v>1980</v>
      </c>
      <c r="B49" s="355"/>
      <c r="C49" s="861" t="s">
        <v>606</v>
      </c>
      <c r="D49" s="861"/>
      <c r="E49" s="334">
        <v>366</v>
      </c>
      <c r="G49" s="419">
        <v>13</v>
      </c>
      <c r="H49" s="334">
        <v>7</v>
      </c>
      <c r="J49" s="435">
        <v>21</v>
      </c>
      <c r="K49" s="384">
        <f t="shared" si="2"/>
        <v>61.904761904761905</v>
      </c>
      <c r="L49" s="384">
        <f t="shared" si="2"/>
        <v>33.333333333333329</v>
      </c>
      <c r="M49" s="384">
        <f t="shared" si="2"/>
        <v>0</v>
      </c>
      <c r="N49" s="384">
        <f t="shared" si="3"/>
        <v>95.238095238095241</v>
      </c>
      <c r="O49" s="383">
        <f>10.9+20.9</f>
        <v>31.799999999999997</v>
      </c>
      <c r="P49" s="384">
        <v>18.3</v>
      </c>
      <c r="Q49" s="384"/>
      <c r="R49" s="385">
        <f t="shared" si="4"/>
        <v>50.099999999999994</v>
      </c>
      <c r="S49" s="334">
        <v>2</v>
      </c>
      <c r="T49" s="357"/>
      <c r="V49" s="343" t="s">
        <v>483</v>
      </c>
      <c r="W49" s="334" t="s">
        <v>75</v>
      </c>
      <c r="X49" s="334" t="s">
        <v>18</v>
      </c>
      <c r="Y49" s="344">
        <v>18.3</v>
      </c>
      <c r="Z49" s="334" t="s">
        <v>485</v>
      </c>
      <c r="AA49" s="334" t="s">
        <v>74</v>
      </c>
      <c r="AB49" s="334" t="s">
        <v>11</v>
      </c>
      <c r="AC49" s="334">
        <v>20.9</v>
      </c>
      <c r="AD49" s="343" t="s">
        <v>484</v>
      </c>
      <c r="AE49" s="334" t="s">
        <v>22</v>
      </c>
      <c r="AF49" s="334" t="s">
        <v>11</v>
      </c>
      <c r="AG49" s="344">
        <v>10.9</v>
      </c>
      <c r="AL49" s="343"/>
      <c r="AO49" s="344"/>
      <c r="AP49" s="343"/>
      <c r="AS49" s="344"/>
      <c r="AW49" s="344"/>
      <c r="BA49" s="345"/>
    </row>
    <row r="50" spans="1:53" s="334" customFormat="1" x14ac:dyDescent="0.15">
      <c r="A50" s="386">
        <v>1981</v>
      </c>
      <c r="B50" s="355"/>
      <c r="C50" s="861" t="s">
        <v>606</v>
      </c>
      <c r="D50" s="861"/>
      <c r="E50" s="334">
        <v>141</v>
      </c>
      <c r="G50" s="419">
        <v>13</v>
      </c>
      <c r="H50" s="334">
        <v>7</v>
      </c>
      <c r="J50" s="435">
        <v>21</v>
      </c>
      <c r="K50" s="384">
        <f t="shared" si="2"/>
        <v>61.904761904761905</v>
      </c>
      <c r="L50" s="384">
        <f t="shared" si="2"/>
        <v>33.333333333333329</v>
      </c>
      <c r="M50" s="384">
        <f t="shared" si="2"/>
        <v>0</v>
      </c>
      <c r="N50" s="384">
        <f t="shared" si="3"/>
        <v>95.238095238095241</v>
      </c>
      <c r="O50" s="383">
        <f>10.9+20.9</f>
        <v>31.799999999999997</v>
      </c>
      <c r="P50" s="384">
        <v>18.3</v>
      </c>
      <c r="Q50" s="384"/>
      <c r="R50" s="385">
        <f t="shared" si="4"/>
        <v>50.099999999999994</v>
      </c>
      <c r="S50" s="334">
        <v>2</v>
      </c>
      <c r="T50" s="357"/>
      <c r="V50" s="343" t="s">
        <v>483</v>
      </c>
      <c r="W50" s="334" t="s">
        <v>75</v>
      </c>
      <c r="X50" s="334" t="s">
        <v>18</v>
      </c>
      <c r="Y50" s="344">
        <v>18.3</v>
      </c>
      <c r="Z50" s="334" t="s">
        <v>485</v>
      </c>
      <c r="AA50" s="334" t="s">
        <v>74</v>
      </c>
      <c r="AB50" s="334" t="s">
        <v>11</v>
      </c>
      <c r="AC50" s="334">
        <v>20.9</v>
      </c>
      <c r="AD50" s="343" t="s">
        <v>484</v>
      </c>
      <c r="AE50" s="334" t="s">
        <v>22</v>
      </c>
      <c r="AF50" s="334" t="s">
        <v>11</v>
      </c>
      <c r="AG50" s="344">
        <v>10.9</v>
      </c>
      <c r="AL50" s="343"/>
      <c r="AO50" s="344"/>
      <c r="AP50" s="343"/>
      <c r="AS50" s="344"/>
      <c r="AW50" s="344"/>
      <c r="BA50" s="345"/>
    </row>
    <row r="51" spans="1:53" s="208" customFormat="1" x14ac:dyDescent="0.15">
      <c r="A51" s="102">
        <v>1981</v>
      </c>
      <c r="B51" s="207">
        <v>29728</v>
      </c>
      <c r="C51" s="862" t="s">
        <v>607</v>
      </c>
      <c r="D51" s="862"/>
      <c r="E51" s="208">
        <f>365-E50</f>
        <v>224</v>
      </c>
      <c r="F51" s="208">
        <v>4</v>
      </c>
      <c r="G51" s="123">
        <v>7</v>
      </c>
      <c r="H51" s="208">
        <v>10</v>
      </c>
      <c r="J51" s="134">
        <v>18</v>
      </c>
      <c r="K51" s="92">
        <f t="shared" si="2"/>
        <v>38.888888888888893</v>
      </c>
      <c r="L51" s="92">
        <f t="shared" si="2"/>
        <v>55.555555555555557</v>
      </c>
      <c r="M51" s="92">
        <f t="shared" si="2"/>
        <v>0</v>
      </c>
      <c r="N51" s="92">
        <f t="shared" si="3"/>
        <v>94.444444444444457</v>
      </c>
      <c r="O51" s="91">
        <v>10.9</v>
      </c>
      <c r="P51" s="92">
        <v>18.3</v>
      </c>
      <c r="Q51" s="92"/>
      <c r="R51" s="93">
        <f t="shared" si="4"/>
        <v>29.200000000000003</v>
      </c>
      <c r="S51" s="208">
        <v>5</v>
      </c>
      <c r="T51" s="81"/>
      <c r="U51" s="207">
        <v>29728</v>
      </c>
      <c r="V51" s="82" t="s">
        <v>483</v>
      </c>
      <c r="W51" s="208" t="s">
        <v>75</v>
      </c>
      <c r="X51" s="208" t="s">
        <v>18</v>
      </c>
      <c r="Y51" s="208">
        <v>18.3</v>
      </c>
      <c r="Z51" s="82" t="s">
        <v>484</v>
      </c>
      <c r="AA51" s="208" t="s">
        <v>22</v>
      </c>
      <c r="AB51" s="208" t="s">
        <v>11</v>
      </c>
      <c r="AC51" s="83">
        <v>10.9</v>
      </c>
      <c r="AD51" s="82"/>
      <c r="AG51" s="83"/>
      <c r="AL51" s="82"/>
      <c r="AO51" s="83"/>
      <c r="AP51" s="82"/>
      <c r="AS51" s="83"/>
      <c r="AW51" s="83"/>
      <c r="BA51" s="84"/>
    </row>
    <row r="52" spans="1:53" s="208" customFormat="1" x14ac:dyDescent="0.15">
      <c r="A52" s="102">
        <v>1982</v>
      </c>
      <c r="B52" s="207"/>
      <c r="C52" s="862" t="s">
        <v>607</v>
      </c>
      <c r="D52" s="862"/>
      <c r="E52" s="208">
        <v>280</v>
      </c>
      <c r="G52" s="123">
        <v>7</v>
      </c>
      <c r="H52" s="208">
        <v>10</v>
      </c>
      <c r="J52" s="134">
        <v>18</v>
      </c>
      <c r="K52" s="92">
        <f>G52/$J52*100</f>
        <v>38.888888888888893</v>
      </c>
      <c r="L52" s="92">
        <f>H52/$J52*100</f>
        <v>55.555555555555557</v>
      </c>
      <c r="M52" s="92">
        <f t="shared" si="2"/>
        <v>0</v>
      </c>
      <c r="N52" s="92">
        <f t="shared" si="3"/>
        <v>94.444444444444457</v>
      </c>
      <c r="O52" s="91">
        <v>10.9</v>
      </c>
      <c r="P52" s="92">
        <v>18.3</v>
      </c>
      <c r="Q52" s="92"/>
      <c r="R52" s="93">
        <f t="shared" si="4"/>
        <v>29.200000000000003</v>
      </c>
      <c r="S52" s="208">
        <v>5</v>
      </c>
      <c r="T52" s="81"/>
      <c r="V52" s="82" t="s">
        <v>483</v>
      </c>
      <c r="W52" s="208" t="s">
        <v>75</v>
      </c>
      <c r="X52" s="208" t="s">
        <v>18</v>
      </c>
      <c r="Y52" s="208">
        <v>18.3</v>
      </c>
      <c r="Z52" s="82" t="s">
        <v>484</v>
      </c>
      <c r="AA52" s="208" t="s">
        <v>22</v>
      </c>
      <c r="AB52" s="208" t="s">
        <v>11</v>
      </c>
      <c r="AC52" s="83">
        <v>10.9</v>
      </c>
      <c r="AD52" s="82"/>
      <c r="AG52" s="83"/>
      <c r="AL52" s="82"/>
      <c r="AO52" s="83"/>
      <c r="AP52" s="82"/>
      <c r="AS52" s="83"/>
      <c r="AW52" s="83"/>
      <c r="BA52" s="84"/>
    </row>
    <row r="53" spans="1:53" s="334" customFormat="1" x14ac:dyDescent="0.15">
      <c r="A53" s="386">
        <v>1982</v>
      </c>
      <c r="B53" s="355">
        <v>30232</v>
      </c>
      <c r="C53" s="812" t="s">
        <v>608</v>
      </c>
      <c r="D53" s="812"/>
      <c r="E53" s="334">
        <f>365-E52</f>
        <v>85</v>
      </c>
      <c r="F53" s="334">
        <v>1</v>
      </c>
      <c r="G53" s="419"/>
      <c r="I53" s="334">
        <v>20</v>
      </c>
      <c r="J53" s="435">
        <v>20</v>
      </c>
      <c r="K53" s="384">
        <f t="shared" ref="K53:M67" si="5">G53/$J53*100</f>
        <v>0</v>
      </c>
      <c r="L53" s="384">
        <f t="shared" si="5"/>
        <v>0</v>
      </c>
      <c r="M53" s="384">
        <f>I53/$J53*100</f>
        <v>100</v>
      </c>
      <c r="N53" s="384">
        <f t="shared" si="3"/>
        <v>100</v>
      </c>
      <c r="O53" s="383"/>
      <c r="P53" s="384"/>
      <c r="Q53" s="384">
        <v>47.6</v>
      </c>
      <c r="R53" s="385">
        <f t="shared" si="4"/>
        <v>47.6</v>
      </c>
      <c r="S53" s="334">
        <v>4</v>
      </c>
      <c r="T53" s="342">
        <v>30213</v>
      </c>
      <c r="U53" s="355">
        <v>30232</v>
      </c>
      <c r="V53" s="343" t="s">
        <v>482</v>
      </c>
      <c r="W53" s="334" t="s">
        <v>20</v>
      </c>
      <c r="X53" s="334" t="s">
        <v>12</v>
      </c>
      <c r="Y53" s="344">
        <v>47.6</v>
      </c>
      <c r="AD53" s="343"/>
      <c r="AG53" s="344"/>
      <c r="AL53" s="343"/>
      <c r="AO53" s="344"/>
      <c r="AP53" s="343"/>
      <c r="AS53" s="344"/>
      <c r="AW53" s="344"/>
      <c r="BA53" s="345"/>
    </row>
    <row r="54" spans="1:53" s="334" customFormat="1" x14ac:dyDescent="0.15">
      <c r="A54" s="386">
        <v>1983</v>
      </c>
      <c r="B54" s="355"/>
      <c r="C54" s="812" t="s">
        <v>608</v>
      </c>
      <c r="D54" s="812"/>
      <c r="E54" s="334">
        <v>0</v>
      </c>
      <c r="G54" s="419"/>
      <c r="I54" s="334">
        <v>20</v>
      </c>
      <c r="J54" s="435">
        <v>20</v>
      </c>
      <c r="K54" s="384">
        <f t="shared" si="5"/>
        <v>0</v>
      </c>
      <c r="L54" s="384">
        <f t="shared" si="5"/>
        <v>0</v>
      </c>
      <c r="M54" s="384">
        <f t="shared" si="2"/>
        <v>100</v>
      </c>
      <c r="N54" s="384">
        <f t="shared" si="3"/>
        <v>100</v>
      </c>
      <c r="O54" s="383"/>
      <c r="P54" s="384"/>
      <c r="Q54" s="384">
        <v>47.6</v>
      </c>
      <c r="R54" s="385">
        <f t="shared" si="4"/>
        <v>47.6</v>
      </c>
      <c r="S54" s="334">
        <v>4</v>
      </c>
      <c r="T54" s="357"/>
      <c r="V54" s="343" t="s">
        <v>482</v>
      </c>
      <c r="W54" s="334" t="s">
        <v>20</v>
      </c>
      <c r="X54" s="334" t="s">
        <v>12</v>
      </c>
      <c r="Y54" s="344">
        <v>47.6</v>
      </c>
      <c r="AD54" s="343"/>
      <c r="AG54" s="344"/>
      <c r="AL54" s="343"/>
      <c r="AO54" s="344"/>
      <c r="AP54" s="343"/>
      <c r="AS54" s="344"/>
      <c r="AW54" s="344"/>
      <c r="BA54" s="345"/>
    </row>
    <row r="55" spans="1:53" s="334" customFormat="1" x14ac:dyDescent="0.15">
      <c r="A55" s="386">
        <v>1983</v>
      </c>
      <c r="B55" s="355"/>
      <c r="C55" s="812" t="s">
        <v>608</v>
      </c>
      <c r="D55" s="812"/>
      <c r="E55" s="334">
        <v>365</v>
      </c>
      <c r="G55" s="419"/>
      <c r="I55" s="334">
        <v>20</v>
      </c>
      <c r="J55" s="435">
        <v>20</v>
      </c>
      <c r="K55" s="384">
        <f t="shared" si="5"/>
        <v>0</v>
      </c>
      <c r="L55" s="384">
        <f t="shared" si="5"/>
        <v>0</v>
      </c>
      <c r="M55" s="384">
        <f t="shared" si="2"/>
        <v>100</v>
      </c>
      <c r="N55" s="384">
        <f t="shared" si="3"/>
        <v>100</v>
      </c>
      <c r="O55" s="383"/>
      <c r="P55" s="384"/>
      <c r="Q55" s="384">
        <v>47.6</v>
      </c>
      <c r="R55" s="385">
        <f t="shared" si="4"/>
        <v>47.6</v>
      </c>
      <c r="S55" s="334">
        <v>4</v>
      </c>
      <c r="T55" s="357"/>
      <c r="V55" s="343" t="s">
        <v>482</v>
      </c>
      <c r="W55" s="334" t="s">
        <v>20</v>
      </c>
      <c r="X55" s="334" t="s">
        <v>12</v>
      </c>
      <c r="Y55" s="344">
        <v>47.6</v>
      </c>
      <c r="AD55" s="343"/>
      <c r="AG55" s="344"/>
      <c r="AL55" s="343"/>
      <c r="AO55" s="344"/>
      <c r="AP55" s="343"/>
      <c r="AS55" s="344"/>
      <c r="AW55" s="344"/>
      <c r="BA55" s="345"/>
    </row>
    <row r="56" spans="1:53" s="334" customFormat="1" x14ac:dyDescent="0.15">
      <c r="A56" s="386">
        <v>1984</v>
      </c>
      <c r="B56" s="355"/>
      <c r="C56" s="812" t="s">
        <v>608</v>
      </c>
      <c r="D56" s="812"/>
      <c r="E56" s="334">
        <v>0</v>
      </c>
      <c r="G56" s="419"/>
      <c r="I56" s="334">
        <v>20</v>
      </c>
      <c r="J56" s="435">
        <v>20</v>
      </c>
      <c r="K56" s="384">
        <f t="shared" si="5"/>
        <v>0</v>
      </c>
      <c r="L56" s="384">
        <f t="shared" si="5"/>
        <v>0</v>
      </c>
      <c r="M56" s="384">
        <f t="shared" si="2"/>
        <v>100</v>
      </c>
      <c r="N56" s="384">
        <f t="shared" si="3"/>
        <v>100</v>
      </c>
      <c r="O56" s="383"/>
      <c r="P56" s="384"/>
      <c r="Q56" s="384">
        <v>47.6</v>
      </c>
      <c r="R56" s="385">
        <f t="shared" si="4"/>
        <v>47.6</v>
      </c>
      <c r="S56" s="334">
        <v>4</v>
      </c>
      <c r="T56" s="357"/>
      <c r="V56" s="343" t="s">
        <v>482</v>
      </c>
      <c r="W56" s="334" t="s">
        <v>20</v>
      </c>
      <c r="X56" s="334" t="s">
        <v>12</v>
      </c>
      <c r="Y56" s="344">
        <v>47.6</v>
      </c>
      <c r="AD56" s="343"/>
      <c r="AG56" s="344"/>
      <c r="AL56" s="343"/>
      <c r="AO56" s="344"/>
      <c r="AP56" s="343"/>
      <c r="AS56" s="344"/>
      <c r="AW56" s="344"/>
      <c r="BA56" s="345"/>
    </row>
    <row r="57" spans="1:53" s="334" customFormat="1" x14ac:dyDescent="0.15">
      <c r="A57" s="386">
        <v>1984</v>
      </c>
      <c r="B57" s="355"/>
      <c r="C57" s="812" t="s">
        <v>608</v>
      </c>
      <c r="D57" s="812"/>
      <c r="E57" s="334">
        <v>366</v>
      </c>
      <c r="G57" s="419"/>
      <c r="I57" s="334">
        <v>20</v>
      </c>
      <c r="J57" s="435">
        <v>20</v>
      </c>
      <c r="K57" s="384">
        <f t="shared" si="5"/>
        <v>0</v>
      </c>
      <c r="L57" s="384">
        <f t="shared" si="5"/>
        <v>0</v>
      </c>
      <c r="M57" s="384">
        <f t="shared" si="2"/>
        <v>100</v>
      </c>
      <c r="N57" s="384">
        <f t="shared" si="3"/>
        <v>100</v>
      </c>
      <c r="O57" s="383"/>
      <c r="P57" s="384"/>
      <c r="Q57" s="384">
        <v>47.6</v>
      </c>
      <c r="R57" s="385">
        <f t="shared" si="4"/>
        <v>47.6</v>
      </c>
      <c r="S57" s="334">
        <v>4</v>
      </c>
      <c r="T57" s="357"/>
      <c r="V57" s="343" t="s">
        <v>482</v>
      </c>
      <c r="W57" s="334" t="s">
        <v>20</v>
      </c>
      <c r="X57" s="334" t="s">
        <v>12</v>
      </c>
      <c r="Y57" s="344">
        <v>47.6</v>
      </c>
      <c r="AD57" s="343"/>
      <c r="AG57" s="344"/>
      <c r="AL57" s="343"/>
      <c r="AO57" s="344"/>
      <c r="AP57" s="343"/>
      <c r="AS57" s="344"/>
      <c r="AW57" s="344"/>
      <c r="BA57" s="345"/>
    </row>
    <row r="58" spans="1:53" s="334" customFormat="1" x14ac:dyDescent="0.15">
      <c r="A58" s="386">
        <v>1985</v>
      </c>
      <c r="B58" s="355"/>
      <c r="C58" s="812" t="s">
        <v>608</v>
      </c>
      <c r="D58" s="812"/>
      <c r="E58" s="334">
        <v>276</v>
      </c>
      <c r="G58" s="419"/>
      <c r="I58" s="334">
        <v>20</v>
      </c>
      <c r="J58" s="435">
        <v>20</v>
      </c>
      <c r="K58" s="384">
        <f t="shared" si="5"/>
        <v>0</v>
      </c>
      <c r="L58" s="384">
        <f t="shared" si="5"/>
        <v>0</v>
      </c>
      <c r="M58" s="384">
        <f t="shared" si="2"/>
        <v>100</v>
      </c>
      <c r="N58" s="384">
        <f t="shared" si="3"/>
        <v>100</v>
      </c>
      <c r="O58" s="383"/>
      <c r="P58" s="384"/>
      <c r="Q58" s="384">
        <v>47.6</v>
      </c>
      <c r="R58" s="385">
        <f t="shared" si="4"/>
        <v>47.6</v>
      </c>
      <c r="S58" s="334">
        <v>4</v>
      </c>
      <c r="T58" s="357"/>
      <c r="V58" s="343" t="s">
        <v>482</v>
      </c>
      <c r="W58" s="334" t="s">
        <v>20</v>
      </c>
      <c r="X58" s="334" t="s">
        <v>12</v>
      </c>
      <c r="Y58" s="344">
        <v>47.6</v>
      </c>
      <c r="AD58" s="343"/>
      <c r="AG58" s="344"/>
      <c r="AL58" s="343"/>
      <c r="AO58" s="344"/>
      <c r="AP58" s="343"/>
      <c r="AS58" s="344"/>
      <c r="AW58" s="344"/>
      <c r="BA58" s="345"/>
    </row>
    <row r="59" spans="1:53" s="208" customFormat="1" x14ac:dyDescent="0.15">
      <c r="A59" s="102">
        <v>1985</v>
      </c>
      <c r="B59" s="207">
        <v>31324</v>
      </c>
      <c r="C59" s="811" t="s">
        <v>609</v>
      </c>
      <c r="D59" s="811"/>
      <c r="E59" s="208">
        <f>365-E58</f>
        <v>89</v>
      </c>
      <c r="F59" s="208">
        <v>1</v>
      </c>
      <c r="G59" s="123"/>
      <c r="I59" s="208">
        <v>21</v>
      </c>
      <c r="J59" s="134">
        <v>21</v>
      </c>
      <c r="K59" s="92">
        <f t="shared" si="5"/>
        <v>0</v>
      </c>
      <c r="L59" s="92">
        <f t="shared" si="5"/>
        <v>0</v>
      </c>
      <c r="M59" s="92">
        <f t="shared" si="2"/>
        <v>100</v>
      </c>
      <c r="N59" s="92">
        <f t="shared" si="3"/>
        <v>100</v>
      </c>
      <c r="O59" s="91"/>
      <c r="P59" s="92"/>
      <c r="Q59" s="92">
        <v>45.6</v>
      </c>
      <c r="R59" s="93">
        <f t="shared" si="4"/>
        <v>45.6</v>
      </c>
      <c r="S59" s="208">
        <v>4</v>
      </c>
      <c r="T59" s="95">
        <v>31305</v>
      </c>
      <c r="U59" s="207">
        <v>31324</v>
      </c>
      <c r="V59" s="82" t="s">
        <v>482</v>
      </c>
      <c r="W59" s="208" t="s">
        <v>20</v>
      </c>
      <c r="X59" s="208" t="s">
        <v>12</v>
      </c>
      <c r="Y59" s="83">
        <v>45.6</v>
      </c>
      <c r="AD59" s="82"/>
      <c r="AG59" s="83"/>
      <c r="AL59" s="82"/>
      <c r="AO59" s="83"/>
      <c r="AP59" s="82"/>
      <c r="AS59" s="83"/>
      <c r="AW59" s="83"/>
      <c r="BA59" s="84"/>
    </row>
    <row r="60" spans="1:53" s="208" customFormat="1" x14ac:dyDescent="0.15">
      <c r="A60" s="102">
        <v>1986</v>
      </c>
      <c r="B60" s="207"/>
      <c r="C60" s="811" t="s">
        <v>609</v>
      </c>
      <c r="D60" s="811"/>
      <c r="E60" s="208">
        <v>59</v>
      </c>
      <c r="G60" s="123"/>
      <c r="I60" s="208">
        <v>21</v>
      </c>
      <c r="J60" s="134">
        <v>21</v>
      </c>
      <c r="K60" s="92">
        <f t="shared" si="5"/>
        <v>0</v>
      </c>
      <c r="L60" s="92">
        <f t="shared" si="5"/>
        <v>0</v>
      </c>
      <c r="M60" s="92">
        <f t="shared" si="5"/>
        <v>100</v>
      </c>
      <c r="N60" s="92">
        <f t="shared" si="3"/>
        <v>100</v>
      </c>
      <c r="O60" s="91"/>
      <c r="P60" s="92"/>
      <c r="Q60" s="92">
        <v>45.6</v>
      </c>
      <c r="R60" s="93">
        <f t="shared" si="4"/>
        <v>45.6</v>
      </c>
      <c r="S60" s="208">
        <v>4</v>
      </c>
      <c r="T60" s="81"/>
      <c r="V60" s="82" t="s">
        <v>482</v>
      </c>
      <c r="W60" s="208" t="s">
        <v>20</v>
      </c>
      <c r="X60" s="208" t="s">
        <v>12</v>
      </c>
      <c r="Y60" s="83">
        <v>45.6</v>
      </c>
      <c r="AD60" s="82"/>
      <c r="AG60" s="83"/>
      <c r="AL60" s="82"/>
      <c r="AO60" s="83"/>
      <c r="AP60" s="82"/>
      <c r="AS60" s="83"/>
      <c r="AW60" s="83"/>
      <c r="BA60" s="84"/>
    </row>
    <row r="61" spans="1:53" s="334" customFormat="1" x14ac:dyDescent="0.15">
      <c r="A61" s="386">
        <v>1986</v>
      </c>
      <c r="B61" s="355">
        <v>31472</v>
      </c>
      <c r="C61" s="812" t="s">
        <v>610</v>
      </c>
      <c r="D61" s="812"/>
      <c r="E61" s="334">
        <f>365-E60</f>
        <v>306</v>
      </c>
      <c r="F61" s="334" t="s">
        <v>348</v>
      </c>
      <c r="G61" s="419"/>
      <c r="I61" s="334">
        <v>20</v>
      </c>
      <c r="J61" s="435">
        <v>20</v>
      </c>
      <c r="K61" s="384">
        <f t="shared" si="5"/>
        <v>0</v>
      </c>
      <c r="L61" s="384">
        <f t="shared" si="5"/>
        <v>0</v>
      </c>
      <c r="M61" s="384">
        <f t="shared" si="5"/>
        <v>100</v>
      </c>
      <c r="N61" s="384">
        <f t="shared" si="3"/>
        <v>100</v>
      </c>
      <c r="O61" s="383"/>
      <c r="P61" s="384"/>
      <c r="Q61" s="384">
        <v>45.6</v>
      </c>
      <c r="R61" s="385">
        <f t="shared" si="4"/>
        <v>45.6</v>
      </c>
      <c r="S61" s="334">
        <v>4</v>
      </c>
      <c r="T61" s="357"/>
      <c r="U61" s="355">
        <v>31472</v>
      </c>
      <c r="V61" s="343" t="s">
        <v>482</v>
      </c>
      <c r="W61" s="334" t="s">
        <v>20</v>
      </c>
      <c r="X61" s="334" t="s">
        <v>12</v>
      </c>
      <c r="Y61" s="344">
        <v>45.6</v>
      </c>
      <c r="AD61" s="343"/>
      <c r="AG61" s="344"/>
      <c r="AL61" s="343"/>
      <c r="AO61" s="344"/>
      <c r="AP61" s="343"/>
      <c r="AS61" s="344"/>
      <c r="AW61" s="344"/>
      <c r="BA61" s="345"/>
    </row>
    <row r="62" spans="1:53" s="334" customFormat="1" x14ac:dyDescent="0.15">
      <c r="A62" s="386">
        <v>1987</v>
      </c>
      <c r="B62" s="355"/>
      <c r="C62" s="812" t="s">
        <v>610</v>
      </c>
      <c r="D62" s="812"/>
      <c r="E62" s="334">
        <v>0</v>
      </c>
      <c r="G62" s="419"/>
      <c r="I62" s="334">
        <v>20</v>
      </c>
      <c r="J62" s="435">
        <v>20</v>
      </c>
      <c r="K62" s="384">
        <f t="shared" si="5"/>
        <v>0</v>
      </c>
      <c r="L62" s="384">
        <f t="shared" si="5"/>
        <v>0</v>
      </c>
      <c r="M62" s="384">
        <f t="shared" si="5"/>
        <v>100</v>
      </c>
      <c r="N62" s="384">
        <f t="shared" si="3"/>
        <v>100</v>
      </c>
      <c r="O62" s="383"/>
      <c r="P62" s="384"/>
      <c r="Q62" s="384">
        <v>45.6</v>
      </c>
      <c r="R62" s="385">
        <f t="shared" si="4"/>
        <v>45.6</v>
      </c>
      <c r="S62" s="334">
        <v>4</v>
      </c>
      <c r="T62" s="357"/>
      <c r="V62" s="343" t="s">
        <v>482</v>
      </c>
      <c r="W62" s="334" t="s">
        <v>20</v>
      </c>
      <c r="X62" s="334" t="s">
        <v>12</v>
      </c>
      <c r="Y62" s="344">
        <v>45.6</v>
      </c>
      <c r="AD62" s="343"/>
      <c r="AG62" s="344"/>
      <c r="AL62" s="343"/>
      <c r="AO62" s="344"/>
      <c r="AP62" s="343"/>
      <c r="AS62" s="344"/>
      <c r="AW62" s="344"/>
      <c r="BA62" s="345"/>
    </row>
    <row r="63" spans="1:53" s="334" customFormat="1" x14ac:dyDescent="0.15">
      <c r="A63" s="386">
        <v>1987</v>
      </c>
      <c r="B63" s="355"/>
      <c r="C63" s="812" t="s">
        <v>610</v>
      </c>
      <c r="D63" s="812"/>
      <c r="E63" s="334">
        <v>365</v>
      </c>
      <c r="G63" s="419"/>
      <c r="I63" s="334">
        <v>20</v>
      </c>
      <c r="J63" s="435">
        <v>20</v>
      </c>
      <c r="K63" s="384">
        <f t="shared" si="5"/>
        <v>0</v>
      </c>
      <c r="L63" s="384">
        <f t="shared" si="5"/>
        <v>0</v>
      </c>
      <c r="M63" s="384">
        <f>I63/$J63*100</f>
        <v>100</v>
      </c>
      <c r="N63" s="384">
        <f t="shared" si="3"/>
        <v>100</v>
      </c>
      <c r="O63" s="383"/>
      <c r="P63" s="384"/>
      <c r="Q63" s="384">
        <v>45.6</v>
      </c>
      <c r="R63" s="385">
        <f t="shared" si="4"/>
        <v>45.6</v>
      </c>
      <c r="S63" s="334">
        <v>4</v>
      </c>
      <c r="T63" s="357"/>
      <c r="V63" s="343" t="s">
        <v>482</v>
      </c>
      <c r="W63" s="334" t="s">
        <v>20</v>
      </c>
      <c r="X63" s="334" t="s">
        <v>12</v>
      </c>
      <c r="Y63" s="344">
        <v>45.6</v>
      </c>
      <c r="AD63" s="343"/>
      <c r="AG63" s="344"/>
      <c r="AL63" s="343"/>
      <c r="AO63" s="344"/>
      <c r="AP63" s="343"/>
      <c r="AS63" s="344"/>
      <c r="AW63" s="344"/>
      <c r="BA63" s="345"/>
    </row>
    <row r="64" spans="1:53" s="334" customFormat="1" x14ac:dyDescent="0.15">
      <c r="A64" s="386">
        <v>1988</v>
      </c>
      <c r="B64" s="355"/>
      <c r="C64" s="812" t="s">
        <v>610</v>
      </c>
      <c r="D64" s="812"/>
      <c r="E64" s="334">
        <v>277</v>
      </c>
      <c r="G64" s="419"/>
      <c r="I64" s="334">
        <v>20</v>
      </c>
      <c r="J64" s="435">
        <v>20</v>
      </c>
      <c r="K64" s="384">
        <f t="shared" si="5"/>
        <v>0</v>
      </c>
      <c r="L64" s="384">
        <f t="shared" si="5"/>
        <v>0</v>
      </c>
      <c r="M64" s="384">
        <f t="shared" si="5"/>
        <v>100</v>
      </c>
      <c r="N64" s="384">
        <f t="shared" si="3"/>
        <v>100</v>
      </c>
      <c r="O64" s="383"/>
      <c r="P64" s="384"/>
      <c r="Q64" s="384">
        <v>45.6</v>
      </c>
      <c r="R64" s="385">
        <f t="shared" si="4"/>
        <v>45.6</v>
      </c>
      <c r="S64" s="334">
        <v>4</v>
      </c>
      <c r="T64" s="357"/>
      <c r="V64" s="343" t="s">
        <v>482</v>
      </c>
      <c r="W64" s="334" t="s">
        <v>20</v>
      </c>
      <c r="X64" s="334" t="s">
        <v>12</v>
      </c>
      <c r="Y64" s="344">
        <v>45.6</v>
      </c>
      <c r="AD64" s="343"/>
      <c r="AG64" s="344"/>
      <c r="AL64" s="343"/>
      <c r="AO64" s="344"/>
      <c r="AP64" s="343"/>
      <c r="AS64" s="344"/>
      <c r="AW64" s="344"/>
      <c r="BA64" s="345"/>
    </row>
    <row r="65" spans="1:53" s="208" customFormat="1" x14ac:dyDescent="0.15">
      <c r="A65" s="102">
        <v>1988</v>
      </c>
      <c r="B65" s="207">
        <v>32420</v>
      </c>
      <c r="C65" s="811" t="s">
        <v>611</v>
      </c>
      <c r="D65" s="811"/>
      <c r="E65" s="208">
        <f>366-E64</f>
        <v>89</v>
      </c>
      <c r="F65" s="208">
        <v>1</v>
      </c>
      <c r="G65" s="123"/>
      <c r="I65" s="208">
        <v>21</v>
      </c>
      <c r="J65" s="134">
        <v>21</v>
      </c>
      <c r="K65" s="92">
        <f t="shared" si="5"/>
        <v>0</v>
      </c>
      <c r="L65" s="92">
        <f t="shared" si="5"/>
        <v>0</v>
      </c>
      <c r="M65" s="92">
        <f t="shared" si="5"/>
        <v>100</v>
      </c>
      <c r="N65" s="92">
        <f t="shared" si="3"/>
        <v>100</v>
      </c>
      <c r="O65" s="91"/>
      <c r="P65" s="92"/>
      <c r="Q65" s="92">
        <v>44.7</v>
      </c>
      <c r="R65" s="93">
        <f t="shared" si="4"/>
        <v>44.7</v>
      </c>
      <c r="S65" s="208">
        <v>4</v>
      </c>
      <c r="T65" s="95">
        <v>32404</v>
      </c>
      <c r="U65" s="207">
        <v>32420</v>
      </c>
      <c r="V65" s="82" t="s">
        <v>482</v>
      </c>
      <c r="W65" s="208" t="s">
        <v>20</v>
      </c>
      <c r="X65" s="208" t="s">
        <v>12</v>
      </c>
      <c r="Y65" s="83">
        <v>44.7</v>
      </c>
      <c r="AD65" s="82"/>
      <c r="AG65" s="83"/>
      <c r="AL65" s="82"/>
      <c r="AO65" s="83"/>
      <c r="AP65" s="82"/>
      <c r="AS65" s="83"/>
      <c r="AW65" s="83"/>
      <c r="BA65" s="84"/>
    </row>
    <row r="66" spans="1:53" s="208" customFormat="1" x14ac:dyDescent="0.15">
      <c r="A66" s="102">
        <v>1989</v>
      </c>
      <c r="B66" s="207"/>
      <c r="C66" s="811" t="s">
        <v>611</v>
      </c>
      <c r="D66" s="811"/>
      <c r="E66" s="208">
        <v>0</v>
      </c>
      <c r="G66" s="123"/>
      <c r="I66" s="208">
        <v>21</v>
      </c>
      <c r="J66" s="134">
        <v>21</v>
      </c>
      <c r="K66" s="92">
        <f t="shared" si="5"/>
        <v>0</v>
      </c>
      <c r="L66" s="92">
        <f t="shared" si="5"/>
        <v>0</v>
      </c>
      <c r="M66" s="92">
        <f t="shared" si="5"/>
        <v>100</v>
      </c>
      <c r="N66" s="92">
        <f t="shared" si="3"/>
        <v>100</v>
      </c>
      <c r="O66" s="91"/>
      <c r="P66" s="92"/>
      <c r="Q66" s="92">
        <v>44.7</v>
      </c>
      <c r="R66" s="93">
        <f t="shared" si="4"/>
        <v>44.7</v>
      </c>
      <c r="S66" s="208">
        <v>4</v>
      </c>
      <c r="T66" s="81"/>
      <c r="V66" s="82" t="s">
        <v>482</v>
      </c>
      <c r="W66" s="208" t="s">
        <v>20</v>
      </c>
      <c r="X66" s="208" t="s">
        <v>12</v>
      </c>
      <c r="Y66" s="83">
        <v>44.7</v>
      </c>
      <c r="AD66" s="82"/>
      <c r="AG66" s="83"/>
      <c r="AL66" s="82"/>
      <c r="AO66" s="83"/>
      <c r="AP66" s="82"/>
      <c r="AS66" s="83"/>
      <c r="AW66" s="83"/>
      <c r="BA66" s="84"/>
    </row>
    <row r="67" spans="1:53" s="208" customFormat="1" x14ac:dyDescent="0.15">
      <c r="A67" s="102">
        <v>1989</v>
      </c>
      <c r="B67" s="207"/>
      <c r="C67" s="811" t="s">
        <v>611</v>
      </c>
      <c r="D67" s="811"/>
      <c r="E67" s="208">
        <f>365-E66</f>
        <v>365</v>
      </c>
      <c r="G67" s="138"/>
      <c r="H67" s="212"/>
      <c r="I67" s="212">
        <v>21</v>
      </c>
      <c r="J67" s="134">
        <v>21</v>
      </c>
      <c r="K67" s="92">
        <f t="shared" si="5"/>
        <v>0</v>
      </c>
      <c r="L67" s="92">
        <f t="shared" si="5"/>
        <v>0</v>
      </c>
      <c r="M67" s="92">
        <f t="shared" si="5"/>
        <v>100</v>
      </c>
      <c r="N67" s="92">
        <f t="shared" si="3"/>
        <v>100</v>
      </c>
      <c r="O67" s="91"/>
      <c r="P67" s="92"/>
      <c r="Q67" s="92">
        <v>44.7</v>
      </c>
      <c r="R67" s="93">
        <f t="shared" si="4"/>
        <v>44.7</v>
      </c>
      <c r="S67" s="208">
        <v>4</v>
      </c>
      <c r="T67" s="81"/>
      <c r="V67" s="82" t="s">
        <v>482</v>
      </c>
      <c r="W67" s="208" t="s">
        <v>20</v>
      </c>
      <c r="X67" s="208" t="s">
        <v>12</v>
      </c>
      <c r="Y67" s="83">
        <v>44.7</v>
      </c>
      <c r="AD67" s="82"/>
      <c r="AG67" s="83"/>
      <c r="AL67" s="82"/>
      <c r="AO67" s="83"/>
      <c r="AP67" s="82"/>
      <c r="AS67" s="83"/>
      <c r="AW67" s="83"/>
      <c r="BA67" s="84"/>
    </row>
    <row r="68" spans="1:53" s="209" customFormat="1" x14ac:dyDescent="0.15">
      <c r="A68" s="209">
        <v>1990</v>
      </c>
      <c r="C68" s="852" t="s">
        <v>611</v>
      </c>
      <c r="D68" s="852"/>
      <c r="E68" s="209">
        <v>56</v>
      </c>
      <c r="G68" s="123"/>
      <c r="H68" s="208"/>
      <c r="I68" s="208">
        <v>21</v>
      </c>
      <c r="J68" s="166">
        <v>21</v>
      </c>
      <c r="K68" s="167">
        <v>0</v>
      </c>
      <c r="L68" s="167">
        <v>0</v>
      </c>
      <c r="M68" s="167">
        <v>100</v>
      </c>
      <c r="N68" s="222">
        <f t="shared" si="3"/>
        <v>100</v>
      </c>
      <c r="O68" s="169"/>
      <c r="P68" s="167"/>
      <c r="Q68" s="167">
        <v>44.7</v>
      </c>
      <c r="R68" s="170">
        <f t="shared" si="4"/>
        <v>44.7</v>
      </c>
      <c r="S68" s="209">
        <v>4</v>
      </c>
      <c r="T68" s="171"/>
      <c r="V68" s="172" t="s">
        <v>482</v>
      </c>
      <c r="W68" s="209" t="s">
        <v>20</v>
      </c>
      <c r="X68" s="209" t="s">
        <v>12</v>
      </c>
      <c r="Y68" s="173">
        <v>44.7</v>
      </c>
      <c r="AD68" s="172"/>
      <c r="AG68" s="173"/>
      <c r="AL68" s="172"/>
      <c r="AO68" s="173"/>
      <c r="AP68" s="172"/>
      <c r="AS68" s="173"/>
      <c r="AW68" s="173"/>
      <c r="BA68" s="174"/>
    </row>
    <row r="69" spans="1:53" s="334" customFormat="1" x14ac:dyDescent="0.15">
      <c r="A69" s="334">
        <v>1990</v>
      </c>
      <c r="B69" s="355">
        <v>32930</v>
      </c>
      <c r="C69" s="812" t="s">
        <v>612</v>
      </c>
      <c r="D69" s="812"/>
      <c r="E69" s="334">
        <f>365-E68</f>
        <v>309</v>
      </c>
      <c r="F69" s="334">
        <v>5</v>
      </c>
      <c r="G69" s="419"/>
      <c r="I69" s="334">
        <v>22</v>
      </c>
      <c r="J69" s="435">
        <v>22</v>
      </c>
      <c r="K69" s="384">
        <f>G69/J69*100</f>
        <v>0</v>
      </c>
      <c r="L69" s="384">
        <f>H69/J69*100</f>
        <v>0</v>
      </c>
      <c r="M69" s="384">
        <f>I69/J69*100</f>
        <v>100</v>
      </c>
      <c r="N69" s="384">
        <f t="shared" si="3"/>
        <v>100</v>
      </c>
      <c r="O69" s="383"/>
      <c r="P69" s="384"/>
      <c r="Q69" s="384">
        <v>44.7</v>
      </c>
      <c r="R69" s="385">
        <f t="shared" si="4"/>
        <v>44.7</v>
      </c>
      <c r="S69" s="334">
        <v>4</v>
      </c>
      <c r="T69" s="357"/>
      <c r="U69" s="355">
        <v>32930</v>
      </c>
      <c r="V69" s="343" t="s">
        <v>482</v>
      </c>
      <c r="W69" s="334" t="s">
        <v>20</v>
      </c>
      <c r="X69" s="334" t="s">
        <v>12</v>
      </c>
      <c r="Y69" s="344">
        <v>44.7</v>
      </c>
      <c r="AD69" s="343"/>
      <c r="AG69" s="344"/>
      <c r="AL69" s="343"/>
      <c r="AO69" s="344"/>
      <c r="AP69" s="343"/>
      <c r="AS69" s="344"/>
      <c r="AW69" s="344"/>
      <c r="BA69" s="345"/>
    </row>
    <row r="70" spans="1:53" s="334" customFormat="1" x14ac:dyDescent="0.15">
      <c r="A70" s="334">
        <v>1991</v>
      </c>
      <c r="C70" s="812" t="s">
        <v>612</v>
      </c>
      <c r="D70" s="812"/>
      <c r="E70" s="334">
        <v>275</v>
      </c>
      <c r="G70" s="419"/>
      <c r="I70" s="334">
        <v>22</v>
      </c>
      <c r="J70" s="435">
        <v>22</v>
      </c>
      <c r="K70" s="384">
        <f>G70/J70*100</f>
        <v>0</v>
      </c>
      <c r="L70" s="384">
        <f>H70/J70*100</f>
        <v>0</v>
      </c>
      <c r="M70" s="384">
        <f>I70/J70*100</f>
        <v>100</v>
      </c>
      <c r="N70" s="384">
        <f t="shared" si="3"/>
        <v>100</v>
      </c>
      <c r="O70" s="383"/>
      <c r="P70" s="384"/>
      <c r="Q70" s="384">
        <v>44.7</v>
      </c>
      <c r="R70" s="385">
        <f t="shared" si="4"/>
        <v>44.7</v>
      </c>
      <c r="S70" s="334">
        <v>4</v>
      </c>
      <c r="T70" s="357"/>
      <c r="V70" s="343" t="s">
        <v>482</v>
      </c>
      <c r="W70" s="334" t="s">
        <v>20</v>
      </c>
      <c r="X70" s="334" t="s">
        <v>12</v>
      </c>
      <c r="Y70" s="344">
        <v>44.7</v>
      </c>
      <c r="AD70" s="343"/>
      <c r="AG70" s="344"/>
      <c r="AL70" s="343"/>
      <c r="AO70" s="344"/>
      <c r="AP70" s="343"/>
      <c r="AS70" s="344"/>
      <c r="AW70" s="344"/>
      <c r="BA70" s="345"/>
    </row>
    <row r="71" spans="1:53" s="208" customFormat="1" x14ac:dyDescent="0.15">
      <c r="A71" s="208">
        <v>1991</v>
      </c>
      <c r="B71" s="207">
        <v>33514</v>
      </c>
      <c r="C71" s="811" t="s">
        <v>613</v>
      </c>
      <c r="D71" s="811"/>
      <c r="E71" s="208">
        <f>365-E70</f>
        <v>90</v>
      </c>
      <c r="F71" s="208">
        <v>1</v>
      </c>
      <c r="G71" s="123">
        <v>13</v>
      </c>
      <c r="H71" s="208">
        <v>7</v>
      </c>
      <c r="J71" s="134">
        <v>21</v>
      </c>
      <c r="K71" s="92">
        <f>G71/J71*100</f>
        <v>61.904761904761905</v>
      </c>
      <c r="L71" s="92">
        <f>H71/J71*100</f>
        <v>33.333333333333329</v>
      </c>
      <c r="M71" s="92">
        <f>I71/J71*100</f>
        <v>0</v>
      </c>
      <c r="N71" s="92">
        <f t="shared" si="3"/>
        <v>95.238095238095241</v>
      </c>
      <c r="O71" s="91">
        <v>32.4</v>
      </c>
      <c r="P71" s="92">
        <v>16.3</v>
      </c>
      <c r="Q71" s="92"/>
      <c r="R71" s="93">
        <f t="shared" si="4"/>
        <v>48.7</v>
      </c>
      <c r="S71" s="208">
        <v>5</v>
      </c>
      <c r="T71" s="95">
        <v>33496</v>
      </c>
      <c r="U71" s="207">
        <v>33514</v>
      </c>
      <c r="V71" s="82" t="s">
        <v>485</v>
      </c>
      <c r="W71" s="208" t="s">
        <v>74</v>
      </c>
      <c r="X71" s="208" t="s">
        <v>11</v>
      </c>
      <c r="Y71" s="83">
        <v>22.9</v>
      </c>
      <c r="Z71" s="208" t="s">
        <v>484</v>
      </c>
      <c r="AA71" s="208" t="s">
        <v>22</v>
      </c>
      <c r="AB71" s="208" t="s">
        <v>11</v>
      </c>
      <c r="AC71" s="208">
        <v>9.5</v>
      </c>
      <c r="AD71" s="82" t="s">
        <v>483</v>
      </c>
      <c r="AE71" s="208" t="s">
        <v>75</v>
      </c>
      <c r="AF71" s="208" t="s">
        <v>18</v>
      </c>
      <c r="AG71" s="83">
        <v>8.9</v>
      </c>
      <c r="AH71" s="82" t="s">
        <v>486</v>
      </c>
      <c r="AI71" s="208" t="s">
        <v>17</v>
      </c>
      <c r="AJ71" s="208" t="s">
        <v>18</v>
      </c>
      <c r="AK71" s="208">
        <v>7.4</v>
      </c>
      <c r="AL71" s="82"/>
      <c r="AO71" s="83"/>
      <c r="AP71" s="82"/>
      <c r="AS71" s="83"/>
      <c r="AW71" s="83"/>
      <c r="BA71" s="84"/>
    </row>
    <row r="72" spans="1:53" s="208" customFormat="1" x14ac:dyDescent="0.15">
      <c r="A72" s="208">
        <v>1992</v>
      </c>
      <c r="C72" s="811" t="s">
        <v>613</v>
      </c>
      <c r="D72" s="811"/>
      <c r="E72" s="208">
        <v>0</v>
      </c>
      <c r="G72" s="123">
        <v>13</v>
      </c>
      <c r="H72" s="208">
        <v>6</v>
      </c>
      <c r="J72" s="134">
        <v>20</v>
      </c>
      <c r="K72" s="92">
        <f>G72/J72*100</f>
        <v>65</v>
      </c>
      <c r="L72" s="92">
        <f>H72/J72*100</f>
        <v>30</v>
      </c>
      <c r="M72" s="92">
        <f>I72/J72*100</f>
        <v>0</v>
      </c>
      <c r="N72" s="92">
        <f t="shared" si="3"/>
        <v>95</v>
      </c>
      <c r="O72" s="91">
        <v>32.4</v>
      </c>
      <c r="P72" s="92">
        <v>16.3</v>
      </c>
      <c r="Q72" s="92"/>
      <c r="R72" s="93">
        <f t="shared" si="4"/>
        <v>48.7</v>
      </c>
      <c r="S72" s="208">
        <v>5</v>
      </c>
      <c r="T72" s="81"/>
      <c r="V72" s="82" t="s">
        <v>485</v>
      </c>
      <c r="W72" s="208" t="s">
        <v>74</v>
      </c>
      <c r="X72" s="208" t="s">
        <v>11</v>
      </c>
      <c r="Y72" s="83">
        <v>22.9</v>
      </c>
      <c r="Z72" s="208" t="s">
        <v>484</v>
      </c>
      <c r="AA72" s="208" t="s">
        <v>22</v>
      </c>
      <c r="AB72" s="208" t="s">
        <v>11</v>
      </c>
      <c r="AC72" s="208">
        <v>9.5</v>
      </c>
      <c r="AD72" s="82" t="s">
        <v>483</v>
      </c>
      <c r="AE72" s="208" t="s">
        <v>75</v>
      </c>
      <c r="AF72" s="208" t="s">
        <v>18</v>
      </c>
      <c r="AG72" s="83">
        <v>8.9</v>
      </c>
      <c r="AH72" s="82" t="s">
        <v>486</v>
      </c>
      <c r="AI72" s="208" t="s">
        <v>17</v>
      </c>
      <c r="AJ72" s="208" t="s">
        <v>18</v>
      </c>
      <c r="AK72" s="208">
        <v>7.4</v>
      </c>
      <c r="AL72" s="82"/>
      <c r="AO72" s="83"/>
      <c r="AP72" s="82"/>
      <c r="AS72" s="83"/>
      <c r="AW72" s="83"/>
      <c r="BA72" s="84"/>
    </row>
    <row r="73" spans="1:53" s="208" customFormat="1" x14ac:dyDescent="0.15">
      <c r="A73" s="208">
        <v>1992</v>
      </c>
      <c r="C73" s="811" t="s">
        <v>613</v>
      </c>
      <c r="D73" s="811"/>
      <c r="E73" s="208">
        <v>366</v>
      </c>
      <c r="G73" s="123">
        <v>13</v>
      </c>
      <c r="H73" s="208">
        <v>6</v>
      </c>
      <c r="J73" s="134">
        <v>20</v>
      </c>
      <c r="K73" s="92">
        <f>G73/J73*100</f>
        <v>65</v>
      </c>
      <c r="L73" s="92">
        <f>H73/J73*100</f>
        <v>30</v>
      </c>
      <c r="M73" s="92">
        <f>I73/J73*100</f>
        <v>0</v>
      </c>
      <c r="N73" s="92">
        <f t="shared" ref="N73:N115" si="6">K73+L73+M73</f>
        <v>95</v>
      </c>
      <c r="O73" s="91">
        <v>32.4</v>
      </c>
      <c r="P73" s="92">
        <v>16.3</v>
      </c>
      <c r="Q73" s="92"/>
      <c r="R73" s="93">
        <f t="shared" si="4"/>
        <v>48.7</v>
      </c>
      <c r="S73" s="208">
        <v>5</v>
      </c>
      <c r="T73" s="81"/>
      <c r="V73" s="82" t="s">
        <v>485</v>
      </c>
      <c r="W73" s="208" t="s">
        <v>74</v>
      </c>
      <c r="X73" s="208" t="s">
        <v>11</v>
      </c>
      <c r="Y73" s="83">
        <v>22.9</v>
      </c>
      <c r="Z73" s="208" t="s">
        <v>484</v>
      </c>
      <c r="AA73" s="208" t="s">
        <v>22</v>
      </c>
      <c r="AB73" s="208" t="s">
        <v>11</v>
      </c>
      <c r="AC73" s="208">
        <v>9.5</v>
      </c>
      <c r="AD73" s="82" t="s">
        <v>483</v>
      </c>
      <c r="AE73" s="208" t="s">
        <v>75</v>
      </c>
      <c r="AF73" s="208" t="s">
        <v>18</v>
      </c>
      <c r="AG73" s="83">
        <v>8.9</v>
      </c>
      <c r="AH73" s="82" t="s">
        <v>486</v>
      </c>
      <c r="AI73" s="208" t="s">
        <v>17</v>
      </c>
      <c r="AJ73" s="208" t="s">
        <v>18</v>
      </c>
      <c r="AK73" s="208">
        <v>7.4</v>
      </c>
      <c r="AL73" s="82"/>
      <c r="AO73" s="83"/>
      <c r="AP73" s="82"/>
      <c r="AS73" s="83"/>
      <c r="AW73" s="83"/>
      <c r="BA73" s="84"/>
    </row>
    <row r="74" spans="1:53" s="208" customFormat="1" x14ac:dyDescent="0.15">
      <c r="A74" s="208">
        <v>1993</v>
      </c>
      <c r="C74" s="811" t="s">
        <v>613</v>
      </c>
      <c r="D74" s="811"/>
      <c r="E74" s="208">
        <v>0</v>
      </c>
      <c r="G74" s="123">
        <v>13</v>
      </c>
      <c r="H74" s="208">
        <v>7</v>
      </c>
      <c r="J74" s="134">
        <v>21</v>
      </c>
      <c r="K74" s="92">
        <f t="shared" ref="K74:K109" si="7">G74/J74*100</f>
        <v>61.904761904761905</v>
      </c>
      <c r="L74" s="92">
        <f t="shared" ref="L74:L109" si="8">H74/J74*100</f>
        <v>33.333333333333329</v>
      </c>
      <c r="M74" s="92">
        <f t="shared" ref="M74:M109" si="9">I74/J74*100</f>
        <v>0</v>
      </c>
      <c r="N74" s="92">
        <f t="shared" si="6"/>
        <v>95.238095238095241</v>
      </c>
      <c r="O74" s="91">
        <v>32.4</v>
      </c>
      <c r="P74" s="92">
        <v>16.3</v>
      </c>
      <c r="Q74" s="92"/>
      <c r="R74" s="93">
        <f t="shared" ref="R74:R115" si="10">O74+P74+Q74</f>
        <v>48.7</v>
      </c>
      <c r="S74" s="208">
        <v>5</v>
      </c>
      <c r="T74" s="81"/>
      <c r="V74" s="82" t="s">
        <v>485</v>
      </c>
      <c r="W74" s="208" t="s">
        <v>74</v>
      </c>
      <c r="X74" s="208" t="s">
        <v>11</v>
      </c>
      <c r="Y74" s="83">
        <v>22.9</v>
      </c>
      <c r="Z74" s="208" t="s">
        <v>484</v>
      </c>
      <c r="AA74" s="208" t="s">
        <v>22</v>
      </c>
      <c r="AB74" s="208" t="s">
        <v>11</v>
      </c>
      <c r="AC74" s="208">
        <v>9.5</v>
      </c>
      <c r="AD74" s="82" t="s">
        <v>483</v>
      </c>
      <c r="AE74" s="208" t="s">
        <v>75</v>
      </c>
      <c r="AF74" s="208" t="s">
        <v>18</v>
      </c>
      <c r="AG74" s="83">
        <v>8.9</v>
      </c>
      <c r="AH74" s="82" t="s">
        <v>486</v>
      </c>
      <c r="AI74" s="208" t="s">
        <v>17</v>
      </c>
      <c r="AJ74" s="208" t="s">
        <v>18</v>
      </c>
      <c r="AK74" s="208">
        <v>7.4</v>
      </c>
      <c r="AL74" s="82"/>
      <c r="AO74" s="83"/>
      <c r="AP74" s="82"/>
      <c r="AS74" s="83"/>
      <c r="AW74" s="83"/>
      <c r="BA74" s="84"/>
    </row>
    <row r="75" spans="1:53" s="208" customFormat="1" x14ac:dyDescent="0.15">
      <c r="A75" s="208">
        <v>1993</v>
      </c>
      <c r="C75" s="811" t="s">
        <v>613</v>
      </c>
      <c r="D75" s="811"/>
      <c r="E75" s="208">
        <f>365-E74</f>
        <v>365</v>
      </c>
      <c r="G75" s="123">
        <v>13</v>
      </c>
      <c r="H75" s="208">
        <v>7</v>
      </c>
      <c r="J75" s="134">
        <v>21</v>
      </c>
      <c r="K75" s="92">
        <f t="shared" si="7"/>
        <v>61.904761904761905</v>
      </c>
      <c r="L75" s="92">
        <f t="shared" si="8"/>
        <v>33.333333333333329</v>
      </c>
      <c r="M75" s="92">
        <f t="shared" si="9"/>
        <v>0</v>
      </c>
      <c r="N75" s="92">
        <f t="shared" si="6"/>
        <v>95.238095238095241</v>
      </c>
      <c r="O75" s="91">
        <v>32.4</v>
      </c>
      <c r="P75" s="92">
        <v>16.3</v>
      </c>
      <c r="Q75" s="92"/>
      <c r="R75" s="93">
        <f t="shared" si="10"/>
        <v>48.7</v>
      </c>
      <c r="S75" s="208">
        <v>5</v>
      </c>
      <c r="T75" s="81"/>
      <c r="V75" s="82" t="s">
        <v>485</v>
      </c>
      <c r="W75" s="208" t="s">
        <v>74</v>
      </c>
      <c r="X75" s="208" t="s">
        <v>11</v>
      </c>
      <c r="Y75" s="83">
        <v>22.9</v>
      </c>
      <c r="Z75" s="208" t="s">
        <v>484</v>
      </c>
      <c r="AA75" s="208" t="s">
        <v>22</v>
      </c>
      <c r="AB75" s="208" t="s">
        <v>11</v>
      </c>
      <c r="AC75" s="208">
        <v>9.5</v>
      </c>
      <c r="AD75" s="82" t="s">
        <v>483</v>
      </c>
      <c r="AE75" s="208" t="s">
        <v>75</v>
      </c>
      <c r="AF75" s="208" t="s">
        <v>18</v>
      </c>
      <c r="AG75" s="83">
        <v>8.9</v>
      </c>
      <c r="AH75" s="82" t="s">
        <v>486</v>
      </c>
      <c r="AI75" s="208" t="s">
        <v>17</v>
      </c>
      <c r="AJ75" s="208" t="s">
        <v>18</v>
      </c>
      <c r="AK75" s="208">
        <v>7.4</v>
      </c>
      <c r="AL75" s="82"/>
      <c r="AO75" s="83"/>
      <c r="AP75" s="82"/>
      <c r="AS75" s="83"/>
      <c r="AW75" s="83"/>
      <c r="BA75" s="84"/>
    </row>
    <row r="76" spans="1:53" s="208" customFormat="1" x14ac:dyDescent="0.15">
      <c r="A76" s="208">
        <v>1994</v>
      </c>
      <c r="C76" s="811" t="s">
        <v>613</v>
      </c>
      <c r="D76" s="811"/>
      <c r="E76" s="208">
        <v>278</v>
      </c>
      <c r="G76" s="123">
        <v>13</v>
      </c>
      <c r="H76" s="208">
        <v>7</v>
      </c>
      <c r="J76" s="134">
        <v>21</v>
      </c>
      <c r="K76" s="92">
        <f t="shared" si="7"/>
        <v>61.904761904761905</v>
      </c>
      <c r="L76" s="92">
        <f t="shared" si="8"/>
        <v>33.333333333333329</v>
      </c>
      <c r="M76" s="92">
        <f t="shared" si="9"/>
        <v>0</v>
      </c>
      <c r="N76" s="92">
        <f t="shared" si="6"/>
        <v>95.238095238095241</v>
      </c>
      <c r="O76" s="91">
        <v>32.4</v>
      </c>
      <c r="P76" s="92">
        <v>16.3</v>
      </c>
      <c r="Q76" s="92"/>
      <c r="R76" s="93">
        <f t="shared" si="10"/>
        <v>48.7</v>
      </c>
      <c r="S76" s="208">
        <v>5</v>
      </c>
      <c r="T76" s="81"/>
      <c r="V76" s="82" t="s">
        <v>485</v>
      </c>
      <c r="W76" s="208" t="s">
        <v>74</v>
      </c>
      <c r="X76" s="208" t="s">
        <v>11</v>
      </c>
      <c r="Y76" s="83">
        <v>22.9</v>
      </c>
      <c r="Z76" s="208" t="s">
        <v>484</v>
      </c>
      <c r="AA76" s="208" t="s">
        <v>22</v>
      </c>
      <c r="AB76" s="208" t="s">
        <v>11</v>
      </c>
      <c r="AC76" s="208">
        <v>9.5</v>
      </c>
      <c r="AD76" s="82" t="s">
        <v>483</v>
      </c>
      <c r="AE76" s="208" t="s">
        <v>75</v>
      </c>
      <c r="AF76" s="208" t="s">
        <v>18</v>
      </c>
      <c r="AG76" s="83">
        <v>8.9</v>
      </c>
      <c r="AH76" s="82" t="s">
        <v>486</v>
      </c>
      <c r="AI76" s="208" t="s">
        <v>17</v>
      </c>
      <c r="AJ76" s="208" t="s">
        <v>18</v>
      </c>
      <c r="AK76" s="208">
        <v>7.4</v>
      </c>
      <c r="AL76" s="82"/>
      <c r="AO76" s="83"/>
      <c r="AP76" s="82"/>
      <c r="AS76" s="83"/>
      <c r="AW76" s="83"/>
      <c r="BA76" s="84"/>
    </row>
    <row r="77" spans="1:53" s="334" customFormat="1" x14ac:dyDescent="0.15">
      <c r="A77" s="334">
        <v>1994</v>
      </c>
      <c r="B77" s="355">
        <v>34613</v>
      </c>
      <c r="C77" s="812" t="s">
        <v>614</v>
      </c>
      <c r="D77" s="812"/>
      <c r="E77" s="334">
        <f>365-E76</f>
        <v>87</v>
      </c>
      <c r="F77" s="334">
        <v>1</v>
      </c>
      <c r="G77" s="419"/>
      <c r="I77" s="334">
        <v>22</v>
      </c>
      <c r="J77" s="435">
        <v>22</v>
      </c>
      <c r="K77" s="384">
        <f t="shared" si="7"/>
        <v>0</v>
      </c>
      <c r="L77" s="384">
        <f t="shared" si="8"/>
        <v>0</v>
      </c>
      <c r="M77" s="384">
        <f t="shared" si="9"/>
        <v>100</v>
      </c>
      <c r="N77" s="384">
        <f t="shared" si="6"/>
        <v>100</v>
      </c>
      <c r="O77" s="383"/>
      <c r="P77" s="384"/>
      <c r="Q77" s="384">
        <v>46.1</v>
      </c>
      <c r="R77" s="385">
        <f t="shared" si="10"/>
        <v>46.1</v>
      </c>
      <c r="S77" s="334">
        <v>4</v>
      </c>
      <c r="T77" s="342">
        <v>34595</v>
      </c>
      <c r="U77" s="355">
        <v>34613</v>
      </c>
      <c r="V77" s="343" t="s">
        <v>482</v>
      </c>
      <c r="W77" s="334" t="s">
        <v>20</v>
      </c>
      <c r="X77" s="334" t="s">
        <v>12</v>
      </c>
      <c r="Y77" s="344">
        <v>46.1</v>
      </c>
      <c r="AD77" s="343"/>
      <c r="AG77" s="344"/>
      <c r="AL77" s="343"/>
      <c r="AO77" s="344"/>
      <c r="AP77" s="343"/>
      <c r="AS77" s="344"/>
      <c r="AW77" s="344"/>
      <c r="BA77" s="345"/>
    </row>
    <row r="78" spans="1:53" s="334" customFormat="1" x14ac:dyDescent="0.15">
      <c r="A78" s="334">
        <v>1995</v>
      </c>
      <c r="C78" s="812" t="s">
        <v>614</v>
      </c>
      <c r="D78" s="812"/>
      <c r="E78" s="334">
        <v>0</v>
      </c>
      <c r="G78" s="419"/>
      <c r="I78" s="334">
        <v>22</v>
      </c>
      <c r="J78" s="435">
        <v>22</v>
      </c>
      <c r="K78" s="384">
        <f t="shared" si="7"/>
        <v>0</v>
      </c>
      <c r="L78" s="384">
        <f t="shared" si="8"/>
        <v>0</v>
      </c>
      <c r="M78" s="384">
        <f t="shared" si="9"/>
        <v>100</v>
      </c>
      <c r="N78" s="384">
        <f t="shared" si="6"/>
        <v>100</v>
      </c>
      <c r="O78" s="383"/>
      <c r="P78" s="384"/>
      <c r="Q78" s="384">
        <v>46.1</v>
      </c>
      <c r="R78" s="385">
        <f t="shared" si="10"/>
        <v>46.1</v>
      </c>
      <c r="S78" s="334">
        <v>4</v>
      </c>
      <c r="T78" s="357"/>
      <c r="V78" s="343" t="s">
        <v>482</v>
      </c>
      <c r="W78" s="334" t="s">
        <v>20</v>
      </c>
      <c r="X78" s="334" t="s">
        <v>12</v>
      </c>
      <c r="Y78" s="344">
        <v>46.1</v>
      </c>
      <c r="AD78" s="343"/>
      <c r="AG78" s="344"/>
      <c r="AL78" s="343"/>
      <c r="AO78" s="344"/>
      <c r="AP78" s="343"/>
      <c r="AS78" s="344"/>
      <c r="AW78" s="344"/>
      <c r="BA78" s="345"/>
    </row>
    <row r="79" spans="1:53" s="334" customFormat="1" x14ac:dyDescent="0.15">
      <c r="A79" s="334">
        <v>1995</v>
      </c>
      <c r="C79" s="812" t="s">
        <v>614</v>
      </c>
      <c r="D79" s="812"/>
      <c r="E79" s="334">
        <f>365-E78</f>
        <v>365</v>
      </c>
      <c r="G79" s="419"/>
      <c r="I79" s="334">
        <v>22</v>
      </c>
      <c r="J79" s="435">
        <v>22</v>
      </c>
      <c r="K79" s="384">
        <f t="shared" si="7"/>
        <v>0</v>
      </c>
      <c r="L79" s="384">
        <f t="shared" si="8"/>
        <v>0</v>
      </c>
      <c r="M79" s="384">
        <f t="shared" si="9"/>
        <v>100</v>
      </c>
      <c r="N79" s="384">
        <f t="shared" si="6"/>
        <v>100</v>
      </c>
      <c r="O79" s="383"/>
      <c r="P79" s="384"/>
      <c r="Q79" s="384">
        <v>46.1</v>
      </c>
      <c r="R79" s="385">
        <f t="shared" si="10"/>
        <v>46.1</v>
      </c>
      <c r="S79" s="334">
        <v>4</v>
      </c>
      <c r="T79" s="357"/>
      <c r="V79" s="343" t="s">
        <v>482</v>
      </c>
      <c r="W79" s="334" t="s">
        <v>20</v>
      </c>
      <c r="X79" s="334" t="s">
        <v>12</v>
      </c>
      <c r="Y79" s="344">
        <v>46.1</v>
      </c>
      <c r="AD79" s="343"/>
      <c r="AG79" s="344"/>
      <c r="AL79" s="343"/>
      <c r="AO79" s="344"/>
      <c r="AP79" s="343"/>
      <c r="AS79" s="344"/>
      <c r="AW79" s="344"/>
      <c r="BA79" s="345"/>
    </row>
    <row r="80" spans="1:53" s="334" customFormat="1" x14ac:dyDescent="0.15">
      <c r="A80" s="334">
        <v>1996</v>
      </c>
      <c r="C80" s="812" t="s">
        <v>614</v>
      </c>
      <c r="D80" s="812"/>
      <c r="E80" s="334">
        <v>81</v>
      </c>
      <c r="G80" s="419"/>
      <c r="I80" s="334">
        <v>21</v>
      </c>
      <c r="J80" s="435">
        <v>21</v>
      </c>
      <c r="K80" s="384">
        <f t="shared" si="7"/>
        <v>0</v>
      </c>
      <c r="L80" s="384">
        <f t="shared" si="8"/>
        <v>0</v>
      </c>
      <c r="M80" s="384">
        <f t="shared" si="9"/>
        <v>100</v>
      </c>
      <c r="N80" s="384">
        <f t="shared" si="6"/>
        <v>100</v>
      </c>
      <c r="O80" s="383"/>
      <c r="P80" s="384"/>
      <c r="Q80" s="384">
        <v>46.1</v>
      </c>
      <c r="R80" s="385">
        <f t="shared" si="10"/>
        <v>46.1</v>
      </c>
      <c r="S80" s="334">
        <v>4</v>
      </c>
      <c r="T80" s="357"/>
      <c r="V80" s="343" t="s">
        <v>482</v>
      </c>
      <c r="W80" s="334" t="s">
        <v>20</v>
      </c>
      <c r="X80" s="334" t="s">
        <v>12</v>
      </c>
      <c r="Y80" s="344">
        <v>46.1</v>
      </c>
      <c r="AD80" s="343"/>
      <c r="AG80" s="344"/>
      <c r="AL80" s="343"/>
      <c r="AO80" s="344"/>
      <c r="AP80" s="343"/>
      <c r="AS80" s="344"/>
      <c r="AW80" s="344"/>
      <c r="BA80" s="345"/>
    </row>
    <row r="81" spans="1:53" s="208" customFormat="1" x14ac:dyDescent="0.15">
      <c r="A81" s="208">
        <v>1996</v>
      </c>
      <c r="B81" s="207">
        <v>35146</v>
      </c>
      <c r="C81" s="811" t="s">
        <v>615</v>
      </c>
      <c r="D81" s="811"/>
      <c r="E81" s="208">
        <f>366-E80</f>
        <v>285</v>
      </c>
      <c r="F81" s="208">
        <v>2</v>
      </c>
      <c r="G81" s="123"/>
      <c r="I81" s="208">
        <v>22</v>
      </c>
      <c r="J81" s="134">
        <v>22</v>
      </c>
      <c r="K81" s="92">
        <f t="shared" si="7"/>
        <v>0</v>
      </c>
      <c r="L81" s="92">
        <f t="shared" si="8"/>
        <v>0</v>
      </c>
      <c r="M81" s="92">
        <f t="shared" si="9"/>
        <v>100</v>
      </c>
      <c r="N81" s="92">
        <f t="shared" si="6"/>
        <v>100</v>
      </c>
      <c r="O81" s="91"/>
      <c r="P81" s="92"/>
      <c r="Q81" s="92">
        <v>46.1</v>
      </c>
      <c r="R81" s="93">
        <f t="shared" si="10"/>
        <v>46.1</v>
      </c>
      <c r="S81" s="208">
        <v>4</v>
      </c>
      <c r="T81" s="81"/>
      <c r="U81" s="207">
        <v>35146</v>
      </c>
      <c r="V81" s="82" t="s">
        <v>482</v>
      </c>
      <c r="W81" s="208" t="s">
        <v>20</v>
      </c>
      <c r="X81" s="208" t="s">
        <v>12</v>
      </c>
      <c r="Y81" s="83">
        <v>46.1</v>
      </c>
      <c r="AD81" s="82"/>
      <c r="AG81" s="83"/>
      <c r="AL81" s="82"/>
      <c r="AO81" s="83"/>
      <c r="AP81" s="82"/>
      <c r="AS81" s="83"/>
      <c r="AW81" s="83"/>
      <c r="BA81" s="84"/>
    </row>
    <row r="82" spans="1:53" s="208" customFormat="1" x14ac:dyDescent="0.15">
      <c r="A82" s="208">
        <v>1997</v>
      </c>
      <c r="C82" s="811" t="s">
        <v>615</v>
      </c>
      <c r="D82" s="811"/>
      <c r="E82" s="208">
        <v>0</v>
      </c>
      <c r="G82" s="123"/>
      <c r="I82" s="208">
        <v>22</v>
      </c>
      <c r="J82" s="134">
        <v>22</v>
      </c>
      <c r="K82" s="92">
        <f t="shared" si="7"/>
        <v>0</v>
      </c>
      <c r="L82" s="92">
        <f t="shared" si="8"/>
        <v>0</v>
      </c>
      <c r="M82" s="92">
        <f t="shared" si="9"/>
        <v>100</v>
      </c>
      <c r="N82" s="92">
        <f t="shared" si="6"/>
        <v>100</v>
      </c>
      <c r="O82" s="91"/>
      <c r="P82" s="92"/>
      <c r="Q82" s="92">
        <v>46.1</v>
      </c>
      <c r="R82" s="93">
        <f t="shared" si="10"/>
        <v>46.1</v>
      </c>
      <c r="S82" s="208">
        <v>4</v>
      </c>
      <c r="T82" s="81"/>
      <c r="V82" s="82" t="s">
        <v>482</v>
      </c>
      <c r="W82" s="208" t="s">
        <v>20</v>
      </c>
      <c r="X82" s="208" t="s">
        <v>12</v>
      </c>
      <c r="Y82" s="83">
        <v>46.1</v>
      </c>
      <c r="AD82" s="82"/>
      <c r="AG82" s="83"/>
      <c r="AL82" s="82"/>
      <c r="AO82" s="83"/>
      <c r="AP82" s="82"/>
      <c r="AS82" s="83"/>
      <c r="AW82" s="83"/>
      <c r="BA82" s="84"/>
    </row>
    <row r="83" spans="1:53" s="208" customFormat="1" x14ac:dyDescent="0.15">
      <c r="A83" s="208">
        <v>1997</v>
      </c>
      <c r="C83" s="811" t="s">
        <v>615</v>
      </c>
      <c r="D83" s="811"/>
      <c r="E83" s="208">
        <f>365-E82</f>
        <v>365</v>
      </c>
      <c r="G83" s="123"/>
      <c r="I83" s="208">
        <v>22</v>
      </c>
      <c r="J83" s="134">
        <v>22</v>
      </c>
      <c r="K83" s="92">
        <f t="shared" si="7"/>
        <v>0</v>
      </c>
      <c r="L83" s="92">
        <f t="shared" si="8"/>
        <v>0</v>
      </c>
      <c r="M83" s="92">
        <f t="shared" si="9"/>
        <v>100</v>
      </c>
      <c r="N83" s="92">
        <f t="shared" si="6"/>
        <v>100</v>
      </c>
      <c r="O83" s="91"/>
      <c r="P83" s="92"/>
      <c r="Q83" s="92">
        <v>46.1</v>
      </c>
      <c r="R83" s="93">
        <f t="shared" si="10"/>
        <v>46.1</v>
      </c>
      <c r="S83" s="208">
        <v>4</v>
      </c>
      <c r="T83" s="81"/>
      <c r="V83" s="82" t="s">
        <v>482</v>
      </c>
      <c r="W83" s="208" t="s">
        <v>20</v>
      </c>
      <c r="X83" s="208" t="s">
        <v>12</v>
      </c>
      <c r="Y83" s="83">
        <v>46.1</v>
      </c>
      <c r="AD83" s="82"/>
      <c r="AG83" s="83"/>
      <c r="AL83" s="82"/>
      <c r="AO83" s="83"/>
      <c r="AP83" s="82"/>
      <c r="AS83" s="83"/>
      <c r="AW83" s="83"/>
      <c r="BA83" s="84"/>
    </row>
    <row r="84" spans="1:53" s="208" customFormat="1" x14ac:dyDescent="0.15">
      <c r="A84" s="208">
        <v>1998</v>
      </c>
      <c r="C84" s="811" t="s">
        <v>615</v>
      </c>
      <c r="D84" s="811"/>
      <c r="E84" s="208">
        <v>278</v>
      </c>
      <c r="G84" s="123"/>
      <c r="I84" s="208">
        <v>22</v>
      </c>
      <c r="J84" s="134">
        <v>22</v>
      </c>
      <c r="K84" s="92">
        <f t="shared" si="7"/>
        <v>0</v>
      </c>
      <c r="L84" s="92">
        <f t="shared" si="8"/>
        <v>0</v>
      </c>
      <c r="M84" s="92">
        <f t="shared" si="9"/>
        <v>100</v>
      </c>
      <c r="N84" s="92">
        <f t="shared" si="6"/>
        <v>100</v>
      </c>
      <c r="O84" s="91"/>
      <c r="P84" s="92"/>
      <c r="Q84" s="92">
        <v>46.1</v>
      </c>
      <c r="R84" s="93">
        <f t="shared" si="10"/>
        <v>46.1</v>
      </c>
      <c r="S84" s="208">
        <v>4</v>
      </c>
      <c r="T84" s="81"/>
      <c r="V84" s="82" t="s">
        <v>482</v>
      </c>
      <c r="W84" s="208" t="s">
        <v>20</v>
      </c>
      <c r="X84" s="208" t="s">
        <v>12</v>
      </c>
      <c r="Y84" s="83">
        <v>46.1</v>
      </c>
      <c r="AD84" s="82"/>
      <c r="AG84" s="83"/>
      <c r="AL84" s="82"/>
      <c r="AO84" s="83"/>
      <c r="AP84" s="82"/>
      <c r="AS84" s="83"/>
      <c r="AW84" s="83"/>
      <c r="BA84" s="84"/>
    </row>
    <row r="85" spans="1:53" s="334" customFormat="1" x14ac:dyDescent="0.15">
      <c r="A85" s="334">
        <v>1998</v>
      </c>
      <c r="B85" s="355">
        <v>36074</v>
      </c>
      <c r="C85" s="812" t="s">
        <v>616</v>
      </c>
      <c r="D85" s="812"/>
      <c r="E85" s="334">
        <f>365-E84</f>
        <v>87</v>
      </c>
      <c r="F85" s="334">
        <v>1</v>
      </c>
      <c r="G85" s="419"/>
      <c r="I85" s="334">
        <v>20</v>
      </c>
      <c r="J85" s="435">
        <v>20</v>
      </c>
      <c r="K85" s="384">
        <f t="shared" si="7"/>
        <v>0</v>
      </c>
      <c r="L85" s="384">
        <f t="shared" si="8"/>
        <v>0</v>
      </c>
      <c r="M85" s="384">
        <f t="shared" si="9"/>
        <v>100</v>
      </c>
      <c r="N85" s="384">
        <f t="shared" si="6"/>
        <v>100</v>
      </c>
      <c r="O85" s="383"/>
      <c r="P85" s="384"/>
      <c r="Q85" s="384">
        <v>37.5</v>
      </c>
      <c r="R85" s="385">
        <f t="shared" si="10"/>
        <v>37.5</v>
      </c>
      <c r="S85" s="334">
        <v>4</v>
      </c>
      <c r="T85" s="342">
        <v>36058</v>
      </c>
      <c r="U85" s="355">
        <v>36074</v>
      </c>
      <c r="V85" s="343" t="s">
        <v>482</v>
      </c>
      <c r="W85" s="334" t="s">
        <v>20</v>
      </c>
      <c r="X85" s="334" t="s">
        <v>12</v>
      </c>
      <c r="Y85" s="344">
        <v>37.5</v>
      </c>
      <c r="AD85" s="343"/>
      <c r="AG85" s="344"/>
      <c r="AL85" s="343"/>
      <c r="AO85" s="344"/>
      <c r="AP85" s="343"/>
      <c r="AS85" s="344"/>
      <c r="AW85" s="344"/>
      <c r="BA85" s="345"/>
    </row>
    <row r="86" spans="1:53" s="334" customFormat="1" x14ac:dyDescent="0.15">
      <c r="A86" s="334">
        <v>1999</v>
      </c>
      <c r="C86" s="812" t="s">
        <v>616</v>
      </c>
      <c r="D86" s="812"/>
      <c r="E86" s="334">
        <v>0</v>
      </c>
      <c r="G86" s="419"/>
      <c r="I86" s="334">
        <v>20</v>
      </c>
      <c r="J86" s="435">
        <v>20</v>
      </c>
      <c r="K86" s="384">
        <f t="shared" si="7"/>
        <v>0</v>
      </c>
      <c r="L86" s="384">
        <f t="shared" si="8"/>
        <v>0</v>
      </c>
      <c r="M86" s="384">
        <f t="shared" si="9"/>
        <v>100</v>
      </c>
      <c r="N86" s="384">
        <f t="shared" si="6"/>
        <v>100</v>
      </c>
      <c r="O86" s="383"/>
      <c r="P86" s="384"/>
      <c r="Q86" s="384">
        <v>37.5</v>
      </c>
      <c r="R86" s="385">
        <f t="shared" si="10"/>
        <v>37.5</v>
      </c>
      <c r="S86" s="334">
        <v>4</v>
      </c>
      <c r="T86" s="357"/>
      <c r="V86" s="343" t="s">
        <v>482</v>
      </c>
      <c r="W86" s="334" t="s">
        <v>20</v>
      </c>
      <c r="X86" s="334" t="s">
        <v>12</v>
      </c>
      <c r="Y86" s="344">
        <v>37.5</v>
      </c>
      <c r="AD86" s="343"/>
      <c r="AG86" s="344"/>
      <c r="AL86" s="343"/>
      <c r="AO86" s="344"/>
      <c r="AP86" s="343"/>
      <c r="AS86" s="344"/>
      <c r="AW86" s="344"/>
      <c r="BA86" s="345"/>
    </row>
    <row r="87" spans="1:53" s="334" customFormat="1" x14ac:dyDescent="0.15">
      <c r="A87" s="334">
        <v>1999</v>
      </c>
      <c r="C87" s="812" t="s">
        <v>616</v>
      </c>
      <c r="D87" s="812"/>
      <c r="E87" s="334">
        <f>365-E86</f>
        <v>365</v>
      </c>
      <c r="G87" s="419"/>
      <c r="I87" s="334">
        <v>20</v>
      </c>
      <c r="J87" s="435">
        <v>20</v>
      </c>
      <c r="K87" s="384">
        <f t="shared" si="7"/>
        <v>0</v>
      </c>
      <c r="L87" s="384">
        <f t="shared" si="8"/>
        <v>0</v>
      </c>
      <c r="M87" s="384">
        <f t="shared" si="9"/>
        <v>100</v>
      </c>
      <c r="N87" s="384">
        <f t="shared" si="6"/>
        <v>100</v>
      </c>
      <c r="O87" s="383"/>
      <c r="P87" s="384"/>
      <c r="Q87" s="384">
        <v>37.5</v>
      </c>
      <c r="R87" s="385">
        <f t="shared" si="10"/>
        <v>37.5</v>
      </c>
      <c r="S87" s="334">
        <v>4</v>
      </c>
      <c r="T87" s="357"/>
      <c r="V87" s="343" t="s">
        <v>482</v>
      </c>
      <c r="W87" s="334" t="s">
        <v>20</v>
      </c>
      <c r="X87" s="334" t="s">
        <v>12</v>
      </c>
      <c r="Y87" s="344">
        <v>37.5</v>
      </c>
      <c r="AD87" s="343"/>
      <c r="AG87" s="344"/>
      <c r="AL87" s="343"/>
      <c r="AO87" s="344"/>
      <c r="AP87" s="343"/>
      <c r="AS87" s="344"/>
      <c r="AW87" s="344"/>
      <c r="BA87" s="345"/>
    </row>
    <row r="88" spans="1:53" s="334" customFormat="1" x14ac:dyDescent="0.15">
      <c r="A88" s="334">
        <v>2000</v>
      </c>
      <c r="C88" s="812" t="s">
        <v>616</v>
      </c>
      <c r="D88" s="812"/>
      <c r="E88" s="334">
        <v>0</v>
      </c>
      <c r="G88" s="419"/>
      <c r="I88" s="334">
        <v>20</v>
      </c>
      <c r="J88" s="435">
        <v>20</v>
      </c>
      <c r="K88" s="384">
        <f t="shared" si="7"/>
        <v>0</v>
      </c>
      <c r="L88" s="384">
        <f t="shared" si="8"/>
        <v>0</v>
      </c>
      <c r="M88" s="384">
        <f t="shared" si="9"/>
        <v>100</v>
      </c>
      <c r="N88" s="384">
        <f t="shared" si="6"/>
        <v>100</v>
      </c>
      <c r="O88" s="383"/>
      <c r="P88" s="384"/>
      <c r="Q88" s="384">
        <v>37.5</v>
      </c>
      <c r="R88" s="385">
        <f t="shared" si="10"/>
        <v>37.5</v>
      </c>
      <c r="S88" s="334">
        <v>4</v>
      </c>
      <c r="T88" s="357"/>
      <c r="V88" s="343" t="s">
        <v>482</v>
      </c>
      <c r="W88" s="334" t="s">
        <v>20</v>
      </c>
      <c r="X88" s="334" t="s">
        <v>12</v>
      </c>
      <c r="Y88" s="344">
        <v>37.5</v>
      </c>
      <c r="AD88" s="343"/>
      <c r="AG88" s="344"/>
      <c r="AL88" s="343"/>
      <c r="AO88" s="344"/>
      <c r="AP88" s="343"/>
      <c r="AS88" s="344"/>
      <c r="AW88" s="344"/>
      <c r="BA88" s="345"/>
    </row>
    <row r="89" spans="1:53" s="334" customFormat="1" x14ac:dyDescent="0.15">
      <c r="A89" s="334">
        <v>2000</v>
      </c>
      <c r="C89" s="812" t="s">
        <v>616</v>
      </c>
      <c r="D89" s="812"/>
      <c r="E89" s="334">
        <v>366</v>
      </c>
      <c r="G89" s="419"/>
      <c r="I89" s="334">
        <v>20</v>
      </c>
      <c r="J89" s="435">
        <v>20</v>
      </c>
      <c r="K89" s="384">
        <f t="shared" si="7"/>
        <v>0</v>
      </c>
      <c r="L89" s="384">
        <f t="shared" si="8"/>
        <v>0</v>
      </c>
      <c r="M89" s="384">
        <f t="shared" si="9"/>
        <v>100</v>
      </c>
      <c r="N89" s="384">
        <f t="shared" si="6"/>
        <v>100</v>
      </c>
      <c r="O89" s="383"/>
      <c r="P89" s="384"/>
      <c r="Q89" s="384">
        <v>37.5</v>
      </c>
      <c r="R89" s="385">
        <f t="shared" si="10"/>
        <v>37.5</v>
      </c>
      <c r="S89" s="334">
        <v>4</v>
      </c>
      <c r="T89" s="357"/>
      <c r="V89" s="343" t="s">
        <v>482</v>
      </c>
      <c r="W89" s="334" t="s">
        <v>20</v>
      </c>
      <c r="X89" s="334" t="s">
        <v>12</v>
      </c>
      <c r="Y89" s="344">
        <v>37.5</v>
      </c>
      <c r="AD89" s="343"/>
      <c r="AG89" s="344"/>
      <c r="AL89" s="343"/>
      <c r="AO89" s="344"/>
      <c r="AP89" s="343"/>
      <c r="AS89" s="344"/>
      <c r="AW89" s="344"/>
      <c r="BA89" s="345"/>
    </row>
    <row r="90" spans="1:53" s="334" customFormat="1" x14ac:dyDescent="0.15">
      <c r="A90" s="334">
        <v>2001</v>
      </c>
      <c r="C90" s="812" t="s">
        <v>616</v>
      </c>
      <c r="D90" s="812"/>
      <c r="E90" s="334">
        <v>0</v>
      </c>
      <c r="G90" s="419"/>
      <c r="I90" s="334">
        <v>20</v>
      </c>
      <c r="J90" s="435">
        <v>20</v>
      </c>
      <c r="K90" s="384">
        <f t="shared" si="7"/>
        <v>0</v>
      </c>
      <c r="L90" s="384">
        <f t="shared" si="8"/>
        <v>0</v>
      </c>
      <c r="M90" s="384">
        <f t="shared" si="9"/>
        <v>100</v>
      </c>
      <c r="N90" s="384">
        <f t="shared" si="6"/>
        <v>100</v>
      </c>
      <c r="O90" s="383"/>
      <c r="P90" s="384"/>
      <c r="Q90" s="384">
        <v>37.5</v>
      </c>
      <c r="R90" s="385">
        <f t="shared" si="10"/>
        <v>37.5</v>
      </c>
      <c r="S90" s="334">
        <v>4</v>
      </c>
      <c r="T90" s="357"/>
      <c r="V90" s="343" t="s">
        <v>482</v>
      </c>
      <c r="W90" s="334" t="s">
        <v>20</v>
      </c>
      <c r="X90" s="334" t="s">
        <v>12</v>
      </c>
      <c r="Y90" s="344">
        <v>37.5</v>
      </c>
      <c r="AD90" s="343"/>
      <c r="AG90" s="344"/>
      <c r="AL90" s="343"/>
      <c r="AO90" s="344"/>
      <c r="AP90" s="343"/>
      <c r="AS90" s="344"/>
      <c r="AW90" s="344"/>
      <c r="BA90" s="345"/>
    </row>
    <row r="91" spans="1:53" s="334" customFormat="1" x14ac:dyDescent="0.15">
      <c r="A91" s="334">
        <v>2001</v>
      </c>
      <c r="C91" s="812" t="s">
        <v>616</v>
      </c>
      <c r="D91" s="812"/>
      <c r="E91" s="334">
        <f>365-E90</f>
        <v>365</v>
      </c>
      <c r="G91" s="419"/>
      <c r="I91" s="334">
        <v>20</v>
      </c>
      <c r="J91" s="435">
        <v>20</v>
      </c>
      <c r="K91" s="384">
        <f t="shared" si="7"/>
        <v>0</v>
      </c>
      <c r="L91" s="384">
        <f t="shared" si="8"/>
        <v>0</v>
      </c>
      <c r="M91" s="384">
        <f t="shared" si="9"/>
        <v>100</v>
      </c>
      <c r="N91" s="384">
        <f t="shared" si="6"/>
        <v>100</v>
      </c>
      <c r="O91" s="383"/>
      <c r="P91" s="384"/>
      <c r="Q91" s="384">
        <v>37.5</v>
      </c>
      <c r="R91" s="385">
        <f t="shared" si="10"/>
        <v>37.5</v>
      </c>
      <c r="S91" s="334">
        <v>4</v>
      </c>
      <c r="T91" s="357"/>
      <c r="V91" s="343" t="s">
        <v>482</v>
      </c>
      <c r="W91" s="334" t="s">
        <v>20</v>
      </c>
      <c r="X91" s="334" t="s">
        <v>12</v>
      </c>
      <c r="Y91" s="344">
        <v>37.5</v>
      </c>
      <c r="AD91" s="343"/>
      <c r="AG91" s="344"/>
      <c r="AL91" s="343"/>
      <c r="AO91" s="344"/>
      <c r="AP91" s="343"/>
      <c r="AS91" s="344"/>
      <c r="AW91" s="344"/>
      <c r="BA91" s="345"/>
    </row>
    <row r="92" spans="1:53" s="334" customFormat="1" x14ac:dyDescent="0.15">
      <c r="A92" s="334">
        <v>2002</v>
      </c>
      <c r="C92" s="812" t="s">
        <v>616</v>
      </c>
      <c r="D92" s="812"/>
      <c r="E92" s="334">
        <v>274</v>
      </c>
      <c r="G92" s="419"/>
      <c r="I92" s="334">
        <v>20</v>
      </c>
      <c r="J92" s="435">
        <v>20</v>
      </c>
      <c r="K92" s="384">
        <f t="shared" si="7"/>
        <v>0</v>
      </c>
      <c r="L92" s="384">
        <f t="shared" si="8"/>
        <v>0</v>
      </c>
      <c r="M92" s="384">
        <f t="shared" si="9"/>
        <v>100</v>
      </c>
      <c r="N92" s="384">
        <f t="shared" si="6"/>
        <v>100</v>
      </c>
      <c r="O92" s="383"/>
      <c r="P92" s="384"/>
      <c r="Q92" s="384">
        <v>37.5</v>
      </c>
      <c r="R92" s="385">
        <f t="shared" si="10"/>
        <v>37.5</v>
      </c>
      <c r="S92" s="334">
        <v>4</v>
      </c>
      <c r="T92" s="357"/>
      <c r="V92" s="343" t="s">
        <v>482</v>
      </c>
      <c r="W92" s="334" t="s">
        <v>20</v>
      </c>
      <c r="X92" s="334" t="s">
        <v>12</v>
      </c>
      <c r="Y92" s="344">
        <v>37.5</v>
      </c>
      <c r="AD92" s="343"/>
      <c r="AG92" s="344"/>
      <c r="AL92" s="343"/>
      <c r="AO92" s="344"/>
      <c r="AP92" s="343"/>
      <c r="AS92" s="344"/>
      <c r="AW92" s="344"/>
      <c r="BA92" s="345"/>
    </row>
    <row r="93" spans="1:53" s="208" customFormat="1" x14ac:dyDescent="0.15">
      <c r="A93" s="208">
        <v>2002</v>
      </c>
      <c r="B93" s="207">
        <v>37531</v>
      </c>
      <c r="C93" s="811" t="s">
        <v>617</v>
      </c>
      <c r="D93" s="811"/>
      <c r="E93" s="208">
        <f>365-E92</f>
        <v>91</v>
      </c>
      <c r="F93" s="208">
        <v>1</v>
      </c>
      <c r="G93" s="123"/>
      <c r="I93" s="208">
        <v>22</v>
      </c>
      <c r="J93" s="134">
        <v>22</v>
      </c>
      <c r="K93" s="92">
        <f t="shared" si="7"/>
        <v>0</v>
      </c>
      <c r="L93" s="92">
        <f t="shared" si="8"/>
        <v>0</v>
      </c>
      <c r="M93" s="92">
        <f t="shared" si="9"/>
        <v>100</v>
      </c>
      <c r="N93" s="92">
        <f t="shared" si="6"/>
        <v>100</v>
      </c>
      <c r="O93" s="91"/>
      <c r="P93" s="92"/>
      <c r="Q93" s="92">
        <v>41.3</v>
      </c>
      <c r="R93" s="93">
        <f t="shared" si="10"/>
        <v>41.3</v>
      </c>
      <c r="S93" s="208">
        <v>4</v>
      </c>
      <c r="T93" s="95">
        <v>37514</v>
      </c>
      <c r="U93" s="207">
        <v>37531</v>
      </c>
      <c r="V93" s="82" t="s">
        <v>482</v>
      </c>
      <c r="W93" s="208" t="s">
        <v>20</v>
      </c>
      <c r="X93" s="208" t="s">
        <v>12</v>
      </c>
      <c r="Y93" s="83">
        <v>41.3</v>
      </c>
      <c r="AD93" s="82"/>
      <c r="AG93" s="83"/>
      <c r="AL93" s="82"/>
      <c r="AO93" s="83"/>
      <c r="AP93" s="82"/>
      <c r="AS93" s="83"/>
      <c r="AW93" s="83"/>
      <c r="BA93" s="84"/>
    </row>
    <row r="94" spans="1:53" s="208" customFormat="1" x14ac:dyDescent="0.15">
      <c r="A94" s="208">
        <v>2003</v>
      </c>
      <c r="C94" s="811" t="s">
        <v>617</v>
      </c>
      <c r="D94" s="811"/>
      <c r="E94" s="208">
        <v>0</v>
      </c>
      <c r="G94" s="123"/>
      <c r="I94" s="208">
        <v>22</v>
      </c>
      <c r="J94" s="134">
        <v>22</v>
      </c>
      <c r="K94" s="92">
        <f t="shared" si="7"/>
        <v>0</v>
      </c>
      <c r="L94" s="92">
        <f t="shared" si="8"/>
        <v>0</v>
      </c>
      <c r="M94" s="92">
        <f t="shared" si="9"/>
        <v>100</v>
      </c>
      <c r="N94" s="92">
        <f t="shared" si="6"/>
        <v>100</v>
      </c>
      <c r="O94" s="91"/>
      <c r="P94" s="92"/>
      <c r="Q94" s="92">
        <v>41.3</v>
      </c>
      <c r="R94" s="93">
        <f t="shared" si="10"/>
        <v>41.3</v>
      </c>
      <c r="S94" s="208">
        <v>4</v>
      </c>
      <c r="T94" s="81"/>
      <c r="V94" s="82" t="s">
        <v>482</v>
      </c>
      <c r="W94" s="208" t="s">
        <v>20</v>
      </c>
      <c r="X94" s="208" t="s">
        <v>12</v>
      </c>
      <c r="Y94" s="83">
        <v>41.3</v>
      </c>
      <c r="AD94" s="82"/>
      <c r="AG94" s="83"/>
      <c r="AL94" s="82"/>
      <c r="AO94" s="83"/>
      <c r="AP94" s="82"/>
      <c r="AS94" s="83"/>
      <c r="AW94" s="83"/>
      <c r="BA94" s="84"/>
    </row>
    <row r="95" spans="1:53" s="208" customFormat="1" x14ac:dyDescent="0.15">
      <c r="A95" s="208">
        <v>2003</v>
      </c>
      <c r="C95" s="811" t="s">
        <v>617</v>
      </c>
      <c r="D95" s="811"/>
      <c r="E95" s="208">
        <f>365-E94</f>
        <v>365</v>
      </c>
      <c r="G95" s="123"/>
      <c r="I95" s="208">
        <v>22</v>
      </c>
      <c r="J95" s="134">
        <v>22</v>
      </c>
      <c r="K95" s="92">
        <f t="shared" si="7"/>
        <v>0</v>
      </c>
      <c r="L95" s="92">
        <f t="shared" si="8"/>
        <v>0</v>
      </c>
      <c r="M95" s="92">
        <f t="shared" si="9"/>
        <v>100</v>
      </c>
      <c r="N95" s="92">
        <f t="shared" si="6"/>
        <v>100</v>
      </c>
      <c r="O95" s="91"/>
      <c r="P95" s="92"/>
      <c r="Q95" s="92">
        <v>41.3</v>
      </c>
      <c r="R95" s="93">
        <f t="shared" si="10"/>
        <v>41.3</v>
      </c>
      <c r="S95" s="208">
        <v>4</v>
      </c>
      <c r="T95" s="81"/>
      <c r="V95" s="82" t="s">
        <v>482</v>
      </c>
      <c r="W95" s="208" t="s">
        <v>20</v>
      </c>
      <c r="X95" s="208" t="s">
        <v>12</v>
      </c>
      <c r="Y95" s="83">
        <v>41.3</v>
      </c>
      <c r="AD95" s="82"/>
      <c r="AG95" s="83"/>
      <c r="AL95" s="82"/>
      <c r="AO95" s="83"/>
      <c r="AP95" s="82"/>
      <c r="AS95" s="83"/>
      <c r="AW95" s="83"/>
      <c r="BA95" s="84"/>
    </row>
    <row r="96" spans="1:53" s="208" customFormat="1" x14ac:dyDescent="0.15">
      <c r="A96" s="208">
        <v>2004</v>
      </c>
      <c r="C96" s="811" t="s">
        <v>617</v>
      </c>
      <c r="D96" s="811"/>
      <c r="E96" s="208">
        <v>0</v>
      </c>
      <c r="G96" s="123"/>
      <c r="I96" s="208">
        <v>22</v>
      </c>
      <c r="J96" s="134">
        <v>22</v>
      </c>
      <c r="K96" s="92">
        <f t="shared" si="7"/>
        <v>0</v>
      </c>
      <c r="L96" s="92">
        <f t="shared" si="8"/>
        <v>0</v>
      </c>
      <c r="M96" s="92">
        <f t="shared" si="9"/>
        <v>100</v>
      </c>
      <c r="N96" s="92">
        <f t="shared" si="6"/>
        <v>100</v>
      </c>
      <c r="O96" s="91"/>
      <c r="P96" s="92"/>
      <c r="Q96" s="92">
        <v>41.3</v>
      </c>
      <c r="R96" s="93">
        <f t="shared" si="10"/>
        <v>41.3</v>
      </c>
      <c r="S96" s="208">
        <v>4</v>
      </c>
      <c r="T96" s="81"/>
      <c r="V96" s="82" t="s">
        <v>482</v>
      </c>
      <c r="W96" s="208" t="s">
        <v>20</v>
      </c>
      <c r="X96" s="208" t="s">
        <v>12</v>
      </c>
      <c r="Y96" s="83">
        <v>41.3</v>
      </c>
      <c r="AD96" s="82"/>
      <c r="AG96" s="83"/>
      <c r="AL96" s="82"/>
      <c r="AO96" s="83"/>
      <c r="AP96" s="82"/>
      <c r="AS96" s="83"/>
      <c r="AW96" s="83"/>
      <c r="BA96" s="84"/>
    </row>
    <row r="97" spans="1:53" s="208" customFormat="1" x14ac:dyDescent="0.15">
      <c r="A97" s="208">
        <v>2004</v>
      </c>
      <c r="C97" s="811" t="s">
        <v>617</v>
      </c>
      <c r="D97" s="811"/>
      <c r="E97" s="208">
        <v>366</v>
      </c>
      <c r="G97" s="123"/>
      <c r="I97" s="208">
        <v>22</v>
      </c>
      <c r="J97" s="134">
        <v>22</v>
      </c>
      <c r="K97" s="92">
        <f t="shared" si="7"/>
        <v>0</v>
      </c>
      <c r="L97" s="92">
        <f t="shared" si="8"/>
        <v>0</v>
      </c>
      <c r="M97" s="92">
        <f t="shared" si="9"/>
        <v>100</v>
      </c>
      <c r="N97" s="92">
        <f t="shared" si="6"/>
        <v>100</v>
      </c>
      <c r="O97" s="91"/>
      <c r="P97" s="92"/>
      <c r="Q97" s="92">
        <v>41.3</v>
      </c>
      <c r="R97" s="93">
        <f t="shared" si="10"/>
        <v>41.3</v>
      </c>
      <c r="S97" s="208">
        <v>4</v>
      </c>
      <c r="T97" s="81"/>
      <c r="V97" s="82" t="s">
        <v>482</v>
      </c>
      <c r="W97" s="208" t="s">
        <v>20</v>
      </c>
      <c r="X97" s="208" t="s">
        <v>12</v>
      </c>
      <c r="Y97" s="83">
        <v>41.3</v>
      </c>
      <c r="AD97" s="82"/>
      <c r="AG97" s="83"/>
      <c r="AL97" s="82"/>
      <c r="AO97" s="83"/>
      <c r="AP97" s="82"/>
      <c r="AS97" s="83"/>
      <c r="AW97" s="83"/>
      <c r="BA97" s="84"/>
    </row>
    <row r="98" spans="1:53" s="208" customFormat="1" x14ac:dyDescent="0.15">
      <c r="A98" s="208">
        <v>2005</v>
      </c>
      <c r="C98" s="811" t="s">
        <v>617</v>
      </c>
      <c r="D98" s="811"/>
      <c r="E98" s="208">
        <v>0</v>
      </c>
      <c r="G98" s="123"/>
      <c r="I98" s="208">
        <v>22</v>
      </c>
      <c r="J98" s="134">
        <v>22</v>
      </c>
      <c r="K98" s="92">
        <f t="shared" si="7"/>
        <v>0</v>
      </c>
      <c r="L98" s="92">
        <f t="shared" si="8"/>
        <v>0</v>
      </c>
      <c r="M98" s="92">
        <f t="shared" si="9"/>
        <v>100</v>
      </c>
      <c r="N98" s="92">
        <f t="shared" si="6"/>
        <v>100</v>
      </c>
      <c r="O98" s="91"/>
      <c r="P98" s="92"/>
      <c r="Q98" s="92">
        <v>41.3</v>
      </c>
      <c r="R98" s="93">
        <f t="shared" si="10"/>
        <v>41.3</v>
      </c>
      <c r="S98" s="208">
        <v>4</v>
      </c>
      <c r="T98" s="81"/>
      <c r="V98" s="82" t="s">
        <v>482</v>
      </c>
      <c r="W98" s="208" t="s">
        <v>20</v>
      </c>
      <c r="X98" s="208" t="s">
        <v>12</v>
      </c>
      <c r="Y98" s="83">
        <v>41.3</v>
      </c>
      <c r="AD98" s="82"/>
      <c r="AG98" s="83"/>
      <c r="AL98" s="82"/>
      <c r="AO98" s="83"/>
      <c r="AP98" s="82"/>
      <c r="AS98" s="83"/>
      <c r="AW98" s="83"/>
      <c r="BA98" s="84"/>
    </row>
    <row r="99" spans="1:53" s="208" customFormat="1" x14ac:dyDescent="0.15">
      <c r="A99" s="208">
        <v>2005</v>
      </c>
      <c r="C99" s="811" t="s">
        <v>617</v>
      </c>
      <c r="D99" s="811"/>
      <c r="E99" s="208">
        <f>365-E98</f>
        <v>365</v>
      </c>
      <c r="G99" s="123"/>
      <c r="I99" s="208">
        <v>22</v>
      </c>
      <c r="J99" s="134">
        <v>22</v>
      </c>
      <c r="K99" s="92">
        <f t="shared" si="7"/>
        <v>0</v>
      </c>
      <c r="L99" s="92">
        <f t="shared" si="8"/>
        <v>0</v>
      </c>
      <c r="M99" s="92">
        <f t="shared" si="9"/>
        <v>100</v>
      </c>
      <c r="N99" s="92">
        <f t="shared" si="6"/>
        <v>100</v>
      </c>
      <c r="O99" s="91"/>
      <c r="P99" s="92"/>
      <c r="Q99" s="92">
        <v>41.3</v>
      </c>
      <c r="R99" s="93">
        <f t="shared" si="10"/>
        <v>41.3</v>
      </c>
      <c r="S99" s="208">
        <v>4</v>
      </c>
      <c r="T99" s="81"/>
      <c r="V99" s="82" t="s">
        <v>482</v>
      </c>
      <c r="W99" s="208" t="s">
        <v>20</v>
      </c>
      <c r="X99" s="208" t="s">
        <v>12</v>
      </c>
      <c r="Y99" s="83">
        <v>41.3</v>
      </c>
      <c r="AD99" s="82"/>
      <c r="AG99" s="83"/>
      <c r="AL99" s="82"/>
      <c r="AO99" s="83"/>
      <c r="AP99" s="82"/>
      <c r="AS99" s="83"/>
      <c r="AW99" s="83"/>
      <c r="BA99" s="84"/>
    </row>
    <row r="100" spans="1:53" s="208" customFormat="1" x14ac:dyDescent="0.15">
      <c r="A100" s="208">
        <v>2006</v>
      </c>
      <c r="C100" s="811" t="s">
        <v>617</v>
      </c>
      <c r="D100" s="811"/>
      <c r="E100" s="208">
        <v>277</v>
      </c>
      <c r="G100" s="123"/>
      <c r="I100" s="208">
        <v>22</v>
      </c>
      <c r="J100" s="134">
        <v>22</v>
      </c>
      <c r="K100" s="92">
        <f t="shared" si="7"/>
        <v>0</v>
      </c>
      <c r="L100" s="92">
        <f t="shared" si="8"/>
        <v>0</v>
      </c>
      <c r="M100" s="92">
        <f t="shared" si="9"/>
        <v>100</v>
      </c>
      <c r="N100" s="92">
        <f t="shared" si="6"/>
        <v>100</v>
      </c>
      <c r="O100" s="91"/>
      <c r="P100" s="92"/>
      <c r="Q100" s="92">
        <v>41.3</v>
      </c>
      <c r="R100" s="93">
        <f t="shared" si="10"/>
        <v>41.3</v>
      </c>
      <c r="S100" s="208">
        <v>4</v>
      </c>
      <c r="T100" s="81"/>
      <c r="V100" s="82" t="s">
        <v>482</v>
      </c>
      <c r="W100" s="208" t="s">
        <v>20</v>
      </c>
      <c r="X100" s="208" t="s">
        <v>12</v>
      </c>
      <c r="Y100" s="83">
        <v>41.3</v>
      </c>
      <c r="AD100" s="82"/>
      <c r="AG100" s="83"/>
      <c r="AL100" s="82"/>
      <c r="AO100" s="83"/>
      <c r="AP100" s="82"/>
      <c r="AS100" s="83"/>
      <c r="AW100" s="83"/>
      <c r="BA100" s="84"/>
    </row>
    <row r="101" spans="1:53" s="334" customFormat="1" x14ac:dyDescent="0.15">
      <c r="A101" s="334">
        <v>2006</v>
      </c>
      <c r="B101" s="355">
        <v>38995</v>
      </c>
      <c r="C101" s="812" t="s">
        <v>618</v>
      </c>
      <c r="D101" s="812"/>
      <c r="E101" s="334">
        <f>365-E100</f>
        <v>88</v>
      </c>
      <c r="F101" s="334">
        <v>1</v>
      </c>
      <c r="G101" s="419">
        <v>15</v>
      </c>
      <c r="H101" s="334">
        <v>7</v>
      </c>
      <c r="J101" s="435">
        <v>22</v>
      </c>
      <c r="K101" s="384">
        <f t="shared" si="7"/>
        <v>68.181818181818173</v>
      </c>
      <c r="L101" s="384">
        <f t="shared" si="8"/>
        <v>31.818181818181817</v>
      </c>
      <c r="M101" s="384">
        <f t="shared" si="9"/>
        <v>0</v>
      </c>
      <c r="N101" s="384">
        <f t="shared" si="6"/>
        <v>99.999999999999986</v>
      </c>
      <c r="O101" s="383">
        <v>35.799999999999997</v>
      </c>
      <c r="P101" s="384">
        <v>15.2</v>
      </c>
      <c r="Q101" s="384"/>
      <c r="R101" s="385">
        <f t="shared" si="10"/>
        <v>51</v>
      </c>
      <c r="S101" s="334">
        <v>2</v>
      </c>
      <c r="T101" s="342">
        <v>38977</v>
      </c>
      <c r="U101" s="355">
        <v>38995</v>
      </c>
      <c r="V101" s="343" t="s">
        <v>485</v>
      </c>
      <c r="W101" s="334" t="s">
        <v>74</v>
      </c>
      <c r="X101" s="334" t="s">
        <v>11</v>
      </c>
      <c r="Y101" s="344">
        <v>27.8</v>
      </c>
      <c r="Z101" s="343" t="s">
        <v>483</v>
      </c>
      <c r="AA101" s="334" t="s">
        <v>75</v>
      </c>
      <c r="AB101" s="334" t="s">
        <v>18</v>
      </c>
      <c r="AC101" s="334">
        <v>8.3000000000000007</v>
      </c>
      <c r="AD101" s="343" t="s">
        <v>484</v>
      </c>
      <c r="AE101" s="334" t="s">
        <v>22</v>
      </c>
      <c r="AF101" s="334" t="s">
        <v>11</v>
      </c>
      <c r="AG101" s="344">
        <v>8</v>
      </c>
      <c r="AH101" s="343" t="s">
        <v>486</v>
      </c>
      <c r="AI101" s="334" t="s">
        <v>17</v>
      </c>
      <c r="AJ101" s="334" t="s">
        <v>18</v>
      </c>
      <c r="AK101" s="334">
        <v>6.9</v>
      </c>
      <c r="AL101" s="343"/>
      <c r="AO101" s="344"/>
      <c r="AP101" s="343"/>
      <c r="AS101" s="344"/>
      <c r="AW101" s="344"/>
      <c r="BA101" s="345"/>
    </row>
    <row r="102" spans="1:53" s="334" customFormat="1" x14ac:dyDescent="0.15">
      <c r="A102" s="334">
        <v>2007</v>
      </c>
      <c r="C102" s="812" t="s">
        <v>618</v>
      </c>
      <c r="D102" s="812"/>
      <c r="E102" s="334">
        <v>0</v>
      </c>
      <c r="G102" s="419">
        <v>15</v>
      </c>
      <c r="H102" s="334">
        <v>7</v>
      </c>
      <c r="J102" s="435">
        <v>22</v>
      </c>
      <c r="K102" s="384">
        <f t="shared" si="7"/>
        <v>68.181818181818173</v>
      </c>
      <c r="L102" s="384">
        <f t="shared" si="8"/>
        <v>31.818181818181817</v>
      </c>
      <c r="M102" s="384">
        <f t="shared" si="9"/>
        <v>0</v>
      </c>
      <c r="N102" s="384">
        <f t="shared" si="6"/>
        <v>99.999999999999986</v>
      </c>
      <c r="O102" s="383">
        <v>35.799999999999997</v>
      </c>
      <c r="P102" s="384">
        <v>15.2</v>
      </c>
      <c r="Q102" s="384"/>
      <c r="R102" s="385">
        <f t="shared" si="10"/>
        <v>51</v>
      </c>
      <c r="S102" s="334">
        <v>2</v>
      </c>
      <c r="T102" s="357"/>
      <c r="V102" s="343" t="s">
        <v>485</v>
      </c>
      <c r="W102" s="334" t="s">
        <v>74</v>
      </c>
      <c r="X102" s="334" t="s">
        <v>11</v>
      </c>
      <c r="Y102" s="344">
        <v>27.8</v>
      </c>
      <c r="Z102" s="343" t="s">
        <v>483</v>
      </c>
      <c r="AA102" s="334" t="s">
        <v>75</v>
      </c>
      <c r="AB102" s="334" t="s">
        <v>18</v>
      </c>
      <c r="AC102" s="334">
        <v>8.3000000000000007</v>
      </c>
      <c r="AD102" s="343" t="s">
        <v>484</v>
      </c>
      <c r="AE102" s="334" t="s">
        <v>22</v>
      </c>
      <c r="AF102" s="334" t="s">
        <v>11</v>
      </c>
      <c r="AG102" s="344">
        <v>8</v>
      </c>
      <c r="AH102" s="343" t="s">
        <v>486</v>
      </c>
      <c r="AI102" s="334" t="s">
        <v>17</v>
      </c>
      <c r="AJ102" s="334" t="s">
        <v>18</v>
      </c>
      <c r="AK102" s="334">
        <v>6.9</v>
      </c>
      <c r="AL102" s="343"/>
      <c r="AO102" s="344"/>
      <c r="AP102" s="343"/>
      <c r="AS102" s="344"/>
      <c r="AW102" s="344"/>
      <c r="BA102" s="345"/>
    </row>
    <row r="103" spans="1:53" s="334" customFormat="1" x14ac:dyDescent="0.15">
      <c r="A103" s="334">
        <v>2007</v>
      </c>
      <c r="C103" s="812" t="s">
        <v>618</v>
      </c>
      <c r="D103" s="812"/>
      <c r="E103" s="334">
        <v>365</v>
      </c>
      <c r="G103" s="419">
        <v>15</v>
      </c>
      <c r="H103" s="334">
        <v>7</v>
      </c>
      <c r="J103" s="435">
        <v>22</v>
      </c>
      <c r="K103" s="384">
        <f t="shared" si="7"/>
        <v>68.181818181818173</v>
      </c>
      <c r="L103" s="384">
        <f t="shared" si="8"/>
        <v>31.818181818181817</v>
      </c>
      <c r="M103" s="384">
        <f t="shared" si="9"/>
        <v>0</v>
      </c>
      <c r="N103" s="384">
        <f t="shared" si="6"/>
        <v>99.999999999999986</v>
      </c>
      <c r="O103" s="383">
        <v>35.799999999999997</v>
      </c>
      <c r="P103" s="384">
        <v>15.2</v>
      </c>
      <c r="Q103" s="384"/>
      <c r="R103" s="385">
        <f t="shared" si="10"/>
        <v>51</v>
      </c>
      <c r="S103" s="334">
        <v>2</v>
      </c>
      <c r="T103" s="357"/>
      <c r="V103" s="343" t="s">
        <v>485</v>
      </c>
      <c r="W103" s="334" t="s">
        <v>74</v>
      </c>
      <c r="X103" s="334" t="s">
        <v>11</v>
      </c>
      <c r="Y103" s="344">
        <v>27.8</v>
      </c>
      <c r="Z103" s="343" t="s">
        <v>483</v>
      </c>
      <c r="AA103" s="334" t="s">
        <v>75</v>
      </c>
      <c r="AB103" s="334" t="s">
        <v>18</v>
      </c>
      <c r="AC103" s="334">
        <v>8.3000000000000007</v>
      </c>
      <c r="AD103" s="343" t="s">
        <v>484</v>
      </c>
      <c r="AE103" s="334" t="s">
        <v>22</v>
      </c>
      <c r="AF103" s="334" t="s">
        <v>11</v>
      </c>
      <c r="AG103" s="344">
        <v>8</v>
      </c>
      <c r="AH103" s="343" t="s">
        <v>486</v>
      </c>
      <c r="AI103" s="334" t="s">
        <v>17</v>
      </c>
      <c r="AJ103" s="334" t="s">
        <v>18</v>
      </c>
      <c r="AK103" s="334">
        <v>6.9</v>
      </c>
      <c r="AL103" s="343"/>
      <c r="AO103" s="344"/>
      <c r="AP103" s="343"/>
      <c r="AS103" s="344"/>
      <c r="AW103" s="344"/>
      <c r="BA103" s="345"/>
    </row>
    <row r="104" spans="1:53" s="334" customFormat="1" x14ac:dyDescent="0.15">
      <c r="A104" s="334">
        <v>2008</v>
      </c>
      <c r="C104" s="812" t="s">
        <v>618</v>
      </c>
      <c r="D104" s="812"/>
      <c r="E104" s="334">
        <v>0</v>
      </c>
      <c r="G104" s="419">
        <v>15</v>
      </c>
      <c r="H104" s="334">
        <v>7</v>
      </c>
      <c r="J104" s="435">
        <v>22</v>
      </c>
      <c r="K104" s="384">
        <f t="shared" si="7"/>
        <v>68.181818181818173</v>
      </c>
      <c r="L104" s="384">
        <f t="shared" si="8"/>
        <v>31.818181818181817</v>
      </c>
      <c r="M104" s="384">
        <f t="shared" si="9"/>
        <v>0</v>
      </c>
      <c r="N104" s="384">
        <f t="shared" si="6"/>
        <v>99.999999999999986</v>
      </c>
      <c r="O104" s="383">
        <v>35.799999999999997</v>
      </c>
      <c r="P104" s="384">
        <v>15.2</v>
      </c>
      <c r="Q104" s="384"/>
      <c r="R104" s="385">
        <f t="shared" si="10"/>
        <v>51</v>
      </c>
      <c r="S104" s="334">
        <v>2</v>
      </c>
      <c r="T104" s="357"/>
      <c r="V104" s="343" t="s">
        <v>485</v>
      </c>
      <c r="W104" s="334" t="s">
        <v>74</v>
      </c>
      <c r="X104" s="334" t="s">
        <v>11</v>
      </c>
      <c r="Y104" s="344">
        <v>27.8</v>
      </c>
      <c r="Z104" s="343" t="s">
        <v>483</v>
      </c>
      <c r="AA104" s="334" t="s">
        <v>75</v>
      </c>
      <c r="AB104" s="334" t="s">
        <v>18</v>
      </c>
      <c r="AC104" s="334">
        <v>8.3000000000000007</v>
      </c>
      <c r="AD104" s="343" t="s">
        <v>484</v>
      </c>
      <c r="AE104" s="334" t="s">
        <v>22</v>
      </c>
      <c r="AF104" s="334" t="s">
        <v>11</v>
      </c>
      <c r="AG104" s="344">
        <v>8</v>
      </c>
      <c r="AH104" s="343" t="s">
        <v>486</v>
      </c>
      <c r="AI104" s="334" t="s">
        <v>17</v>
      </c>
      <c r="AJ104" s="334" t="s">
        <v>18</v>
      </c>
      <c r="AK104" s="334">
        <v>6.9</v>
      </c>
      <c r="AL104" s="343"/>
      <c r="AO104" s="344"/>
      <c r="AP104" s="343"/>
      <c r="AS104" s="344"/>
      <c r="AW104" s="344"/>
      <c r="BA104" s="345"/>
    </row>
    <row r="105" spans="1:53" s="334" customFormat="1" x14ac:dyDescent="0.15">
      <c r="A105" s="334">
        <v>2008</v>
      </c>
      <c r="C105" s="812" t="s">
        <v>618</v>
      </c>
      <c r="D105" s="812"/>
      <c r="E105" s="334">
        <v>366</v>
      </c>
      <c r="G105" s="419">
        <v>15</v>
      </c>
      <c r="H105" s="334">
        <v>7</v>
      </c>
      <c r="J105" s="435">
        <v>22</v>
      </c>
      <c r="K105" s="384">
        <f t="shared" si="7"/>
        <v>68.181818181818173</v>
      </c>
      <c r="L105" s="384">
        <f t="shared" si="8"/>
        <v>31.818181818181817</v>
      </c>
      <c r="M105" s="384">
        <f t="shared" si="9"/>
        <v>0</v>
      </c>
      <c r="N105" s="384">
        <f t="shared" si="6"/>
        <v>99.999999999999986</v>
      </c>
      <c r="O105" s="383">
        <v>35.799999999999997</v>
      </c>
      <c r="P105" s="384">
        <v>15.2</v>
      </c>
      <c r="Q105" s="384"/>
      <c r="R105" s="385">
        <f t="shared" si="10"/>
        <v>51</v>
      </c>
      <c r="S105" s="334">
        <v>2</v>
      </c>
      <c r="T105" s="357"/>
      <c r="V105" s="343" t="s">
        <v>485</v>
      </c>
      <c r="W105" s="334" t="s">
        <v>74</v>
      </c>
      <c r="X105" s="334" t="s">
        <v>11</v>
      </c>
      <c r="Y105" s="344">
        <v>27.8</v>
      </c>
      <c r="Z105" s="343" t="s">
        <v>483</v>
      </c>
      <c r="AA105" s="334" t="s">
        <v>75</v>
      </c>
      <c r="AB105" s="334" t="s">
        <v>18</v>
      </c>
      <c r="AC105" s="334">
        <v>8.3000000000000007</v>
      </c>
      <c r="AD105" s="343" t="s">
        <v>484</v>
      </c>
      <c r="AE105" s="334" t="s">
        <v>22</v>
      </c>
      <c r="AF105" s="334" t="s">
        <v>11</v>
      </c>
      <c r="AG105" s="344">
        <v>8</v>
      </c>
      <c r="AH105" s="343" t="s">
        <v>486</v>
      </c>
      <c r="AI105" s="334" t="s">
        <v>17</v>
      </c>
      <c r="AJ105" s="334" t="s">
        <v>18</v>
      </c>
      <c r="AK105" s="334">
        <v>6.9</v>
      </c>
      <c r="AL105" s="343"/>
      <c r="AO105" s="344"/>
      <c r="AP105" s="343"/>
      <c r="AS105" s="344"/>
      <c r="AW105" s="344"/>
      <c r="BA105" s="345"/>
    </row>
    <row r="106" spans="1:53" s="334" customFormat="1" x14ac:dyDescent="0.15">
      <c r="A106" s="334">
        <v>2009</v>
      </c>
      <c r="C106" s="812" t="s">
        <v>618</v>
      </c>
      <c r="D106" s="812"/>
      <c r="E106" s="334">
        <v>0</v>
      </c>
      <c r="G106" s="419">
        <v>15</v>
      </c>
      <c r="H106" s="334">
        <v>7</v>
      </c>
      <c r="J106" s="435">
        <v>22</v>
      </c>
      <c r="K106" s="384">
        <f t="shared" si="7"/>
        <v>68.181818181818173</v>
      </c>
      <c r="L106" s="384">
        <f t="shared" si="8"/>
        <v>31.818181818181817</v>
      </c>
      <c r="M106" s="384">
        <f t="shared" si="9"/>
        <v>0</v>
      </c>
      <c r="N106" s="384">
        <f t="shared" si="6"/>
        <v>99.999999999999986</v>
      </c>
      <c r="O106" s="383">
        <v>35.799999999999997</v>
      </c>
      <c r="P106" s="384">
        <v>15.2</v>
      </c>
      <c r="Q106" s="384"/>
      <c r="R106" s="385">
        <f t="shared" si="10"/>
        <v>51</v>
      </c>
      <c r="S106" s="334">
        <v>2</v>
      </c>
      <c r="T106" s="357"/>
      <c r="V106" s="343" t="s">
        <v>485</v>
      </c>
      <c r="W106" s="334" t="s">
        <v>74</v>
      </c>
      <c r="X106" s="334" t="s">
        <v>11</v>
      </c>
      <c r="Y106" s="344">
        <v>27.8</v>
      </c>
      <c r="Z106" s="343" t="s">
        <v>483</v>
      </c>
      <c r="AA106" s="334" t="s">
        <v>75</v>
      </c>
      <c r="AB106" s="334" t="s">
        <v>18</v>
      </c>
      <c r="AC106" s="334">
        <v>8.3000000000000007</v>
      </c>
      <c r="AD106" s="343" t="s">
        <v>484</v>
      </c>
      <c r="AE106" s="334" t="s">
        <v>22</v>
      </c>
      <c r="AF106" s="334" t="s">
        <v>11</v>
      </c>
      <c r="AG106" s="344">
        <v>8</v>
      </c>
      <c r="AH106" s="343" t="s">
        <v>486</v>
      </c>
      <c r="AI106" s="334" t="s">
        <v>17</v>
      </c>
      <c r="AJ106" s="334" t="s">
        <v>18</v>
      </c>
      <c r="AK106" s="334">
        <v>6.9</v>
      </c>
      <c r="AL106" s="343"/>
      <c r="AO106" s="344"/>
      <c r="AP106" s="343"/>
      <c r="AS106" s="344"/>
      <c r="AW106" s="344"/>
      <c r="BA106" s="345"/>
    </row>
    <row r="107" spans="1:53" s="334" customFormat="1" x14ac:dyDescent="0.15">
      <c r="A107" s="334">
        <v>2009</v>
      </c>
      <c r="C107" s="812" t="s">
        <v>618</v>
      </c>
      <c r="D107" s="812"/>
      <c r="E107" s="334">
        <v>365</v>
      </c>
      <c r="G107" s="419">
        <v>15</v>
      </c>
      <c r="H107" s="334">
        <v>7</v>
      </c>
      <c r="J107" s="435">
        <v>22</v>
      </c>
      <c r="K107" s="384">
        <f t="shared" si="7"/>
        <v>68.181818181818173</v>
      </c>
      <c r="L107" s="384">
        <f t="shared" si="8"/>
        <v>31.818181818181817</v>
      </c>
      <c r="M107" s="384">
        <f t="shared" si="9"/>
        <v>0</v>
      </c>
      <c r="N107" s="384">
        <f t="shared" si="6"/>
        <v>99.999999999999986</v>
      </c>
      <c r="O107" s="383">
        <v>35.799999999999997</v>
      </c>
      <c r="P107" s="384">
        <v>15.2</v>
      </c>
      <c r="Q107" s="384"/>
      <c r="R107" s="385">
        <f t="shared" si="10"/>
        <v>51</v>
      </c>
      <c r="S107" s="334">
        <v>2</v>
      </c>
      <c r="T107" s="357"/>
      <c r="V107" s="343" t="s">
        <v>485</v>
      </c>
      <c r="W107" s="334" t="s">
        <v>74</v>
      </c>
      <c r="X107" s="334" t="s">
        <v>11</v>
      </c>
      <c r="Y107" s="344">
        <v>27.8</v>
      </c>
      <c r="Z107" s="343" t="s">
        <v>483</v>
      </c>
      <c r="AA107" s="334" t="s">
        <v>75</v>
      </c>
      <c r="AB107" s="334" t="s">
        <v>18</v>
      </c>
      <c r="AC107" s="334">
        <v>8.3000000000000007</v>
      </c>
      <c r="AD107" s="343" t="s">
        <v>484</v>
      </c>
      <c r="AE107" s="334" t="s">
        <v>22</v>
      </c>
      <c r="AF107" s="334" t="s">
        <v>11</v>
      </c>
      <c r="AG107" s="344">
        <v>8</v>
      </c>
      <c r="AH107" s="343" t="s">
        <v>486</v>
      </c>
      <c r="AI107" s="334" t="s">
        <v>17</v>
      </c>
      <c r="AJ107" s="334" t="s">
        <v>18</v>
      </c>
      <c r="AK107" s="334">
        <v>6.9</v>
      </c>
      <c r="AL107" s="343"/>
      <c r="AO107" s="344"/>
      <c r="AP107" s="343"/>
      <c r="AS107" s="344"/>
      <c r="AW107" s="344"/>
      <c r="BA107" s="345"/>
    </row>
    <row r="108" spans="1:53" s="334" customFormat="1" x14ac:dyDescent="0.15">
      <c r="A108" s="334">
        <v>2010</v>
      </c>
      <c r="C108" s="812" t="s">
        <v>618</v>
      </c>
      <c r="D108" s="812"/>
      <c r="E108" s="334">
        <v>262</v>
      </c>
      <c r="G108" s="419">
        <v>15</v>
      </c>
      <c r="H108" s="334">
        <v>7</v>
      </c>
      <c r="J108" s="435">
        <v>22</v>
      </c>
      <c r="K108" s="384">
        <f t="shared" si="7"/>
        <v>68.181818181818173</v>
      </c>
      <c r="L108" s="384">
        <f t="shared" si="8"/>
        <v>31.818181818181817</v>
      </c>
      <c r="M108" s="384">
        <f t="shared" si="9"/>
        <v>0</v>
      </c>
      <c r="N108" s="384">
        <f t="shared" si="6"/>
        <v>99.999999999999986</v>
      </c>
      <c r="O108" s="383">
        <v>35.799999999999997</v>
      </c>
      <c r="P108" s="384">
        <v>15.2</v>
      </c>
      <c r="Q108" s="384"/>
      <c r="R108" s="385">
        <f t="shared" si="10"/>
        <v>51</v>
      </c>
      <c r="S108" s="334">
        <v>2</v>
      </c>
      <c r="T108" s="357"/>
      <c r="V108" s="343" t="s">
        <v>485</v>
      </c>
      <c r="W108" s="334" t="s">
        <v>74</v>
      </c>
      <c r="X108" s="334" t="s">
        <v>11</v>
      </c>
      <c r="Y108" s="344">
        <v>27.8</v>
      </c>
      <c r="Z108" s="343" t="s">
        <v>483</v>
      </c>
      <c r="AA108" s="334" t="s">
        <v>75</v>
      </c>
      <c r="AB108" s="334" t="s">
        <v>18</v>
      </c>
      <c r="AC108" s="334">
        <v>8.3000000000000007</v>
      </c>
      <c r="AD108" s="343" t="s">
        <v>484</v>
      </c>
      <c r="AE108" s="334" t="s">
        <v>22</v>
      </c>
      <c r="AF108" s="334" t="s">
        <v>11</v>
      </c>
      <c r="AG108" s="344">
        <v>8</v>
      </c>
      <c r="AH108" s="343" t="s">
        <v>486</v>
      </c>
      <c r="AI108" s="334" t="s">
        <v>17</v>
      </c>
      <c r="AJ108" s="334" t="s">
        <v>18</v>
      </c>
      <c r="AK108" s="334">
        <v>6.9</v>
      </c>
      <c r="AL108" s="343"/>
      <c r="AO108" s="344"/>
      <c r="AP108" s="343"/>
      <c r="AS108" s="344"/>
      <c r="AW108" s="344"/>
      <c r="BA108" s="345"/>
    </row>
    <row r="109" spans="1:53" s="208" customFormat="1" x14ac:dyDescent="0.15">
      <c r="A109" s="208">
        <v>2010</v>
      </c>
      <c r="B109" s="207">
        <v>40441</v>
      </c>
      <c r="C109" s="811" t="s">
        <v>619</v>
      </c>
      <c r="D109" s="811"/>
      <c r="E109" s="208">
        <f>365-E108</f>
        <v>103</v>
      </c>
      <c r="F109" s="208">
        <v>1</v>
      </c>
      <c r="G109" s="123">
        <v>17</v>
      </c>
      <c r="H109" s="208">
        <v>7</v>
      </c>
      <c r="J109" s="134">
        <v>24</v>
      </c>
      <c r="K109" s="92">
        <f t="shared" si="7"/>
        <v>70.833333333333343</v>
      </c>
      <c r="L109" s="92">
        <f t="shared" si="8"/>
        <v>29.166666666666668</v>
      </c>
      <c r="M109" s="92">
        <f t="shared" si="9"/>
        <v>0</v>
      </c>
      <c r="N109" s="92">
        <f t="shared" si="6"/>
        <v>100.00000000000001</v>
      </c>
      <c r="O109" s="91">
        <v>37.6</v>
      </c>
      <c r="P109" s="92">
        <v>12</v>
      </c>
      <c r="Q109" s="92"/>
      <c r="R109" s="93">
        <f t="shared" si="10"/>
        <v>49.6</v>
      </c>
      <c r="S109" s="208">
        <v>5</v>
      </c>
      <c r="T109" s="95">
        <v>40440</v>
      </c>
      <c r="U109" s="207">
        <v>40441</v>
      </c>
      <c r="V109" s="82" t="s">
        <v>485</v>
      </c>
      <c r="W109" s="208" t="s">
        <v>74</v>
      </c>
      <c r="X109" s="208" t="s">
        <v>11</v>
      </c>
      <c r="Y109" s="83">
        <v>30.7</v>
      </c>
      <c r="Z109" s="82" t="s">
        <v>483</v>
      </c>
      <c r="AA109" s="208" t="s">
        <v>75</v>
      </c>
      <c r="AB109" s="208" t="s">
        <v>18</v>
      </c>
      <c r="AC109" s="208">
        <v>6.6</v>
      </c>
      <c r="AD109" s="82" t="s">
        <v>484</v>
      </c>
      <c r="AE109" s="208" t="s">
        <v>22</v>
      </c>
      <c r="AF109" s="208" t="s">
        <v>11</v>
      </c>
      <c r="AG109" s="83">
        <v>6.9</v>
      </c>
      <c r="AH109" s="82" t="s">
        <v>486</v>
      </c>
      <c r="AI109" s="208" t="s">
        <v>17</v>
      </c>
      <c r="AJ109" s="208" t="s">
        <v>18</v>
      </c>
      <c r="AK109" s="208">
        <v>5.4</v>
      </c>
      <c r="AL109" s="82"/>
      <c r="AO109" s="83"/>
      <c r="AP109" s="82"/>
      <c r="AS109" s="83"/>
      <c r="AW109" s="83"/>
      <c r="BA109" s="84"/>
    </row>
    <row r="110" spans="1:53" s="208" customFormat="1" x14ac:dyDescent="0.15">
      <c r="A110" s="208">
        <v>2011</v>
      </c>
      <c r="C110" s="811" t="s">
        <v>619</v>
      </c>
      <c r="D110" s="811"/>
      <c r="E110" s="208">
        <v>0</v>
      </c>
      <c r="G110" s="123">
        <v>17</v>
      </c>
      <c r="H110" s="208">
        <v>7</v>
      </c>
      <c r="J110" s="134">
        <v>24</v>
      </c>
      <c r="K110" s="92">
        <f t="shared" ref="K110:K115" si="11">G110/J110*100</f>
        <v>70.833333333333343</v>
      </c>
      <c r="L110" s="92">
        <f t="shared" ref="L110:L115" si="12">H110/J110*100</f>
        <v>29.166666666666668</v>
      </c>
      <c r="M110" s="92">
        <f t="shared" ref="M110:M115" si="13">I110/J110*100</f>
        <v>0</v>
      </c>
      <c r="N110" s="92">
        <f t="shared" si="6"/>
        <v>100.00000000000001</v>
      </c>
      <c r="O110" s="91">
        <v>37.6</v>
      </c>
      <c r="P110" s="92">
        <v>12</v>
      </c>
      <c r="Q110" s="92"/>
      <c r="R110" s="93">
        <f t="shared" si="10"/>
        <v>49.6</v>
      </c>
      <c r="S110" s="208">
        <v>5</v>
      </c>
      <c r="T110" s="81"/>
      <c r="V110" s="82" t="s">
        <v>485</v>
      </c>
      <c r="W110" s="208" t="s">
        <v>74</v>
      </c>
      <c r="X110" s="208" t="s">
        <v>11</v>
      </c>
      <c r="Y110" s="83">
        <v>30.7</v>
      </c>
      <c r="Z110" s="82" t="s">
        <v>483</v>
      </c>
      <c r="AA110" s="208" t="s">
        <v>75</v>
      </c>
      <c r="AB110" s="208" t="s">
        <v>18</v>
      </c>
      <c r="AC110" s="208">
        <v>6.6</v>
      </c>
      <c r="AD110" s="82" t="s">
        <v>484</v>
      </c>
      <c r="AE110" s="208" t="s">
        <v>22</v>
      </c>
      <c r="AF110" s="208" t="s">
        <v>11</v>
      </c>
      <c r="AG110" s="83">
        <v>6.9</v>
      </c>
      <c r="AH110" s="82" t="s">
        <v>486</v>
      </c>
      <c r="AI110" s="208" t="s">
        <v>17</v>
      </c>
      <c r="AJ110" s="208" t="s">
        <v>18</v>
      </c>
      <c r="AK110" s="208">
        <v>5.4</v>
      </c>
      <c r="AL110" s="82"/>
      <c r="AO110" s="83"/>
      <c r="AP110" s="82"/>
      <c r="AS110" s="83"/>
      <c r="AW110" s="83"/>
      <c r="BA110" s="84"/>
    </row>
    <row r="111" spans="1:53" s="208" customFormat="1" x14ac:dyDescent="0.15">
      <c r="A111" s="208">
        <v>2011</v>
      </c>
      <c r="C111" s="811" t="s">
        <v>619</v>
      </c>
      <c r="D111" s="811"/>
      <c r="E111" s="208">
        <v>365</v>
      </c>
      <c r="G111" s="123">
        <v>17</v>
      </c>
      <c r="H111" s="208">
        <v>7</v>
      </c>
      <c r="J111" s="134">
        <v>24</v>
      </c>
      <c r="K111" s="92">
        <f t="shared" si="11"/>
        <v>70.833333333333343</v>
      </c>
      <c r="L111" s="92">
        <f t="shared" si="12"/>
        <v>29.166666666666668</v>
      </c>
      <c r="M111" s="92">
        <f t="shared" si="13"/>
        <v>0</v>
      </c>
      <c r="N111" s="92">
        <f t="shared" si="6"/>
        <v>100.00000000000001</v>
      </c>
      <c r="O111" s="91">
        <v>37.6</v>
      </c>
      <c r="P111" s="92">
        <v>12</v>
      </c>
      <c r="Q111" s="92"/>
      <c r="R111" s="93">
        <f t="shared" si="10"/>
        <v>49.6</v>
      </c>
      <c r="S111" s="208">
        <v>5</v>
      </c>
      <c r="T111" s="81"/>
      <c r="V111" s="82" t="s">
        <v>485</v>
      </c>
      <c r="W111" s="208" t="s">
        <v>74</v>
      </c>
      <c r="X111" s="208" t="s">
        <v>11</v>
      </c>
      <c r="Y111" s="83">
        <v>30.7</v>
      </c>
      <c r="Z111" s="82" t="s">
        <v>483</v>
      </c>
      <c r="AA111" s="208" t="s">
        <v>75</v>
      </c>
      <c r="AB111" s="208" t="s">
        <v>18</v>
      </c>
      <c r="AC111" s="208">
        <v>6.6</v>
      </c>
      <c r="AD111" s="82" t="s">
        <v>484</v>
      </c>
      <c r="AE111" s="208" t="s">
        <v>22</v>
      </c>
      <c r="AF111" s="208" t="s">
        <v>11</v>
      </c>
      <c r="AG111" s="83">
        <v>6.9</v>
      </c>
      <c r="AH111" s="82" t="s">
        <v>486</v>
      </c>
      <c r="AI111" s="208" t="s">
        <v>17</v>
      </c>
      <c r="AJ111" s="208" t="s">
        <v>18</v>
      </c>
      <c r="AK111" s="208">
        <v>5.4</v>
      </c>
      <c r="AL111" s="82"/>
      <c r="AO111" s="83"/>
      <c r="AP111" s="82"/>
      <c r="AS111" s="83"/>
      <c r="AW111" s="83"/>
      <c r="BA111" s="84"/>
    </row>
    <row r="112" spans="1:53" s="208" customFormat="1" x14ac:dyDescent="0.15">
      <c r="A112" s="208">
        <v>2012</v>
      </c>
      <c r="C112" s="811" t="s">
        <v>619</v>
      </c>
      <c r="D112" s="811"/>
      <c r="E112" s="208">
        <v>0</v>
      </c>
      <c r="G112" s="123">
        <v>17</v>
      </c>
      <c r="H112" s="208">
        <v>7</v>
      </c>
      <c r="J112" s="134">
        <v>24</v>
      </c>
      <c r="K112" s="92">
        <f t="shared" si="11"/>
        <v>70.833333333333343</v>
      </c>
      <c r="L112" s="92">
        <f t="shared" si="12"/>
        <v>29.166666666666668</v>
      </c>
      <c r="M112" s="92">
        <f t="shared" si="13"/>
        <v>0</v>
      </c>
      <c r="N112" s="92">
        <f t="shared" si="6"/>
        <v>100.00000000000001</v>
      </c>
      <c r="O112" s="91">
        <v>37.6</v>
      </c>
      <c r="P112" s="92">
        <v>12</v>
      </c>
      <c r="Q112" s="92"/>
      <c r="R112" s="93">
        <f t="shared" si="10"/>
        <v>49.6</v>
      </c>
      <c r="S112" s="208">
        <v>5</v>
      </c>
      <c r="T112" s="81"/>
      <c r="V112" s="82" t="s">
        <v>485</v>
      </c>
      <c r="W112" s="208" t="s">
        <v>74</v>
      </c>
      <c r="X112" s="208" t="s">
        <v>11</v>
      </c>
      <c r="Y112" s="83">
        <v>30.7</v>
      </c>
      <c r="Z112" s="82" t="s">
        <v>483</v>
      </c>
      <c r="AA112" s="208" t="s">
        <v>75</v>
      </c>
      <c r="AB112" s="208" t="s">
        <v>18</v>
      </c>
      <c r="AC112" s="208">
        <v>6.6</v>
      </c>
      <c r="AD112" s="82" t="s">
        <v>484</v>
      </c>
      <c r="AE112" s="208" t="s">
        <v>22</v>
      </c>
      <c r="AF112" s="208" t="s">
        <v>11</v>
      </c>
      <c r="AG112" s="83">
        <v>6.9</v>
      </c>
      <c r="AH112" s="82" t="s">
        <v>486</v>
      </c>
      <c r="AI112" s="208" t="s">
        <v>17</v>
      </c>
      <c r="AJ112" s="208" t="s">
        <v>18</v>
      </c>
      <c r="AK112" s="208">
        <v>5.4</v>
      </c>
      <c r="AL112" s="82"/>
      <c r="AO112" s="83"/>
      <c r="AP112" s="82"/>
      <c r="AS112" s="83"/>
      <c r="AW112" s="83"/>
      <c r="BA112" s="84"/>
    </row>
    <row r="113" spans="1:53" s="208" customFormat="1" x14ac:dyDescent="0.15">
      <c r="A113" s="208">
        <v>2012</v>
      </c>
      <c r="C113" s="811" t="s">
        <v>619</v>
      </c>
      <c r="D113" s="811"/>
      <c r="E113" s="208">
        <v>366</v>
      </c>
      <c r="G113" s="123">
        <v>17</v>
      </c>
      <c r="H113" s="208">
        <v>7</v>
      </c>
      <c r="J113" s="134">
        <v>24</v>
      </c>
      <c r="K113" s="92">
        <f t="shared" si="11"/>
        <v>70.833333333333343</v>
      </c>
      <c r="L113" s="92">
        <f t="shared" si="12"/>
        <v>29.166666666666668</v>
      </c>
      <c r="M113" s="92">
        <f t="shared" si="13"/>
        <v>0</v>
      </c>
      <c r="N113" s="92">
        <f t="shared" si="6"/>
        <v>100.00000000000001</v>
      </c>
      <c r="O113" s="91">
        <v>37.6</v>
      </c>
      <c r="P113" s="92">
        <v>12</v>
      </c>
      <c r="Q113" s="92"/>
      <c r="R113" s="93">
        <f t="shared" si="10"/>
        <v>49.6</v>
      </c>
      <c r="S113" s="208">
        <v>5</v>
      </c>
      <c r="T113" s="81"/>
      <c r="V113" s="82" t="s">
        <v>485</v>
      </c>
      <c r="W113" s="208" t="s">
        <v>74</v>
      </c>
      <c r="X113" s="208" t="s">
        <v>11</v>
      </c>
      <c r="Y113" s="83">
        <v>30.7</v>
      </c>
      <c r="Z113" s="82" t="s">
        <v>483</v>
      </c>
      <c r="AA113" s="208" t="s">
        <v>75</v>
      </c>
      <c r="AB113" s="208" t="s">
        <v>18</v>
      </c>
      <c r="AC113" s="208">
        <v>6.6</v>
      </c>
      <c r="AD113" s="82" t="s">
        <v>484</v>
      </c>
      <c r="AE113" s="208" t="s">
        <v>22</v>
      </c>
      <c r="AF113" s="208" t="s">
        <v>11</v>
      </c>
      <c r="AG113" s="83">
        <v>6.9</v>
      </c>
      <c r="AH113" s="82" t="s">
        <v>486</v>
      </c>
      <c r="AI113" s="208" t="s">
        <v>17</v>
      </c>
      <c r="AJ113" s="208" t="s">
        <v>18</v>
      </c>
      <c r="AK113" s="208">
        <v>5.4</v>
      </c>
      <c r="AL113" s="82"/>
      <c r="AO113" s="83"/>
      <c r="AP113" s="82"/>
      <c r="AS113" s="83"/>
      <c r="AW113" s="83"/>
      <c r="BA113" s="84"/>
    </row>
    <row r="114" spans="1:53" s="310" customFormat="1" x14ac:dyDescent="0.15">
      <c r="A114" s="310">
        <v>2013</v>
      </c>
      <c r="C114" s="811" t="s">
        <v>619</v>
      </c>
      <c r="D114" s="811"/>
      <c r="E114" s="310">
        <v>0</v>
      </c>
      <c r="G114" s="123">
        <v>17</v>
      </c>
      <c r="H114" s="310">
        <v>7</v>
      </c>
      <c r="J114" s="134">
        <v>24</v>
      </c>
      <c r="K114" s="92">
        <f t="shared" si="11"/>
        <v>70.833333333333343</v>
      </c>
      <c r="L114" s="92">
        <f t="shared" si="12"/>
        <v>29.166666666666668</v>
      </c>
      <c r="M114" s="92">
        <f t="shared" si="13"/>
        <v>0</v>
      </c>
      <c r="N114" s="92">
        <f t="shared" si="6"/>
        <v>100.00000000000001</v>
      </c>
      <c r="O114" s="91">
        <v>37.6</v>
      </c>
      <c r="P114" s="92">
        <v>12</v>
      </c>
      <c r="Q114" s="92"/>
      <c r="R114" s="93">
        <f t="shared" si="10"/>
        <v>49.6</v>
      </c>
      <c r="S114" s="310">
        <v>5</v>
      </c>
      <c r="T114" s="81"/>
      <c r="V114" s="82" t="s">
        <v>485</v>
      </c>
      <c r="W114" s="310" t="s">
        <v>74</v>
      </c>
      <c r="X114" s="310" t="s">
        <v>11</v>
      </c>
      <c r="Y114" s="83">
        <v>30.7</v>
      </c>
      <c r="Z114" s="82" t="s">
        <v>483</v>
      </c>
      <c r="AA114" s="310" t="s">
        <v>75</v>
      </c>
      <c r="AB114" s="310" t="s">
        <v>18</v>
      </c>
      <c r="AC114" s="310">
        <v>6.6</v>
      </c>
      <c r="AD114" s="82" t="s">
        <v>484</v>
      </c>
      <c r="AE114" s="310" t="s">
        <v>22</v>
      </c>
      <c r="AF114" s="310" t="s">
        <v>11</v>
      </c>
      <c r="AG114" s="83">
        <v>6.9</v>
      </c>
      <c r="AH114" s="82" t="s">
        <v>486</v>
      </c>
      <c r="AI114" s="310" t="s">
        <v>17</v>
      </c>
      <c r="AJ114" s="310" t="s">
        <v>18</v>
      </c>
      <c r="AK114" s="310">
        <v>5.4</v>
      </c>
      <c r="AL114" s="82"/>
      <c r="AO114" s="83"/>
      <c r="AP114" s="82"/>
      <c r="AS114" s="83"/>
      <c r="AW114" s="83"/>
      <c r="BA114" s="84"/>
    </row>
    <row r="115" spans="1:53" s="310" customFormat="1" x14ac:dyDescent="0.15">
      <c r="A115" s="310">
        <v>2013</v>
      </c>
      <c r="C115" s="811" t="s">
        <v>619</v>
      </c>
      <c r="D115" s="811"/>
      <c r="E115" s="310">
        <v>365</v>
      </c>
      <c r="G115" s="123">
        <v>17</v>
      </c>
      <c r="H115" s="310">
        <v>7</v>
      </c>
      <c r="J115" s="134">
        <v>24</v>
      </c>
      <c r="K115" s="92">
        <f t="shared" si="11"/>
        <v>70.833333333333343</v>
      </c>
      <c r="L115" s="92">
        <f t="shared" si="12"/>
        <v>29.166666666666668</v>
      </c>
      <c r="M115" s="92">
        <f t="shared" si="13"/>
        <v>0</v>
      </c>
      <c r="N115" s="92">
        <f t="shared" si="6"/>
        <v>100.00000000000001</v>
      </c>
      <c r="O115" s="91">
        <v>37.6</v>
      </c>
      <c r="P115" s="92">
        <v>12</v>
      </c>
      <c r="Q115" s="92"/>
      <c r="R115" s="93">
        <f t="shared" si="10"/>
        <v>49.6</v>
      </c>
      <c r="S115" s="310">
        <v>5</v>
      </c>
      <c r="T115" s="81"/>
      <c r="V115" s="82" t="s">
        <v>485</v>
      </c>
      <c r="W115" s="310" t="s">
        <v>74</v>
      </c>
      <c r="X115" s="310" t="s">
        <v>11</v>
      </c>
      <c r="Y115" s="83">
        <v>30.7</v>
      </c>
      <c r="Z115" s="82" t="s">
        <v>483</v>
      </c>
      <c r="AA115" s="310" t="s">
        <v>75</v>
      </c>
      <c r="AB115" s="310" t="s">
        <v>18</v>
      </c>
      <c r="AC115" s="310">
        <v>6.6</v>
      </c>
      <c r="AD115" s="82" t="s">
        <v>484</v>
      </c>
      <c r="AE115" s="310" t="s">
        <v>22</v>
      </c>
      <c r="AF115" s="310" t="s">
        <v>11</v>
      </c>
      <c r="AG115" s="83">
        <v>6.9</v>
      </c>
      <c r="AH115" s="82" t="s">
        <v>486</v>
      </c>
      <c r="AI115" s="310" t="s">
        <v>17</v>
      </c>
      <c r="AJ115" s="310" t="s">
        <v>18</v>
      </c>
      <c r="AK115" s="310">
        <v>5.4</v>
      </c>
      <c r="AL115" s="82"/>
      <c r="AO115" s="83"/>
      <c r="AP115" s="82"/>
      <c r="AS115" s="83"/>
      <c r="AW115" s="83"/>
      <c r="BA115" s="84"/>
    </row>
    <row r="116" spans="1:53" s="663" customFormat="1" x14ac:dyDescent="0.15">
      <c r="A116" s="663">
        <v>2014</v>
      </c>
      <c r="C116" s="811" t="s">
        <v>619</v>
      </c>
      <c r="D116" s="811"/>
      <c r="E116" s="663">
        <v>277</v>
      </c>
      <c r="G116" s="600">
        <v>17</v>
      </c>
      <c r="H116" s="663">
        <v>7</v>
      </c>
      <c r="J116" s="602">
        <v>24</v>
      </c>
      <c r="K116" s="597">
        <f>G116/J116*100</f>
        <v>70.833333333333343</v>
      </c>
      <c r="L116" s="597">
        <f>H116/J116*100</f>
        <v>29.166666666666668</v>
      </c>
      <c r="M116" s="597">
        <f>I116/J116*100</f>
        <v>0</v>
      </c>
      <c r="N116" s="597">
        <f>K116+L116+M116</f>
        <v>100.00000000000001</v>
      </c>
      <c r="O116" s="596">
        <v>37.6</v>
      </c>
      <c r="P116" s="597">
        <v>12</v>
      </c>
      <c r="Q116" s="597"/>
      <c r="R116" s="598">
        <f>O116+P116+Q116</f>
        <v>49.6</v>
      </c>
      <c r="S116" s="663">
        <v>5</v>
      </c>
      <c r="T116" s="577"/>
      <c r="V116" s="592" t="s">
        <v>485</v>
      </c>
      <c r="W116" s="663" t="s">
        <v>74</v>
      </c>
      <c r="X116" s="663" t="s">
        <v>11</v>
      </c>
      <c r="Y116" s="593">
        <v>30.7</v>
      </c>
      <c r="Z116" s="592" t="s">
        <v>483</v>
      </c>
      <c r="AA116" s="663" t="s">
        <v>75</v>
      </c>
      <c r="AB116" s="663" t="s">
        <v>18</v>
      </c>
      <c r="AC116" s="663">
        <v>6.6</v>
      </c>
      <c r="AD116" s="592" t="s">
        <v>484</v>
      </c>
      <c r="AE116" s="663" t="s">
        <v>22</v>
      </c>
      <c r="AF116" s="663" t="s">
        <v>11</v>
      </c>
      <c r="AG116" s="593">
        <v>6.9</v>
      </c>
      <c r="AH116" s="592" t="s">
        <v>486</v>
      </c>
      <c r="AI116" s="663" t="s">
        <v>17</v>
      </c>
      <c r="AJ116" s="663" t="s">
        <v>18</v>
      </c>
      <c r="AK116" s="663">
        <v>5.4</v>
      </c>
      <c r="AL116" s="592"/>
      <c r="AO116" s="593"/>
      <c r="AP116" s="592"/>
      <c r="AS116" s="593"/>
      <c r="AW116" s="593"/>
      <c r="BA116" s="594"/>
    </row>
    <row r="117" spans="1:53" s="664" customFormat="1" x14ac:dyDescent="0.15">
      <c r="A117" s="664">
        <v>2014</v>
      </c>
      <c r="B117" s="661">
        <v>41917</v>
      </c>
      <c r="C117" s="812" t="s">
        <v>1324</v>
      </c>
      <c r="D117" s="812"/>
      <c r="E117" s="664">
        <v>88</v>
      </c>
      <c r="F117" s="664">
        <v>1</v>
      </c>
      <c r="G117" s="649"/>
      <c r="I117" s="664">
        <v>24</v>
      </c>
      <c r="J117" s="651">
        <v>24</v>
      </c>
      <c r="K117" s="647">
        <f>G117/J117*100</f>
        <v>0</v>
      </c>
      <c r="L117" s="647">
        <f>H117/J117*100</f>
        <v>0</v>
      </c>
      <c r="M117" s="647">
        <f>I117/J117*100</f>
        <v>100</v>
      </c>
      <c r="N117" s="647">
        <f>K117+L117+M117</f>
        <v>100</v>
      </c>
      <c r="O117" s="646"/>
      <c r="P117" s="647"/>
      <c r="Q117" s="647">
        <v>39.6</v>
      </c>
      <c r="R117" s="648">
        <f>O117+P117+Q117</f>
        <v>39.6</v>
      </c>
      <c r="S117" s="664">
        <v>5</v>
      </c>
      <c r="T117" s="487">
        <v>41896</v>
      </c>
      <c r="U117" s="661">
        <v>41917</v>
      </c>
      <c r="V117" s="641" t="s">
        <v>482</v>
      </c>
      <c r="W117" s="664" t="s">
        <v>20</v>
      </c>
      <c r="X117" s="664" t="s">
        <v>12</v>
      </c>
      <c r="Y117" s="642">
        <v>32.4</v>
      </c>
      <c r="Z117" s="641" t="s">
        <v>1325</v>
      </c>
      <c r="AA117" s="664" t="s">
        <v>221</v>
      </c>
      <c r="AB117" s="664" t="s">
        <v>12</v>
      </c>
      <c r="AC117" s="664">
        <v>7.2</v>
      </c>
      <c r="AD117" s="641"/>
      <c r="AG117" s="642"/>
      <c r="AH117" s="641"/>
      <c r="AL117" s="641"/>
      <c r="AO117" s="642"/>
      <c r="AP117" s="641"/>
      <c r="AS117" s="642"/>
      <c r="AW117" s="642"/>
      <c r="BA117" s="643"/>
    </row>
    <row r="118" spans="1:53" s="770" customFormat="1" x14ac:dyDescent="0.15">
      <c r="A118" s="770">
        <v>2015</v>
      </c>
      <c r="B118" s="766"/>
      <c r="C118" s="812" t="s">
        <v>1324</v>
      </c>
      <c r="D118" s="812"/>
      <c r="E118" s="770">
        <v>0</v>
      </c>
      <c r="G118" s="649"/>
      <c r="I118" s="770">
        <v>24</v>
      </c>
      <c r="J118" s="651">
        <v>24</v>
      </c>
      <c r="K118" s="647">
        <f t="shared" ref="K118:K119" si="14">G118/J118*100</f>
        <v>0</v>
      </c>
      <c r="L118" s="647">
        <f t="shared" ref="L118:L119" si="15">H118/J118*100</f>
        <v>0</v>
      </c>
      <c r="M118" s="647">
        <f t="shared" ref="M118:M119" si="16">I118/J118*100</f>
        <v>100</v>
      </c>
      <c r="N118" s="647">
        <f t="shared" ref="N118:N119" si="17">K118+L118+M118</f>
        <v>100</v>
      </c>
      <c r="O118" s="646"/>
      <c r="P118" s="647"/>
      <c r="Q118" s="647">
        <v>39.6</v>
      </c>
      <c r="R118" s="648">
        <f t="shared" ref="R118:R119" si="18">O118+P118+Q118</f>
        <v>39.6</v>
      </c>
      <c r="S118" s="770">
        <v>5</v>
      </c>
      <c r="T118" s="487"/>
      <c r="U118" s="766"/>
      <c r="V118" s="641" t="s">
        <v>482</v>
      </c>
      <c r="W118" s="770" t="s">
        <v>20</v>
      </c>
      <c r="X118" s="770" t="s">
        <v>12</v>
      </c>
      <c r="Y118" s="642">
        <v>32.4</v>
      </c>
      <c r="Z118" s="641" t="s">
        <v>1325</v>
      </c>
      <c r="AA118" s="770" t="s">
        <v>221</v>
      </c>
      <c r="AB118" s="770" t="s">
        <v>12</v>
      </c>
      <c r="AC118" s="770">
        <v>7.2</v>
      </c>
      <c r="AD118" s="641"/>
      <c r="AG118" s="642"/>
      <c r="AH118" s="641"/>
      <c r="AL118" s="641"/>
      <c r="AO118" s="642"/>
      <c r="AP118" s="641"/>
      <c r="AS118" s="642"/>
      <c r="AW118" s="642"/>
      <c r="BA118" s="643"/>
    </row>
    <row r="119" spans="1:53" s="770" customFormat="1" x14ac:dyDescent="0.15">
      <c r="A119" s="770">
        <v>2015</v>
      </c>
      <c r="B119" s="766"/>
      <c r="C119" s="812" t="s">
        <v>1324</v>
      </c>
      <c r="D119" s="812"/>
      <c r="E119" s="770">
        <v>365</v>
      </c>
      <c r="G119" s="649"/>
      <c r="I119" s="770">
        <v>24</v>
      </c>
      <c r="J119" s="651">
        <v>24</v>
      </c>
      <c r="K119" s="647">
        <f t="shared" si="14"/>
        <v>0</v>
      </c>
      <c r="L119" s="647">
        <f t="shared" si="15"/>
        <v>0</v>
      </c>
      <c r="M119" s="647">
        <f t="shared" si="16"/>
        <v>100</v>
      </c>
      <c r="N119" s="647">
        <f t="shared" si="17"/>
        <v>100</v>
      </c>
      <c r="O119" s="646"/>
      <c r="P119" s="647"/>
      <c r="Q119" s="647">
        <v>39.6</v>
      </c>
      <c r="R119" s="648">
        <f t="shared" si="18"/>
        <v>39.6</v>
      </c>
      <c r="S119" s="770">
        <v>5</v>
      </c>
      <c r="T119" s="487"/>
      <c r="U119" s="766"/>
      <c r="V119" s="641" t="s">
        <v>482</v>
      </c>
      <c r="W119" s="770" t="s">
        <v>20</v>
      </c>
      <c r="X119" s="770" t="s">
        <v>12</v>
      </c>
      <c r="Y119" s="642">
        <v>32.4</v>
      </c>
      <c r="Z119" s="641" t="s">
        <v>1325</v>
      </c>
      <c r="AA119" s="770" t="s">
        <v>221</v>
      </c>
      <c r="AB119" s="770" t="s">
        <v>12</v>
      </c>
      <c r="AC119" s="770">
        <v>7.2</v>
      </c>
      <c r="AD119" s="641"/>
      <c r="AG119" s="642"/>
      <c r="AH119" s="641"/>
      <c r="AL119" s="641"/>
      <c r="AO119" s="642"/>
      <c r="AP119" s="641"/>
      <c r="AS119" s="642"/>
      <c r="AW119" s="642"/>
      <c r="BA119" s="643"/>
    </row>
    <row r="120" spans="1:53" x14ac:dyDescent="0.15">
      <c r="M120" s="2"/>
      <c r="N120" s="2"/>
    </row>
    <row r="122" spans="1:53" s="2" customFormat="1" ht="18" customHeight="1" x14ac:dyDescent="0.2">
      <c r="B122" s="22" t="s">
        <v>1284</v>
      </c>
      <c r="H122" s="6"/>
    </row>
    <row r="123" spans="1:53" s="2" customFormat="1" ht="9" customHeight="1" x14ac:dyDescent="0.15">
      <c r="H123" s="6"/>
    </row>
    <row r="124" spans="1:53" s="364" customFormat="1" ht="9" customHeight="1" x14ac:dyDescent="0.15">
      <c r="A124" s="362"/>
      <c r="B124" s="363" t="s">
        <v>1235</v>
      </c>
      <c r="C124" s="363"/>
      <c r="D124" s="363"/>
      <c r="E124" s="363"/>
      <c r="F124" s="363"/>
      <c r="G124" s="363" t="s">
        <v>1236</v>
      </c>
      <c r="H124" s="363"/>
      <c r="I124" s="363"/>
      <c r="J124" s="363"/>
      <c r="K124" s="363"/>
      <c r="L124" s="363"/>
      <c r="M124" s="363"/>
      <c r="N124" s="363"/>
      <c r="R124" s="802" t="s">
        <v>1237</v>
      </c>
      <c r="S124" s="802"/>
      <c r="T124" s="802"/>
      <c r="U124" s="802"/>
      <c r="V124" s="802"/>
      <c r="W124" s="802"/>
      <c r="X124" s="365"/>
      <c r="Y124" s="365"/>
      <c r="AA124" s="365"/>
      <c r="AB124" s="365"/>
      <c r="AC124" s="365"/>
      <c r="AD124" s="365"/>
    </row>
    <row r="125" spans="1:53" s="369" customFormat="1" ht="9" customHeight="1" x14ac:dyDescent="0.15">
      <c r="A125" s="366"/>
      <c r="B125" s="367" t="s">
        <v>1239</v>
      </c>
      <c r="C125" s="368"/>
      <c r="D125" s="368"/>
      <c r="E125" s="368"/>
      <c r="F125" s="368"/>
      <c r="G125" s="367" t="s">
        <v>1238</v>
      </c>
      <c r="H125" s="368"/>
      <c r="I125" s="368"/>
      <c r="J125" s="368"/>
      <c r="K125" s="368"/>
      <c r="L125" s="368"/>
      <c r="M125" s="368"/>
      <c r="N125" s="368"/>
      <c r="R125" s="370" t="s">
        <v>1240</v>
      </c>
      <c r="S125" s="371"/>
      <c r="T125" s="372"/>
      <c r="U125" s="372"/>
      <c r="V125" s="372"/>
      <c r="W125" s="370" t="s">
        <v>1241</v>
      </c>
      <c r="X125" s="372"/>
      <c r="Y125" s="372"/>
      <c r="AA125" s="372"/>
      <c r="AB125" s="372"/>
      <c r="AC125" s="372"/>
      <c r="AD125" s="372"/>
    </row>
    <row r="126" spans="1:53" s="351" customFormat="1" ht="12" customHeight="1" x14ac:dyDescent="0.15">
      <c r="A126" s="373" t="s">
        <v>3</v>
      </c>
      <c r="B126" s="374" t="s">
        <v>8</v>
      </c>
      <c r="C126" s="374" t="s">
        <v>9</v>
      </c>
      <c r="D126" s="374" t="s">
        <v>10</v>
      </c>
      <c r="E126" s="375" t="s">
        <v>1215</v>
      </c>
      <c r="F126" s="374"/>
      <c r="G126" s="351" t="s">
        <v>3</v>
      </c>
      <c r="H126" s="803" t="s">
        <v>0</v>
      </c>
      <c r="I126" s="803"/>
      <c r="J126" s="803" t="s">
        <v>1</v>
      </c>
      <c r="K126" s="803"/>
      <c r="L126" s="803" t="s">
        <v>2</v>
      </c>
      <c r="M126" s="803"/>
      <c r="N126" s="804" t="s">
        <v>1215</v>
      </c>
      <c r="O126" s="804"/>
      <c r="P126" s="376"/>
      <c r="Q126" s="376"/>
      <c r="R126" s="377" t="s">
        <v>3</v>
      </c>
      <c r="S126" s="378" t="s">
        <v>136</v>
      </c>
      <c r="T126" s="376" t="s">
        <v>134</v>
      </c>
      <c r="U126" s="374" t="s">
        <v>135</v>
      </c>
      <c r="V126" s="376"/>
      <c r="W126" s="379" t="s">
        <v>26</v>
      </c>
    </row>
    <row r="127" spans="1:53" s="273" customFormat="1" x14ac:dyDescent="0.15">
      <c r="A127" s="273">
        <v>1959</v>
      </c>
      <c r="B127" s="260">
        <f>(K6*($E6/365)) + (K7*($E7/365))</f>
        <v>0</v>
      </c>
      <c r="C127" s="260">
        <f>(L6*($E6/365)) + (L7*($E7/365))</f>
        <v>0</v>
      </c>
      <c r="D127" s="260">
        <f>(M6*($E6/365)) + (M7*($E7/365))</f>
        <v>93.333333333333329</v>
      </c>
      <c r="E127" s="261">
        <f>B127+C127+D127</f>
        <v>93.333333333333329</v>
      </c>
      <c r="G127" s="273">
        <v>1959</v>
      </c>
      <c r="H127" s="819">
        <f>(O6/$R6*100*($E6/365))+(O7/$R7*100*($E7/365))</f>
        <v>0</v>
      </c>
      <c r="I127" s="819"/>
      <c r="J127" s="819">
        <f>(P6/$R6*100*($E6/365))+(P7/$R7*100*($E7/365))</f>
        <v>0</v>
      </c>
      <c r="K127" s="819"/>
      <c r="L127" s="819">
        <f>(Q6/$R6*100*($E6/365))+(Q7/$R7*100*($E7/365))</f>
        <v>100</v>
      </c>
      <c r="M127" s="819"/>
      <c r="N127" s="813">
        <f>H127+J127+L127</f>
        <v>100</v>
      </c>
      <c r="O127" s="813"/>
      <c r="R127" s="273">
        <v>1959</v>
      </c>
      <c r="S127" s="260">
        <f>(O6*($E6/365)) + (O7*($E7/365))</f>
        <v>0</v>
      </c>
      <c r="T127" s="260">
        <f>(P6*($E6/365)) + (P7*($E7/365))</f>
        <v>0</v>
      </c>
      <c r="U127" s="260">
        <f>(Q6*($E6/365)) + (Q7*($E7/365))</f>
        <v>48.1</v>
      </c>
      <c r="V127" s="274"/>
      <c r="W127" s="274">
        <f>S127+T127+U127</f>
        <v>48.1</v>
      </c>
    </row>
    <row r="128" spans="1:53" x14ac:dyDescent="0.15">
      <c r="A128" s="1">
        <v>1960</v>
      </c>
      <c r="B128" s="8">
        <f>(K8*($E8/366))+(K9*($E9/366))</f>
        <v>0</v>
      </c>
      <c r="C128" s="8">
        <f>(L8*($E8/366))+(L9*($E9/366))</f>
        <v>0</v>
      </c>
      <c r="D128" s="8">
        <f>(M8*($E8/366))+(M9*($E9/366))</f>
        <v>93.2136351808483</v>
      </c>
      <c r="E128" s="61">
        <f>B128+C128+D128</f>
        <v>93.2136351808483</v>
      </c>
      <c r="G128" s="1">
        <v>1960</v>
      </c>
      <c r="H128" s="809">
        <f>(O8/$R8*100*($E8/366))+(O9/$R9*100*($E9/366))</f>
        <v>0</v>
      </c>
      <c r="I128" s="809"/>
      <c r="J128" s="809">
        <f>(P8/$R8*100*($E8/366))+(P9/$R9*100*($E9/366))</f>
        <v>0</v>
      </c>
      <c r="K128" s="809"/>
      <c r="L128" s="809">
        <f>(Q8/$R8*100*($E8/366))+(Q9/$R9*100*($E9/366))</f>
        <v>100.00000000000001</v>
      </c>
      <c r="M128" s="809"/>
      <c r="N128" s="810">
        <f t="shared" ref="N128:N159" si="19">H128+J128+L128</f>
        <v>100.00000000000001</v>
      </c>
      <c r="O128" s="810"/>
      <c r="R128" s="1">
        <v>1960</v>
      </c>
      <c r="S128" s="8">
        <f>(O8*($E8/366))+(O9*($E9/366))</f>
        <v>0</v>
      </c>
      <c r="T128" s="8">
        <f>(P8*($E8/366))+(P9*($E9/366))</f>
        <v>0</v>
      </c>
      <c r="U128" s="8">
        <f>(Q8*($E8/366))+(Q9*($E9/366))</f>
        <v>48.351366120218586</v>
      </c>
      <c r="V128" s="7"/>
      <c r="W128" s="7">
        <f>S128+T128+U128</f>
        <v>48.351366120218586</v>
      </c>
    </row>
    <row r="129" spans="1:23" x14ac:dyDescent="0.15">
      <c r="A129" s="1">
        <v>1961</v>
      </c>
      <c r="B129" s="8">
        <f>(K10*($E10/365))+(K11*($E11/365))</f>
        <v>0</v>
      </c>
      <c r="C129" s="8">
        <f>(L10*($E10/365))+(L11*($E11/365))</f>
        <v>0</v>
      </c>
      <c r="D129" s="8">
        <f>(M10*($E10/365))+(M11*($E11/365))</f>
        <v>92.857142857142861</v>
      </c>
      <c r="E129" s="61">
        <f t="shared" ref="E129:E181" si="20">B129+C129+D129</f>
        <v>92.857142857142861</v>
      </c>
      <c r="G129" s="1">
        <v>1961</v>
      </c>
      <c r="H129" s="809">
        <f>(O10/$R10*100*($E10/365))+(O11/$R11*100*($E11/365))</f>
        <v>0</v>
      </c>
      <c r="I129" s="809"/>
      <c r="J129" s="809">
        <f>(P10/$R10*100*($E10/365))+(P11/$R11*100*($E11/365))</f>
        <v>0</v>
      </c>
      <c r="K129" s="809"/>
      <c r="L129" s="809">
        <f>(Q10/$R10*100*($E10/365))+(Q11/$R11*100*($E11/365))</f>
        <v>100</v>
      </c>
      <c r="M129" s="809"/>
      <c r="N129" s="781">
        <f t="shared" si="19"/>
        <v>100</v>
      </c>
      <c r="O129" s="781"/>
      <c r="R129" s="1">
        <v>1961</v>
      </c>
      <c r="S129" s="8">
        <f>(O10*($E10/365))+(O11*($E11/365))</f>
        <v>0</v>
      </c>
      <c r="T129" s="8">
        <f>(P10*($E10/365))+(P11*($E11/365))</f>
        <v>0</v>
      </c>
      <c r="U129" s="8">
        <f>(Q10*($E10/365))+(Q11*($E11/365))</f>
        <v>49.1</v>
      </c>
      <c r="V129" s="7"/>
      <c r="W129" s="7">
        <f t="shared" ref="W129:W181" si="21">S129+T129+U129</f>
        <v>49.1</v>
      </c>
    </row>
    <row r="130" spans="1:23" x14ac:dyDescent="0.15">
      <c r="A130" s="1">
        <v>1962</v>
      </c>
      <c r="B130" s="8">
        <f>(K12*($E12/365))+(K13*($E13/365))</f>
        <v>0</v>
      </c>
      <c r="C130" s="8">
        <f>(L12*($E12/365))+(L13*($E13/365))</f>
        <v>0</v>
      </c>
      <c r="D130" s="8">
        <f>(M12*($E12/365))+(M13*($E13/365))</f>
        <v>92.857142857142861</v>
      </c>
      <c r="E130" s="61">
        <f t="shared" si="20"/>
        <v>92.857142857142861</v>
      </c>
      <c r="G130" s="1">
        <v>1962</v>
      </c>
      <c r="H130" s="809">
        <f>(O12/$R12*100*($E12/365))+(O13/$R13*100*($E13/365))</f>
        <v>0</v>
      </c>
      <c r="I130" s="809"/>
      <c r="J130" s="809">
        <f>(P12/$R12*100*($E12/365))+(P13/$R13*100*($E13/365))</f>
        <v>0</v>
      </c>
      <c r="K130" s="809"/>
      <c r="L130" s="809">
        <f>(Q12/$R12*100*($E12/365))+(Q13/$R13*100*($E13/365))</f>
        <v>100</v>
      </c>
      <c r="M130" s="809"/>
      <c r="N130" s="781">
        <f t="shared" si="19"/>
        <v>100</v>
      </c>
      <c r="O130" s="781"/>
      <c r="R130" s="1">
        <v>1962</v>
      </c>
      <c r="S130" s="8">
        <f>(O12*($E12/365))+(O13*($E13/365))</f>
        <v>0</v>
      </c>
      <c r="T130" s="8">
        <f>(P12*($E12/365))+(P13*($E13/365))</f>
        <v>0</v>
      </c>
      <c r="U130" s="8">
        <f>(Q12*($E12/365))+(Q13*($E13/365))</f>
        <v>49.1</v>
      </c>
      <c r="V130" s="7"/>
      <c r="W130" s="7">
        <f t="shared" si="21"/>
        <v>49.1</v>
      </c>
    </row>
    <row r="131" spans="1:23" x14ac:dyDescent="0.15">
      <c r="A131" s="1">
        <v>1963</v>
      </c>
      <c r="B131" s="8">
        <f>(K14*($E14/365))+(K15*($E15/365))</f>
        <v>0</v>
      </c>
      <c r="C131" s="8">
        <f>(L14*($E14/365))+(L15*($E15/365))</f>
        <v>0</v>
      </c>
      <c r="D131" s="8">
        <f>(M14*($E14/365))+(M15*($E15/365))</f>
        <v>92.857142857142861</v>
      </c>
      <c r="E131" s="61">
        <f t="shared" si="20"/>
        <v>92.857142857142861</v>
      </c>
      <c r="G131" s="1">
        <v>1963</v>
      </c>
      <c r="H131" s="809">
        <f>(O14/$R14*100*($E14/365))+(O15/$R15*100*($E15/365))</f>
        <v>0</v>
      </c>
      <c r="I131" s="809"/>
      <c r="J131" s="809">
        <f>(P14/$R14*100*($E14/365))+(P15/$R15*100*($E15/365))</f>
        <v>0</v>
      </c>
      <c r="K131" s="809"/>
      <c r="L131" s="809">
        <f>(Q14/$R14*100*($E14/365))+(Q15/$R15*100*($E15/365))</f>
        <v>100</v>
      </c>
      <c r="M131" s="809"/>
      <c r="N131" s="781">
        <f t="shared" si="19"/>
        <v>100</v>
      </c>
      <c r="O131" s="781"/>
      <c r="R131" s="1">
        <v>1963</v>
      </c>
      <c r="S131" s="8">
        <f>(O14*($E14/365))+(O15*($E15/365))</f>
        <v>0</v>
      </c>
      <c r="T131" s="8">
        <f>(P14*($E14/365))+(P15*($E15/365))</f>
        <v>0</v>
      </c>
      <c r="U131" s="8">
        <f>(Q14*($E14/365))+(Q15*($E15/365))</f>
        <v>49.1</v>
      </c>
      <c r="V131" s="7"/>
      <c r="W131" s="7">
        <f t="shared" si="21"/>
        <v>49.1</v>
      </c>
    </row>
    <row r="132" spans="1:23" x14ac:dyDescent="0.15">
      <c r="A132" s="1">
        <v>1964</v>
      </c>
      <c r="B132" s="8">
        <f>(K16*($E16/366))+(K17*($E17/366))</f>
        <v>0</v>
      </c>
      <c r="C132" s="8">
        <f>(L16*($E16/366))+(L17*($E17/366))</f>
        <v>0</v>
      </c>
      <c r="D132" s="8">
        <f>(M16*($E16/366))+(M17*($E17/366))</f>
        <v>94.59406713505075</v>
      </c>
      <c r="E132" s="61">
        <f t="shared" si="20"/>
        <v>94.59406713505075</v>
      </c>
      <c r="G132" s="1">
        <v>1964</v>
      </c>
      <c r="H132" s="809">
        <f>(O16/$R16*100*($E16/366))+(O17/$R17*100*($E17/366))</f>
        <v>0</v>
      </c>
      <c r="I132" s="809"/>
      <c r="J132" s="809">
        <f>(P16/$R16*100*($E16/366))+(P17/$R17*100*($E17/366))</f>
        <v>0</v>
      </c>
      <c r="K132" s="809"/>
      <c r="L132" s="809">
        <f>(Q16/$R16*100*($E16/366))+(Q17/$R17*100*($E17/366))</f>
        <v>100</v>
      </c>
      <c r="M132" s="809"/>
      <c r="N132" s="781">
        <f t="shared" si="19"/>
        <v>100</v>
      </c>
      <c r="O132" s="781"/>
      <c r="R132" s="1">
        <v>1964</v>
      </c>
      <c r="S132" s="8">
        <f>(O16*($E16/366))+(O17*($E17/366))</f>
        <v>0</v>
      </c>
      <c r="T132" s="8">
        <f>(P16*($E16/366))+(P17*($E17/366))</f>
        <v>0</v>
      </c>
      <c r="U132" s="8">
        <f>(Q16*($E16/366))+(Q17*($E17/366))</f>
        <v>48.954098360655735</v>
      </c>
      <c r="V132" s="7"/>
      <c r="W132" s="7">
        <f t="shared" si="21"/>
        <v>48.954098360655735</v>
      </c>
    </row>
    <row r="133" spans="1:23" x14ac:dyDescent="0.15">
      <c r="A133" s="1">
        <v>1965</v>
      </c>
      <c r="B133" s="8">
        <f>(K18*($E18/365))+(K19*($E19/365))</f>
        <v>0</v>
      </c>
      <c r="C133" s="8">
        <f>(L18*($E18/365))+(L19*($E19/365))</f>
        <v>0</v>
      </c>
      <c r="D133" s="8">
        <f>(M18*($E18/365))+(M19*($E19/365))</f>
        <v>100</v>
      </c>
      <c r="E133" s="61">
        <f t="shared" si="20"/>
        <v>100</v>
      </c>
      <c r="G133" s="1">
        <v>1965</v>
      </c>
      <c r="H133" s="809">
        <f>(O18/$R18*100*($E18/365))+(O19/$R19*100*($E19/365))</f>
        <v>0</v>
      </c>
      <c r="I133" s="809"/>
      <c r="J133" s="809">
        <f>(P18/$R18*100*($E18/365))+(P19/$R19*100*($E19/365))</f>
        <v>0</v>
      </c>
      <c r="K133" s="809"/>
      <c r="L133" s="809">
        <f>(Q18/$R18*100*($E18/365))+(Q19/$R19*100*($E19/365))</f>
        <v>100</v>
      </c>
      <c r="M133" s="809"/>
      <c r="N133" s="781">
        <f t="shared" si="19"/>
        <v>100</v>
      </c>
      <c r="O133" s="781"/>
      <c r="R133" s="1">
        <v>1965</v>
      </c>
      <c r="S133" s="8">
        <f>(O18*($E18/365))+(O19*($E19/365))</f>
        <v>0</v>
      </c>
      <c r="T133" s="8">
        <f>(P18*($E18/365))+(P19*($E19/365))</f>
        <v>0</v>
      </c>
      <c r="U133" s="8">
        <f>(Q18*($E18/365))+(Q19*($E19/365))</f>
        <v>48.5</v>
      </c>
      <c r="V133" s="7"/>
      <c r="W133" s="7">
        <f t="shared" si="21"/>
        <v>48.5</v>
      </c>
    </row>
    <row r="134" spans="1:23" x14ac:dyDescent="0.15">
      <c r="A134" s="1">
        <v>1966</v>
      </c>
      <c r="B134" s="8">
        <f>(K20*($E20/365))+(K21*($E21/365))</f>
        <v>0</v>
      </c>
      <c r="C134" s="8">
        <f>(L20*($E20/365))+(L21*($E21/365))</f>
        <v>0</v>
      </c>
      <c r="D134" s="8">
        <f>(M20*($E20/365))+(M21*($E21/365))</f>
        <v>100</v>
      </c>
      <c r="E134" s="61">
        <f t="shared" si="20"/>
        <v>100</v>
      </c>
      <c r="G134" s="1">
        <v>1966</v>
      </c>
      <c r="H134" s="809">
        <f>(O20/$R20*100*($E20/365))+(O21/$R21*100*($E21/365))</f>
        <v>0</v>
      </c>
      <c r="I134" s="809"/>
      <c r="J134" s="809">
        <f>(P20/$R20*100*($E20/365))+(P21/$R21*100*($E21/365))</f>
        <v>0</v>
      </c>
      <c r="K134" s="809"/>
      <c r="L134" s="809">
        <f>(Q20/$R20*100*($E20/365))+(Q21/$R21*100*($E21/365))</f>
        <v>100</v>
      </c>
      <c r="M134" s="809"/>
      <c r="N134" s="781">
        <f t="shared" si="19"/>
        <v>100</v>
      </c>
      <c r="O134" s="781"/>
      <c r="R134" s="1">
        <v>1966</v>
      </c>
      <c r="S134" s="8">
        <f>(O20*($E20/365))+(O21*($E21/365))</f>
        <v>0</v>
      </c>
      <c r="T134" s="8">
        <f>(P20*($E20/365))+(P21*($E21/365))</f>
        <v>0</v>
      </c>
      <c r="U134" s="8">
        <f>(Q20*($E20/365))+(Q21*($E21/365))</f>
        <v>48.5</v>
      </c>
      <c r="V134" s="7"/>
      <c r="W134" s="7">
        <f t="shared" si="21"/>
        <v>48.5</v>
      </c>
    </row>
    <row r="135" spans="1:23" x14ac:dyDescent="0.15">
      <c r="A135" s="1">
        <v>1967</v>
      </c>
      <c r="B135" s="8">
        <f>(K22*($E22/365))+(K23*($E23/365))</f>
        <v>0</v>
      </c>
      <c r="C135" s="8">
        <f>(L22*($E22/365))+(L23*($E23/365))</f>
        <v>0</v>
      </c>
      <c r="D135" s="8">
        <f>(M22*($E22/365))+(M23*($E23/365))</f>
        <v>100</v>
      </c>
      <c r="E135" s="61">
        <f t="shared" si="20"/>
        <v>100</v>
      </c>
      <c r="G135" s="1">
        <v>1967</v>
      </c>
      <c r="H135" s="809">
        <f>(O22/$R22*100*($E22/365))+(O23/$R23*100*($E23/365))</f>
        <v>0</v>
      </c>
      <c r="I135" s="809"/>
      <c r="J135" s="809">
        <f>(P22/$R22*100*($E22/365))+(P23/$R23*100*($E23/365))</f>
        <v>0</v>
      </c>
      <c r="K135" s="809"/>
      <c r="L135" s="809">
        <f>(Q22/$R22*100*($E22/365))+(Q23/$R23*100*($E23/365))</f>
        <v>100</v>
      </c>
      <c r="M135" s="809"/>
      <c r="N135" s="781">
        <f t="shared" si="19"/>
        <v>100</v>
      </c>
      <c r="O135" s="781"/>
      <c r="R135" s="1">
        <v>1967</v>
      </c>
      <c r="S135" s="8">
        <f>(O22*($E22/365))+(O23*($E23/365))</f>
        <v>0</v>
      </c>
      <c r="T135" s="8">
        <f>(P22*($E22/365))+(P23*($E23/365))</f>
        <v>0</v>
      </c>
      <c r="U135" s="8">
        <f>(Q22*($E22/365))+(Q23*($E23/365))</f>
        <v>48.5</v>
      </c>
      <c r="V135" s="7"/>
      <c r="W135" s="7">
        <f t="shared" si="21"/>
        <v>48.5</v>
      </c>
    </row>
    <row r="136" spans="1:23" x14ac:dyDescent="0.15">
      <c r="A136" s="1">
        <v>1968</v>
      </c>
      <c r="B136" s="8">
        <f>(K24*($E24/366))+(K25*($E25/366))</f>
        <v>0</v>
      </c>
      <c r="C136" s="8">
        <f>(L24*($E24/366))+(L25*($E25/366))</f>
        <v>0</v>
      </c>
      <c r="D136" s="8">
        <f>(M24*($E24/366))+(M25*($E25/366))</f>
        <v>100</v>
      </c>
      <c r="E136" s="61">
        <f t="shared" si="20"/>
        <v>100</v>
      </c>
      <c r="G136" s="1">
        <v>1968</v>
      </c>
      <c r="H136" s="809">
        <f>(O24/$R24*100*($E24/366))+(O25/$R25*100*($E25/366))</f>
        <v>0</v>
      </c>
      <c r="I136" s="809"/>
      <c r="J136" s="809">
        <f>(P24/$R24*100*($E24/366))+(P25/$R25*100*($E25/366))</f>
        <v>0</v>
      </c>
      <c r="K136" s="809"/>
      <c r="L136" s="809">
        <f>(Q24/$R24*100*($E24/366))+(Q25/$R25*100*($E25/366))</f>
        <v>100</v>
      </c>
      <c r="M136" s="809"/>
      <c r="N136" s="781">
        <f t="shared" si="19"/>
        <v>100</v>
      </c>
      <c r="O136" s="781"/>
      <c r="R136" s="1">
        <v>1968</v>
      </c>
      <c r="S136" s="8">
        <f>(O24*($E24/366))+(O25*($E25/366))</f>
        <v>0</v>
      </c>
      <c r="T136" s="8">
        <f>(P24*($E24/366))+(P25*($E25/366))</f>
        <v>0</v>
      </c>
      <c r="U136" s="8">
        <f>(Q24*($E24/366))+(Q25*($E25/366))</f>
        <v>49.809836065573776</v>
      </c>
      <c r="V136" s="7"/>
      <c r="W136" s="7">
        <f t="shared" si="21"/>
        <v>49.809836065573776</v>
      </c>
    </row>
    <row r="137" spans="1:23" x14ac:dyDescent="0.15">
      <c r="A137" s="1">
        <v>1969</v>
      </c>
      <c r="B137" s="8">
        <f>(K26*($E26/365))+(K27*($E27/365))</f>
        <v>0</v>
      </c>
      <c r="C137" s="8">
        <f>(L26*($E26/365))+(L27*($E27/365))</f>
        <v>0</v>
      </c>
      <c r="D137" s="8">
        <f>(M26*($E26/365))+(M27*($E27/365))</f>
        <v>100</v>
      </c>
      <c r="E137" s="61">
        <f t="shared" si="20"/>
        <v>100</v>
      </c>
      <c r="G137" s="1">
        <v>1969</v>
      </c>
      <c r="H137" s="809">
        <f>(O26/$R26*100*($E26/365))+(O27/$R27*100*($E27/365))</f>
        <v>0</v>
      </c>
      <c r="I137" s="809"/>
      <c r="J137" s="809">
        <f>(P26/$R26*100*($E26/365))+(P27/$R27*100*($E27/365))</f>
        <v>0</v>
      </c>
      <c r="K137" s="809"/>
      <c r="L137" s="809">
        <f>(Q26/$R26*100*($E26/365))+(Q27/$R27*100*($E27/365))</f>
        <v>100</v>
      </c>
      <c r="M137" s="809"/>
      <c r="N137" s="781">
        <f t="shared" si="19"/>
        <v>100</v>
      </c>
      <c r="O137" s="781"/>
      <c r="R137" s="1">
        <v>1969</v>
      </c>
      <c r="S137" s="8">
        <f>(O26*($E26/365))+(O27*($E27/365))</f>
        <v>0</v>
      </c>
      <c r="T137" s="8">
        <f>(P26*($E26/365))+(P27*($E27/365))</f>
        <v>0</v>
      </c>
      <c r="U137" s="8">
        <f>(Q26*($E26/365))+(Q27*($E27/365))</f>
        <v>53.6</v>
      </c>
      <c r="V137" s="7"/>
      <c r="W137" s="7">
        <f t="shared" si="21"/>
        <v>53.6</v>
      </c>
    </row>
    <row r="138" spans="1:23" x14ac:dyDescent="0.15">
      <c r="A138" s="1">
        <v>1970</v>
      </c>
      <c r="B138" s="8">
        <f>(K28*($E28/365))+(K29*($E29/365))</f>
        <v>0</v>
      </c>
      <c r="C138" s="8">
        <f>(L28*($E28/365))+(L29*($E29/365))</f>
        <v>0</v>
      </c>
      <c r="D138" s="8">
        <f>(M28*($E28/365))+(M29*($E29/365))</f>
        <v>100</v>
      </c>
      <c r="E138" s="61">
        <f t="shared" si="20"/>
        <v>100</v>
      </c>
      <c r="G138" s="1">
        <v>1970</v>
      </c>
      <c r="H138" s="809">
        <f>(O28/$R28*100*($E28/365))+(O29/$R29*100*($E29/365))</f>
        <v>0</v>
      </c>
      <c r="I138" s="809"/>
      <c r="J138" s="809">
        <f>(P28/$R28*100*($E28/365))+(P29/$R29*100*($E29/365))</f>
        <v>0</v>
      </c>
      <c r="K138" s="809"/>
      <c r="L138" s="809">
        <f>(Q28/$R28*100*($E28/365))+(Q29/$R29*100*($E29/365))</f>
        <v>100</v>
      </c>
      <c r="M138" s="809"/>
      <c r="N138" s="781">
        <f t="shared" si="19"/>
        <v>100</v>
      </c>
      <c r="O138" s="781"/>
      <c r="R138" s="1">
        <v>1970</v>
      </c>
      <c r="S138" s="8">
        <f>(O28*($E28/365))+(O29*($E29/365))</f>
        <v>0</v>
      </c>
      <c r="T138" s="8">
        <f>(P28*($E28/365))+(P29*($E29/365))</f>
        <v>0</v>
      </c>
      <c r="U138" s="8">
        <f>(Q28*($E28/365))+(Q29*($E29/365))</f>
        <v>51.797260273972597</v>
      </c>
      <c r="V138" s="7"/>
      <c r="W138" s="7">
        <f t="shared" si="21"/>
        <v>51.797260273972597</v>
      </c>
    </row>
    <row r="139" spans="1:23" x14ac:dyDescent="0.15">
      <c r="A139" s="1">
        <v>1971</v>
      </c>
      <c r="B139" s="8">
        <f>(K30*($E30/365))+(K31*($E31/365))</f>
        <v>0</v>
      </c>
      <c r="C139" s="8">
        <f>(L30*($E30/365))+(L31*($E31/365))</f>
        <v>0</v>
      </c>
      <c r="D139" s="8">
        <f>(M30*($E30/365))+(M31*($E31/365))</f>
        <v>100</v>
      </c>
      <c r="E139" s="61">
        <f t="shared" si="20"/>
        <v>100</v>
      </c>
      <c r="G139" s="1">
        <v>1971</v>
      </c>
      <c r="H139" s="809">
        <f>(O30/$R30*100*($E30/365))+(O31/$R31*100*($E31/365))</f>
        <v>0</v>
      </c>
      <c r="I139" s="809"/>
      <c r="J139" s="809">
        <f>(P30/$R30*100*($E30/365))+(P31/$R31*100*($E31/365))</f>
        <v>0</v>
      </c>
      <c r="K139" s="809"/>
      <c r="L139" s="809">
        <f>(Q30/$R30*100*($E30/365))+(Q31/$R31*100*($E31/365))</f>
        <v>100</v>
      </c>
      <c r="M139" s="809"/>
      <c r="N139" s="781">
        <f t="shared" si="19"/>
        <v>100</v>
      </c>
      <c r="O139" s="781"/>
      <c r="R139" s="1">
        <v>1971</v>
      </c>
      <c r="S139" s="8">
        <f>(O30*($E30/365))+(O31*($E31/365))</f>
        <v>0</v>
      </c>
      <c r="T139" s="8">
        <f>(P30*($E30/365))+(P31*($E31/365))</f>
        <v>0</v>
      </c>
      <c r="U139" s="8">
        <f>(Q30*($E30/365))+(Q31*($E31/365))</f>
        <v>46.6</v>
      </c>
      <c r="V139" s="7"/>
      <c r="W139" s="7">
        <f t="shared" si="21"/>
        <v>46.6</v>
      </c>
    </row>
    <row r="140" spans="1:23" x14ac:dyDescent="0.15">
      <c r="A140" s="1">
        <v>1972</v>
      </c>
      <c r="B140" s="8">
        <f>(K32*($E32/366))+(K33*($E33/366))</f>
        <v>0</v>
      </c>
      <c r="C140" s="8">
        <f>(L32*($E32/366))+(L33*($E33/366))</f>
        <v>0</v>
      </c>
      <c r="D140" s="8">
        <f>(M32*($E32/366))+(M33*($E33/366))</f>
        <v>100</v>
      </c>
      <c r="E140" s="61">
        <f t="shared" si="20"/>
        <v>100</v>
      </c>
      <c r="G140" s="1">
        <v>1972</v>
      </c>
      <c r="H140" s="809">
        <f>(O32/$R32*100*($E32/366))+(O33/$R33*100*($E33/366))</f>
        <v>0</v>
      </c>
      <c r="I140" s="809"/>
      <c r="J140" s="809">
        <f>(P32/$R32*100*($E32/366))+(P33/$R33*100*($E33/366))</f>
        <v>0</v>
      </c>
      <c r="K140" s="809"/>
      <c r="L140" s="809">
        <f>(Q32/$R32*100*($E32/366))+(Q33/$R33*100*($E33/366))</f>
        <v>100</v>
      </c>
      <c r="M140" s="809"/>
      <c r="N140" s="781">
        <f t="shared" si="19"/>
        <v>100</v>
      </c>
      <c r="O140" s="781"/>
      <c r="R140" s="1">
        <v>1972</v>
      </c>
      <c r="S140" s="8">
        <f>(O32*($E32/366))+(O33*($E33/366))</f>
        <v>0</v>
      </c>
      <c r="T140" s="8">
        <f>(P32*($E32/366))+(P33*($E33/366))</f>
        <v>0</v>
      </c>
      <c r="U140" s="8">
        <f>(Q32*($E32/366))+(Q33*($E33/366))</f>
        <v>46.6</v>
      </c>
      <c r="V140" s="7"/>
      <c r="W140" s="7">
        <f t="shared" si="21"/>
        <v>46.6</v>
      </c>
    </row>
    <row r="141" spans="1:23" x14ac:dyDescent="0.15">
      <c r="A141" s="1">
        <v>1973</v>
      </c>
      <c r="B141" s="8">
        <f>(K34*($E34/365))+(K35*($E35/365))</f>
        <v>0</v>
      </c>
      <c r="C141" s="8">
        <f>(L34*($E34/365))+(L35*($E35/365))</f>
        <v>0</v>
      </c>
      <c r="D141" s="8">
        <f>(M34*($E34/365))+(M35*($E35/365))</f>
        <v>100</v>
      </c>
      <c r="E141" s="61">
        <f t="shared" si="20"/>
        <v>100</v>
      </c>
      <c r="G141" s="1">
        <v>1973</v>
      </c>
      <c r="H141" s="809">
        <f>(O34/$R34*100*($E34/365))+(O35/$R35*100*($E35/365))</f>
        <v>0</v>
      </c>
      <c r="I141" s="809"/>
      <c r="J141" s="809">
        <f>(P34/$R34*100*($E34/365))+(P35/$R35*100*($E35/365))</f>
        <v>0</v>
      </c>
      <c r="K141" s="809"/>
      <c r="L141" s="809">
        <f>(Q34/$R34*100*($E34/365))+(Q35/$R35*100*($E35/365))</f>
        <v>100</v>
      </c>
      <c r="M141" s="809"/>
      <c r="N141" s="781">
        <f t="shared" si="19"/>
        <v>100</v>
      </c>
      <c r="O141" s="781"/>
      <c r="R141" s="1">
        <v>1973</v>
      </c>
      <c r="S141" s="8">
        <f>(O34*($E34/365))+(O35*($E35/365))</f>
        <v>0</v>
      </c>
      <c r="T141" s="8">
        <f>(P34*($E34/365))+(P35*($E35/365))</f>
        <v>0</v>
      </c>
      <c r="U141" s="8">
        <f>(Q34*($E34/365))+(Q35*($E35/365))</f>
        <v>46.260273972602747</v>
      </c>
      <c r="V141" s="7"/>
      <c r="W141" s="7">
        <f t="shared" si="21"/>
        <v>46.260273972602747</v>
      </c>
    </row>
    <row r="142" spans="1:23" x14ac:dyDescent="0.15">
      <c r="A142" s="1">
        <v>1974</v>
      </c>
      <c r="B142" s="8">
        <f>(K36*($E36/365))+(K37*($E37/365))</f>
        <v>0</v>
      </c>
      <c r="C142" s="8">
        <f>(L36*($E36/365))+(L37*($E37/365))</f>
        <v>0</v>
      </c>
      <c r="D142" s="8">
        <f>(M36*($E36/365))+(M37*($E37/365))</f>
        <v>100</v>
      </c>
      <c r="E142" s="61">
        <f t="shared" si="20"/>
        <v>100</v>
      </c>
      <c r="G142" s="1">
        <v>1974</v>
      </c>
      <c r="H142" s="809">
        <f>(O36/$R36*100*($E36/365))+(O37/$R37*100*($E37/365))</f>
        <v>0</v>
      </c>
      <c r="I142" s="809"/>
      <c r="J142" s="809">
        <f>(P36/$R36*100*($E36/365))+(P37/$R37*100*($E37/365))</f>
        <v>0</v>
      </c>
      <c r="K142" s="809"/>
      <c r="L142" s="809">
        <f>(Q36/$R36*100*($E36/365))+(Q37/$R37*100*($E37/365))</f>
        <v>100</v>
      </c>
      <c r="M142" s="809"/>
      <c r="N142" s="781">
        <f t="shared" si="19"/>
        <v>100</v>
      </c>
      <c r="O142" s="781"/>
      <c r="R142" s="1">
        <v>1974</v>
      </c>
      <c r="S142" s="8">
        <f>(O36*($E36/365))+(O37*($E37/365))</f>
        <v>0</v>
      </c>
      <c r="T142" s="8">
        <f>(P36*($E36/365))+(P37*($E37/365))</f>
        <v>0</v>
      </c>
      <c r="U142" s="8">
        <f>(Q36*($E36/365))+(Q37*($E37/365))</f>
        <v>44.6</v>
      </c>
      <c r="V142" s="7"/>
      <c r="W142" s="7">
        <f t="shared" si="21"/>
        <v>44.6</v>
      </c>
    </row>
    <row r="143" spans="1:23" x14ac:dyDescent="0.15">
      <c r="A143" s="1">
        <v>1975</v>
      </c>
      <c r="B143" s="8">
        <f>(K38*($E38/365))+(K39*($E39/365))</f>
        <v>0</v>
      </c>
      <c r="C143" s="8">
        <f>(L38*($E38/365))+(L39*($E39/365))</f>
        <v>0</v>
      </c>
      <c r="D143" s="8">
        <f>(M38*($E38/365))+(M39*($E39/365))</f>
        <v>100</v>
      </c>
      <c r="E143" s="61">
        <f t="shared" si="20"/>
        <v>100</v>
      </c>
      <c r="G143" s="1">
        <v>1975</v>
      </c>
      <c r="H143" s="809">
        <f>(O38/$R38*100*($E38/365))+(O39/$R39*100*($E39/365))</f>
        <v>0</v>
      </c>
      <c r="I143" s="809"/>
      <c r="J143" s="809">
        <f>(P38/$R38*100*($E38/365))+(P39/$R39*100*($E39/365))</f>
        <v>0</v>
      </c>
      <c r="K143" s="809"/>
      <c r="L143" s="809">
        <f>(Q38/$R38*100*($E38/365))+(Q39/$R39*100*($E39/365))</f>
        <v>100</v>
      </c>
      <c r="M143" s="809"/>
      <c r="N143" s="781">
        <f t="shared" si="19"/>
        <v>100</v>
      </c>
      <c r="O143" s="781"/>
      <c r="R143" s="1">
        <v>1975</v>
      </c>
      <c r="S143" s="8">
        <f>(O38*($E38/365))+(O39*($E39/365))</f>
        <v>0</v>
      </c>
      <c r="T143" s="8">
        <f>(P38*($E38/365))+(P39*($E39/365))</f>
        <v>0</v>
      </c>
      <c r="U143" s="8">
        <f>(Q38*($E38/365))+(Q39*($E39/365))</f>
        <v>44.6</v>
      </c>
      <c r="V143" s="7"/>
      <c r="W143" s="7">
        <f t="shared" si="21"/>
        <v>44.6</v>
      </c>
    </row>
    <row r="144" spans="1:23" x14ac:dyDescent="0.15">
      <c r="A144" s="1">
        <v>1976</v>
      </c>
      <c r="B144" s="8">
        <f>(K40*($E40/366))+(K41*($E41/366))</f>
        <v>12.158469945355192</v>
      </c>
      <c r="C144" s="8">
        <f>(L40*($E40/366))+(L41*($E41/366))</f>
        <v>10.942622950819672</v>
      </c>
      <c r="D144" s="8">
        <f>(M40*($E40/366))+(M41*($E41/366))</f>
        <v>75.683060109289613</v>
      </c>
      <c r="E144" s="61">
        <f t="shared" si="20"/>
        <v>98.784153005464475</v>
      </c>
      <c r="G144" s="1">
        <v>1976</v>
      </c>
      <c r="H144" s="809">
        <f>(O40/$R40*100*($E40/366))+(O41/$R41*100*($E41/366))</f>
        <v>12.723980175371709</v>
      </c>
      <c r="I144" s="809"/>
      <c r="J144" s="809">
        <f>(P40/$R40*100*($E40/366))+(P41/$R41*100*($E41/366))</f>
        <v>11.592959715338671</v>
      </c>
      <c r="K144" s="809"/>
      <c r="L144" s="809">
        <f>(Q40/$R40*100*($E40/366))+(Q41/$R41*100*($E41/366))</f>
        <v>75.683060109289613</v>
      </c>
      <c r="M144" s="809"/>
      <c r="N144" s="781">
        <f t="shared" si="19"/>
        <v>100</v>
      </c>
      <c r="O144" s="781"/>
      <c r="R144" s="1">
        <v>1976</v>
      </c>
      <c r="S144" s="8">
        <f>(O40*($E40/366))+(O41*($E41/366))</f>
        <v>6.5655737704918034</v>
      </c>
      <c r="T144" s="8">
        <f>(P40*($E40/366))+(P41*($E41/366))</f>
        <v>5.9819672131147543</v>
      </c>
      <c r="U144" s="8">
        <f>(Q40*($E40/366))+(Q41*($E41/366))</f>
        <v>33.754644808743166</v>
      </c>
      <c r="V144" s="7"/>
      <c r="W144" s="7">
        <f t="shared" si="21"/>
        <v>46.302185792349725</v>
      </c>
    </row>
    <row r="145" spans="1:23" x14ac:dyDescent="0.15">
      <c r="A145" s="1">
        <v>1977</v>
      </c>
      <c r="B145" s="8">
        <f>(K42*($E42/365))+(K43*($E43/365))</f>
        <v>50</v>
      </c>
      <c r="C145" s="8">
        <f>(L42*($E42/365))+(L43*($E43/365))</f>
        <v>45</v>
      </c>
      <c r="D145" s="8">
        <f>(M42*($E42/365))+(M43*($E43/365))</f>
        <v>0</v>
      </c>
      <c r="E145" s="61">
        <f t="shared" si="20"/>
        <v>95</v>
      </c>
      <c r="G145" s="1">
        <v>1977</v>
      </c>
      <c r="H145" s="809">
        <f>(O42/$R42*100*($E42/365))+(O43/$R43*100*($E43/365))</f>
        <v>52.325581395348827</v>
      </c>
      <c r="I145" s="809"/>
      <c r="J145" s="809">
        <f>(P42/$R42*100*($E42/365))+(P43/$R43*100*($E43/365))</f>
        <v>47.674418604651166</v>
      </c>
      <c r="K145" s="809"/>
      <c r="L145" s="809">
        <f>(Q42/$R42*100*($E42/365))+(Q43/$R43*100*($E43/365))</f>
        <v>0</v>
      </c>
      <c r="M145" s="809"/>
      <c r="N145" s="781">
        <f t="shared" si="19"/>
        <v>100</v>
      </c>
      <c r="O145" s="781"/>
      <c r="R145" s="1">
        <v>1977</v>
      </c>
      <c r="S145" s="8">
        <f>(O42*($E42/365))+(O43*($E43/365))</f>
        <v>27</v>
      </c>
      <c r="T145" s="8">
        <f>(P42*($E42/365))+(P43*($E43/365))</f>
        <v>24.6</v>
      </c>
      <c r="U145" s="8">
        <f>(Q42*($E42/365))+(Q43*($E43/365))</f>
        <v>0</v>
      </c>
      <c r="V145" s="7"/>
      <c r="W145" s="7">
        <f t="shared" si="21"/>
        <v>51.6</v>
      </c>
    </row>
    <row r="146" spans="1:23" x14ac:dyDescent="0.15">
      <c r="A146" s="1">
        <v>1978</v>
      </c>
      <c r="B146" s="8">
        <f>(K44*($E44/365))+(K45*($E45/365))</f>
        <v>59.805335255948087</v>
      </c>
      <c r="C146" s="8">
        <f>(L44*($E44/365))+(L45*($E45/365))</f>
        <v>35.136986301369866</v>
      </c>
      <c r="D146" s="8">
        <f>(M44*($E44/365))+(M45*($E45/365))</f>
        <v>0</v>
      </c>
      <c r="E146" s="61">
        <f t="shared" si="20"/>
        <v>94.942321557317953</v>
      </c>
      <c r="G146" s="1">
        <v>1978</v>
      </c>
      <c r="H146" s="809">
        <f>(O44/$R44*100*($E44/365))+(O45/$R45*100*($E45/365))</f>
        <v>62.774769034724429</v>
      </c>
      <c r="I146" s="809"/>
      <c r="J146" s="809">
        <f>(P44/$R44*100*($E44/365))+(P45/$R45*100*($E45/365))</f>
        <v>37.225230965275571</v>
      </c>
      <c r="K146" s="809"/>
      <c r="L146" s="809">
        <f>(Q44/$R44*100*($E44/365))+(Q45/$R45*100*($E45/365))</f>
        <v>0</v>
      </c>
      <c r="M146" s="809"/>
      <c r="N146" s="781">
        <f t="shared" si="19"/>
        <v>100</v>
      </c>
      <c r="O146" s="781"/>
      <c r="R146" s="1">
        <v>1978</v>
      </c>
      <c r="S146" s="8">
        <f>(O44*($E44/365))+(O45*($E45/365))</f>
        <v>23.536986301369865</v>
      </c>
      <c r="T146" s="8">
        <f>(P44*($E44/365))+(P45*($E45/365))</f>
        <v>19.208219178082192</v>
      </c>
      <c r="U146" s="8">
        <f>(Q44*($E44/365))+(Q45*($E45/365))</f>
        <v>0</v>
      </c>
      <c r="V146" s="7"/>
      <c r="W146" s="7">
        <f t="shared" si="21"/>
        <v>42.745205479452054</v>
      </c>
    </row>
    <row r="147" spans="1:23" x14ac:dyDescent="0.15">
      <c r="A147" s="1">
        <v>1979</v>
      </c>
      <c r="B147" s="7">
        <f>(K46*($E46/365))+(K47*($E47/365))</f>
        <v>87.450818827891652</v>
      </c>
      <c r="C147" s="7">
        <f>(L46*($E46/365))+(L47*($E47/365))</f>
        <v>7.3972602739726021</v>
      </c>
      <c r="D147" s="7">
        <f>(M46*($E46/365))+(M47*($E47/365))</f>
        <v>0</v>
      </c>
      <c r="E147" s="61">
        <f t="shared" si="20"/>
        <v>94.848079101864258</v>
      </c>
      <c r="G147" s="1">
        <v>1979</v>
      </c>
      <c r="H147" s="809">
        <f>(O46/$R46*100*($E46/365))+(O47/$R47*100*($E47/365))</f>
        <v>91.89402017882044</v>
      </c>
      <c r="I147" s="809"/>
      <c r="J147" s="809">
        <f>(P46/$R46*100*($E46/365))+(P47/$R47*100*($E47/365))</f>
        <v>8.1059798211795595</v>
      </c>
      <c r="K147" s="809"/>
      <c r="L147" s="809">
        <f>(Q46/$R46*100*($E46/365))+(Q47/$R47*100*($E47/365))</f>
        <v>0</v>
      </c>
      <c r="M147" s="809"/>
      <c r="N147" s="781">
        <f t="shared" si="19"/>
        <v>100</v>
      </c>
      <c r="O147" s="781"/>
      <c r="R147" s="1">
        <v>1979</v>
      </c>
      <c r="S147" s="7">
        <f>(O46*($E46/365))+(O47*($E47/365))</f>
        <v>15.771506849315069</v>
      </c>
      <c r="T147" s="7">
        <f>(P46*($E46/365))+(P47*($E47/365))</f>
        <v>4.0610958904109591</v>
      </c>
      <c r="U147" s="7">
        <f>(Q46*($E46/365))+(Q47*($E47/365))</f>
        <v>0</v>
      </c>
      <c r="V147" s="7"/>
      <c r="W147" s="7">
        <f t="shared" si="21"/>
        <v>19.832602739726028</v>
      </c>
    </row>
    <row r="148" spans="1:23" x14ac:dyDescent="0.15">
      <c r="A148" s="1">
        <v>1980</v>
      </c>
      <c r="B148" s="7">
        <f>(K48*($E48/366))+(K49*($E49/366))</f>
        <v>61.904761904761905</v>
      </c>
      <c r="C148" s="7">
        <f>(L48*($E48/366))+(L49*($E49/366))</f>
        <v>33.333333333333329</v>
      </c>
      <c r="D148" s="7">
        <f>(M48*($E48/366))+(M49*($E49/366))</f>
        <v>0</v>
      </c>
      <c r="E148" s="61">
        <f t="shared" si="20"/>
        <v>95.238095238095241</v>
      </c>
      <c r="G148" s="1">
        <v>1980</v>
      </c>
      <c r="H148" s="809">
        <f>(O48/$R48*100*($E48/366))+(O49/$R49*100*($E49/366))</f>
        <v>63.473053892215567</v>
      </c>
      <c r="I148" s="809"/>
      <c r="J148" s="809">
        <f>(P48/$R48*100*($E48/366))+(P49/$R49*100*($E49/366))</f>
        <v>36.526946107784433</v>
      </c>
      <c r="K148" s="809"/>
      <c r="L148" s="809">
        <f>(Q48/$R48*100*($E48/366))+(Q49/$R49*100*($E49/366))</f>
        <v>0</v>
      </c>
      <c r="M148" s="809"/>
      <c r="N148" s="781">
        <f t="shared" si="19"/>
        <v>100</v>
      </c>
      <c r="O148" s="781"/>
      <c r="R148" s="1">
        <v>1980</v>
      </c>
      <c r="S148" s="7">
        <f>(O48*($E48/366))+(O49*($E49/366))</f>
        <v>31.799999999999997</v>
      </c>
      <c r="T148" s="7">
        <f>(P48*($E48/366))+(P49*($E49/366))</f>
        <v>18.3</v>
      </c>
      <c r="U148" s="7">
        <f>(Q48*($E48/366))+(Q49*($E49/366))</f>
        <v>0</v>
      </c>
      <c r="V148" s="7"/>
      <c r="W148" s="7">
        <f t="shared" si="21"/>
        <v>50.099999999999994</v>
      </c>
    </row>
    <row r="149" spans="1:23" x14ac:dyDescent="0.15">
      <c r="A149" s="1">
        <v>1981</v>
      </c>
      <c r="B149" s="7">
        <f>(K50*($E50/365))+(K51*($E51/365))</f>
        <v>47.779952163513812</v>
      </c>
      <c r="C149" s="7">
        <f>(L50*($E50/365))+(L51*($E51/365))</f>
        <v>46.971080669710808</v>
      </c>
      <c r="D149" s="7">
        <f>(M50*($E50/365))+(M51*($E51/365))</f>
        <v>0</v>
      </c>
      <c r="E149" s="61">
        <f t="shared" si="20"/>
        <v>94.751032833224627</v>
      </c>
      <c r="G149" s="1">
        <v>1981</v>
      </c>
      <c r="H149" s="809">
        <f>(O50/$R50*100*($E50/365))+(O51/$R51*100*($E51/365))</f>
        <v>47.428340916215987</v>
      </c>
      <c r="I149" s="809"/>
      <c r="J149" s="809">
        <f>(P50/$R50*100*($E50/365))+(P51/$R51*100*($E51/365))</f>
        <v>52.57165908378402</v>
      </c>
      <c r="K149" s="809"/>
      <c r="L149" s="809">
        <f>(Q50/$R50*100*($E50/365))+(Q51/$R51*100*($E51/365))</f>
        <v>0</v>
      </c>
      <c r="M149" s="809"/>
      <c r="N149" s="781">
        <f t="shared" si="19"/>
        <v>100</v>
      </c>
      <c r="O149" s="781"/>
      <c r="R149" s="1">
        <v>1981</v>
      </c>
      <c r="S149" s="7">
        <f>(O50*($E50/365))+(O51*($E51/365))</f>
        <v>18.973698630136987</v>
      </c>
      <c r="T149" s="7">
        <f>(P50*($E50/365))+(P51*($E51/365))</f>
        <v>18.3</v>
      </c>
      <c r="U149" s="7">
        <f>(Q50*($E50/365))+(Q51*($E51/365))</f>
        <v>0</v>
      </c>
      <c r="V149" s="7"/>
      <c r="W149" s="7">
        <f t="shared" si="21"/>
        <v>37.273698630136991</v>
      </c>
    </row>
    <row r="150" spans="1:23" x14ac:dyDescent="0.15">
      <c r="A150" s="1">
        <v>1982</v>
      </c>
      <c r="B150" s="7">
        <f>(K52*($E52/365))+(K53*($E53/365))</f>
        <v>29.832572298325726</v>
      </c>
      <c r="C150" s="7">
        <f>(L52*($E52/365))+(L53*($E53/365))</f>
        <v>42.6179604261796</v>
      </c>
      <c r="D150" s="7">
        <f>(M52*($E52/365))+(M53*($E53/365))</f>
        <v>23.287671232876711</v>
      </c>
      <c r="E150" s="61">
        <f t="shared" si="20"/>
        <v>95.738203957382041</v>
      </c>
      <c r="G150" s="1">
        <v>1982</v>
      </c>
      <c r="H150" s="822">
        <f>(O52/$R52*100*($E52/365))+(O53/$R53*100*($E53/365))</f>
        <v>28.635766560330264</v>
      </c>
      <c r="I150" s="822"/>
      <c r="J150" s="822">
        <f>(P52/$R52*100*($E52/365))+(P53/$R53*100*($E53/365))</f>
        <v>48.076562206793014</v>
      </c>
      <c r="K150" s="822"/>
      <c r="L150" s="822">
        <f>(Q52/$R52*100*($E52/365))+(Q53/$R53*100*($E53/365))</f>
        <v>23.287671232876711</v>
      </c>
      <c r="M150" s="822"/>
      <c r="N150" s="781">
        <f t="shared" si="19"/>
        <v>100</v>
      </c>
      <c r="O150" s="781"/>
      <c r="R150" s="1">
        <v>1982</v>
      </c>
      <c r="S150" s="7">
        <f>(O52*($E52/365))+(O53*($E53/365))</f>
        <v>8.3616438356164373</v>
      </c>
      <c r="T150" s="7">
        <f>(P52*($E52/365))+(P53*($E53/365))</f>
        <v>14.038356164383561</v>
      </c>
      <c r="U150" s="7">
        <f>(Q52*($E52/365))+(Q53*($E53/365))</f>
        <v>11.084931506849315</v>
      </c>
      <c r="V150" s="7"/>
      <c r="W150" s="7">
        <f t="shared" si="21"/>
        <v>33.484931506849314</v>
      </c>
    </row>
    <row r="151" spans="1:23" x14ac:dyDescent="0.15">
      <c r="A151" s="1">
        <v>1983</v>
      </c>
      <c r="B151" s="7">
        <f>(K54*($E54/365))+(K55*($E55/365))</f>
        <v>0</v>
      </c>
      <c r="C151" s="7">
        <f>(L54*($E54/365))+(L55*($E55/365))</f>
        <v>0</v>
      </c>
      <c r="D151" s="7">
        <f>(M54*($E54/365))+(M55*($E55/365))</f>
        <v>100</v>
      </c>
      <c r="E151" s="61">
        <f t="shared" si="20"/>
        <v>100</v>
      </c>
      <c r="G151" s="1">
        <v>1983</v>
      </c>
      <c r="H151" s="822">
        <f>(O54/$R54*100*($E54/365))+(O55/$R55*100*($E55/365))</f>
        <v>0</v>
      </c>
      <c r="I151" s="822"/>
      <c r="J151" s="822">
        <f>(P54/$R54*100*($E54/365))+(P55/$R55*100*($E55/365))</f>
        <v>0</v>
      </c>
      <c r="K151" s="822"/>
      <c r="L151" s="822">
        <f>(Q54/$R54*100*($E54/365))+(Q55/$R55*100*($E55/365))</f>
        <v>100</v>
      </c>
      <c r="M151" s="822"/>
      <c r="N151" s="781">
        <f t="shared" si="19"/>
        <v>100</v>
      </c>
      <c r="O151" s="781"/>
      <c r="R151" s="1">
        <v>1983</v>
      </c>
      <c r="S151" s="7">
        <f>(O54*($E54/365))+(O55*($E55/365))</f>
        <v>0</v>
      </c>
      <c r="T151" s="7">
        <f>(P54*($E54/365))+(P55*($E55/365))</f>
        <v>0</v>
      </c>
      <c r="U151" s="7">
        <f>(Q54*($E54/365))+(Q55*($E55/365))</f>
        <v>47.6</v>
      </c>
      <c r="V151" s="7"/>
      <c r="W151" s="7">
        <f t="shared" si="21"/>
        <v>47.6</v>
      </c>
    </row>
    <row r="152" spans="1:23" x14ac:dyDescent="0.15">
      <c r="A152" s="1">
        <v>1984</v>
      </c>
      <c r="B152" s="7">
        <f>(K56*($E56/366))+(K57*($E57/366))</f>
        <v>0</v>
      </c>
      <c r="C152" s="7">
        <f>(L56*($E56/366))+(L57*($E57/366))</f>
        <v>0</v>
      </c>
      <c r="D152" s="7">
        <f>(M56*($E56/366))+(M57*($E57/366))</f>
        <v>100</v>
      </c>
      <c r="E152" s="61">
        <f t="shared" si="20"/>
        <v>100</v>
      </c>
      <c r="G152" s="1">
        <v>1984</v>
      </c>
      <c r="H152" s="822">
        <f>(O56/$R56*100*($E56/366))+(O57/$R57*100*($E57/366))</f>
        <v>0</v>
      </c>
      <c r="I152" s="822"/>
      <c r="J152" s="822">
        <f>(P56/$R56*100*($E56/366))+(P57/$R57*100*($E57/366))</f>
        <v>0</v>
      </c>
      <c r="K152" s="822"/>
      <c r="L152" s="822">
        <f>(Q56/$R56*100*($E56/366))+(Q57/$R57*100*($E57/366))</f>
        <v>100</v>
      </c>
      <c r="M152" s="822"/>
      <c r="N152" s="781">
        <f t="shared" si="19"/>
        <v>100</v>
      </c>
      <c r="O152" s="781"/>
      <c r="R152" s="1">
        <v>1984</v>
      </c>
      <c r="S152" s="7">
        <f>(O56*($E56/366))+(O57*($E57/366))</f>
        <v>0</v>
      </c>
      <c r="T152" s="7">
        <f>(P56*($E56/366))+(P57*($E57/366))</f>
        <v>0</v>
      </c>
      <c r="U152" s="7">
        <f>(Q56*($E56/366))+(Q57*($E57/366))</f>
        <v>47.6</v>
      </c>
      <c r="V152" s="7"/>
      <c r="W152" s="7">
        <f t="shared" si="21"/>
        <v>47.6</v>
      </c>
    </row>
    <row r="153" spans="1:23" x14ac:dyDescent="0.15">
      <c r="A153" s="1">
        <v>1985</v>
      </c>
      <c r="B153" s="7">
        <f>(K58*($E58/365))+(K59*($E59/365))</f>
        <v>0</v>
      </c>
      <c r="C153" s="7">
        <f>(L58*($E58/365))+(L59*($E59/365))</f>
        <v>0</v>
      </c>
      <c r="D153" s="7">
        <f>(M58*($E58/365))+(M59*($E59/365))</f>
        <v>100</v>
      </c>
      <c r="E153" s="61">
        <f t="shared" si="20"/>
        <v>100</v>
      </c>
      <c r="G153" s="1">
        <v>1985</v>
      </c>
      <c r="H153" s="822">
        <f>(O58/$R58*100*($E58/365))+(O59/$R59*100*($E59/365))</f>
        <v>0</v>
      </c>
      <c r="I153" s="822"/>
      <c r="J153" s="822">
        <f>(P58/$R58*100*($E58/365))+(P59/$R59*100*($E59/365))</f>
        <v>0</v>
      </c>
      <c r="K153" s="822"/>
      <c r="L153" s="822">
        <f>(Q58/$R58*100*($E58/365))+(Q59/$R59*100*($E59/365))</f>
        <v>100</v>
      </c>
      <c r="M153" s="822"/>
      <c r="N153" s="781">
        <f t="shared" si="19"/>
        <v>100</v>
      </c>
      <c r="O153" s="781"/>
      <c r="R153" s="1">
        <v>1985</v>
      </c>
      <c r="S153" s="7">
        <f>(O58*($E58/365))+(O59*($E59/365))</f>
        <v>0</v>
      </c>
      <c r="T153" s="7">
        <f>(P58*($E58/365))+(P59*($E59/365))</f>
        <v>0</v>
      </c>
      <c r="U153" s="7">
        <f>(Q58*($E58/365))+(Q59*($E59/365))</f>
        <v>47.112328767123287</v>
      </c>
      <c r="V153" s="7"/>
      <c r="W153" s="7">
        <f t="shared" si="21"/>
        <v>47.112328767123287</v>
      </c>
    </row>
    <row r="154" spans="1:23" x14ac:dyDescent="0.15">
      <c r="A154" s="1">
        <v>1986</v>
      </c>
      <c r="B154" s="7">
        <f>(K60*($E60/365))+(K61*($E61/365))</f>
        <v>0</v>
      </c>
      <c r="C154" s="7">
        <f>(L60*($E60/365))+(L61*($E61/365))</f>
        <v>0</v>
      </c>
      <c r="D154" s="7">
        <f>(M60*($E60/365))+(M61*($E61/365))</f>
        <v>100</v>
      </c>
      <c r="E154" s="61">
        <f t="shared" si="20"/>
        <v>100</v>
      </c>
      <c r="G154" s="1">
        <v>1986</v>
      </c>
      <c r="H154" s="822">
        <f>(O60/$R60*100*($E60/365))+(O61/$R61*100*($E61/365))</f>
        <v>0</v>
      </c>
      <c r="I154" s="822"/>
      <c r="J154" s="822">
        <f>(P60/$R60*100*($E60/365))+(P61/$R61*100*($E61/365))</f>
        <v>0</v>
      </c>
      <c r="K154" s="822"/>
      <c r="L154" s="822">
        <f>(Q60/$R60*100*($E60/365))+(Q61/$R61*100*($E61/365))</f>
        <v>100</v>
      </c>
      <c r="M154" s="822"/>
      <c r="N154" s="781">
        <f t="shared" si="19"/>
        <v>100</v>
      </c>
      <c r="O154" s="781"/>
      <c r="R154" s="1">
        <v>1986</v>
      </c>
      <c r="S154" s="7">
        <f>(O60*($E60/365))+(O61*($E61/365))</f>
        <v>0</v>
      </c>
      <c r="T154" s="7">
        <f>(P60*($E60/365))+(P61*($E61/365))</f>
        <v>0</v>
      </c>
      <c r="U154" s="7">
        <f>(Q60*($E60/365))+(Q61*($E61/365))</f>
        <v>45.6</v>
      </c>
      <c r="V154" s="7"/>
      <c r="W154" s="7">
        <f t="shared" si="21"/>
        <v>45.6</v>
      </c>
    </row>
    <row r="155" spans="1:23" x14ac:dyDescent="0.15">
      <c r="A155" s="1">
        <v>1987</v>
      </c>
      <c r="B155" s="7">
        <f>(K62*($E62/365))+(K63*($E63/365))</f>
        <v>0</v>
      </c>
      <c r="C155" s="7">
        <f>(L62*($E62/365))+(L63*($E63/365))</f>
        <v>0</v>
      </c>
      <c r="D155" s="7">
        <f>(M62*($E62/365))+(M63*($E63/365))</f>
        <v>100</v>
      </c>
      <c r="E155" s="61">
        <f>B155+C155+D155</f>
        <v>100</v>
      </c>
      <c r="G155" s="1">
        <v>1987</v>
      </c>
      <c r="H155" s="822">
        <f>(O62/$R62*100*($E62/365))+(O63/$R63*100*($E63/365))</f>
        <v>0</v>
      </c>
      <c r="I155" s="822"/>
      <c r="J155" s="822">
        <f>(P62/$R62*100*($E62/365))+(P63/$R63*100*($E63/365))</f>
        <v>0</v>
      </c>
      <c r="K155" s="822"/>
      <c r="L155" s="822">
        <f>(Q62/$R62*100*($E62/365))+(Q63/$R63*100*($E63/365))</f>
        <v>100</v>
      </c>
      <c r="M155" s="822"/>
      <c r="N155" s="781">
        <f t="shared" si="19"/>
        <v>100</v>
      </c>
      <c r="O155" s="781"/>
      <c r="R155" s="1">
        <v>1987</v>
      </c>
      <c r="S155" s="7">
        <f>(O62*($E62/365))+(O63*($E63/365))</f>
        <v>0</v>
      </c>
      <c r="T155" s="7">
        <f>(P62*($E62/365))+(P63*($E63/365))</f>
        <v>0</v>
      </c>
      <c r="U155" s="7">
        <f>(Q62*($E62/365))+(Q63*($E63/365))</f>
        <v>45.6</v>
      </c>
      <c r="V155" s="7"/>
      <c r="W155" s="7">
        <f t="shared" si="21"/>
        <v>45.6</v>
      </c>
    </row>
    <row r="156" spans="1:23" x14ac:dyDescent="0.15">
      <c r="A156" s="1">
        <v>1988</v>
      </c>
      <c r="B156" s="7">
        <f>(K64*($E64/366))+(K65*($E65/366))</f>
        <v>0</v>
      </c>
      <c r="C156" s="7">
        <f>(L64*($E64/366))+(L65*($E65/366))</f>
        <v>0</v>
      </c>
      <c r="D156" s="7">
        <f>(M64*($E64/366))+(M65*($E65/366))</f>
        <v>100</v>
      </c>
      <c r="E156" s="61">
        <f t="shared" si="20"/>
        <v>100</v>
      </c>
      <c r="G156" s="1">
        <v>1988</v>
      </c>
      <c r="H156" s="822">
        <f>(O64/$R64*100*($E64/366))+(O65/$R65*100*($E65/366))</f>
        <v>0</v>
      </c>
      <c r="I156" s="822"/>
      <c r="J156" s="822">
        <f>(P64/$R64*100*($E64/366))+(P65/$R65*100*($E65/366))</f>
        <v>0</v>
      </c>
      <c r="K156" s="822"/>
      <c r="L156" s="822">
        <f>(Q64/$R64*100*($E64/366))+(Q65/$R65*100*($E65/366))</f>
        <v>100</v>
      </c>
      <c r="M156" s="822"/>
      <c r="N156" s="781">
        <f t="shared" si="19"/>
        <v>100</v>
      </c>
      <c r="O156" s="781"/>
      <c r="R156" s="1">
        <v>1988</v>
      </c>
      <c r="S156" s="7">
        <f>(O64*($E64/366))+(O65*($E65/366))</f>
        <v>0</v>
      </c>
      <c r="T156" s="7">
        <f>(P64*($E64/366))+(P65*($E65/366))</f>
        <v>0</v>
      </c>
      <c r="U156" s="7">
        <f>(Q64*($E64/366))+(Q65*($E65/366))</f>
        <v>45.381147540983605</v>
      </c>
      <c r="V156" s="7"/>
      <c r="W156" s="7">
        <f t="shared" si="21"/>
        <v>45.381147540983605</v>
      </c>
    </row>
    <row r="157" spans="1:23" x14ac:dyDescent="0.15">
      <c r="A157" s="1">
        <v>1989</v>
      </c>
      <c r="B157" s="7">
        <f>(K66*($E66/365))+(K67*($E67/365))</f>
        <v>0</v>
      </c>
      <c r="C157" s="7">
        <f>(L66*($E66/365))+(L67*($E67/365))</f>
        <v>0</v>
      </c>
      <c r="D157" s="7">
        <f>(M66*($E66/365))+(M67*($E67/365))</f>
        <v>100</v>
      </c>
      <c r="E157" s="61">
        <f t="shared" si="20"/>
        <v>100</v>
      </c>
      <c r="G157" s="1">
        <v>1989</v>
      </c>
      <c r="H157" s="822">
        <f>(O66/$R66*100*($E66/365))+(O67/$R67*100*($E67/365))</f>
        <v>0</v>
      </c>
      <c r="I157" s="822"/>
      <c r="J157" s="822">
        <f>(P66/$R66*100*($E66/365))+(P67/$R67*100*($E67/365))</f>
        <v>0</v>
      </c>
      <c r="K157" s="822"/>
      <c r="L157" s="822">
        <f>(Q66/$R66*100*($E66/365))+(Q67/$R67*100*($E67/365))</f>
        <v>100</v>
      </c>
      <c r="M157" s="822"/>
      <c r="N157" s="781">
        <f t="shared" si="19"/>
        <v>100</v>
      </c>
      <c r="O157" s="781"/>
      <c r="R157" s="1">
        <v>1989</v>
      </c>
      <c r="S157" s="7">
        <f>(O66*($E66/365))+(O67*($E67/365))</f>
        <v>0</v>
      </c>
      <c r="T157" s="7">
        <f>(P66*($E66/365))+(P67*($E67/365))</f>
        <v>0</v>
      </c>
      <c r="U157" s="7">
        <f>(Q66*($E66/365))+(Q67*($E67/365))</f>
        <v>44.7</v>
      </c>
      <c r="V157" s="7"/>
      <c r="W157" s="7">
        <f t="shared" si="21"/>
        <v>44.7</v>
      </c>
    </row>
    <row r="158" spans="1:23" x14ac:dyDescent="0.15">
      <c r="A158" s="1">
        <v>1990</v>
      </c>
      <c r="B158" s="7">
        <f>(K68*($E68/365))+(K69*($E69/365))</f>
        <v>0</v>
      </c>
      <c r="C158" s="7">
        <f>(L68*($E68/365))+(L69*($E69/365))</f>
        <v>0</v>
      </c>
      <c r="D158" s="7">
        <f>(M68*($E68/365))+(M69*($E69/365))</f>
        <v>100</v>
      </c>
      <c r="E158" s="61">
        <f t="shared" si="20"/>
        <v>100</v>
      </c>
      <c r="G158" s="1">
        <v>1990</v>
      </c>
      <c r="H158" s="822">
        <f>(O68/$R68*100*($E68/365))+(O69/$R69*100*($E69/365))</f>
        <v>0</v>
      </c>
      <c r="I158" s="822"/>
      <c r="J158" s="822">
        <f>(P68/$R68*100*($E68/365))+(P69/$R69*100*($E69/365))</f>
        <v>0</v>
      </c>
      <c r="K158" s="822"/>
      <c r="L158" s="822">
        <f>(Q68/$R68*100*($E68/365))+(Q69/$R69*100*($E69/365))</f>
        <v>100</v>
      </c>
      <c r="M158" s="822"/>
      <c r="N158" s="781">
        <f t="shared" si="19"/>
        <v>100</v>
      </c>
      <c r="O158" s="781"/>
      <c r="R158" s="1">
        <v>1990</v>
      </c>
      <c r="S158" s="7">
        <f>(O68*($E68/365))+(O69*($E69/365))</f>
        <v>0</v>
      </c>
      <c r="T158" s="7">
        <f>(P68*($E68/365))+(P69*($E69/365))</f>
        <v>0</v>
      </c>
      <c r="U158" s="7">
        <f>(Q68*($E68/365))+(Q69*($E69/365))</f>
        <v>44.7</v>
      </c>
      <c r="V158" s="7"/>
      <c r="W158" s="7">
        <f t="shared" si="21"/>
        <v>44.7</v>
      </c>
    </row>
    <row r="159" spans="1:23" x14ac:dyDescent="0.15">
      <c r="A159" s="1">
        <v>1991</v>
      </c>
      <c r="B159" s="7">
        <f>(K70*($E70/365))+(K71*($E71/365))</f>
        <v>15.264187866927593</v>
      </c>
      <c r="C159" s="7">
        <f>(L70*($E70/365))+(L71*($E71/365))</f>
        <v>8.2191780821917799</v>
      </c>
      <c r="D159" s="7">
        <f>(M70*($E70/365))+(M71*($E71/365))</f>
        <v>75.342465753424662</v>
      </c>
      <c r="E159" s="61">
        <f t="shared" si="20"/>
        <v>98.825831702544036</v>
      </c>
      <c r="G159" s="1">
        <v>1991</v>
      </c>
      <c r="H159" s="822">
        <f>(O70/$R70*100*($E70/365))+(O71/$R71*100*($E71/365))</f>
        <v>16.404601839610699</v>
      </c>
      <c r="I159" s="822"/>
      <c r="J159" s="822">
        <f>(P70/$R70*100*($E70/365))+(P71/$R71*100*($E71/365))</f>
        <v>8.252932406964641</v>
      </c>
      <c r="K159" s="822"/>
      <c r="L159" s="822">
        <f>(Q70/$R70*100*($E70/365))+(Q71/$R71*100*($E71/365))</f>
        <v>75.342465753424662</v>
      </c>
      <c r="M159" s="822"/>
      <c r="N159" s="781">
        <f t="shared" si="19"/>
        <v>100</v>
      </c>
      <c r="O159" s="781"/>
      <c r="R159" s="1">
        <v>1991</v>
      </c>
      <c r="S159" s="7">
        <f>(O70*($E70/365))+(O71*($E71/365))</f>
        <v>7.9890410958904106</v>
      </c>
      <c r="T159" s="7">
        <f>(P70*($E70/365))+(P71*($E71/365))</f>
        <v>4.0191780821917806</v>
      </c>
      <c r="U159" s="7">
        <f>(Q70*($E70/365))+(Q71*($E71/365))</f>
        <v>33.678082191780824</v>
      </c>
      <c r="V159" s="7"/>
      <c r="W159" s="7">
        <f t="shared" si="21"/>
        <v>45.686301369863017</v>
      </c>
    </row>
    <row r="160" spans="1:23" x14ac:dyDescent="0.15">
      <c r="A160" s="1">
        <v>1992</v>
      </c>
      <c r="B160" s="7">
        <f>(K72*($E72/366))+(K73*($E73/366))</f>
        <v>65</v>
      </c>
      <c r="C160" s="7">
        <f>(L72*($E72/366))+(L73*($E73/366))</f>
        <v>30</v>
      </c>
      <c r="D160" s="7">
        <f>(M72*($E72/366))+(M73*($E73/366))</f>
        <v>0</v>
      </c>
      <c r="E160" s="61">
        <f t="shared" si="20"/>
        <v>95</v>
      </c>
      <c r="G160" s="1">
        <v>1992</v>
      </c>
      <c r="H160" s="822">
        <f>(O72/$R72*100*($E72/366))+(O73/$R73*100*($E73/366))</f>
        <v>66.529774127310063</v>
      </c>
      <c r="I160" s="822"/>
      <c r="J160" s="822">
        <f>(P72/$R72*100*($E72/366))+(P73/$R73*100*($E73/366))</f>
        <v>33.470225872689937</v>
      </c>
      <c r="K160" s="822"/>
      <c r="L160" s="822">
        <f>(Q72/$R72*100*($E72/366))+(Q73/$R73*100*($E73/366))</f>
        <v>0</v>
      </c>
      <c r="M160" s="822"/>
      <c r="N160" s="781">
        <f t="shared" ref="N160:N180" si="22">H160+J160+L160</f>
        <v>100</v>
      </c>
      <c r="O160" s="781"/>
      <c r="R160" s="1">
        <v>1992</v>
      </c>
      <c r="S160" s="7">
        <f>(O72*($E72/366))+(O73*($E73/366))</f>
        <v>32.4</v>
      </c>
      <c r="T160" s="7">
        <f>(P72*($E72/366))+(P73*($E73/366))</f>
        <v>16.3</v>
      </c>
      <c r="U160" s="7">
        <f>(Q72*($E72/366))+(Q73*($E73/366))</f>
        <v>0</v>
      </c>
      <c r="V160" s="7"/>
      <c r="W160" s="7">
        <f t="shared" si="21"/>
        <v>48.7</v>
      </c>
    </row>
    <row r="161" spans="1:23" x14ac:dyDescent="0.15">
      <c r="A161" s="1">
        <v>1993</v>
      </c>
      <c r="B161" s="7">
        <f>(K74*($E74/365))+(K75*($E75/365))</f>
        <v>61.904761904761905</v>
      </c>
      <c r="C161" s="7">
        <f>(L74*($E74/365))+(L75*($E75/365))</f>
        <v>33.333333333333329</v>
      </c>
      <c r="D161" s="7">
        <f>(M74*($E74/365))+(M75*($E75/365))</f>
        <v>0</v>
      </c>
      <c r="E161" s="61">
        <f t="shared" si="20"/>
        <v>95.238095238095241</v>
      </c>
      <c r="G161" s="1">
        <v>1993</v>
      </c>
      <c r="H161" s="822">
        <f>(O74/$R74*100*($E74/365))+(O75/$R75*100*($E75/365))</f>
        <v>66.529774127310063</v>
      </c>
      <c r="I161" s="822"/>
      <c r="J161" s="822">
        <f>(P74/$R74*100*($E74/365))+(P75/$R75*100*($E75/365))</f>
        <v>33.470225872689937</v>
      </c>
      <c r="K161" s="822"/>
      <c r="L161" s="822">
        <f>(Q74/$R74*100*($E74/365))+(Q75/$R75*100*($E75/365))</f>
        <v>0</v>
      </c>
      <c r="M161" s="822"/>
      <c r="N161" s="781">
        <f t="shared" si="22"/>
        <v>100</v>
      </c>
      <c r="O161" s="781"/>
      <c r="R161" s="1">
        <v>1993</v>
      </c>
      <c r="S161" s="7">
        <f>(O74*($E74/365))+(O75*($E75/365))</f>
        <v>32.4</v>
      </c>
      <c r="T161" s="7">
        <f>(P74*($E74/365))+(P75*($E75/365))</f>
        <v>16.3</v>
      </c>
      <c r="U161" s="7">
        <f>(Q74*($E74/365))+(Q75*($E75/365))</f>
        <v>0</v>
      </c>
      <c r="V161" s="7"/>
      <c r="W161" s="7">
        <f t="shared" si="21"/>
        <v>48.7</v>
      </c>
    </row>
    <row r="162" spans="1:23" x14ac:dyDescent="0.15">
      <c r="A162" s="1">
        <v>1994</v>
      </c>
      <c r="B162" s="7">
        <f>(K76*($E76/365))+(K77*($E77/365))</f>
        <v>47.149380300065232</v>
      </c>
      <c r="C162" s="7">
        <f>(L76*($E76/365))+(L77*($E77/365))</f>
        <v>25.388127853881276</v>
      </c>
      <c r="D162" s="7">
        <f>(M76*($E76/365))+(M77*($E77/365))</f>
        <v>23.835616438356162</v>
      </c>
      <c r="E162" s="61">
        <f t="shared" si="20"/>
        <v>96.373124592302673</v>
      </c>
      <c r="G162" s="1">
        <v>1994</v>
      </c>
      <c r="H162" s="822">
        <f>(O76/$R76*100*($E76/365))+(O77/$R77*100*($E77/365))</f>
        <v>50.671992349019717</v>
      </c>
      <c r="I162" s="822"/>
      <c r="J162" s="822">
        <f>(P76/$R76*100*($E76/365))+(P77/$R77*100*($E77/365))</f>
        <v>25.492391212624117</v>
      </c>
      <c r="K162" s="822"/>
      <c r="L162" s="822">
        <f>(Q76/$R76*100*($E76/365))+(Q77/$R77*100*($E77/365))</f>
        <v>23.835616438356162</v>
      </c>
      <c r="M162" s="822"/>
      <c r="N162" s="781">
        <f t="shared" si="22"/>
        <v>100</v>
      </c>
      <c r="O162" s="781"/>
      <c r="R162" s="1">
        <v>1994</v>
      </c>
      <c r="S162" s="7">
        <f>(O76*($E76/365))+(O77*($E77/365))</f>
        <v>24.6772602739726</v>
      </c>
      <c r="T162" s="7">
        <f>(P76*($E76/365))+(P77*($E77/365))</f>
        <v>12.414794520547945</v>
      </c>
      <c r="U162" s="7">
        <f>(Q76*($E76/365))+(Q77*($E77/365))</f>
        <v>10.988219178082192</v>
      </c>
      <c r="V162" s="7"/>
      <c r="W162" s="7">
        <f t="shared" si="21"/>
        <v>48.080273972602733</v>
      </c>
    </row>
    <row r="163" spans="1:23" x14ac:dyDescent="0.15">
      <c r="A163" s="1">
        <v>1995</v>
      </c>
      <c r="B163" s="7">
        <f>(K78*($E78/365))+(K79*($E79/365))</f>
        <v>0</v>
      </c>
      <c r="C163" s="7">
        <f>(L78*($E78/365))+(L79*($E79/365))</f>
        <v>0</v>
      </c>
      <c r="D163" s="7">
        <f>(M78*($E78/365))+(M79*($E79/365))</f>
        <v>100</v>
      </c>
      <c r="E163" s="61">
        <f t="shared" si="20"/>
        <v>100</v>
      </c>
      <c r="G163" s="1">
        <v>1995</v>
      </c>
      <c r="H163" s="822">
        <f>(O78/$R78*100*($E78/365))+(O79/$R79*100*($E79/365))</f>
        <v>0</v>
      </c>
      <c r="I163" s="822"/>
      <c r="J163" s="822">
        <f>(P78/$R78*100*($E78/365))+(P79/$R79*100*($E79/365))</f>
        <v>0</v>
      </c>
      <c r="K163" s="822"/>
      <c r="L163" s="822">
        <f>(Q78/$R78*100*($E78/365))+(Q79/$R79*100*($E79/365))</f>
        <v>100</v>
      </c>
      <c r="M163" s="822"/>
      <c r="N163" s="781">
        <f t="shared" si="22"/>
        <v>100</v>
      </c>
      <c r="O163" s="781"/>
      <c r="R163" s="1">
        <v>1995</v>
      </c>
      <c r="S163" s="7">
        <f>(O78*($E78/365))+(O79*($E79/365))</f>
        <v>0</v>
      </c>
      <c r="T163" s="7">
        <f>(P78*($E78/365))+(P79*($E79/365))</f>
        <v>0</v>
      </c>
      <c r="U163" s="7">
        <f>(Q78*($E78/365))+(Q79*($E79/365))</f>
        <v>46.1</v>
      </c>
      <c r="V163" s="7"/>
      <c r="W163" s="7">
        <f t="shared" si="21"/>
        <v>46.1</v>
      </c>
    </row>
    <row r="164" spans="1:23" x14ac:dyDescent="0.15">
      <c r="A164" s="1">
        <v>1996</v>
      </c>
      <c r="B164" s="7">
        <f>(K80*($E80/366))+(K81*($E81/366))</f>
        <v>0</v>
      </c>
      <c r="C164" s="7">
        <f>(L80*($E80/366))+(L81*($E81/366))</f>
        <v>0</v>
      </c>
      <c r="D164" s="7">
        <f>(M80*($E80/366))+(M81*($E81/366))</f>
        <v>100</v>
      </c>
      <c r="E164" s="61">
        <f t="shared" si="20"/>
        <v>100</v>
      </c>
      <c r="G164" s="1">
        <v>1996</v>
      </c>
      <c r="H164" s="822">
        <f>(O80/$R80*100*($E80/366))+(O81/$R81*100*($E81/366))</f>
        <v>0</v>
      </c>
      <c r="I164" s="822"/>
      <c r="J164" s="822">
        <f>(P80/$R80*100*($E80/366))+(P81/$R81*100*($E81/366))</f>
        <v>0</v>
      </c>
      <c r="K164" s="822"/>
      <c r="L164" s="822">
        <f>(Q80/$R80*100*($E80/366))+(Q81/$R81*100*($E81/366))</f>
        <v>100</v>
      </c>
      <c r="M164" s="822"/>
      <c r="N164" s="781">
        <f t="shared" si="22"/>
        <v>100</v>
      </c>
      <c r="O164" s="781"/>
      <c r="R164" s="1">
        <v>1996</v>
      </c>
      <c r="S164" s="7">
        <f>(O80*($E80/366))+(O81*($E81/366))</f>
        <v>0</v>
      </c>
      <c r="T164" s="7">
        <f>(P80*($E80/366))+(P81*($E81/366))</f>
        <v>0</v>
      </c>
      <c r="U164" s="7">
        <f>(Q80*($E80/366))+(Q81*($E81/366))</f>
        <v>46.1</v>
      </c>
      <c r="V164" s="7"/>
      <c r="W164" s="7">
        <f t="shared" si="21"/>
        <v>46.1</v>
      </c>
    </row>
    <row r="165" spans="1:23" x14ac:dyDescent="0.15">
      <c r="A165" s="1">
        <v>1997</v>
      </c>
      <c r="B165" s="7">
        <f>(K82*($E82/365))+(K83*($E83/365))</f>
        <v>0</v>
      </c>
      <c r="C165" s="7">
        <f>(L82*($E82/365))+(L83*($E83/365))</f>
        <v>0</v>
      </c>
      <c r="D165" s="7">
        <f>(M82*($E82/365))+(M83*($E83/365))</f>
        <v>100</v>
      </c>
      <c r="E165" s="61">
        <f t="shared" si="20"/>
        <v>100</v>
      </c>
      <c r="G165" s="1">
        <v>1997</v>
      </c>
      <c r="H165" s="822">
        <f>(O82/$R82*100*($E82/365))+(O83/$R83*100*($E83/365))</f>
        <v>0</v>
      </c>
      <c r="I165" s="822"/>
      <c r="J165" s="822">
        <f>(P82/$R82*100*($E82/365))+(P83/$R83*100*($E83/365))</f>
        <v>0</v>
      </c>
      <c r="K165" s="822"/>
      <c r="L165" s="822">
        <f>(Q82/$R82*100*($E82/365))+(Q83/$R83*100*($E83/365))</f>
        <v>100</v>
      </c>
      <c r="M165" s="822"/>
      <c r="N165" s="781">
        <f t="shared" si="22"/>
        <v>100</v>
      </c>
      <c r="O165" s="781"/>
      <c r="R165" s="1">
        <v>1997</v>
      </c>
      <c r="S165" s="7">
        <f>(O82*($E82/365))+(O83*($E83/365))</f>
        <v>0</v>
      </c>
      <c r="T165" s="7">
        <f>(P82*($E82/365))+(P83*($E83/365))</f>
        <v>0</v>
      </c>
      <c r="U165" s="7">
        <f>(Q82*($E82/365))+(Q83*($E83/365))</f>
        <v>46.1</v>
      </c>
      <c r="V165" s="7"/>
      <c r="W165" s="7">
        <f t="shared" si="21"/>
        <v>46.1</v>
      </c>
    </row>
    <row r="166" spans="1:23" x14ac:dyDescent="0.15">
      <c r="A166" s="1">
        <v>1998</v>
      </c>
      <c r="B166" s="7">
        <f>(K84*($E84/365))+(K85*($E85/365))</f>
        <v>0</v>
      </c>
      <c r="C166" s="7">
        <f>(L84*($E84/365))+(L85*($E85/365))</f>
        <v>0</v>
      </c>
      <c r="D166" s="7">
        <f>(M84*($E84/365))+(M85*($E85/365))</f>
        <v>100</v>
      </c>
      <c r="E166" s="61">
        <f t="shared" si="20"/>
        <v>100</v>
      </c>
      <c r="G166" s="1">
        <v>1998</v>
      </c>
      <c r="H166" s="822">
        <f>(O84/$R84*100*($E84/365))+(O85/$R85*100*($E85/365))</f>
        <v>0</v>
      </c>
      <c r="I166" s="822"/>
      <c r="J166" s="822">
        <f>(P84/$R84*100*($E84/365))+(P85/$R85*100*($E85/365))</f>
        <v>0</v>
      </c>
      <c r="K166" s="822"/>
      <c r="L166" s="822">
        <f>(Q84/$R84*100*($E84/365))+(Q85/$R85*100*($E85/365))</f>
        <v>100</v>
      </c>
      <c r="M166" s="822"/>
      <c r="N166" s="781">
        <f t="shared" si="22"/>
        <v>100</v>
      </c>
      <c r="O166" s="781"/>
      <c r="R166" s="1">
        <v>1998</v>
      </c>
      <c r="S166" s="7">
        <f>(O84*($E84/365))+(O85*($E85/365))</f>
        <v>0</v>
      </c>
      <c r="T166" s="7">
        <f>(P84*($E84/365))+(P85*($E85/365))</f>
        <v>0</v>
      </c>
      <c r="U166" s="7">
        <f>(Q84*($E84/365))+(Q85*($E85/365))</f>
        <v>44.050136986301375</v>
      </c>
      <c r="V166" s="7"/>
      <c r="W166" s="7">
        <f t="shared" si="21"/>
        <v>44.050136986301375</v>
      </c>
    </row>
    <row r="167" spans="1:23" x14ac:dyDescent="0.15">
      <c r="A167" s="1">
        <v>1999</v>
      </c>
      <c r="B167" s="7">
        <f>(K86*($E86/365))+(K87*($E87/365))</f>
        <v>0</v>
      </c>
      <c r="C167" s="7">
        <f>(L86*($E86/365))+(L87*($E87/365))</f>
        <v>0</v>
      </c>
      <c r="D167" s="7">
        <f>(M86*($E86/365))+(M87*($E87/365))</f>
        <v>100</v>
      </c>
      <c r="E167" s="61">
        <f t="shared" si="20"/>
        <v>100</v>
      </c>
      <c r="G167" s="1">
        <v>1999</v>
      </c>
      <c r="H167" s="822">
        <f>(O86/$R86*100*($E86/365))+(O87/$R87*100*($E87/365))</f>
        <v>0</v>
      </c>
      <c r="I167" s="822"/>
      <c r="J167" s="822">
        <f>(P86/$R86*100*($E86/365))+(P87/$R87*100*($E87/365))</f>
        <v>0</v>
      </c>
      <c r="K167" s="822"/>
      <c r="L167" s="822">
        <f>(Q86/$R86*100*($E86/365))+(Q87/$R87*100*($E87/365))</f>
        <v>100</v>
      </c>
      <c r="M167" s="822"/>
      <c r="N167" s="781">
        <f t="shared" si="22"/>
        <v>100</v>
      </c>
      <c r="O167" s="781"/>
      <c r="R167" s="1">
        <v>1999</v>
      </c>
      <c r="S167" s="7">
        <f>(O86*($E86/365))+(O87*($E87/365))</f>
        <v>0</v>
      </c>
      <c r="T167" s="7">
        <f>(P86*($E86/365))+(P87*($E87/365))</f>
        <v>0</v>
      </c>
      <c r="U167" s="7">
        <f>(Q86*($E86/365))+(Q87*($E87/365))</f>
        <v>37.5</v>
      </c>
      <c r="V167" s="7"/>
      <c r="W167" s="7">
        <f t="shared" si="21"/>
        <v>37.5</v>
      </c>
    </row>
    <row r="168" spans="1:23" x14ac:dyDescent="0.15">
      <c r="A168" s="1">
        <v>2000</v>
      </c>
      <c r="B168" s="7">
        <f>(K88*($E88/366))+(K89*($E89/366))</f>
        <v>0</v>
      </c>
      <c r="C168" s="7">
        <f>(L88*($E88/366))+(L89*($E89/366))</f>
        <v>0</v>
      </c>
      <c r="D168" s="7">
        <f>(M88*($E88/366))+(M89*($E89/366))</f>
        <v>100</v>
      </c>
      <c r="E168" s="61">
        <f t="shared" si="20"/>
        <v>100</v>
      </c>
      <c r="G168" s="1">
        <v>2000</v>
      </c>
      <c r="H168" s="822">
        <f>(O88/$R88*100*($E88/366))+(O89/$R89*100*($E89/366))</f>
        <v>0</v>
      </c>
      <c r="I168" s="822"/>
      <c r="J168" s="822">
        <f>(P88/$R88*100*($E88/366))+(P89/$R89*100*($E89/366))</f>
        <v>0</v>
      </c>
      <c r="K168" s="822"/>
      <c r="L168" s="822">
        <f>(Q88/$R88*100*($E88/366))+(Q89/$R89*100*($E89/366))</f>
        <v>100</v>
      </c>
      <c r="M168" s="822"/>
      <c r="N168" s="781">
        <f t="shared" si="22"/>
        <v>100</v>
      </c>
      <c r="O168" s="781"/>
      <c r="R168" s="1">
        <v>2000</v>
      </c>
      <c r="S168" s="7">
        <f>(O88*($E88/366))+(O89*($E89/366))</f>
        <v>0</v>
      </c>
      <c r="T168" s="7">
        <f>(P88*($E88/366))+(P89*($E89/366))</f>
        <v>0</v>
      </c>
      <c r="U168" s="7">
        <f>(Q88*($E88/366))+(Q89*($E89/366))</f>
        <v>37.5</v>
      </c>
      <c r="V168" s="7"/>
      <c r="W168" s="7">
        <f t="shared" si="21"/>
        <v>37.5</v>
      </c>
    </row>
    <row r="169" spans="1:23" x14ac:dyDescent="0.15">
      <c r="A169" s="1">
        <v>2001</v>
      </c>
      <c r="B169" s="7">
        <f>(K90*($E90/365))+(K91*($E91/365))</f>
        <v>0</v>
      </c>
      <c r="C169" s="7">
        <f>(L90*($E90/365))+(L91*($E91/365))</f>
        <v>0</v>
      </c>
      <c r="D169" s="7">
        <f>(M90*($E90/365))+(M91*($E91/365))</f>
        <v>100</v>
      </c>
      <c r="E169" s="61">
        <f t="shared" si="20"/>
        <v>100</v>
      </c>
      <c r="G169" s="1">
        <v>2001</v>
      </c>
      <c r="H169" s="822">
        <f>(O90/$R90*100*($E90/365))+(O91/$R91*100*($E91/365))</f>
        <v>0</v>
      </c>
      <c r="I169" s="822"/>
      <c r="J169" s="822">
        <f>(P90/$R90*100*($E90/365))+(P91/$R91*100*($E91/365))</f>
        <v>0</v>
      </c>
      <c r="K169" s="822"/>
      <c r="L169" s="822">
        <f>(Q90/$R90*100*($E90/365))+(Q91/$R91*100*($E91/365))</f>
        <v>100</v>
      </c>
      <c r="M169" s="822"/>
      <c r="N169" s="781">
        <f t="shared" si="22"/>
        <v>100</v>
      </c>
      <c r="O169" s="781"/>
      <c r="R169" s="1">
        <v>2001</v>
      </c>
      <c r="S169" s="7">
        <f>(O90*($E90/365))+(O91*($E91/365))</f>
        <v>0</v>
      </c>
      <c r="T169" s="7">
        <f>(P90*($E90/365))+(P91*($E91/365))</f>
        <v>0</v>
      </c>
      <c r="U169" s="7">
        <f>(Q90*($E90/365))+(Q91*($E91/365))</f>
        <v>37.5</v>
      </c>
      <c r="V169" s="7"/>
      <c r="W169" s="7">
        <f t="shared" si="21"/>
        <v>37.5</v>
      </c>
    </row>
    <row r="170" spans="1:23" x14ac:dyDescent="0.15">
      <c r="A170" s="1">
        <v>2002</v>
      </c>
      <c r="B170" s="7">
        <f>(K92*($E92/365))+(K93*($E93/365))</f>
        <v>0</v>
      </c>
      <c r="C170" s="7">
        <f>(L92*($E92/365))+(L93*($E93/365))</f>
        <v>0</v>
      </c>
      <c r="D170" s="7">
        <f>(M92*($E92/365))+(M93*($E93/365))</f>
        <v>100</v>
      </c>
      <c r="E170" s="61">
        <f t="shared" si="20"/>
        <v>100</v>
      </c>
      <c r="G170" s="1">
        <v>2002</v>
      </c>
      <c r="H170" s="822">
        <f>(O92/$R92*100*($E92/365))+(O93/$R93*100*($E93/365))</f>
        <v>0</v>
      </c>
      <c r="I170" s="822"/>
      <c r="J170" s="822">
        <f>(P92/$R92*100*($E92/365))+(P93/$R93*100*($E93/365))</f>
        <v>0</v>
      </c>
      <c r="K170" s="822"/>
      <c r="L170" s="822">
        <f>(Q92/$R92*100*($E92/365))+(Q93/$R93*100*($E93/365))</f>
        <v>100</v>
      </c>
      <c r="M170" s="822"/>
      <c r="N170" s="781">
        <f t="shared" si="22"/>
        <v>100</v>
      </c>
      <c r="O170" s="781"/>
      <c r="R170" s="1">
        <v>2002</v>
      </c>
      <c r="S170" s="7">
        <f>(O92*($E92/365))+(O93*($E93/365))</f>
        <v>0</v>
      </c>
      <c r="T170" s="7">
        <f>(P92*($E92/365))+(P93*($E93/365))</f>
        <v>0</v>
      </c>
      <c r="U170" s="7">
        <f>(Q92*($E92/365))+(Q93*($E93/365))</f>
        <v>38.447397260273974</v>
      </c>
      <c r="V170" s="7"/>
      <c r="W170" s="7">
        <f t="shared" si="21"/>
        <v>38.447397260273974</v>
      </c>
    </row>
    <row r="171" spans="1:23" x14ac:dyDescent="0.15">
      <c r="A171" s="1">
        <v>2003</v>
      </c>
      <c r="B171" s="7">
        <f>(K94*($E94/365))+(K95*($E95/365))</f>
        <v>0</v>
      </c>
      <c r="C171" s="7">
        <f>(L94*($E94/365))+(L95*($E95/365))</f>
        <v>0</v>
      </c>
      <c r="D171" s="7">
        <f>(M94*($E94/365))+(M95*($E95/365))</f>
        <v>100</v>
      </c>
      <c r="E171" s="61">
        <f t="shared" si="20"/>
        <v>100</v>
      </c>
      <c r="G171" s="1">
        <v>2003</v>
      </c>
      <c r="H171" s="822">
        <f>(O94/$R94*100*($E94/365))+(O95/$R95*100*($E95/365))</f>
        <v>0</v>
      </c>
      <c r="I171" s="822"/>
      <c r="J171" s="822">
        <f>(P94/$R94*100*($E94/365))+(P95/$R95*100*($E95/365))</f>
        <v>0</v>
      </c>
      <c r="K171" s="822"/>
      <c r="L171" s="822">
        <f>(Q94/$R94*100*($E94/365))+(Q95/$R95*100*($E95/365))</f>
        <v>100</v>
      </c>
      <c r="M171" s="822"/>
      <c r="N171" s="781">
        <f t="shared" si="22"/>
        <v>100</v>
      </c>
      <c r="O171" s="781"/>
      <c r="R171" s="1">
        <v>2003</v>
      </c>
      <c r="S171" s="7">
        <f>(O94*($E94/365))+(O95*($E95/365))</f>
        <v>0</v>
      </c>
      <c r="T171" s="7">
        <f>(P94*($E94/365))+(P95*($E95/365))</f>
        <v>0</v>
      </c>
      <c r="U171" s="7">
        <f>(Q94*($E94/365))+(Q95*($E95/365))</f>
        <v>41.3</v>
      </c>
      <c r="V171" s="7"/>
      <c r="W171" s="7">
        <f t="shared" si="21"/>
        <v>41.3</v>
      </c>
    </row>
    <row r="172" spans="1:23" x14ac:dyDescent="0.15">
      <c r="A172" s="1">
        <v>2004</v>
      </c>
      <c r="B172" s="7">
        <f>(K96*($E96/366))+(K97*($E97/366))</f>
        <v>0</v>
      </c>
      <c r="C172" s="7">
        <f>(L96*($E96/366))+(L97*($E97/366))</f>
        <v>0</v>
      </c>
      <c r="D172" s="7">
        <f>(M96*($E96/366))+(M97*($E97/366))</f>
        <v>100</v>
      </c>
      <c r="E172" s="61">
        <f t="shared" si="20"/>
        <v>100</v>
      </c>
      <c r="G172" s="1">
        <v>2004</v>
      </c>
      <c r="H172" s="822">
        <f>(O96/$R96*100*($E96/366))+(O97/$R97*100*($E97/366))</f>
        <v>0</v>
      </c>
      <c r="I172" s="822"/>
      <c r="J172" s="822">
        <f>(P96/$R96*100*($E96/366))+(P97/$R97*100*($E97/366))</f>
        <v>0</v>
      </c>
      <c r="K172" s="822"/>
      <c r="L172" s="822">
        <f>(Q96/$R96*100*($E96/366))+(Q97/$R97*100*($E97/366))</f>
        <v>100</v>
      </c>
      <c r="M172" s="822"/>
      <c r="N172" s="781">
        <f t="shared" si="22"/>
        <v>100</v>
      </c>
      <c r="O172" s="781"/>
      <c r="R172" s="1">
        <v>2004</v>
      </c>
      <c r="S172" s="7">
        <f>(O96*($E96/366))+(O97*($E97/366))</f>
        <v>0</v>
      </c>
      <c r="T172" s="7">
        <f>(P96*($E96/366))+(P97*($E97/366))</f>
        <v>0</v>
      </c>
      <c r="U172" s="7">
        <f>(Q96*($E96/366))+(Q97*($E97/366))</f>
        <v>41.3</v>
      </c>
      <c r="V172" s="7"/>
      <c r="W172" s="7">
        <f t="shared" si="21"/>
        <v>41.3</v>
      </c>
    </row>
    <row r="173" spans="1:23" x14ac:dyDescent="0.15">
      <c r="A173" s="1">
        <v>2005</v>
      </c>
      <c r="B173" s="7">
        <f>(K98*($E98/365))+(K99*($E99/365))</f>
        <v>0</v>
      </c>
      <c r="C173" s="7">
        <f>(L98*($E98/365))+(L99*($E99/365))</f>
        <v>0</v>
      </c>
      <c r="D173" s="7">
        <f>(M98*($E98/365))+(M99*($E99/365))</f>
        <v>100</v>
      </c>
      <c r="E173" s="61">
        <f t="shared" si="20"/>
        <v>100</v>
      </c>
      <c r="G173" s="1">
        <v>2005</v>
      </c>
      <c r="H173" s="822">
        <f>(O98/$R98*100*($E98/365))+(O99/$R99*100*($E99/365))</f>
        <v>0</v>
      </c>
      <c r="I173" s="822"/>
      <c r="J173" s="822">
        <f>(P98/$R98*100*($E98/365))+(P99/$R99*100*($E99/365))</f>
        <v>0</v>
      </c>
      <c r="K173" s="822"/>
      <c r="L173" s="822">
        <f>(Q98/$R98*100*($E98/365))+(Q99/$R99*100*($E99/365))</f>
        <v>100</v>
      </c>
      <c r="M173" s="822"/>
      <c r="N173" s="781">
        <f t="shared" si="22"/>
        <v>100</v>
      </c>
      <c r="O173" s="781"/>
      <c r="R173" s="1">
        <v>2005</v>
      </c>
      <c r="S173" s="7">
        <f>(O98*($E98/365))+(O99*($E99/365))</f>
        <v>0</v>
      </c>
      <c r="T173" s="7">
        <f>(P98*($E98/365))+(P99*($E99/365))</f>
        <v>0</v>
      </c>
      <c r="U173" s="7">
        <f>(Q98*($E98/365))+(Q99*($E99/365))</f>
        <v>41.3</v>
      </c>
      <c r="V173" s="7"/>
      <c r="W173" s="7">
        <f t="shared" si="21"/>
        <v>41.3</v>
      </c>
    </row>
    <row r="174" spans="1:23" x14ac:dyDescent="0.15">
      <c r="A174" s="1">
        <v>2006</v>
      </c>
      <c r="B174" s="7">
        <f>(K100*($E100/365))+(K101*($E101/365))</f>
        <v>16.43835616438356</v>
      </c>
      <c r="C174" s="7">
        <f>(L100*($E100/365))+(L101*($E101/365))</f>
        <v>7.6712328767123283</v>
      </c>
      <c r="D174" s="7">
        <f>(M100*($E100/365))+(M101*($E101/365))</f>
        <v>75.890410958904113</v>
      </c>
      <c r="E174" s="61">
        <f t="shared" si="20"/>
        <v>100</v>
      </c>
      <c r="G174" s="1">
        <v>2006</v>
      </c>
      <c r="H174" s="822">
        <f>(O100/$R100*100*($E100/365))+(O101/$R101*100*($E101/365))</f>
        <v>16.923986032769271</v>
      </c>
      <c r="I174" s="822"/>
      <c r="J174" s="822">
        <f>(P100/$R100*100*($E100/365))+(P101/$R101*100*($E101/365))</f>
        <v>7.1856030083266189</v>
      </c>
      <c r="K174" s="822"/>
      <c r="L174" s="822">
        <f>(Q100/$R100*100*($E100/365))+(Q101/$R101*100*($E101/365))</f>
        <v>75.890410958904113</v>
      </c>
      <c r="M174" s="822"/>
      <c r="N174" s="781">
        <f t="shared" si="22"/>
        <v>100</v>
      </c>
      <c r="O174" s="781"/>
      <c r="R174" s="1">
        <v>2006</v>
      </c>
      <c r="S174" s="7">
        <f>(O100*($E100/365))+(O101*($E101/365))</f>
        <v>8.6312328767123283</v>
      </c>
      <c r="T174" s="7">
        <f>(P100*($E100/365))+(P101*($E101/365))</f>
        <v>3.6646575342465755</v>
      </c>
      <c r="U174" s="7">
        <f>(Q100*($E100/365))+(Q101*($E101/365))</f>
        <v>31.342739726027396</v>
      </c>
      <c r="V174" s="7"/>
      <c r="W174" s="7">
        <f t="shared" si="21"/>
        <v>43.638630136986301</v>
      </c>
    </row>
    <row r="175" spans="1:23" x14ac:dyDescent="0.15">
      <c r="A175" s="1">
        <v>2007</v>
      </c>
      <c r="B175" s="7">
        <f>(K102*($E102/365))+(K103*($E103/365))</f>
        <v>68.181818181818173</v>
      </c>
      <c r="C175" s="7">
        <f>(L102*($E102/365))+(L103*($E103/365))</f>
        <v>31.818181818181817</v>
      </c>
      <c r="D175" s="7">
        <f>(M102*($E102/365))+(M103*($E103/365))</f>
        <v>0</v>
      </c>
      <c r="E175" s="61">
        <f t="shared" si="20"/>
        <v>99.999999999999986</v>
      </c>
      <c r="G175" s="1">
        <v>2007</v>
      </c>
      <c r="H175" s="822">
        <f>(O102/$R102*100*($E102/365))+(O103/$R103*100*($E103/365))</f>
        <v>70.196078431372541</v>
      </c>
      <c r="I175" s="822"/>
      <c r="J175" s="822">
        <f>(P102/$R102*100*($E102/365))+(P103/$R103*100*($E103/365))</f>
        <v>29.803921568627452</v>
      </c>
      <c r="K175" s="822"/>
      <c r="L175" s="822">
        <f>(Q102/$R102*100*($E102/365))+(Q103/$R103*100*($E103/365))</f>
        <v>0</v>
      </c>
      <c r="M175" s="822"/>
      <c r="N175" s="781">
        <f t="shared" si="22"/>
        <v>100</v>
      </c>
      <c r="O175" s="781"/>
      <c r="R175" s="1">
        <v>2007</v>
      </c>
      <c r="S175" s="7">
        <f>(O102*($E102/365))+(O103*($E103/365))</f>
        <v>35.799999999999997</v>
      </c>
      <c r="T175" s="7">
        <f>(P102*($E102/365))+(P103*($E103/365))</f>
        <v>15.2</v>
      </c>
      <c r="U175" s="7">
        <f>(Q102*($E102/365))+(Q103*($E103/365))</f>
        <v>0</v>
      </c>
      <c r="V175" s="7"/>
      <c r="W175" s="7">
        <f t="shared" si="21"/>
        <v>51</v>
      </c>
    </row>
    <row r="176" spans="1:23" x14ac:dyDescent="0.15">
      <c r="A176" s="1">
        <v>2008</v>
      </c>
      <c r="B176" s="7">
        <f>(K104*($E104/366))+(K105*($E105/366))</f>
        <v>68.181818181818173</v>
      </c>
      <c r="C176" s="7">
        <f>(L104*($E104/366))+(L105*($E105/366))</f>
        <v>31.818181818181817</v>
      </c>
      <c r="D176" s="7">
        <f>(M104*($E104/366))+(M105*($E105/366))</f>
        <v>0</v>
      </c>
      <c r="E176" s="61">
        <f t="shared" si="20"/>
        <v>99.999999999999986</v>
      </c>
      <c r="G176" s="1">
        <v>2008</v>
      </c>
      <c r="H176" s="822">
        <f>(O104/$R104*100*($E104/366))+(O105/$R105*100*($E105/366))</f>
        <v>70.196078431372541</v>
      </c>
      <c r="I176" s="822"/>
      <c r="J176" s="822">
        <f>(P104/$R104*100*($E104/366))+(P105/$R105*100*($E105/366))</f>
        <v>29.803921568627452</v>
      </c>
      <c r="K176" s="822"/>
      <c r="L176" s="822">
        <f>(Q104/$R104*100*($E104/366))+(Q105/$R105*100*($E105/366))</f>
        <v>0</v>
      </c>
      <c r="M176" s="822"/>
      <c r="N176" s="781">
        <f t="shared" si="22"/>
        <v>100</v>
      </c>
      <c r="O176" s="781"/>
      <c r="R176" s="1">
        <v>2008</v>
      </c>
      <c r="S176" s="7">
        <f>(O104*($E104/366))+(O105*($E105/366))</f>
        <v>35.799999999999997</v>
      </c>
      <c r="T176" s="7">
        <f>(P104*($E104/366))+(P105*($E105/366))</f>
        <v>15.2</v>
      </c>
      <c r="U176" s="7">
        <f>(Q104*($E104/366))+(Q105*($E105/366))</f>
        <v>0</v>
      </c>
      <c r="V176" s="7"/>
      <c r="W176" s="7">
        <f t="shared" si="21"/>
        <v>51</v>
      </c>
    </row>
    <row r="177" spans="1:23" x14ac:dyDescent="0.15">
      <c r="A177" s="1">
        <v>2009</v>
      </c>
      <c r="B177" s="7">
        <f>(K106*($E106/365))+(K107*($E107/365))</f>
        <v>68.181818181818173</v>
      </c>
      <c r="C177" s="7">
        <f>(L106*($E106/365))+(L107*($E107/365))</f>
        <v>31.818181818181817</v>
      </c>
      <c r="D177" s="7">
        <f>(M106*($E106/365))+(M107*($E107/365))</f>
        <v>0</v>
      </c>
      <c r="E177" s="61">
        <f t="shared" si="20"/>
        <v>99.999999999999986</v>
      </c>
      <c r="G177" s="1">
        <v>2009</v>
      </c>
      <c r="H177" s="822">
        <f>(O106/$R106*100*($E106/365))+(O107/$R107*100*($E107/365))</f>
        <v>70.196078431372541</v>
      </c>
      <c r="I177" s="822"/>
      <c r="J177" s="822">
        <f>(P106/$R106*100*($E106/365))+(P107/$R107*100*($E107/365))</f>
        <v>29.803921568627452</v>
      </c>
      <c r="K177" s="822"/>
      <c r="L177" s="822">
        <f>(Q106/$R106*100*($E106/365))+(Q107/$R107*100*($E107/365))</f>
        <v>0</v>
      </c>
      <c r="M177" s="822"/>
      <c r="N177" s="781">
        <f t="shared" si="22"/>
        <v>100</v>
      </c>
      <c r="O177" s="781"/>
      <c r="R177" s="1">
        <v>2009</v>
      </c>
      <c r="S177" s="7">
        <f>(O106*($E106/365))+(O107*($E107/365))</f>
        <v>35.799999999999997</v>
      </c>
      <c r="T177" s="7">
        <f>(P106*($E106/365))+(P107*($E107/365))</f>
        <v>15.2</v>
      </c>
      <c r="U177" s="7">
        <f>(Q106*($E106/365))+(Q107*($E107/365))</f>
        <v>0</v>
      </c>
      <c r="V177" s="7"/>
      <c r="W177" s="7">
        <f t="shared" si="21"/>
        <v>51</v>
      </c>
    </row>
    <row r="178" spans="1:23" x14ac:dyDescent="0.15">
      <c r="A178" s="1">
        <v>2010</v>
      </c>
      <c r="B178" s="7">
        <f>(K108*($E108/365))+(K109*($E109/365))</f>
        <v>68.930053964300541</v>
      </c>
      <c r="C178" s="7">
        <f>(L108*($E108/365))+(L109*($E109/365))</f>
        <v>31.069946035699459</v>
      </c>
      <c r="D178" s="7">
        <f>(M108*($E108/365))+(M109*($E109/365))</f>
        <v>0</v>
      </c>
      <c r="E178" s="61">
        <f t="shared" si="20"/>
        <v>100</v>
      </c>
      <c r="G178" s="1">
        <v>2010</v>
      </c>
      <c r="H178" s="822">
        <f>(O108/$R108*100*($E108/365))+(O109/$R109*100*($E109/365))</f>
        <v>71.779279630544224</v>
      </c>
      <c r="I178" s="822"/>
      <c r="J178" s="822">
        <f>(P108/$R108*100*($E108/365))+(P109/$R109*100*($E109/365))</f>
        <v>28.220720369455783</v>
      </c>
      <c r="K178" s="822"/>
      <c r="L178" s="822">
        <f>(Q108/$R108*100*($E108/365))+(Q109/$R109*100*($E109/365))</f>
        <v>0</v>
      </c>
      <c r="M178" s="822"/>
      <c r="N178" s="781">
        <f t="shared" si="22"/>
        <v>100</v>
      </c>
      <c r="O178" s="781"/>
      <c r="R178" s="1">
        <v>2010</v>
      </c>
      <c r="S178" s="7">
        <f>(O108*($E108/365))+(O109*($E109/365))</f>
        <v>36.307945205479449</v>
      </c>
      <c r="T178" s="7">
        <f>(P108*($E108/365))+(P109*($E109/365))</f>
        <v>14.296986301369863</v>
      </c>
      <c r="U178" s="7">
        <f>(Q108*($E108/365))+(Q109*($E109/365))</f>
        <v>0</v>
      </c>
      <c r="V178" s="7"/>
      <c r="W178" s="7">
        <f t="shared" si="21"/>
        <v>50.604931506849312</v>
      </c>
    </row>
    <row r="179" spans="1:23" x14ac:dyDescent="0.15">
      <c r="A179" s="1">
        <v>2011</v>
      </c>
      <c r="B179" s="7">
        <f>(K110*($E110/365))+(K111*($E111/365))</f>
        <v>70.833333333333343</v>
      </c>
      <c r="C179" s="7">
        <f>(L110*($E110/365))+(L111*($E111/365))</f>
        <v>29.166666666666668</v>
      </c>
      <c r="D179" s="7">
        <f>(M110*($E110/365))+(M111*($E111/365))</f>
        <v>0</v>
      </c>
      <c r="E179" s="61">
        <f t="shared" si="20"/>
        <v>100.00000000000001</v>
      </c>
      <c r="G179" s="1">
        <v>2011</v>
      </c>
      <c r="H179" s="822">
        <f>(O110/$R110*100*($E110/365))+(O111/$R111*100*($E111/365))</f>
        <v>75.806451612903231</v>
      </c>
      <c r="I179" s="822"/>
      <c r="J179" s="822">
        <f>(P110/$R110*100*($E110/365))+(P111/$R111*100*($E111/365))</f>
        <v>24.193548387096772</v>
      </c>
      <c r="K179" s="822"/>
      <c r="L179" s="822">
        <f>(Q110/$R110*100*($E110/365))+(Q111/$R111*100*($E111/365))</f>
        <v>0</v>
      </c>
      <c r="M179" s="822"/>
      <c r="N179" s="781">
        <f t="shared" si="22"/>
        <v>100</v>
      </c>
      <c r="O179" s="781"/>
      <c r="R179" s="1">
        <v>2011</v>
      </c>
      <c r="S179" s="7">
        <f>(O110*($E110/365))+(O111*($E111/365))</f>
        <v>37.6</v>
      </c>
      <c r="T179" s="7">
        <f>(P110*($E110/365))+(P111*($E111/365))</f>
        <v>12</v>
      </c>
      <c r="U179" s="7">
        <f>(Q110*($E110/365))+(Q111*($E111/365))</f>
        <v>0</v>
      </c>
      <c r="V179" s="7"/>
      <c r="W179" s="7">
        <f t="shared" si="21"/>
        <v>49.6</v>
      </c>
    </row>
    <row r="180" spans="1:23" x14ac:dyDescent="0.15">
      <c r="A180" s="1">
        <v>2012</v>
      </c>
      <c r="B180" s="7">
        <f>(K112*($E112/366))+(K113*($E113/366))</f>
        <v>70.833333333333343</v>
      </c>
      <c r="C180" s="7">
        <f>(L112*($E112/366))+(L113*($E113/366))</f>
        <v>29.166666666666668</v>
      </c>
      <c r="D180" s="7">
        <f>(M112*($E112/366))+(M113*($E113/366))</f>
        <v>0</v>
      </c>
      <c r="E180" s="61">
        <f t="shared" si="20"/>
        <v>100.00000000000001</v>
      </c>
      <c r="G180" s="1">
        <v>2012</v>
      </c>
      <c r="H180" s="822">
        <f>(O112/$R112*100*($E112/366))+(O113/$R113*100*($E113/366))</f>
        <v>75.806451612903231</v>
      </c>
      <c r="I180" s="822"/>
      <c r="J180" s="822">
        <f>(P112/$R112*100*($E112/366))+(P113/$R113*100*($E113/366))</f>
        <v>24.193548387096772</v>
      </c>
      <c r="K180" s="822"/>
      <c r="L180" s="822">
        <f>(Q112/$R112*100*($E112/366))+(Q113/$R113*100*($E113/366))</f>
        <v>0</v>
      </c>
      <c r="M180" s="822"/>
      <c r="N180" s="781">
        <f t="shared" si="22"/>
        <v>100</v>
      </c>
      <c r="O180" s="781"/>
      <c r="R180" s="1">
        <v>2012</v>
      </c>
      <c r="S180" s="7">
        <f>(O112*($E112/366))+(O113*($E113/366))</f>
        <v>37.6</v>
      </c>
      <c r="T180" s="7">
        <f>(P112*($E112/366))+(P113*($E113/366))</f>
        <v>12</v>
      </c>
      <c r="U180" s="7">
        <f>(Q112*($E112/366))+(Q113*($E113/366))</f>
        <v>0</v>
      </c>
      <c r="V180" s="7"/>
      <c r="W180" s="7">
        <f t="shared" si="21"/>
        <v>49.6</v>
      </c>
    </row>
    <row r="181" spans="1:23" x14ac:dyDescent="0.15">
      <c r="A181" s="1">
        <v>2013</v>
      </c>
      <c r="B181" s="7">
        <f>(K114*($E114/365))+(K115*($E115/365))</f>
        <v>70.833333333333343</v>
      </c>
      <c r="C181" s="7">
        <f>(L114*($E114/365))+(L115*($E115/365))</f>
        <v>29.166666666666668</v>
      </c>
      <c r="D181" s="7">
        <f>(M114*($E114/365))+(M115*($E115/365))</f>
        <v>0</v>
      </c>
      <c r="E181" s="309">
        <f t="shared" si="20"/>
        <v>100.00000000000001</v>
      </c>
      <c r="G181" s="1">
        <v>2013</v>
      </c>
      <c r="H181" s="822">
        <f>(O114/$R114*100*($E114/365))+(O115/$R115*100*($E115/365))</f>
        <v>75.806451612903231</v>
      </c>
      <c r="I181" s="822"/>
      <c r="J181" s="822">
        <f>(P114/$R114*100*($E114/365))+(P115/$R115*100*($E115/365))</f>
        <v>24.193548387096772</v>
      </c>
      <c r="K181" s="822"/>
      <c r="L181" s="822">
        <f>(Q114/$R114*100*($E114/365))+(Q115/$R115*100*($E115/365))</f>
        <v>0</v>
      </c>
      <c r="M181" s="822"/>
      <c r="N181" s="781">
        <f>H181+J181+L181</f>
        <v>100</v>
      </c>
      <c r="O181" s="781"/>
      <c r="R181" s="1">
        <v>2013</v>
      </c>
      <c r="S181" s="7">
        <f>(O114*($E114/365))+(O115*($E115/365))</f>
        <v>37.6</v>
      </c>
      <c r="T181" s="7">
        <f>(P114*($E114/365))+(P115*($E115/365))</f>
        <v>12</v>
      </c>
      <c r="U181" s="7">
        <f>(Q114*($E114/365))+(Q115*($E115/365))</f>
        <v>0</v>
      </c>
      <c r="W181" s="7">
        <f t="shared" si="21"/>
        <v>49.6</v>
      </c>
    </row>
    <row r="182" spans="1:23" x14ac:dyDescent="0.15">
      <c r="A182" s="1">
        <v>2014</v>
      </c>
      <c r="B182" s="7">
        <f>(K116*($E116/365))+(K117*($E117/365))</f>
        <v>53.755707762557087</v>
      </c>
      <c r="C182" s="7">
        <f>(L116*($E116/365))+(L117*($E117/365))</f>
        <v>22.134703196347033</v>
      </c>
      <c r="D182" s="7">
        <f>(M116*($E116/365))+(M117*($E117/365))</f>
        <v>24.109589041095891</v>
      </c>
      <c r="E182" s="662">
        <f>B182+C182+D182</f>
        <v>100</v>
      </c>
      <c r="G182" s="1">
        <v>2014</v>
      </c>
      <c r="H182" s="822">
        <f>(O116/$R116*100*($E116/365))+(O117/$R117*100*($E117/365))</f>
        <v>57.529827662395057</v>
      </c>
      <c r="I182" s="822"/>
      <c r="J182" s="822">
        <f>(P116/$R116*100*($E116/365))+(P117/$R117*100*($E117/365))</f>
        <v>18.360583296509056</v>
      </c>
      <c r="K182" s="822"/>
      <c r="L182" s="822">
        <f>(Q116/$R116*100*($E116/365))+(Q117/$R117*100*($E117/365))</f>
        <v>24.109589041095891</v>
      </c>
      <c r="M182" s="822"/>
      <c r="N182" s="781">
        <f>H182+J182+L182</f>
        <v>100</v>
      </c>
      <c r="O182" s="781"/>
      <c r="R182" s="1">
        <v>2014</v>
      </c>
      <c r="S182" s="7">
        <f>(O116*($E116/365))+(O117*($E117/365))</f>
        <v>28.534794520547948</v>
      </c>
      <c r="T182" s="7">
        <f>(P116*($E116/365))+(P117*($E117/365))</f>
        <v>9.1068493150684926</v>
      </c>
      <c r="U182" s="7">
        <f>(Q116*($E116/365))+(Q117*($E117/365))</f>
        <v>9.5473972602739732</v>
      </c>
      <c r="W182" s="7">
        <f>S182+T182+U182</f>
        <v>47.189041095890417</v>
      </c>
    </row>
    <row r="183" spans="1:23" s="772" customFormat="1" x14ac:dyDescent="0.15">
      <c r="A183" s="772">
        <v>2015</v>
      </c>
      <c r="B183" s="771">
        <f>(K118*($E118/365))+(K119*($E119/365))</f>
        <v>0</v>
      </c>
      <c r="C183" s="771">
        <f>(L118*($E118/365))+(L119*($E119/365))</f>
        <v>0</v>
      </c>
      <c r="D183" s="771">
        <f>(M118*($E118/365))+(M119*($E119/365))</f>
        <v>100</v>
      </c>
      <c r="E183" s="768">
        <f>B183+C183+D183</f>
        <v>100</v>
      </c>
      <c r="G183" s="772">
        <v>2015</v>
      </c>
      <c r="H183" s="822">
        <f>(O118/$R118*100*($E118/365))+(O119/$R119*100*($E119/365))</f>
        <v>0</v>
      </c>
      <c r="I183" s="822"/>
      <c r="J183" s="822">
        <f>(P118/$R118*100*($E118/365))+(P119/$R119*100*($E119/365))</f>
        <v>0</v>
      </c>
      <c r="K183" s="822"/>
      <c r="L183" s="822">
        <f>(Q118/$R118*100*($E118/365))+(Q119/$R119*100*($E119/365))</f>
        <v>100</v>
      </c>
      <c r="M183" s="822"/>
      <c r="N183" s="781">
        <f>H183+J183+L183</f>
        <v>100</v>
      </c>
      <c r="O183" s="781"/>
      <c r="R183" s="772">
        <v>2015</v>
      </c>
      <c r="S183" s="771">
        <f>(O118*($E118/365))+(O119*($E119/365))</f>
        <v>0</v>
      </c>
      <c r="T183" s="771">
        <f>(P118*($E118/365))+(P119*($E119/365))</f>
        <v>0</v>
      </c>
      <c r="U183" s="771">
        <f>(Q118*($E118/365))+(Q119*($E119/365))</f>
        <v>39.6</v>
      </c>
      <c r="W183" s="771">
        <f>S183+T183+U183</f>
        <v>39.6</v>
      </c>
    </row>
    <row r="184" spans="1:23" s="772" customFormat="1" x14ac:dyDescent="0.15"/>
  </sheetData>
  <mergeCells count="368">
    <mergeCell ref="C119:D119"/>
    <mergeCell ref="C118:D118"/>
    <mergeCell ref="H183:I183"/>
    <mergeCell ref="J183:K183"/>
    <mergeCell ref="L183:M183"/>
    <mergeCell ref="N183:O183"/>
    <mergeCell ref="N181:O181"/>
    <mergeCell ref="C114:D114"/>
    <mergeCell ref="C115:D115"/>
    <mergeCell ref="H181:I181"/>
    <mergeCell ref="J181:K181"/>
    <mergeCell ref="L181:M181"/>
    <mergeCell ref="N179:O179"/>
    <mergeCell ref="N180:O180"/>
    <mergeCell ref="N173:O173"/>
    <mergeCell ref="N174:O174"/>
    <mergeCell ref="N175:O175"/>
    <mergeCell ref="N176:O176"/>
    <mergeCell ref="N177:O177"/>
    <mergeCell ref="N178:O178"/>
    <mergeCell ref="N167:O167"/>
    <mergeCell ref="N168:O168"/>
    <mergeCell ref="N169:O169"/>
    <mergeCell ref="N170:O170"/>
    <mergeCell ref="N171:O171"/>
    <mergeCell ref="N172:O172"/>
    <mergeCell ref="N161:O161"/>
    <mergeCell ref="N162:O162"/>
    <mergeCell ref="L176:M176"/>
    <mergeCell ref="L177:M177"/>
    <mergeCell ref="L178:M178"/>
    <mergeCell ref="L179:M179"/>
    <mergeCell ref="L180:M180"/>
    <mergeCell ref="L174:M174"/>
    <mergeCell ref="L175:M175"/>
    <mergeCell ref="L163:M163"/>
    <mergeCell ref="AT4:AW4"/>
    <mergeCell ref="AX4:BA4"/>
    <mergeCell ref="N158:O158"/>
    <mergeCell ref="N159:O159"/>
    <mergeCell ref="N160:O160"/>
    <mergeCell ref="L170:M170"/>
    <mergeCell ref="L171:M171"/>
    <mergeCell ref="L172:M172"/>
    <mergeCell ref="L173:M173"/>
    <mergeCell ref="L164:M164"/>
    <mergeCell ref="L165:M165"/>
    <mergeCell ref="L166:M166"/>
    <mergeCell ref="L167:M167"/>
    <mergeCell ref="L168:M168"/>
    <mergeCell ref="L169:M169"/>
    <mergeCell ref="N163:O163"/>
    <mergeCell ref="N164:O164"/>
    <mergeCell ref="N165:O165"/>
    <mergeCell ref="N166:O166"/>
    <mergeCell ref="L158:M158"/>
    <mergeCell ref="L159:M159"/>
    <mergeCell ref="L160:M160"/>
    <mergeCell ref="L161:M161"/>
    <mergeCell ref="L162:M162"/>
    <mergeCell ref="J166:K166"/>
    <mergeCell ref="H176:I176"/>
    <mergeCell ref="H177:I177"/>
    <mergeCell ref="H178:I178"/>
    <mergeCell ref="H170:I170"/>
    <mergeCell ref="H171:I171"/>
    <mergeCell ref="H172:I172"/>
    <mergeCell ref="H173:I173"/>
    <mergeCell ref="H164:I164"/>
    <mergeCell ref="H165:I165"/>
    <mergeCell ref="H166:I166"/>
    <mergeCell ref="H167:I167"/>
    <mergeCell ref="H168:I168"/>
    <mergeCell ref="H169:I169"/>
    <mergeCell ref="J173:K173"/>
    <mergeCell ref="J174:K174"/>
    <mergeCell ref="J175:K175"/>
    <mergeCell ref="J167:K167"/>
    <mergeCell ref="J168:K168"/>
    <mergeCell ref="J169:K169"/>
    <mergeCell ref="J170:K170"/>
    <mergeCell ref="J171:K171"/>
    <mergeCell ref="J172:K172"/>
    <mergeCell ref="H179:I179"/>
    <mergeCell ref="H180:I180"/>
    <mergeCell ref="H174:I174"/>
    <mergeCell ref="H175:I175"/>
    <mergeCell ref="J179:K179"/>
    <mergeCell ref="J180:K180"/>
    <mergeCell ref="J176:K176"/>
    <mergeCell ref="J177:K177"/>
    <mergeCell ref="J178:K178"/>
    <mergeCell ref="H163:I163"/>
    <mergeCell ref="J163:K163"/>
    <mergeCell ref="J164:K164"/>
    <mergeCell ref="J165:K165"/>
    <mergeCell ref="H155:I155"/>
    <mergeCell ref="J155:K155"/>
    <mergeCell ref="L155:M155"/>
    <mergeCell ref="N155:O155"/>
    <mergeCell ref="H156:I156"/>
    <mergeCell ref="H157:I157"/>
    <mergeCell ref="J157:K157"/>
    <mergeCell ref="L157:M157"/>
    <mergeCell ref="N157:O157"/>
    <mergeCell ref="J161:K161"/>
    <mergeCell ref="J162:K162"/>
    <mergeCell ref="J158:K158"/>
    <mergeCell ref="J159:K159"/>
    <mergeCell ref="J160:K160"/>
    <mergeCell ref="H158:I158"/>
    <mergeCell ref="H159:I159"/>
    <mergeCell ref="H160:I160"/>
    <mergeCell ref="H161:I161"/>
    <mergeCell ref="H162:I162"/>
    <mergeCell ref="H153:I153"/>
    <mergeCell ref="J153:K153"/>
    <mergeCell ref="L153:M153"/>
    <mergeCell ref="N153:O153"/>
    <mergeCell ref="H154:I154"/>
    <mergeCell ref="J154:K154"/>
    <mergeCell ref="L154:M154"/>
    <mergeCell ref="N154:O154"/>
    <mergeCell ref="J156:K156"/>
    <mergeCell ref="L156:M156"/>
    <mergeCell ref="N156:O156"/>
    <mergeCell ref="H151:I151"/>
    <mergeCell ref="J151:K151"/>
    <mergeCell ref="L151:M151"/>
    <mergeCell ref="N151:O151"/>
    <mergeCell ref="H152:I152"/>
    <mergeCell ref="J152:K152"/>
    <mergeCell ref="L152:M152"/>
    <mergeCell ref="N152:O152"/>
    <mergeCell ref="H149:I149"/>
    <mergeCell ref="J149:K149"/>
    <mergeCell ref="L149:M149"/>
    <mergeCell ref="N149:O149"/>
    <mergeCell ref="H150:I150"/>
    <mergeCell ref="J150:K150"/>
    <mergeCell ref="L150:M150"/>
    <mergeCell ref="N150:O150"/>
    <mergeCell ref="H147:I147"/>
    <mergeCell ref="J147:K147"/>
    <mergeCell ref="L147:M147"/>
    <mergeCell ref="N147:O147"/>
    <mergeCell ref="H148:I148"/>
    <mergeCell ref="J148:K148"/>
    <mergeCell ref="L148:M148"/>
    <mergeCell ref="N148:O148"/>
    <mergeCell ref="H145:I145"/>
    <mergeCell ref="J145:K145"/>
    <mergeCell ref="L145:M145"/>
    <mergeCell ref="N145:O145"/>
    <mergeCell ref="H146:I146"/>
    <mergeCell ref="J146:K146"/>
    <mergeCell ref="L146:M146"/>
    <mergeCell ref="N146:O146"/>
    <mergeCell ref="H143:I143"/>
    <mergeCell ref="J143:K143"/>
    <mergeCell ref="L143:M143"/>
    <mergeCell ref="N143:O143"/>
    <mergeCell ref="H144:I144"/>
    <mergeCell ref="J144:K144"/>
    <mergeCell ref="L144:M144"/>
    <mergeCell ref="N144:O144"/>
    <mergeCell ref="H141:I141"/>
    <mergeCell ref="J141:K141"/>
    <mergeCell ref="L141:M141"/>
    <mergeCell ref="N141:O141"/>
    <mergeCell ref="H142:I142"/>
    <mergeCell ref="J142:K142"/>
    <mergeCell ref="L142:M142"/>
    <mergeCell ref="N142:O142"/>
    <mergeCell ref="H139:I139"/>
    <mergeCell ref="J139:K139"/>
    <mergeCell ref="L139:M139"/>
    <mergeCell ref="N139:O139"/>
    <mergeCell ref="H140:I140"/>
    <mergeCell ref="J140:K140"/>
    <mergeCell ref="L140:M140"/>
    <mergeCell ref="N140:O140"/>
    <mergeCell ref="H137:I137"/>
    <mergeCell ref="J137:K137"/>
    <mergeCell ref="L137:M137"/>
    <mergeCell ref="N137:O137"/>
    <mergeCell ref="H138:I138"/>
    <mergeCell ref="J138:K138"/>
    <mergeCell ref="L138:M138"/>
    <mergeCell ref="N138:O138"/>
    <mergeCell ref="N130:O130"/>
    <mergeCell ref="H135:I135"/>
    <mergeCell ref="J135:K135"/>
    <mergeCell ref="L135:M135"/>
    <mergeCell ref="N135:O135"/>
    <mergeCell ref="H136:I136"/>
    <mergeCell ref="J136:K136"/>
    <mergeCell ref="L136:M136"/>
    <mergeCell ref="N136:O136"/>
    <mergeCell ref="H133:I133"/>
    <mergeCell ref="J133:K133"/>
    <mergeCell ref="L133:M133"/>
    <mergeCell ref="N133:O133"/>
    <mergeCell ref="H134:I134"/>
    <mergeCell ref="J134:K134"/>
    <mergeCell ref="L134:M134"/>
    <mergeCell ref="N134:O134"/>
    <mergeCell ref="R124:W124"/>
    <mergeCell ref="H126:I126"/>
    <mergeCell ref="J126:K126"/>
    <mergeCell ref="L126:M126"/>
    <mergeCell ref="N126:O126"/>
    <mergeCell ref="H128:I128"/>
    <mergeCell ref="J128:K128"/>
    <mergeCell ref="L128:M128"/>
    <mergeCell ref="N128:O128"/>
    <mergeCell ref="H127:I127"/>
    <mergeCell ref="G3:M3"/>
    <mergeCell ref="O3:Q3"/>
    <mergeCell ref="C9:D9"/>
    <mergeCell ref="C10:D10"/>
    <mergeCell ref="A4:A5"/>
    <mergeCell ref="B4:B5"/>
    <mergeCell ref="C4:D5"/>
    <mergeCell ref="E4:E5"/>
    <mergeCell ref="F4:F5"/>
    <mergeCell ref="G4:J4"/>
    <mergeCell ref="C11:D11"/>
    <mergeCell ref="C12:D12"/>
    <mergeCell ref="Z4:AC4"/>
    <mergeCell ref="AD4:AG4"/>
    <mergeCell ref="AH4:AK4"/>
    <mergeCell ref="AL4:AO4"/>
    <mergeCell ref="U4:U5"/>
    <mergeCell ref="V4:Y4"/>
    <mergeCell ref="AP4:AS4"/>
    <mergeCell ref="C8:D8"/>
    <mergeCell ref="K4:N4"/>
    <mergeCell ref="O4:R4"/>
    <mergeCell ref="S4:S5"/>
    <mergeCell ref="T4:T5"/>
    <mergeCell ref="C7:D7"/>
    <mergeCell ref="C6:D6"/>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109:D109"/>
    <mergeCell ref="C97:D97"/>
    <mergeCell ref="C98:D98"/>
    <mergeCell ref="C99:D99"/>
    <mergeCell ref="C100:D100"/>
    <mergeCell ref="C101:D101"/>
    <mergeCell ref="C102:D102"/>
    <mergeCell ref="C110:D110"/>
    <mergeCell ref="C103:D103"/>
    <mergeCell ref="C104:D104"/>
    <mergeCell ref="C111:D111"/>
    <mergeCell ref="C112:D112"/>
    <mergeCell ref="C113:D113"/>
    <mergeCell ref="C105:D105"/>
    <mergeCell ref="C106:D106"/>
    <mergeCell ref="C107:D107"/>
    <mergeCell ref="C108:D108"/>
    <mergeCell ref="H182:I182"/>
    <mergeCell ref="J182:K182"/>
    <mergeCell ref="L182:M182"/>
    <mergeCell ref="N182:O182"/>
    <mergeCell ref="C116:D116"/>
    <mergeCell ref="C117:D117"/>
    <mergeCell ref="J127:K127"/>
    <mergeCell ref="L127:M127"/>
    <mergeCell ref="N127:O127"/>
    <mergeCell ref="H129:I129"/>
    <mergeCell ref="H131:I131"/>
    <mergeCell ref="J131:K131"/>
    <mergeCell ref="L131:M131"/>
    <mergeCell ref="N131:O131"/>
    <mergeCell ref="H132:I132"/>
    <mergeCell ref="J132:K132"/>
    <mergeCell ref="L132:M132"/>
    <mergeCell ref="N132:O132"/>
    <mergeCell ref="J129:K129"/>
    <mergeCell ref="L129:M129"/>
    <mergeCell ref="N129:O129"/>
    <mergeCell ref="H130:I130"/>
    <mergeCell ref="J130:K130"/>
    <mergeCell ref="L130:M130"/>
  </mergeCells>
  <phoneticPr fontId="0" type="noConversion"/>
  <pageMargins left="0.78740157499999996" right="0.78740157499999996" top="0.984251969" bottom="0.984251969" header="0.4921259845" footer="0.4921259845"/>
  <pageSetup paperSize="9" orientation="portrait" r:id="rId1"/>
  <headerFooter alignWithMargins="0"/>
  <drawing r:id="rId2"/>
  <legacyDrawing r:id="rId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83"/>
  <sheetViews>
    <sheetView zoomScale="120" zoomScaleNormal="120" workbookViewId="0">
      <pane xSplit="1" ySplit="5" topLeftCell="B98" activePane="bottomRight" state="frozen"/>
      <selection pane="topRight" activeCell="B1" sqref="B1"/>
      <selection pane="bottomLeft" activeCell="A6" sqref="A6"/>
      <selection pane="bottomRight" activeCell="A103" sqref="A103:XFD103"/>
    </sheetView>
  </sheetViews>
  <sheetFormatPr baseColWidth="10" defaultColWidth="10.7109375" defaultRowHeight="9" x14ac:dyDescent="0.15"/>
  <cols>
    <col min="1" max="1" width="5.85546875" style="1" customWidth="1"/>
    <col min="2" max="6" width="7.85546875" style="1" customWidth="1"/>
    <col min="7" max="18" width="4.42578125" style="1" customWidth="1"/>
    <col min="19" max="21" width="7.85546875" style="1" customWidth="1"/>
    <col min="22" max="53" width="5.7109375" style="1" customWidth="1"/>
    <col min="54" max="16384" width="10.7109375" style="1"/>
  </cols>
  <sheetData>
    <row r="1" spans="1:53" s="2" customFormat="1" ht="15" customHeight="1" x14ac:dyDescent="0.2">
      <c r="B1" s="22" t="s">
        <v>14</v>
      </c>
    </row>
    <row r="2" spans="1:53" s="2" customFormat="1" ht="15" customHeight="1" x14ac:dyDescent="0.2">
      <c r="B2" s="22" t="s">
        <v>69</v>
      </c>
    </row>
    <row r="3" spans="1:53" s="2" customFormat="1" x14ac:dyDescent="0.15">
      <c r="G3" s="814"/>
      <c r="H3" s="814"/>
      <c r="I3" s="814"/>
      <c r="J3" s="814"/>
      <c r="K3" s="814"/>
      <c r="L3" s="814"/>
      <c r="M3" s="814"/>
      <c r="O3" s="814"/>
      <c r="P3" s="814"/>
      <c r="Q3" s="814"/>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1" t="s">
        <v>23</v>
      </c>
      <c r="AU5" s="351" t="s">
        <v>24</v>
      </c>
      <c r="AV5" s="351" t="s">
        <v>25</v>
      </c>
      <c r="AW5" s="353" t="s">
        <v>1217</v>
      </c>
      <c r="AX5" s="351" t="s">
        <v>23</v>
      </c>
      <c r="AY5" s="351" t="s">
        <v>24</v>
      </c>
      <c r="AZ5" s="351" t="s">
        <v>25</v>
      </c>
      <c r="BA5" s="354" t="s">
        <v>1217</v>
      </c>
    </row>
    <row r="6" spans="1:53" s="257" customFormat="1" x14ac:dyDescent="0.15">
      <c r="A6" s="263">
        <v>1959</v>
      </c>
      <c r="B6" s="252"/>
      <c r="C6" s="815" t="s">
        <v>1254</v>
      </c>
      <c r="D6" s="815"/>
      <c r="E6" s="257">
        <v>350</v>
      </c>
      <c r="G6" s="265">
        <v>4</v>
      </c>
      <c r="H6" s="257">
        <v>3</v>
      </c>
      <c r="J6" s="272">
        <v>7</v>
      </c>
      <c r="K6" s="248">
        <f t="shared" ref="K6:M7" si="0">G6/$J6*100</f>
        <v>57.142857142857139</v>
      </c>
      <c r="L6" s="248">
        <f t="shared" si="0"/>
        <v>42.857142857142854</v>
      </c>
      <c r="M6" s="248">
        <f t="shared" si="0"/>
        <v>0</v>
      </c>
      <c r="N6" s="267">
        <f>K6+L6+M6</f>
        <v>100</v>
      </c>
      <c r="O6" s="247">
        <f>Y6+AG6</f>
        <v>36.700000000000003</v>
      </c>
      <c r="P6" s="248">
        <v>24</v>
      </c>
      <c r="Q6" s="248"/>
      <c r="R6" s="249">
        <f>O6+P6+Q6</f>
        <v>60.7</v>
      </c>
      <c r="S6" s="257">
        <v>2</v>
      </c>
      <c r="T6" s="278"/>
      <c r="V6" s="256" t="s">
        <v>132</v>
      </c>
      <c r="W6" s="257" t="s">
        <v>22</v>
      </c>
      <c r="X6" s="257" t="s">
        <v>11</v>
      </c>
      <c r="Y6" s="258">
        <v>25.5</v>
      </c>
      <c r="Z6" s="257" t="s">
        <v>81</v>
      </c>
      <c r="AA6" s="257" t="s">
        <v>17</v>
      </c>
      <c r="AB6" s="257" t="s">
        <v>18</v>
      </c>
      <c r="AC6" s="258">
        <v>24</v>
      </c>
      <c r="AD6" s="257" t="s">
        <v>341</v>
      </c>
      <c r="AE6" s="257" t="s">
        <v>75</v>
      </c>
      <c r="AF6" s="257" t="s">
        <v>11</v>
      </c>
      <c r="AG6" s="258">
        <v>11.2</v>
      </c>
      <c r="AL6" s="256"/>
      <c r="AO6" s="258"/>
      <c r="AP6" s="256"/>
      <c r="AS6" s="258"/>
      <c r="AW6" s="258"/>
      <c r="BA6" s="259"/>
    </row>
    <row r="7" spans="1:53" s="257" customFormat="1" x14ac:dyDescent="0.15">
      <c r="A7" s="263">
        <v>1959</v>
      </c>
      <c r="B7" s="252">
        <v>21901</v>
      </c>
      <c r="C7" s="815" t="s">
        <v>462</v>
      </c>
      <c r="D7" s="815"/>
      <c r="E7" s="257">
        <f>365-E6</f>
        <v>15</v>
      </c>
      <c r="F7" s="257">
        <v>1</v>
      </c>
      <c r="G7" s="265">
        <v>3</v>
      </c>
      <c r="H7" s="257">
        <v>2</v>
      </c>
      <c r="I7" s="257">
        <v>2</v>
      </c>
      <c r="J7" s="272">
        <v>7</v>
      </c>
      <c r="K7" s="248">
        <f t="shared" si="0"/>
        <v>42.857142857142854</v>
      </c>
      <c r="L7" s="248">
        <f t="shared" si="0"/>
        <v>28.571428571428569</v>
      </c>
      <c r="M7" s="248">
        <f t="shared" si="0"/>
        <v>28.571428571428569</v>
      </c>
      <c r="N7" s="267">
        <f>K7+L7+M7</f>
        <v>99.999999999999986</v>
      </c>
      <c r="O7" s="247">
        <v>37.700000000000003</v>
      </c>
      <c r="P7" s="248">
        <v>24</v>
      </c>
      <c r="Q7" s="248">
        <v>26</v>
      </c>
      <c r="R7" s="249">
        <f>O7+P7+Q7</f>
        <v>87.7</v>
      </c>
      <c r="S7" s="278">
        <v>3</v>
      </c>
      <c r="T7" s="252">
        <v>21848</v>
      </c>
      <c r="U7" s="269">
        <v>21901</v>
      </c>
      <c r="V7" s="256" t="s">
        <v>132</v>
      </c>
      <c r="W7" s="257" t="s">
        <v>22</v>
      </c>
      <c r="X7" s="257" t="s">
        <v>11</v>
      </c>
      <c r="Y7" s="258">
        <v>26</v>
      </c>
      <c r="Z7" s="257" t="s">
        <v>81</v>
      </c>
      <c r="AA7" s="257" t="s">
        <v>17</v>
      </c>
      <c r="AB7" s="257" t="s">
        <v>18</v>
      </c>
      <c r="AC7" s="257">
        <v>24</v>
      </c>
      <c r="AD7" s="256" t="s">
        <v>467</v>
      </c>
      <c r="AE7" s="257" t="s">
        <v>20</v>
      </c>
      <c r="AF7" s="257" t="s">
        <v>12</v>
      </c>
      <c r="AG7" s="258">
        <v>26</v>
      </c>
      <c r="AH7" s="257" t="s">
        <v>341</v>
      </c>
      <c r="AI7" s="257" t="s">
        <v>75</v>
      </c>
      <c r="AJ7" s="257" t="s">
        <v>11</v>
      </c>
      <c r="AK7" s="257">
        <v>11.7</v>
      </c>
      <c r="AL7" s="256"/>
      <c r="AO7" s="258"/>
      <c r="AP7" s="256"/>
      <c r="AS7" s="258"/>
      <c r="AW7" s="258"/>
      <c r="BA7" s="259"/>
    </row>
    <row r="8" spans="1:53" s="208" customFormat="1" x14ac:dyDescent="0.15">
      <c r="A8" s="102">
        <v>1960</v>
      </c>
      <c r="B8" s="207"/>
      <c r="C8" s="811" t="s">
        <v>462</v>
      </c>
      <c r="D8" s="811"/>
      <c r="E8" s="208">
        <v>0</v>
      </c>
      <c r="G8" s="123">
        <v>3</v>
      </c>
      <c r="H8" s="208">
        <v>2</v>
      </c>
      <c r="I8" s="208">
        <v>2</v>
      </c>
      <c r="J8" s="134">
        <v>7</v>
      </c>
      <c r="K8" s="92">
        <f t="shared" ref="K8:M23" si="1">G8/$J8*100</f>
        <v>42.857142857142854</v>
      </c>
      <c r="L8" s="92">
        <f t="shared" si="1"/>
        <v>28.571428571428569</v>
      </c>
      <c r="M8" s="92">
        <f t="shared" si="1"/>
        <v>28.571428571428569</v>
      </c>
      <c r="N8" s="125">
        <f>K8+L8+M8</f>
        <v>99.999999999999986</v>
      </c>
      <c r="O8" s="91">
        <v>37.700000000000003</v>
      </c>
      <c r="P8" s="92">
        <v>24</v>
      </c>
      <c r="Q8" s="92">
        <v>26</v>
      </c>
      <c r="R8" s="93">
        <f>O8+P8+Q8</f>
        <v>87.7</v>
      </c>
      <c r="S8" s="208">
        <v>3</v>
      </c>
      <c r="T8" s="81"/>
      <c r="V8" s="82" t="s">
        <v>132</v>
      </c>
      <c r="W8" s="208" t="s">
        <v>22</v>
      </c>
      <c r="X8" s="208" t="s">
        <v>11</v>
      </c>
      <c r="Y8" s="83">
        <v>26</v>
      </c>
      <c r="Z8" s="208" t="s">
        <v>81</v>
      </c>
      <c r="AA8" s="208" t="s">
        <v>17</v>
      </c>
      <c r="AB8" s="208" t="s">
        <v>18</v>
      </c>
      <c r="AC8" s="208">
        <v>24</v>
      </c>
      <c r="AD8" s="82" t="s">
        <v>467</v>
      </c>
      <c r="AE8" s="208" t="s">
        <v>20</v>
      </c>
      <c r="AF8" s="208" t="s">
        <v>12</v>
      </c>
      <c r="AG8" s="83">
        <v>26</v>
      </c>
      <c r="AH8" s="208" t="s">
        <v>341</v>
      </c>
      <c r="AI8" s="208" t="s">
        <v>75</v>
      </c>
      <c r="AJ8" s="208" t="s">
        <v>11</v>
      </c>
      <c r="AK8" s="208">
        <v>11.7</v>
      </c>
      <c r="AL8" s="82"/>
      <c r="AO8" s="83"/>
      <c r="AP8" s="82"/>
      <c r="AS8" s="83"/>
      <c r="AW8" s="83"/>
      <c r="BA8" s="84"/>
    </row>
    <row r="9" spans="1:53" s="208" customFormat="1" x14ac:dyDescent="0.15">
      <c r="A9" s="102">
        <v>1960</v>
      </c>
      <c r="B9" s="207"/>
      <c r="C9" s="811" t="s">
        <v>461</v>
      </c>
      <c r="D9" s="811"/>
      <c r="E9" s="208">
        <v>366</v>
      </c>
      <c r="F9" s="208">
        <v>1</v>
      </c>
      <c r="G9" s="123">
        <v>3</v>
      </c>
      <c r="H9" s="208">
        <v>2</v>
      </c>
      <c r="I9" s="208">
        <v>2</v>
      </c>
      <c r="J9" s="134">
        <v>7</v>
      </c>
      <c r="K9" s="92">
        <f t="shared" si="1"/>
        <v>42.857142857142854</v>
      </c>
      <c r="L9" s="92">
        <f t="shared" si="1"/>
        <v>28.571428571428569</v>
      </c>
      <c r="M9" s="92">
        <f t="shared" si="1"/>
        <v>28.571428571428569</v>
      </c>
      <c r="N9" s="125">
        <f>K9+L9+M9</f>
        <v>99.999999999999986</v>
      </c>
      <c r="O9" s="91">
        <v>37.700000000000003</v>
      </c>
      <c r="P9" s="92">
        <v>24</v>
      </c>
      <c r="Q9" s="92">
        <v>26</v>
      </c>
      <c r="R9" s="93">
        <f t="shared" ref="R9:R67" si="2">O9+P9+Q9</f>
        <v>87.7</v>
      </c>
      <c r="S9" s="208">
        <v>3</v>
      </c>
      <c r="T9" s="81"/>
      <c r="V9" s="82" t="s">
        <v>132</v>
      </c>
      <c r="W9" s="208" t="s">
        <v>22</v>
      </c>
      <c r="X9" s="208" t="s">
        <v>11</v>
      </c>
      <c r="Y9" s="83">
        <v>26</v>
      </c>
      <c r="Z9" s="208" t="s">
        <v>81</v>
      </c>
      <c r="AA9" s="208" t="s">
        <v>17</v>
      </c>
      <c r="AB9" s="208" t="s">
        <v>18</v>
      </c>
      <c r="AC9" s="208">
        <v>24</v>
      </c>
      <c r="AD9" s="82" t="s">
        <v>467</v>
      </c>
      <c r="AE9" s="208" t="s">
        <v>20</v>
      </c>
      <c r="AF9" s="208" t="s">
        <v>12</v>
      </c>
      <c r="AG9" s="83">
        <v>26</v>
      </c>
      <c r="AH9" s="208" t="s">
        <v>341</v>
      </c>
      <c r="AI9" s="208" t="s">
        <v>75</v>
      </c>
      <c r="AJ9" s="208" t="s">
        <v>11</v>
      </c>
      <c r="AK9" s="208">
        <v>11.7</v>
      </c>
      <c r="AL9" s="82"/>
      <c r="AO9" s="83"/>
      <c r="AP9" s="82"/>
      <c r="AS9" s="83"/>
      <c r="AW9" s="83"/>
      <c r="BA9" s="84"/>
    </row>
    <row r="10" spans="1:53" s="208" customFormat="1" x14ac:dyDescent="0.15">
      <c r="A10" s="102">
        <v>1961</v>
      </c>
      <c r="B10" s="207"/>
      <c r="C10" s="811" t="s">
        <v>461</v>
      </c>
      <c r="D10" s="811"/>
      <c r="E10" s="208">
        <v>0</v>
      </c>
      <c r="G10" s="123">
        <v>3</v>
      </c>
      <c r="H10" s="208">
        <v>2</v>
      </c>
      <c r="I10" s="208">
        <v>2</v>
      </c>
      <c r="J10" s="134">
        <v>7</v>
      </c>
      <c r="K10" s="92">
        <f t="shared" si="1"/>
        <v>42.857142857142854</v>
      </c>
      <c r="L10" s="92">
        <f t="shared" si="1"/>
        <v>28.571428571428569</v>
      </c>
      <c r="M10" s="92">
        <f t="shared" si="1"/>
        <v>28.571428571428569</v>
      </c>
      <c r="N10" s="125">
        <f t="shared" ref="N10:N73" si="3">K10+L10+M10</f>
        <v>99.999999999999986</v>
      </c>
      <c r="O10" s="91">
        <v>37.700000000000003</v>
      </c>
      <c r="P10" s="92">
        <v>24</v>
      </c>
      <c r="Q10" s="92">
        <v>26</v>
      </c>
      <c r="R10" s="93">
        <f t="shared" si="2"/>
        <v>87.7</v>
      </c>
      <c r="S10" s="208">
        <v>3</v>
      </c>
      <c r="T10" s="81"/>
      <c r="V10" s="82" t="s">
        <v>132</v>
      </c>
      <c r="W10" s="208" t="s">
        <v>22</v>
      </c>
      <c r="X10" s="208" t="s">
        <v>11</v>
      </c>
      <c r="Y10" s="83">
        <v>26</v>
      </c>
      <c r="Z10" s="208" t="s">
        <v>81</v>
      </c>
      <c r="AA10" s="208" t="s">
        <v>17</v>
      </c>
      <c r="AB10" s="208" t="s">
        <v>18</v>
      </c>
      <c r="AC10" s="208">
        <v>24</v>
      </c>
      <c r="AD10" s="82" t="s">
        <v>467</v>
      </c>
      <c r="AE10" s="208" t="s">
        <v>20</v>
      </c>
      <c r="AF10" s="208" t="s">
        <v>12</v>
      </c>
      <c r="AG10" s="83">
        <v>26</v>
      </c>
      <c r="AH10" s="208" t="s">
        <v>341</v>
      </c>
      <c r="AI10" s="208" t="s">
        <v>75</v>
      </c>
      <c r="AJ10" s="208" t="s">
        <v>11</v>
      </c>
      <c r="AK10" s="208">
        <v>11.7</v>
      </c>
      <c r="AL10" s="82"/>
      <c r="AO10" s="83"/>
      <c r="AP10" s="82"/>
      <c r="AS10" s="83"/>
      <c r="AW10" s="83"/>
      <c r="BA10" s="84"/>
    </row>
    <row r="11" spans="1:53" s="208" customFormat="1" x14ac:dyDescent="0.15">
      <c r="A11" s="102">
        <v>1961</v>
      </c>
      <c r="B11" s="207"/>
      <c r="C11" s="811" t="s">
        <v>429</v>
      </c>
      <c r="D11" s="811"/>
      <c r="E11" s="208">
        <v>365</v>
      </c>
      <c r="F11" s="208">
        <v>1</v>
      </c>
      <c r="G11" s="123">
        <v>3</v>
      </c>
      <c r="H11" s="208">
        <v>2</v>
      </c>
      <c r="I11" s="208">
        <v>2</v>
      </c>
      <c r="J11" s="134">
        <v>7</v>
      </c>
      <c r="K11" s="92">
        <f t="shared" si="1"/>
        <v>42.857142857142854</v>
      </c>
      <c r="L11" s="92">
        <f t="shared" si="1"/>
        <v>28.571428571428569</v>
      </c>
      <c r="M11" s="92">
        <f t="shared" si="1"/>
        <v>28.571428571428569</v>
      </c>
      <c r="N11" s="125">
        <f t="shared" si="3"/>
        <v>99.999999999999986</v>
      </c>
      <c r="O11" s="91">
        <v>37.700000000000003</v>
      </c>
      <c r="P11" s="92">
        <v>24</v>
      </c>
      <c r="Q11" s="92">
        <v>26</v>
      </c>
      <c r="R11" s="93">
        <f t="shared" si="2"/>
        <v>87.7</v>
      </c>
      <c r="S11" s="208">
        <v>3</v>
      </c>
      <c r="T11" s="81"/>
      <c r="V11" s="82" t="s">
        <v>132</v>
      </c>
      <c r="W11" s="208" t="s">
        <v>22</v>
      </c>
      <c r="X11" s="208" t="s">
        <v>11</v>
      </c>
      <c r="Y11" s="83">
        <v>26</v>
      </c>
      <c r="Z11" s="208" t="s">
        <v>81</v>
      </c>
      <c r="AA11" s="208" t="s">
        <v>17</v>
      </c>
      <c r="AB11" s="208" t="s">
        <v>18</v>
      </c>
      <c r="AC11" s="208">
        <v>24</v>
      </c>
      <c r="AD11" s="82" t="s">
        <v>467</v>
      </c>
      <c r="AE11" s="208" t="s">
        <v>20</v>
      </c>
      <c r="AF11" s="208" t="s">
        <v>12</v>
      </c>
      <c r="AG11" s="83">
        <v>26</v>
      </c>
      <c r="AH11" s="208" t="s">
        <v>341</v>
      </c>
      <c r="AI11" s="208" t="s">
        <v>75</v>
      </c>
      <c r="AJ11" s="208" t="s">
        <v>11</v>
      </c>
      <c r="AK11" s="208">
        <v>11.7</v>
      </c>
      <c r="AL11" s="82"/>
      <c r="AO11" s="83"/>
      <c r="AP11" s="82"/>
      <c r="AS11" s="83"/>
      <c r="AW11" s="83"/>
      <c r="BA11" s="84"/>
    </row>
    <row r="12" spans="1:53" s="208" customFormat="1" x14ac:dyDescent="0.15">
      <c r="A12" s="102">
        <v>1962</v>
      </c>
      <c r="B12" s="207"/>
      <c r="C12" s="811" t="s">
        <v>429</v>
      </c>
      <c r="D12" s="811"/>
      <c r="E12" s="208">
        <v>0</v>
      </c>
      <c r="G12" s="123">
        <v>3</v>
      </c>
      <c r="H12" s="208">
        <v>2</v>
      </c>
      <c r="I12" s="208">
        <v>2</v>
      </c>
      <c r="J12" s="134">
        <v>7</v>
      </c>
      <c r="K12" s="92">
        <f t="shared" si="1"/>
        <v>42.857142857142854</v>
      </c>
      <c r="L12" s="92">
        <f t="shared" si="1"/>
        <v>28.571428571428569</v>
      </c>
      <c r="M12" s="92">
        <f t="shared" si="1"/>
        <v>28.571428571428569</v>
      </c>
      <c r="N12" s="125">
        <f t="shared" si="3"/>
        <v>99.999999999999986</v>
      </c>
      <c r="O12" s="91">
        <v>37.700000000000003</v>
      </c>
      <c r="P12" s="92">
        <v>24</v>
      </c>
      <c r="Q12" s="92">
        <v>26</v>
      </c>
      <c r="R12" s="93">
        <f t="shared" si="2"/>
        <v>87.7</v>
      </c>
      <c r="S12" s="208">
        <v>3</v>
      </c>
      <c r="T12" s="81"/>
      <c r="V12" s="82" t="s">
        <v>132</v>
      </c>
      <c r="W12" s="208" t="s">
        <v>22</v>
      </c>
      <c r="X12" s="208" t="s">
        <v>11</v>
      </c>
      <c r="Y12" s="83">
        <v>26</v>
      </c>
      <c r="Z12" s="208" t="s">
        <v>81</v>
      </c>
      <c r="AA12" s="208" t="s">
        <v>17</v>
      </c>
      <c r="AB12" s="208" t="s">
        <v>18</v>
      </c>
      <c r="AC12" s="208">
        <v>24</v>
      </c>
      <c r="AD12" s="82" t="s">
        <v>467</v>
      </c>
      <c r="AE12" s="208" t="s">
        <v>20</v>
      </c>
      <c r="AF12" s="208" t="s">
        <v>12</v>
      </c>
      <c r="AG12" s="83">
        <v>26</v>
      </c>
      <c r="AH12" s="208" t="s">
        <v>341</v>
      </c>
      <c r="AI12" s="208" t="s">
        <v>75</v>
      </c>
      <c r="AJ12" s="208" t="s">
        <v>11</v>
      </c>
      <c r="AK12" s="208">
        <v>11.7</v>
      </c>
      <c r="AL12" s="82"/>
      <c r="AO12" s="83"/>
      <c r="AP12" s="82"/>
      <c r="AS12" s="83"/>
      <c r="AW12" s="83"/>
      <c r="BA12" s="84"/>
    </row>
    <row r="13" spans="1:53" s="208" customFormat="1" x14ac:dyDescent="0.15">
      <c r="A13" s="102">
        <v>1962</v>
      </c>
      <c r="B13" s="207"/>
      <c r="C13" s="811" t="s">
        <v>829</v>
      </c>
      <c r="D13" s="811"/>
      <c r="E13" s="208">
        <v>365</v>
      </c>
      <c r="F13" s="208">
        <v>1</v>
      </c>
      <c r="G13" s="123">
        <v>3</v>
      </c>
      <c r="H13" s="208">
        <v>2</v>
      </c>
      <c r="I13" s="208">
        <v>2</v>
      </c>
      <c r="J13" s="134">
        <v>7</v>
      </c>
      <c r="K13" s="92">
        <f t="shared" si="1"/>
        <v>42.857142857142854</v>
      </c>
      <c r="L13" s="92">
        <f t="shared" si="1"/>
        <v>28.571428571428569</v>
      </c>
      <c r="M13" s="92">
        <f t="shared" si="1"/>
        <v>28.571428571428569</v>
      </c>
      <c r="N13" s="125">
        <f t="shared" si="3"/>
        <v>99.999999999999986</v>
      </c>
      <c r="O13" s="91">
        <v>37.700000000000003</v>
      </c>
      <c r="P13" s="92">
        <v>24</v>
      </c>
      <c r="Q13" s="92">
        <v>26</v>
      </c>
      <c r="R13" s="93">
        <f t="shared" si="2"/>
        <v>87.7</v>
      </c>
      <c r="S13" s="208">
        <v>3</v>
      </c>
      <c r="T13" s="81"/>
      <c r="V13" s="82" t="s">
        <v>132</v>
      </c>
      <c r="W13" s="208" t="s">
        <v>22</v>
      </c>
      <c r="X13" s="208" t="s">
        <v>11</v>
      </c>
      <c r="Y13" s="83">
        <v>26</v>
      </c>
      <c r="Z13" s="208" t="s">
        <v>81</v>
      </c>
      <c r="AA13" s="208" t="s">
        <v>17</v>
      </c>
      <c r="AB13" s="208" t="s">
        <v>18</v>
      </c>
      <c r="AC13" s="208">
        <v>24</v>
      </c>
      <c r="AD13" s="82" t="s">
        <v>467</v>
      </c>
      <c r="AE13" s="208" t="s">
        <v>20</v>
      </c>
      <c r="AF13" s="208" t="s">
        <v>12</v>
      </c>
      <c r="AG13" s="83">
        <v>26</v>
      </c>
      <c r="AH13" s="208" t="s">
        <v>341</v>
      </c>
      <c r="AI13" s="208" t="s">
        <v>75</v>
      </c>
      <c r="AJ13" s="208" t="s">
        <v>11</v>
      </c>
      <c r="AK13" s="208">
        <v>11.7</v>
      </c>
      <c r="AL13" s="82"/>
      <c r="AO13" s="83"/>
      <c r="AP13" s="82"/>
      <c r="AS13" s="83"/>
      <c r="AW13" s="83"/>
      <c r="BA13" s="84"/>
    </row>
    <row r="14" spans="1:53" s="208" customFormat="1" x14ac:dyDescent="0.15">
      <c r="A14" s="102">
        <v>1962.6</v>
      </c>
      <c r="B14" s="207"/>
      <c r="C14" s="811" t="s">
        <v>829</v>
      </c>
      <c r="D14" s="811"/>
      <c r="E14" s="208">
        <v>345</v>
      </c>
      <c r="G14" s="123">
        <v>3</v>
      </c>
      <c r="H14" s="208">
        <v>2</v>
      </c>
      <c r="I14" s="208">
        <v>2</v>
      </c>
      <c r="J14" s="134">
        <v>7</v>
      </c>
      <c r="K14" s="92">
        <f t="shared" si="1"/>
        <v>42.857142857142854</v>
      </c>
      <c r="L14" s="92">
        <f t="shared" si="1"/>
        <v>28.571428571428569</v>
      </c>
      <c r="M14" s="92">
        <f t="shared" si="1"/>
        <v>28.571428571428569</v>
      </c>
      <c r="N14" s="125">
        <f t="shared" si="3"/>
        <v>99.999999999999986</v>
      </c>
      <c r="O14" s="91">
        <v>37.700000000000003</v>
      </c>
      <c r="P14" s="92">
        <v>24</v>
      </c>
      <c r="Q14" s="92">
        <v>26</v>
      </c>
      <c r="R14" s="93">
        <f t="shared" si="2"/>
        <v>87.7</v>
      </c>
      <c r="S14" s="208">
        <v>3</v>
      </c>
      <c r="T14" s="81"/>
      <c r="V14" s="82" t="s">
        <v>132</v>
      </c>
      <c r="W14" s="208" t="s">
        <v>22</v>
      </c>
      <c r="X14" s="208" t="s">
        <v>11</v>
      </c>
      <c r="Y14" s="83">
        <v>26</v>
      </c>
      <c r="Z14" s="208" t="s">
        <v>81</v>
      </c>
      <c r="AA14" s="208" t="s">
        <v>17</v>
      </c>
      <c r="AB14" s="208" t="s">
        <v>18</v>
      </c>
      <c r="AC14" s="208">
        <v>24</v>
      </c>
      <c r="AD14" s="82" t="s">
        <v>467</v>
      </c>
      <c r="AE14" s="208" t="s">
        <v>20</v>
      </c>
      <c r="AF14" s="208" t="s">
        <v>12</v>
      </c>
      <c r="AG14" s="83">
        <v>26</v>
      </c>
      <c r="AH14" s="208" t="s">
        <v>341</v>
      </c>
      <c r="AI14" s="208" t="s">
        <v>75</v>
      </c>
      <c r="AJ14" s="208" t="s">
        <v>11</v>
      </c>
      <c r="AK14" s="208">
        <v>11.7</v>
      </c>
      <c r="AL14" s="82"/>
      <c r="AO14" s="83"/>
      <c r="AP14" s="82"/>
      <c r="AS14" s="83"/>
      <c r="AW14" s="83"/>
      <c r="BA14" s="84"/>
    </row>
    <row r="15" spans="1:53" s="334" customFormat="1" x14ac:dyDescent="0.15">
      <c r="A15" s="386">
        <v>1963.05714285714</v>
      </c>
      <c r="B15" s="355">
        <v>23357</v>
      </c>
      <c r="C15" s="812" t="s">
        <v>867</v>
      </c>
      <c r="D15" s="812"/>
      <c r="E15" s="334">
        <f>365-E14</f>
        <v>20</v>
      </c>
      <c r="F15" s="334">
        <v>1</v>
      </c>
      <c r="G15" s="419">
        <v>3</v>
      </c>
      <c r="H15" s="334">
        <v>2</v>
      </c>
      <c r="I15" s="334">
        <v>2</v>
      </c>
      <c r="J15" s="435">
        <v>7</v>
      </c>
      <c r="K15" s="384">
        <f t="shared" si="1"/>
        <v>42.857142857142854</v>
      </c>
      <c r="L15" s="384">
        <f t="shared" si="1"/>
        <v>28.571428571428569</v>
      </c>
      <c r="M15" s="384">
        <f t="shared" si="1"/>
        <v>28.571428571428569</v>
      </c>
      <c r="N15" s="421">
        <f t="shared" si="3"/>
        <v>99.999999999999986</v>
      </c>
      <c r="O15" s="383">
        <v>36.5</v>
      </c>
      <c r="P15" s="384">
        <v>24</v>
      </c>
      <c r="Q15" s="384">
        <v>26.5</v>
      </c>
      <c r="R15" s="385">
        <f t="shared" si="2"/>
        <v>87</v>
      </c>
      <c r="S15" s="334">
        <v>3</v>
      </c>
      <c r="T15" s="342">
        <v>23311</v>
      </c>
      <c r="U15" s="355">
        <v>23357</v>
      </c>
      <c r="V15" s="343" t="s">
        <v>132</v>
      </c>
      <c r="W15" s="334" t="s">
        <v>22</v>
      </c>
      <c r="X15" s="334" t="s">
        <v>11</v>
      </c>
      <c r="Y15" s="344">
        <v>25.5</v>
      </c>
      <c r="Z15" s="334" t="s">
        <v>81</v>
      </c>
      <c r="AA15" s="334" t="s">
        <v>17</v>
      </c>
      <c r="AB15" s="334" t="s">
        <v>18</v>
      </c>
      <c r="AC15" s="334">
        <v>24</v>
      </c>
      <c r="AD15" s="343" t="s">
        <v>467</v>
      </c>
      <c r="AE15" s="334" t="s">
        <v>20</v>
      </c>
      <c r="AF15" s="334" t="s">
        <v>12</v>
      </c>
      <c r="AG15" s="344">
        <v>26.5</v>
      </c>
      <c r="AH15" s="334" t="s">
        <v>341</v>
      </c>
      <c r="AI15" s="334" t="s">
        <v>75</v>
      </c>
      <c r="AJ15" s="334" t="s">
        <v>11</v>
      </c>
      <c r="AK15" s="334">
        <v>11</v>
      </c>
      <c r="AL15" s="343"/>
      <c r="AO15" s="344"/>
      <c r="AP15" s="343"/>
      <c r="AS15" s="344"/>
      <c r="AW15" s="344"/>
      <c r="BA15" s="345"/>
    </row>
    <row r="16" spans="1:53" s="334" customFormat="1" x14ac:dyDescent="0.15">
      <c r="A16" s="386">
        <v>1963.5142857142901</v>
      </c>
      <c r="B16" s="355"/>
      <c r="C16" s="812" t="s">
        <v>867</v>
      </c>
      <c r="D16" s="812"/>
      <c r="E16" s="334">
        <v>0</v>
      </c>
      <c r="G16" s="419">
        <v>3</v>
      </c>
      <c r="H16" s="334">
        <v>2</v>
      </c>
      <c r="I16" s="334">
        <v>2</v>
      </c>
      <c r="J16" s="435">
        <v>7</v>
      </c>
      <c r="K16" s="384">
        <f t="shared" si="1"/>
        <v>42.857142857142854</v>
      </c>
      <c r="L16" s="384">
        <f t="shared" si="1"/>
        <v>28.571428571428569</v>
      </c>
      <c r="M16" s="384">
        <f t="shared" si="1"/>
        <v>28.571428571428569</v>
      </c>
      <c r="N16" s="421">
        <f t="shared" si="3"/>
        <v>99.999999999999986</v>
      </c>
      <c r="O16" s="383">
        <v>36.5</v>
      </c>
      <c r="P16" s="384">
        <v>24</v>
      </c>
      <c r="Q16" s="384">
        <v>26.5</v>
      </c>
      <c r="R16" s="385">
        <f t="shared" si="2"/>
        <v>87</v>
      </c>
      <c r="S16" s="334">
        <v>3</v>
      </c>
      <c r="T16" s="357"/>
      <c r="V16" s="343" t="s">
        <v>132</v>
      </c>
      <c r="W16" s="334" t="s">
        <v>22</v>
      </c>
      <c r="X16" s="334" t="s">
        <v>11</v>
      </c>
      <c r="Y16" s="344">
        <v>25.5</v>
      </c>
      <c r="Z16" s="334" t="s">
        <v>81</v>
      </c>
      <c r="AA16" s="334" t="s">
        <v>17</v>
      </c>
      <c r="AB16" s="334" t="s">
        <v>18</v>
      </c>
      <c r="AC16" s="334">
        <v>24</v>
      </c>
      <c r="AD16" s="343" t="s">
        <v>467</v>
      </c>
      <c r="AE16" s="334" t="s">
        <v>20</v>
      </c>
      <c r="AF16" s="334" t="s">
        <v>12</v>
      </c>
      <c r="AG16" s="344">
        <v>26.5</v>
      </c>
      <c r="AH16" s="334" t="s">
        <v>341</v>
      </c>
      <c r="AI16" s="334" t="s">
        <v>75</v>
      </c>
      <c r="AJ16" s="334" t="s">
        <v>11</v>
      </c>
      <c r="AK16" s="334">
        <v>11</v>
      </c>
      <c r="AL16" s="343"/>
      <c r="AO16" s="344"/>
      <c r="AP16" s="343"/>
      <c r="AS16" s="344"/>
      <c r="AW16" s="344"/>
      <c r="BA16" s="345"/>
    </row>
    <row r="17" spans="1:53" s="334" customFormat="1" x14ac:dyDescent="0.15">
      <c r="A17" s="386">
        <v>1963.9714285714299</v>
      </c>
      <c r="B17" s="355"/>
      <c r="C17" s="812" t="s">
        <v>468</v>
      </c>
      <c r="D17" s="812"/>
      <c r="E17" s="334">
        <v>366</v>
      </c>
      <c r="F17" s="334">
        <v>1</v>
      </c>
      <c r="G17" s="419">
        <v>3</v>
      </c>
      <c r="H17" s="334">
        <v>2</v>
      </c>
      <c r="I17" s="334">
        <v>2</v>
      </c>
      <c r="J17" s="435">
        <v>7</v>
      </c>
      <c r="K17" s="384">
        <f t="shared" si="1"/>
        <v>42.857142857142854</v>
      </c>
      <c r="L17" s="384">
        <f t="shared" si="1"/>
        <v>28.571428571428569</v>
      </c>
      <c r="M17" s="384">
        <f t="shared" si="1"/>
        <v>28.571428571428569</v>
      </c>
      <c r="N17" s="421">
        <f t="shared" si="3"/>
        <v>99.999999999999986</v>
      </c>
      <c r="O17" s="383">
        <v>36.5</v>
      </c>
      <c r="P17" s="384">
        <v>24</v>
      </c>
      <c r="Q17" s="384">
        <v>26.5</v>
      </c>
      <c r="R17" s="385">
        <f t="shared" si="2"/>
        <v>87</v>
      </c>
      <c r="S17" s="334">
        <v>3</v>
      </c>
      <c r="T17" s="357"/>
      <c r="V17" s="343" t="s">
        <v>132</v>
      </c>
      <c r="W17" s="334" t="s">
        <v>22</v>
      </c>
      <c r="X17" s="334" t="s">
        <v>11</v>
      </c>
      <c r="Y17" s="344">
        <v>25.5</v>
      </c>
      <c r="Z17" s="334" t="s">
        <v>81</v>
      </c>
      <c r="AA17" s="334" t="s">
        <v>17</v>
      </c>
      <c r="AB17" s="334" t="s">
        <v>18</v>
      </c>
      <c r="AC17" s="334">
        <v>24</v>
      </c>
      <c r="AD17" s="343" t="s">
        <v>467</v>
      </c>
      <c r="AE17" s="334" t="s">
        <v>20</v>
      </c>
      <c r="AF17" s="334" t="s">
        <v>12</v>
      </c>
      <c r="AG17" s="344">
        <v>26.5</v>
      </c>
      <c r="AH17" s="334" t="s">
        <v>341</v>
      </c>
      <c r="AI17" s="334" t="s">
        <v>75</v>
      </c>
      <c r="AJ17" s="334" t="s">
        <v>11</v>
      </c>
      <c r="AK17" s="334">
        <v>11</v>
      </c>
      <c r="AL17" s="343"/>
      <c r="AO17" s="344"/>
      <c r="AP17" s="343"/>
      <c r="AS17" s="344"/>
      <c r="AW17" s="344"/>
      <c r="BA17" s="345"/>
    </row>
    <row r="18" spans="1:53" s="334" customFormat="1" x14ac:dyDescent="0.15">
      <c r="A18" s="386">
        <v>1965</v>
      </c>
      <c r="B18" s="355"/>
      <c r="C18" s="812" t="s">
        <v>468</v>
      </c>
      <c r="D18" s="812"/>
      <c r="E18" s="334">
        <v>0</v>
      </c>
      <c r="G18" s="419">
        <v>3</v>
      </c>
      <c r="H18" s="334">
        <v>2</v>
      </c>
      <c r="I18" s="334">
        <v>2</v>
      </c>
      <c r="J18" s="435">
        <v>7</v>
      </c>
      <c r="K18" s="384">
        <f t="shared" si="1"/>
        <v>42.857142857142854</v>
      </c>
      <c r="L18" s="384">
        <f t="shared" si="1"/>
        <v>28.571428571428569</v>
      </c>
      <c r="M18" s="384">
        <f t="shared" si="1"/>
        <v>28.571428571428569</v>
      </c>
      <c r="N18" s="421">
        <f t="shared" si="3"/>
        <v>99.999999999999986</v>
      </c>
      <c r="O18" s="383">
        <v>36.5</v>
      </c>
      <c r="P18" s="384">
        <v>24</v>
      </c>
      <c r="Q18" s="384">
        <v>26.5</v>
      </c>
      <c r="R18" s="385">
        <f t="shared" si="2"/>
        <v>87</v>
      </c>
      <c r="S18" s="334">
        <v>3</v>
      </c>
      <c r="T18" s="357"/>
      <c r="V18" s="343" t="s">
        <v>132</v>
      </c>
      <c r="W18" s="334" t="s">
        <v>22</v>
      </c>
      <c r="X18" s="334" t="s">
        <v>11</v>
      </c>
      <c r="Y18" s="344">
        <v>25.5</v>
      </c>
      <c r="Z18" s="334" t="s">
        <v>81</v>
      </c>
      <c r="AA18" s="334" t="s">
        <v>17</v>
      </c>
      <c r="AB18" s="334" t="s">
        <v>18</v>
      </c>
      <c r="AC18" s="334">
        <v>24</v>
      </c>
      <c r="AD18" s="343" t="s">
        <v>467</v>
      </c>
      <c r="AE18" s="334" t="s">
        <v>20</v>
      </c>
      <c r="AF18" s="334" t="s">
        <v>12</v>
      </c>
      <c r="AG18" s="344">
        <v>26.5</v>
      </c>
      <c r="AH18" s="334" t="s">
        <v>341</v>
      </c>
      <c r="AI18" s="334" t="s">
        <v>75</v>
      </c>
      <c r="AJ18" s="334" t="s">
        <v>11</v>
      </c>
      <c r="AK18" s="334">
        <v>11</v>
      </c>
      <c r="AL18" s="343"/>
      <c r="AO18" s="344"/>
      <c r="AP18" s="343"/>
      <c r="AS18" s="344"/>
      <c r="AW18" s="344"/>
      <c r="BA18" s="345"/>
    </row>
    <row r="19" spans="1:53" s="334" customFormat="1" x14ac:dyDescent="0.15">
      <c r="A19" s="386">
        <v>1964.88571428572</v>
      </c>
      <c r="B19" s="355"/>
      <c r="C19" s="863" t="s">
        <v>427</v>
      </c>
      <c r="D19" s="812"/>
      <c r="E19" s="334">
        <v>365</v>
      </c>
      <c r="F19" s="334">
        <v>1</v>
      </c>
      <c r="G19" s="419">
        <v>3</v>
      </c>
      <c r="H19" s="334">
        <v>2</v>
      </c>
      <c r="I19" s="334">
        <v>2</v>
      </c>
      <c r="J19" s="435">
        <v>7</v>
      </c>
      <c r="K19" s="384">
        <f t="shared" si="1"/>
        <v>42.857142857142854</v>
      </c>
      <c r="L19" s="384">
        <f t="shared" si="1"/>
        <v>28.571428571428569</v>
      </c>
      <c r="M19" s="384">
        <f t="shared" si="1"/>
        <v>28.571428571428569</v>
      </c>
      <c r="N19" s="421">
        <f t="shared" si="3"/>
        <v>99.999999999999986</v>
      </c>
      <c r="O19" s="383">
        <v>36.5</v>
      </c>
      <c r="P19" s="384">
        <v>24</v>
      </c>
      <c r="Q19" s="384">
        <v>26.5</v>
      </c>
      <c r="R19" s="385">
        <f t="shared" si="2"/>
        <v>87</v>
      </c>
      <c r="S19" s="334">
        <v>3</v>
      </c>
      <c r="T19" s="357"/>
      <c r="V19" s="343" t="s">
        <v>132</v>
      </c>
      <c r="W19" s="334" t="s">
        <v>22</v>
      </c>
      <c r="X19" s="334" t="s">
        <v>11</v>
      </c>
      <c r="Y19" s="344">
        <v>25.5</v>
      </c>
      <c r="Z19" s="334" t="s">
        <v>81</v>
      </c>
      <c r="AA19" s="334" t="s">
        <v>17</v>
      </c>
      <c r="AB19" s="334" t="s">
        <v>18</v>
      </c>
      <c r="AC19" s="334">
        <v>24</v>
      </c>
      <c r="AD19" s="343" t="s">
        <v>467</v>
      </c>
      <c r="AE19" s="334" t="s">
        <v>20</v>
      </c>
      <c r="AF19" s="334" t="s">
        <v>12</v>
      </c>
      <c r="AG19" s="344">
        <v>26.5</v>
      </c>
      <c r="AH19" s="334" t="s">
        <v>341</v>
      </c>
      <c r="AI19" s="334" t="s">
        <v>75</v>
      </c>
      <c r="AJ19" s="334" t="s">
        <v>11</v>
      </c>
      <c r="AK19" s="334">
        <v>11</v>
      </c>
      <c r="AL19" s="343"/>
      <c r="AO19" s="344"/>
      <c r="AP19" s="343"/>
      <c r="AS19" s="344"/>
      <c r="AW19" s="344"/>
      <c r="BA19" s="345"/>
    </row>
    <row r="20" spans="1:53" s="334" customFormat="1" x14ac:dyDescent="0.15">
      <c r="A20" s="386">
        <v>1966</v>
      </c>
      <c r="B20" s="355"/>
      <c r="C20" s="863" t="s">
        <v>427</v>
      </c>
      <c r="D20" s="812"/>
      <c r="E20" s="334">
        <v>0</v>
      </c>
      <c r="G20" s="419">
        <v>3</v>
      </c>
      <c r="H20" s="334">
        <v>2</v>
      </c>
      <c r="I20" s="334">
        <v>2</v>
      </c>
      <c r="J20" s="435">
        <v>7</v>
      </c>
      <c r="K20" s="384">
        <f t="shared" si="1"/>
        <v>42.857142857142854</v>
      </c>
      <c r="L20" s="384">
        <f t="shared" si="1"/>
        <v>28.571428571428569</v>
      </c>
      <c r="M20" s="384">
        <f t="shared" si="1"/>
        <v>28.571428571428569</v>
      </c>
      <c r="N20" s="421">
        <f t="shared" si="3"/>
        <v>99.999999999999986</v>
      </c>
      <c r="O20" s="383">
        <v>36.5</v>
      </c>
      <c r="P20" s="384">
        <v>24</v>
      </c>
      <c r="Q20" s="384">
        <v>26.5</v>
      </c>
      <c r="R20" s="385">
        <f t="shared" si="2"/>
        <v>87</v>
      </c>
      <c r="S20" s="334">
        <v>3</v>
      </c>
      <c r="T20" s="357"/>
      <c r="V20" s="343" t="s">
        <v>132</v>
      </c>
      <c r="W20" s="334" t="s">
        <v>22</v>
      </c>
      <c r="X20" s="334" t="s">
        <v>11</v>
      </c>
      <c r="Y20" s="344">
        <v>25.5</v>
      </c>
      <c r="Z20" s="334" t="s">
        <v>81</v>
      </c>
      <c r="AA20" s="334" t="s">
        <v>17</v>
      </c>
      <c r="AB20" s="334" t="s">
        <v>18</v>
      </c>
      <c r="AC20" s="334">
        <v>24</v>
      </c>
      <c r="AD20" s="343" t="s">
        <v>467</v>
      </c>
      <c r="AE20" s="334" t="s">
        <v>20</v>
      </c>
      <c r="AF20" s="334" t="s">
        <v>12</v>
      </c>
      <c r="AG20" s="344">
        <v>26.5</v>
      </c>
      <c r="AH20" s="334" t="s">
        <v>341</v>
      </c>
      <c r="AI20" s="334" t="s">
        <v>75</v>
      </c>
      <c r="AJ20" s="334" t="s">
        <v>11</v>
      </c>
      <c r="AK20" s="334">
        <v>11</v>
      </c>
      <c r="AL20" s="343"/>
      <c r="AO20" s="344"/>
      <c r="AP20" s="343"/>
      <c r="AS20" s="344"/>
      <c r="AW20" s="344"/>
      <c r="BA20" s="345"/>
    </row>
    <row r="21" spans="1:53" s="334" customFormat="1" x14ac:dyDescent="0.15">
      <c r="A21" s="386">
        <v>1965.8</v>
      </c>
      <c r="B21" s="355"/>
      <c r="C21" s="812" t="s">
        <v>428</v>
      </c>
      <c r="D21" s="812"/>
      <c r="E21" s="334">
        <v>365</v>
      </c>
      <c r="F21" s="334">
        <v>1</v>
      </c>
      <c r="G21" s="419">
        <v>3</v>
      </c>
      <c r="H21" s="334">
        <v>2</v>
      </c>
      <c r="I21" s="334">
        <v>2</v>
      </c>
      <c r="J21" s="435">
        <v>7</v>
      </c>
      <c r="K21" s="384">
        <f t="shared" si="1"/>
        <v>42.857142857142854</v>
      </c>
      <c r="L21" s="384">
        <f t="shared" si="1"/>
        <v>28.571428571428569</v>
      </c>
      <c r="M21" s="384">
        <f t="shared" si="1"/>
        <v>28.571428571428569</v>
      </c>
      <c r="N21" s="421">
        <f t="shared" si="3"/>
        <v>99.999999999999986</v>
      </c>
      <c r="O21" s="383">
        <v>36.5</v>
      </c>
      <c r="P21" s="384">
        <v>24</v>
      </c>
      <c r="Q21" s="384">
        <v>26.5</v>
      </c>
      <c r="R21" s="385">
        <f t="shared" si="2"/>
        <v>87</v>
      </c>
      <c r="S21" s="334">
        <v>3</v>
      </c>
      <c r="T21" s="357"/>
      <c r="V21" s="343" t="s">
        <v>132</v>
      </c>
      <c r="W21" s="334" t="s">
        <v>22</v>
      </c>
      <c r="X21" s="334" t="s">
        <v>11</v>
      </c>
      <c r="Y21" s="344">
        <v>25.5</v>
      </c>
      <c r="Z21" s="334" t="s">
        <v>81</v>
      </c>
      <c r="AA21" s="334" t="s">
        <v>17</v>
      </c>
      <c r="AB21" s="334" t="s">
        <v>18</v>
      </c>
      <c r="AC21" s="334">
        <v>24</v>
      </c>
      <c r="AD21" s="343" t="s">
        <v>467</v>
      </c>
      <c r="AE21" s="334" t="s">
        <v>20</v>
      </c>
      <c r="AF21" s="334" t="s">
        <v>12</v>
      </c>
      <c r="AG21" s="344">
        <v>26.5</v>
      </c>
      <c r="AH21" s="334" t="s">
        <v>341</v>
      </c>
      <c r="AI21" s="334" t="s">
        <v>75</v>
      </c>
      <c r="AJ21" s="334" t="s">
        <v>11</v>
      </c>
      <c r="AK21" s="334">
        <v>11</v>
      </c>
      <c r="AL21" s="343"/>
      <c r="AO21" s="344"/>
      <c r="AP21" s="343"/>
      <c r="AS21" s="344"/>
      <c r="AW21" s="344"/>
      <c r="BA21" s="345"/>
    </row>
    <row r="22" spans="1:53" s="334" customFormat="1" x14ac:dyDescent="0.15">
      <c r="A22" s="386">
        <v>1967</v>
      </c>
      <c r="B22" s="355"/>
      <c r="C22" s="812" t="s">
        <v>428</v>
      </c>
      <c r="D22" s="812"/>
      <c r="E22" s="334">
        <v>363</v>
      </c>
      <c r="G22" s="419">
        <v>3</v>
      </c>
      <c r="H22" s="334">
        <v>2</v>
      </c>
      <c r="I22" s="334">
        <v>2</v>
      </c>
      <c r="J22" s="435">
        <v>7</v>
      </c>
      <c r="K22" s="384">
        <f t="shared" si="1"/>
        <v>42.857142857142854</v>
      </c>
      <c r="L22" s="384">
        <f t="shared" si="1"/>
        <v>28.571428571428569</v>
      </c>
      <c r="M22" s="384">
        <f t="shared" si="1"/>
        <v>28.571428571428569</v>
      </c>
      <c r="N22" s="421">
        <f t="shared" si="3"/>
        <v>99.999999999999986</v>
      </c>
      <c r="O22" s="383">
        <v>36.5</v>
      </c>
      <c r="P22" s="384">
        <v>24</v>
      </c>
      <c r="Q22" s="384">
        <v>26.5</v>
      </c>
      <c r="R22" s="385">
        <f t="shared" si="2"/>
        <v>87</v>
      </c>
      <c r="S22" s="334">
        <v>3</v>
      </c>
      <c r="T22" s="357"/>
      <c r="V22" s="343" t="s">
        <v>132</v>
      </c>
      <c r="W22" s="334" t="s">
        <v>22</v>
      </c>
      <c r="X22" s="334" t="s">
        <v>11</v>
      </c>
      <c r="Y22" s="344">
        <v>25.5</v>
      </c>
      <c r="Z22" s="334" t="s">
        <v>81</v>
      </c>
      <c r="AA22" s="334" t="s">
        <v>17</v>
      </c>
      <c r="AB22" s="334" t="s">
        <v>18</v>
      </c>
      <c r="AC22" s="334">
        <v>24</v>
      </c>
      <c r="AD22" s="343" t="s">
        <v>467</v>
      </c>
      <c r="AE22" s="334" t="s">
        <v>20</v>
      </c>
      <c r="AF22" s="334" t="s">
        <v>12</v>
      </c>
      <c r="AG22" s="344">
        <v>26.5</v>
      </c>
      <c r="AH22" s="334" t="s">
        <v>341</v>
      </c>
      <c r="AI22" s="334" t="s">
        <v>75</v>
      </c>
      <c r="AJ22" s="334" t="s">
        <v>11</v>
      </c>
      <c r="AK22" s="334">
        <v>11</v>
      </c>
      <c r="AL22" s="343"/>
      <c r="AO22" s="344"/>
      <c r="AP22" s="343"/>
      <c r="AS22" s="344"/>
      <c r="AW22" s="344"/>
      <c r="BA22" s="345"/>
    </row>
    <row r="23" spans="1:53" s="208" customFormat="1" x14ac:dyDescent="0.15">
      <c r="A23" s="102">
        <v>1966.7142857142901</v>
      </c>
      <c r="B23" s="207">
        <v>24836</v>
      </c>
      <c r="C23" s="811" t="s">
        <v>830</v>
      </c>
      <c r="D23" s="811"/>
      <c r="E23" s="208">
        <f>365-E22</f>
        <v>2</v>
      </c>
      <c r="F23" s="208">
        <v>1</v>
      </c>
      <c r="G23" s="123">
        <v>3</v>
      </c>
      <c r="H23" s="208">
        <v>2</v>
      </c>
      <c r="I23" s="208">
        <v>2</v>
      </c>
      <c r="J23" s="134">
        <v>7</v>
      </c>
      <c r="K23" s="92">
        <f t="shared" si="1"/>
        <v>42.857142857142854</v>
      </c>
      <c r="L23" s="92">
        <f t="shared" si="1"/>
        <v>28.571428571428569</v>
      </c>
      <c r="M23" s="92">
        <f t="shared" si="1"/>
        <v>28.571428571428569</v>
      </c>
      <c r="N23" s="125">
        <f t="shared" si="3"/>
        <v>99.999999999999986</v>
      </c>
      <c r="O23" s="91">
        <v>35</v>
      </c>
      <c r="P23" s="92">
        <v>22.5</v>
      </c>
      <c r="Q23" s="92">
        <v>25.5</v>
      </c>
      <c r="R23" s="93">
        <f t="shared" si="2"/>
        <v>83</v>
      </c>
      <c r="S23" s="208">
        <v>3</v>
      </c>
      <c r="T23" s="95">
        <v>24774</v>
      </c>
      <c r="U23" s="207">
        <v>24836</v>
      </c>
      <c r="V23" s="82" t="s">
        <v>132</v>
      </c>
      <c r="W23" s="208" t="s">
        <v>22</v>
      </c>
      <c r="X23" s="208" t="s">
        <v>11</v>
      </c>
      <c r="Y23" s="83">
        <v>24.5</v>
      </c>
      <c r="Z23" s="208" t="s">
        <v>81</v>
      </c>
      <c r="AA23" s="208" t="s">
        <v>17</v>
      </c>
      <c r="AB23" s="208" t="s">
        <v>18</v>
      </c>
      <c r="AC23" s="208">
        <v>22.5</v>
      </c>
      <c r="AD23" s="82" t="s">
        <v>467</v>
      </c>
      <c r="AE23" s="208" t="s">
        <v>20</v>
      </c>
      <c r="AF23" s="208" t="s">
        <v>12</v>
      </c>
      <c r="AG23" s="83">
        <v>25.5</v>
      </c>
      <c r="AH23" s="208" t="s">
        <v>341</v>
      </c>
      <c r="AI23" s="208" t="s">
        <v>75</v>
      </c>
      <c r="AJ23" s="208" t="s">
        <v>11</v>
      </c>
      <c r="AK23" s="208">
        <v>10.5</v>
      </c>
      <c r="AL23" s="82"/>
      <c r="AO23" s="83"/>
      <c r="AP23" s="82"/>
      <c r="AS23" s="83"/>
      <c r="AW23" s="83"/>
      <c r="BA23" s="84"/>
    </row>
    <row r="24" spans="1:53" s="208" customFormat="1" x14ac:dyDescent="0.15">
      <c r="A24" s="102">
        <v>1968</v>
      </c>
      <c r="B24" s="207"/>
      <c r="C24" s="811" t="s">
        <v>830</v>
      </c>
      <c r="D24" s="811"/>
      <c r="E24" s="208">
        <v>0</v>
      </c>
      <c r="G24" s="123">
        <v>3</v>
      </c>
      <c r="H24" s="208">
        <v>2</v>
      </c>
      <c r="I24" s="208">
        <v>2</v>
      </c>
      <c r="J24" s="134">
        <v>7</v>
      </c>
      <c r="K24" s="92">
        <f t="shared" ref="K24:M59" si="4">G24/$J24*100</f>
        <v>42.857142857142854</v>
      </c>
      <c r="L24" s="92">
        <f t="shared" si="4"/>
        <v>28.571428571428569</v>
      </c>
      <c r="M24" s="92">
        <f t="shared" si="4"/>
        <v>28.571428571428569</v>
      </c>
      <c r="N24" s="125">
        <f t="shared" si="3"/>
        <v>99.999999999999986</v>
      </c>
      <c r="O24" s="91">
        <v>35</v>
      </c>
      <c r="P24" s="92">
        <v>22.5</v>
      </c>
      <c r="Q24" s="92">
        <v>25.5</v>
      </c>
      <c r="R24" s="93">
        <f t="shared" si="2"/>
        <v>83</v>
      </c>
      <c r="S24" s="208">
        <v>3</v>
      </c>
      <c r="T24" s="81"/>
      <c r="V24" s="82" t="s">
        <v>132</v>
      </c>
      <c r="W24" s="208" t="s">
        <v>22</v>
      </c>
      <c r="X24" s="208" t="s">
        <v>11</v>
      </c>
      <c r="Y24" s="83">
        <v>24.5</v>
      </c>
      <c r="Z24" s="208" t="s">
        <v>81</v>
      </c>
      <c r="AA24" s="208" t="s">
        <v>17</v>
      </c>
      <c r="AB24" s="208" t="s">
        <v>18</v>
      </c>
      <c r="AC24" s="208">
        <v>22.5</v>
      </c>
      <c r="AD24" s="82" t="s">
        <v>467</v>
      </c>
      <c r="AE24" s="208" t="s">
        <v>20</v>
      </c>
      <c r="AF24" s="208" t="s">
        <v>12</v>
      </c>
      <c r="AG24" s="83">
        <v>25.5</v>
      </c>
      <c r="AH24" s="208" t="s">
        <v>341</v>
      </c>
      <c r="AI24" s="208" t="s">
        <v>75</v>
      </c>
      <c r="AJ24" s="208" t="s">
        <v>11</v>
      </c>
      <c r="AK24" s="208">
        <v>10.5</v>
      </c>
      <c r="AL24" s="82"/>
      <c r="AO24" s="83"/>
      <c r="AP24" s="82"/>
      <c r="AS24" s="83"/>
      <c r="AW24" s="83"/>
      <c r="BA24" s="84"/>
    </row>
    <row r="25" spans="1:53" s="208" customFormat="1" x14ac:dyDescent="0.15">
      <c r="A25" s="102">
        <v>1967.62857142857</v>
      </c>
      <c r="B25" s="207"/>
      <c r="C25" s="811" t="s">
        <v>868</v>
      </c>
      <c r="D25" s="811"/>
      <c r="E25" s="208">
        <v>366</v>
      </c>
      <c r="F25" s="208">
        <v>1</v>
      </c>
      <c r="G25" s="123">
        <v>3</v>
      </c>
      <c r="H25" s="208">
        <v>2</v>
      </c>
      <c r="I25" s="208">
        <v>2</v>
      </c>
      <c r="J25" s="134">
        <v>7</v>
      </c>
      <c r="K25" s="92">
        <f t="shared" si="4"/>
        <v>42.857142857142854</v>
      </c>
      <c r="L25" s="92">
        <f t="shared" si="4"/>
        <v>28.571428571428569</v>
      </c>
      <c r="M25" s="92">
        <f t="shared" si="4"/>
        <v>28.571428571428569</v>
      </c>
      <c r="N25" s="125">
        <f t="shared" si="3"/>
        <v>99.999999999999986</v>
      </c>
      <c r="O25" s="91">
        <v>35</v>
      </c>
      <c r="P25" s="92">
        <v>22.5</v>
      </c>
      <c r="Q25" s="92">
        <v>25.5</v>
      </c>
      <c r="R25" s="93">
        <f t="shared" si="2"/>
        <v>83</v>
      </c>
      <c r="S25" s="208">
        <v>3</v>
      </c>
      <c r="T25" s="81"/>
      <c r="V25" s="82" t="s">
        <v>132</v>
      </c>
      <c r="W25" s="208" t="s">
        <v>22</v>
      </c>
      <c r="X25" s="208" t="s">
        <v>11</v>
      </c>
      <c r="Y25" s="83">
        <v>24.5</v>
      </c>
      <c r="Z25" s="208" t="s">
        <v>81</v>
      </c>
      <c r="AA25" s="208" t="s">
        <v>17</v>
      </c>
      <c r="AB25" s="208" t="s">
        <v>18</v>
      </c>
      <c r="AC25" s="208">
        <v>22.5</v>
      </c>
      <c r="AD25" s="82" t="s">
        <v>467</v>
      </c>
      <c r="AE25" s="208" t="s">
        <v>20</v>
      </c>
      <c r="AF25" s="208" t="s">
        <v>12</v>
      </c>
      <c r="AG25" s="83">
        <v>25.5</v>
      </c>
      <c r="AH25" s="208" t="s">
        <v>341</v>
      </c>
      <c r="AI25" s="208" t="s">
        <v>75</v>
      </c>
      <c r="AJ25" s="208" t="s">
        <v>11</v>
      </c>
      <c r="AK25" s="208">
        <v>10.5</v>
      </c>
      <c r="AL25" s="82"/>
      <c r="AO25" s="83"/>
      <c r="AP25" s="82"/>
      <c r="AS25" s="83"/>
      <c r="AW25" s="83"/>
      <c r="BA25" s="84"/>
    </row>
    <row r="26" spans="1:53" s="208" customFormat="1" x14ac:dyDescent="0.15">
      <c r="A26" s="102">
        <v>1969</v>
      </c>
      <c r="B26" s="207"/>
      <c r="C26" s="811" t="s">
        <v>868</v>
      </c>
      <c r="D26" s="811"/>
      <c r="E26" s="208">
        <v>0</v>
      </c>
      <c r="G26" s="123">
        <v>3</v>
      </c>
      <c r="H26" s="208">
        <v>2</v>
      </c>
      <c r="I26" s="208">
        <v>2</v>
      </c>
      <c r="J26" s="134">
        <v>7</v>
      </c>
      <c r="K26" s="92">
        <f t="shared" si="4"/>
        <v>42.857142857142854</v>
      </c>
      <c r="L26" s="92">
        <f t="shared" si="4"/>
        <v>28.571428571428569</v>
      </c>
      <c r="M26" s="92">
        <f t="shared" si="4"/>
        <v>28.571428571428569</v>
      </c>
      <c r="N26" s="125">
        <f t="shared" si="3"/>
        <v>99.999999999999986</v>
      </c>
      <c r="O26" s="91">
        <v>35</v>
      </c>
      <c r="P26" s="92">
        <v>22.5</v>
      </c>
      <c r="Q26" s="92">
        <v>25.5</v>
      </c>
      <c r="R26" s="93">
        <f t="shared" si="2"/>
        <v>83</v>
      </c>
      <c r="S26" s="208">
        <v>3</v>
      </c>
      <c r="T26" s="81"/>
      <c r="V26" s="82" t="s">
        <v>132</v>
      </c>
      <c r="W26" s="208" t="s">
        <v>22</v>
      </c>
      <c r="X26" s="208" t="s">
        <v>11</v>
      </c>
      <c r="Y26" s="83">
        <v>24.5</v>
      </c>
      <c r="Z26" s="208" t="s">
        <v>81</v>
      </c>
      <c r="AA26" s="208" t="s">
        <v>17</v>
      </c>
      <c r="AB26" s="208" t="s">
        <v>18</v>
      </c>
      <c r="AC26" s="208">
        <v>22.5</v>
      </c>
      <c r="AD26" s="82" t="s">
        <v>467</v>
      </c>
      <c r="AE26" s="208" t="s">
        <v>20</v>
      </c>
      <c r="AF26" s="208" t="s">
        <v>12</v>
      </c>
      <c r="AG26" s="83">
        <v>25.5</v>
      </c>
      <c r="AH26" s="208" t="s">
        <v>341</v>
      </c>
      <c r="AI26" s="208" t="s">
        <v>75</v>
      </c>
      <c r="AJ26" s="208" t="s">
        <v>11</v>
      </c>
      <c r="AK26" s="208">
        <v>10.5</v>
      </c>
      <c r="AL26" s="82"/>
      <c r="AO26" s="83"/>
      <c r="AP26" s="82"/>
      <c r="AS26" s="83"/>
      <c r="AW26" s="83"/>
      <c r="BA26" s="84"/>
    </row>
    <row r="27" spans="1:53" s="208" customFormat="1" x14ac:dyDescent="0.15">
      <c r="A27" s="102">
        <v>1968.5428571428599</v>
      </c>
      <c r="B27" s="207"/>
      <c r="C27" s="811" t="s">
        <v>469</v>
      </c>
      <c r="D27" s="811"/>
      <c r="E27" s="208">
        <v>365</v>
      </c>
      <c r="F27" s="208">
        <v>1</v>
      </c>
      <c r="G27" s="123">
        <v>3</v>
      </c>
      <c r="H27" s="208">
        <v>2</v>
      </c>
      <c r="I27" s="208">
        <v>2</v>
      </c>
      <c r="J27" s="134">
        <v>7</v>
      </c>
      <c r="K27" s="92">
        <f t="shared" si="4"/>
        <v>42.857142857142854</v>
      </c>
      <c r="L27" s="92">
        <f t="shared" si="4"/>
        <v>28.571428571428569</v>
      </c>
      <c r="M27" s="92">
        <f t="shared" si="4"/>
        <v>28.571428571428569</v>
      </c>
      <c r="N27" s="125">
        <f t="shared" si="3"/>
        <v>99.999999999999986</v>
      </c>
      <c r="O27" s="91">
        <v>35</v>
      </c>
      <c r="P27" s="92">
        <v>22.5</v>
      </c>
      <c r="Q27" s="92">
        <v>25.5</v>
      </c>
      <c r="R27" s="93">
        <f t="shared" si="2"/>
        <v>83</v>
      </c>
      <c r="S27" s="208">
        <v>3</v>
      </c>
      <c r="T27" s="81"/>
      <c r="V27" s="82" t="s">
        <v>132</v>
      </c>
      <c r="W27" s="208" t="s">
        <v>22</v>
      </c>
      <c r="X27" s="208" t="s">
        <v>11</v>
      </c>
      <c r="Y27" s="83">
        <v>24.5</v>
      </c>
      <c r="Z27" s="208" t="s">
        <v>81</v>
      </c>
      <c r="AA27" s="208" t="s">
        <v>17</v>
      </c>
      <c r="AB27" s="208" t="s">
        <v>18</v>
      </c>
      <c r="AC27" s="208">
        <v>22.5</v>
      </c>
      <c r="AD27" s="82" t="s">
        <v>467</v>
      </c>
      <c r="AE27" s="208" t="s">
        <v>20</v>
      </c>
      <c r="AF27" s="208" t="s">
        <v>12</v>
      </c>
      <c r="AG27" s="83">
        <v>25.5</v>
      </c>
      <c r="AH27" s="208" t="s">
        <v>341</v>
      </c>
      <c r="AI27" s="208" t="s">
        <v>75</v>
      </c>
      <c r="AJ27" s="208" t="s">
        <v>11</v>
      </c>
      <c r="AK27" s="208">
        <v>10.5</v>
      </c>
      <c r="AL27" s="82"/>
      <c r="AO27" s="83"/>
      <c r="AP27" s="82"/>
      <c r="AS27" s="83"/>
      <c r="AW27" s="83"/>
      <c r="BA27" s="84"/>
    </row>
    <row r="28" spans="1:53" s="208" customFormat="1" x14ac:dyDescent="0.15">
      <c r="A28" s="102">
        <v>1970</v>
      </c>
      <c r="B28" s="207"/>
      <c r="C28" s="811" t="s">
        <v>469</v>
      </c>
      <c r="D28" s="811"/>
      <c r="E28" s="208">
        <v>0</v>
      </c>
      <c r="G28" s="123">
        <v>3</v>
      </c>
      <c r="H28" s="208">
        <v>2</v>
      </c>
      <c r="I28" s="208">
        <v>2</v>
      </c>
      <c r="J28" s="134">
        <v>7</v>
      </c>
      <c r="K28" s="92">
        <f t="shared" si="4"/>
        <v>42.857142857142854</v>
      </c>
      <c r="L28" s="92">
        <f t="shared" si="4"/>
        <v>28.571428571428569</v>
      </c>
      <c r="M28" s="92">
        <f t="shared" si="4"/>
        <v>28.571428571428569</v>
      </c>
      <c r="N28" s="125">
        <f t="shared" si="3"/>
        <v>99.999999999999986</v>
      </c>
      <c r="O28" s="91">
        <v>35</v>
      </c>
      <c r="P28" s="92">
        <v>22.5</v>
      </c>
      <c r="Q28" s="92">
        <v>25.5</v>
      </c>
      <c r="R28" s="93">
        <f t="shared" si="2"/>
        <v>83</v>
      </c>
      <c r="S28" s="208">
        <v>3</v>
      </c>
      <c r="T28" s="81"/>
      <c r="V28" s="82" t="s">
        <v>132</v>
      </c>
      <c r="W28" s="208" t="s">
        <v>22</v>
      </c>
      <c r="X28" s="208" t="s">
        <v>11</v>
      </c>
      <c r="Y28" s="83">
        <v>24.5</v>
      </c>
      <c r="Z28" s="208" t="s">
        <v>81</v>
      </c>
      <c r="AA28" s="208" t="s">
        <v>17</v>
      </c>
      <c r="AB28" s="208" t="s">
        <v>18</v>
      </c>
      <c r="AC28" s="208">
        <v>22.5</v>
      </c>
      <c r="AD28" s="82" t="s">
        <v>467</v>
      </c>
      <c r="AE28" s="208" t="s">
        <v>20</v>
      </c>
      <c r="AF28" s="208" t="s">
        <v>12</v>
      </c>
      <c r="AG28" s="83">
        <v>25.5</v>
      </c>
      <c r="AH28" s="208" t="s">
        <v>341</v>
      </c>
      <c r="AI28" s="208" t="s">
        <v>75</v>
      </c>
      <c r="AJ28" s="208" t="s">
        <v>11</v>
      </c>
      <c r="AK28" s="208">
        <v>10.5</v>
      </c>
      <c r="AL28" s="82"/>
      <c r="AO28" s="83"/>
      <c r="AP28" s="82"/>
      <c r="AS28" s="83"/>
      <c r="AW28" s="83"/>
      <c r="BA28" s="84"/>
    </row>
    <row r="29" spans="1:53" s="208" customFormat="1" x14ac:dyDescent="0.15">
      <c r="A29" s="102">
        <v>1970</v>
      </c>
      <c r="B29" s="207"/>
      <c r="C29" s="811" t="s">
        <v>430</v>
      </c>
      <c r="D29" s="811"/>
      <c r="E29" s="208">
        <v>365</v>
      </c>
      <c r="F29" s="208">
        <v>1</v>
      </c>
      <c r="G29" s="123">
        <v>3</v>
      </c>
      <c r="H29" s="208">
        <v>2</v>
      </c>
      <c r="I29" s="208">
        <v>2</v>
      </c>
      <c r="J29" s="134">
        <v>7</v>
      </c>
      <c r="K29" s="92">
        <f t="shared" si="4"/>
        <v>42.857142857142854</v>
      </c>
      <c r="L29" s="92">
        <f t="shared" si="4"/>
        <v>28.571428571428569</v>
      </c>
      <c r="M29" s="92">
        <f t="shared" si="4"/>
        <v>28.571428571428569</v>
      </c>
      <c r="N29" s="125">
        <f t="shared" si="3"/>
        <v>99.999999999999986</v>
      </c>
      <c r="O29" s="91">
        <v>35</v>
      </c>
      <c r="P29" s="92">
        <v>22.5</v>
      </c>
      <c r="Q29" s="92">
        <v>25.5</v>
      </c>
      <c r="R29" s="93">
        <f t="shared" si="2"/>
        <v>83</v>
      </c>
      <c r="S29" s="208">
        <v>3</v>
      </c>
      <c r="T29" s="81"/>
      <c r="V29" s="82" t="s">
        <v>132</v>
      </c>
      <c r="W29" s="208" t="s">
        <v>22</v>
      </c>
      <c r="X29" s="208" t="s">
        <v>11</v>
      </c>
      <c r="Y29" s="83">
        <v>24.5</v>
      </c>
      <c r="Z29" s="208" t="s">
        <v>81</v>
      </c>
      <c r="AA29" s="208" t="s">
        <v>17</v>
      </c>
      <c r="AB29" s="208" t="s">
        <v>18</v>
      </c>
      <c r="AC29" s="208">
        <v>22.5</v>
      </c>
      <c r="AD29" s="82" t="s">
        <v>467</v>
      </c>
      <c r="AE29" s="208" t="s">
        <v>20</v>
      </c>
      <c r="AF29" s="208" t="s">
        <v>12</v>
      </c>
      <c r="AG29" s="83">
        <v>25.5</v>
      </c>
      <c r="AH29" s="208" t="s">
        <v>341</v>
      </c>
      <c r="AI29" s="208" t="s">
        <v>75</v>
      </c>
      <c r="AJ29" s="208" t="s">
        <v>11</v>
      </c>
      <c r="AK29" s="208">
        <v>10.5</v>
      </c>
      <c r="AL29" s="82"/>
      <c r="AO29" s="83"/>
      <c r="AP29" s="82"/>
      <c r="AS29" s="83"/>
      <c r="AW29" s="83"/>
      <c r="BA29" s="84"/>
    </row>
    <row r="30" spans="1:53" s="208" customFormat="1" x14ac:dyDescent="0.15">
      <c r="A30" s="102">
        <v>1971</v>
      </c>
      <c r="B30" s="207"/>
      <c r="C30" s="811" t="s">
        <v>430</v>
      </c>
      <c r="D30" s="811"/>
      <c r="E30" s="208">
        <v>341</v>
      </c>
      <c r="G30" s="123">
        <v>3</v>
      </c>
      <c r="H30" s="208">
        <v>2</v>
      </c>
      <c r="I30" s="208">
        <v>2</v>
      </c>
      <c r="J30" s="134">
        <v>7</v>
      </c>
      <c r="K30" s="92">
        <f t="shared" si="4"/>
        <v>42.857142857142854</v>
      </c>
      <c r="L30" s="92">
        <f t="shared" si="4"/>
        <v>28.571428571428569</v>
      </c>
      <c r="M30" s="92">
        <f t="shared" si="4"/>
        <v>28.571428571428569</v>
      </c>
      <c r="N30" s="125">
        <f t="shared" si="3"/>
        <v>99.999999999999986</v>
      </c>
      <c r="O30" s="91">
        <v>35</v>
      </c>
      <c r="P30" s="92">
        <v>22.5</v>
      </c>
      <c r="Q30" s="92">
        <v>25.5</v>
      </c>
      <c r="R30" s="93">
        <f t="shared" si="2"/>
        <v>83</v>
      </c>
      <c r="S30" s="208">
        <v>3</v>
      </c>
      <c r="T30" s="81"/>
      <c r="V30" s="82" t="s">
        <v>132</v>
      </c>
      <c r="W30" s="208" t="s">
        <v>22</v>
      </c>
      <c r="X30" s="208" t="s">
        <v>11</v>
      </c>
      <c r="Y30" s="83">
        <v>24.5</v>
      </c>
      <c r="Z30" s="208" t="s">
        <v>81</v>
      </c>
      <c r="AA30" s="208" t="s">
        <v>17</v>
      </c>
      <c r="AB30" s="208" t="s">
        <v>18</v>
      </c>
      <c r="AC30" s="208">
        <v>22.5</v>
      </c>
      <c r="AD30" s="82" t="s">
        <v>467</v>
      </c>
      <c r="AE30" s="208" t="s">
        <v>20</v>
      </c>
      <c r="AF30" s="208" t="s">
        <v>12</v>
      </c>
      <c r="AG30" s="83">
        <v>25.5</v>
      </c>
      <c r="AH30" s="208" t="s">
        <v>341</v>
      </c>
      <c r="AI30" s="208" t="s">
        <v>75</v>
      </c>
      <c r="AJ30" s="208" t="s">
        <v>11</v>
      </c>
      <c r="AK30" s="208">
        <v>10.5</v>
      </c>
      <c r="AL30" s="82"/>
      <c r="AO30" s="83"/>
      <c r="AP30" s="82"/>
      <c r="AS30" s="83"/>
      <c r="AW30" s="83"/>
      <c r="BA30" s="84"/>
    </row>
    <row r="31" spans="1:53" s="334" customFormat="1" x14ac:dyDescent="0.15">
      <c r="A31" s="386">
        <v>1971</v>
      </c>
      <c r="B31" s="355">
        <v>26275</v>
      </c>
      <c r="C31" s="812" t="s">
        <v>431</v>
      </c>
      <c r="D31" s="812"/>
      <c r="E31" s="334">
        <f xml:space="preserve"> 365-E30</f>
        <v>24</v>
      </c>
      <c r="F31" s="334">
        <v>1</v>
      </c>
      <c r="G31" s="419">
        <v>3</v>
      </c>
      <c r="H31" s="334">
        <v>2</v>
      </c>
      <c r="I31" s="334">
        <v>2</v>
      </c>
      <c r="J31" s="435">
        <v>7</v>
      </c>
      <c r="K31" s="384">
        <f t="shared" si="4"/>
        <v>42.857142857142854</v>
      </c>
      <c r="L31" s="384">
        <f t="shared" si="4"/>
        <v>28.571428571428569</v>
      </c>
      <c r="M31" s="384">
        <f t="shared" si="4"/>
        <v>28.571428571428569</v>
      </c>
      <c r="N31" s="421">
        <f t="shared" si="3"/>
        <v>99.999999999999986</v>
      </c>
      <c r="O31" s="383">
        <v>36</v>
      </c>
      <c r="P31" s="384">
        <v>22</v>
      </c>
      <c r="Q31" s="384">
        <v>23</v>
      </c>
      <c r="R31" s="385">
        <f t="shared" si="2"/>
        <v>81</v>
      </c>
      <c r="S31" s="334">
        <v>3</v>
      </c>
      <c r="T31" s="342">
        <v>26237</v>
      </c>
      <c r="U31" s="355">
        <v>26275</v>
      </c>
      <c r="V31" s="343" t="s">
        <v>132</v>
      </c>
      <c r="W31" s="334" t="s">
        <v>22</v>
      </c>
      <c r="X31" s="334" t="s">
        <v>11</v>
      </c>
      <c r="Y31" s="344">
        <v>24.5</v>
      </c>
      <c r="Z31" s="334" t="s">
        <v>81</v>
      </c>
      <c r="AA31" s="334" t="s">
        <v>17</v>
      </c>
      <c r="AB31" s="334" t="s">
        <v>18</v>
      </c>
      <c r="AC31" s="334">
        <v>22</v>
      </c>
      <c r="AD31" s="343" t="s">
        <v>467</v>
      </c>
      <c r="AE31" s="334" t="s">
        <v>20</v>
      </c>
      <c r="AF31" s="334" t="s">
        <v>12</v>
      </c>
      <c r="AG31" s="344">
        <v>23</v>
      </c>
      <c r="AH31" s="334" t="s">
        <v>341</v>
      </c>
      <c r="AI31" s="334" t="s">
        <v>75</v>
      </c>
      <c r="AJ31" s="334" t="s">
        <v>11</v>
      </c>
      <c r="AK31" s="334">
        <v>11.5</v>
      </c>
      <c r="AL31" s="343"/>
      <c r="AO31" s="344"/>
      <c r="AP31" s="343"/>
      <c r="AS31" s="344"/>
      <c r="AW31" s="344"/>
      <c r="BA31" s="345"/>
    </row>
    <row r="32" spans="1:53" s="334" customFormat="1" x14ac:dyDescent="0.15">
      <c r="A32" s="386">
        <v>1972</v>
      </c>
      <c r="B32" s="355"/>
      <c r="C32" s="812" t="s">
        <v>431</v>
      </c>
      <c r="D32" s="812"/>
      <c r="E32" s="334">
        <v>0</v>
      </c>
      <c r="G32" s="419">
        <v>3</v>
      </c>
      <c r="H32" s="334">
        <v>2</v>
      </c>
      <c r="I32" s="334">
        <v>2</v>
      </c>
      <c r="J32" s="435">
        <v>7</v>
      </c>
      <c r="K32" s="384">
        <f t="shared" si="4"/>
        <v>42.857142857142854</v>
      </c>
      <c r="L32" s="384">
        <f t="shared" si="4"/>
        <v>28.571428571428569</v>
      </c>
      <c r="M32" s="384">
        <f t="shared" si="4"/>
        <v>28.571428571428569</v>
      </c>
      <c r="N32" s="421">
        <f t="shared" si="3"/>
        <v>99.999999999999986</v>
      </c>
      <c r="O32" s="383">
        <v>36</v>
      </c>
      <c r="P32" s="384">
        <v>22</v>
      </c>
      <c r="Q32" s="384">
        <v>23</v>
      </c>
      <c r="R32" s="385">
        <f t="shared" si="2"/>
        <v>81</v>
      </c>
      <c r="S32" s="334">
        <v>3</v>
      </c>
      <c r="T32" s="357"/>
      <c r="V32" s="343" t="s">
        <v>132</v>
      </c>
      <c r="W32" s="334" t="s">
        <v>22</v>
      </c>
      <c r="X32" s="334" t="s">
        <v>11</v>
      </c>
      <c r="Y32" s="344">
        <v>24.5</v>
      </c>
      <c r="Z32" s="334" t="s">
        <v>81</v>
      </c>
      <c r="AA32" s="334" t="s">
        <v>17</v>
      </c>
      <c r="AB32" s="334" t="s">
        <v>18</v>
      </c>
      <c r="AC32" s="334">
        <v>22</v>
      </c>
      <c r="AD32" s="343" t="s">
        <v>467</v>
      </c>
      <c r="AE32" s="334" t="s">
        <v>20</v>
      </c>
      <c r="AF32" s="334" t="s">
        <v>12</v>
      </c>
      <c r="AG32" s="344">
        <v>23</v>
      </c>
      <c r="AH32" s="334" t="s">
        <v>341</v>
      </c>
      <c r="AI32" s="334" t="s">
        <v>75</v>
      </c>
      <c r="AJ32" s="334" t="s">
        <v>11</v>
      </c>
      <c r="AK32" s="334">
        <v>11.5</v>
      </c>
      <c r="AL32" s="343"/>
      <c r="AO32" s="344"/>
      <c r="AP32" s="343"/>
      <c r="AS32" s="344"/>
      <c r="AW32" s="344"/>
      <c r="BA32" s="345"/>
    </row>
    <row r="33" spans="1:53" s="334" customFormat="1" x14ac:dyDescent="0.15">
      <c r="A33" s="386">
        <v>1972</v>
      </c>
      <c r="B33" s="355"/>
      <c r="C33" s="812" t="s">
        <v>432</v>
      </c>
      <c r="D33" s="812"/>
      <c r="E33" s="334">
        <v>366</v>
      </c>
      <c r="F33" s="334">
        <v>1</v>
      </c>
      <c r="G33" s="419">
        <v>3</v>
      </c>
      <c r="H33" s="334">
        <v>2</v>
      </c>
      <c r="I33" s="334">
        <v>2</v>
      </c>
      <c r="J33" s="435">
        <v>7</v>
      </c>
      <c r="K33" s="384">
        <f t="shared" si="4"/>
        <v>42.857142857142854</v>
      </c>
      <c r="L33" s="384">
        <f t="shared" si="4"/>
        <v>28.571428571428569</v>
      </c>
      <c r="M33" s="384">
        <f t="shared" si="4"/>
        <v>28.571428571428569</v>
      </c>
      <c r="N33" s="421">
        <f t="shared" si="3"/>
        <v>99.999999999999986</v>
      </c>
      <c r="O33" s="383">
        <v>36</v>
      </c>
      <c r="P33" s="384">
        <v>22</v>
      </c>
      <c r="Q33" s="384">
        <v>23</v>
      </c>
      <c r="R33" s="385">
        <f t="shared" si="2"/>
        <v>81</v>
      </c>
      <c r="S33" s="334">
        <v>3</v>
      </c>
      <c r="T33" s="357"/>
      <c r="V33" s="343" t="s">
        <v>132</v>
      </c>
      <c r="W33" s="334" t="s">
        <v>22</v>
      </c>
      <c r="X33" s="334" t="s">
        <v>11</v>
      </c>
      <c r="Y33" s="344">
        <v>24.5</v>
      </c>
      <c r="Z33" s="334" t="s">
        <v>81</v>
      </c>
      <c r="AA33" s="334" t="s">
        <v>17</v>
      </c>
      <c r="AB33" s="334" t="s">
        <v>18</v>
      </c>
      <c r="AC33" s="334">
        <v>22</v>
      </c>
      <c r="AD33" s="343" t="s">
        <v>467</v>
      </c>
      <c r="AE33" s="334" t="s">
        <v>20</v>
      </c>
      <c r="AF33" s="334" t="s">
        <v>12</v>
      </c>
      <c r="AG33" s="344">
        <v>23</v>
      </c>
      <c r="AH33" s="334" t="s">
        <v>341</v>
      </c>
      <c r="AI33" s="334" t="s">
        <v>75</v>
      </c>
      <c r="AJ33" s="334" t="s">
        <v>11</v>
      </c>
      <c r="AK33" s="334">
        <v>11.5</v>
      </c>
      <c r="AL33" s="343"/>
      <c r="AO33" s="344"/>
      <c r="AP33" s="343"/>
      <c r="AS33" s="344"/>
      <c r="AW33" s="344"/>
      <c r="BA33" s="345"/>
    </row>
    <row r="34" spans="1:53" s="334" customFormat="1" x14ac:dyDescent="0.15">
      <c r="A34" s="386">
        <v>1973</v>
      </c>
      <c r="B34" s="355"/>
      <c r="C34" s="812" t="s">
        <v>432</v>
      </c>
      <c r="D34" s="812"/>
      <c r="E34" s="334">
        <v>0</v>
      </c>
      <c r="G34" s="419">
        <v>3</v>
      </c>
      <c r="H34" s="334">
        <v>2</v>
      </c>
      <c r="I34" s="334">
        <v>2</v>
      </c>
      <c r="J34" s="435">
        <v>7</v>
      </c>
      <c r="K34" s="384">
        <f t="shared" si="4"/>
        <v>42.857142857142854</v>
      </c>
      <c r="L34" s="384">
        <f t="shared" si="4"/>
        <v>28.571428571428569</v>
      </c>
      <c r="M34" s="384">
        <f t="shared" si="4"/>
        <v>28.571428571428569</v>
      </c>
      <c r="N34" s="421">
        <f t="shared" si="3"/>
        <v>99.999999999999986</v>
      </c>
      <c r="O34" s="383">
        <v>36</v>
      </c>
      <c r="P34" s="384">
        <v>22</v>
      </c>
      <c r="Q34" s="384">
        <v>23</v>
      </c>
      <c r="R34" s="385">
        <f t="shared" si="2"/>
        <v>81</v>
      </c>
      <c r="S34" s="334">
        <v>3</v>
      </c>
      <c r="T34" s="357"/>
      <c r="V34" s="343" t="s">
        <v>132</v>
      </c>
      <c r="W34" s="334" t="s">
        <v>22</v>
      </c>
      <c r="X34" s="334" t="s">
        <v>11</v>
      </c>
      <c r="Y34" s="344">
        <v>24.5</v>
      </c>
      <c r="Z34" s="334" t="s">
        <v>81</v>
      </c>
      <c r="AA34" s="334" t="s">
        <v>17</v>
      </c>
      <c r="AB34" s="334" t="s">
        <v>18</v>
      </c>
      <c r="AC34" s="334">
        <v>22</v>
      </c>
      <c r="AD34" s="343" t="s">
        <v>467</v>
      </c>
      <c r="AE34" s="334" t="s">
        <v>20</v>
      </c>
      <c r="AF34" s="334" t="s">
        <v>12</v>
      </c>
      <c r="AG34" s="344">
        <v>23</v>
      </c>
      <c r="AH34" s="334" t="s">
        <v>341</v>
      </c>
      <c r="AI34" s="334" t="s">
        <v>75</v>
      </c>
      <c r="AJ34" s="334" t="s">
        <v>11</v>
      </c>
      <c r="AK34" s="334">
        <v>11.5</v>
      </c>
      <c r="AL34" s="343"/>
      <c r="AO34" s="344"/>
      <c r="AP34" s="343"/>
      <c r="AS34" s="344"/>
      <c r="AW34" s="344"/>
      <c r="BA34" s="345"/>
    </row>
    <row r="35" spans="1:53" s="334" customFormat="1" x14ac:dyDescent="0.15">
      <c r="A35" s="386">
        <v>1973</v>
      </c>
      <c r="B35" s="355"/>
      <c r="C35" s="812" t="s">
        <v>433</v>
      </c>
      <c r="D35" s="812"/>
      <c r="E35" s="334">
        <v>365</v>
      </c>
      <c r="F35" s="334">
        <v>1</v>
      </c>
      <c r="G35" s="419">
        <v>3</v>
      </c>
      <c r="H35" s="334">
        <v>2</v>
      </c>
      <c r="I35" s="334">
        <v>2</v>
      </c>
      <c r="J35" s="435">
        <v>7</v>
      </c>
      <c r="K35" s="384">
        <f t="shared" si="4"/>
        <v>42.857142857142854</v>
      </c>
      <c r="L35" s="384">
        <f t="shared" si="4"/>
        <v>28.571428571428569</v>
      </c>
      <c r="M35" s="384">
        <f t="shared" si="4"/>
        <v>28.571428571428569</v>
      </c>
      <c r="N35" s="421">
        <f t="shared" si="3"/>
        <v>99.999999999999986</v>
      </c>
      <c r="O35" s="383">
        <v>36</v>
      </c>
      <c r="P35" s="384">
        <v>22</v>
      </c>
      <c r="Q35" s="384">
        <v>23</v>
      </c>
      <c r="R35" s="385">
        <f t="shared" si="2"/>
        <v>81</v>
      </c>
      <c r="S35" s="334">
        <v>3</v>
      </c>
      <c r="T35" s="357"/>
      <c r="V35" s="343" t="s">
        <v>132</v>
      </c>
      <c r="W35" s="334" t="s">
        <v>22</v>
      </c>
      <c r="X35" s="334" t="s">
        <v>11</v>
      </c>
      <c r="Y35" s="344">
        <v>24.5</v>
      </c>
      <c r="Z35" s="334" t="s">
        <v>81</v>
      </c>
      <c r="AA35" s="334" t="s">
        <v>17</v>
      </c>
      <c r="AB35" s="334" t="s">
        <v>18</v>
      </c>
      <c r="AC35" s="334">
        <v>22</v>
      </c>
      <c r="AD35" s="343" t="s">
        <v>467</v>
      </c>
      <c r="AE35" s="334" t="s">
        <v>20</v>
      </c>
      <c r="AF35" s="334" t="s">
        <v>12</v>
      </c>
      <c r="AG35" s="344">
        <v>23</v>
      </c>
      <c r="AH35" s="334" t="s">
        <v>341</v>
      </c>
      <c r="AI35" s="334" t="s">
        <v>75</v>
      </c>
      <c r="AJ35" s="334" t="s">
        <v>11</v>
      </c>
      <c r="AK35" s="334">
        <v>11.5</v>
      </c>
      <c r="AL35" s="343"/>
      <c r="AO35" s="344"/>
      <c r="AP35" s="343"/>
      <c r="AS35" s="344"/>
      <c r="AW35" s="344"/>
      <c r="BA35" s="345"/>
    </row>
    <row r="36" spans="1:53" s="334" customFormat="1" x14ac:dyDescent="0.15">
      <c r="A36" s="386">
        <v>1974</v>
      </c>
      <c r="B36" s="355"/>
      <c r="C36" s="812" t="s">
        <v>433</v>
      </c>
      <c r="D36" s="812"/>
      <c r="E36" s="334">
        <v>0</v>
      </c>
      <c r="G36" s="419">
        <v>3</v>
      </c>
      <c r="H36" s="334">
        <v>2</v>
      </c>
      <c r="I36" s="334">
        <v>2</v>
      </c>
      <c r="J36" s="435">
        <v>7</v>
      </c>
      <c r="K36" s="384">
        <f t="shared" si="4"/>
        <v>42.857142857142854</v>
      </c>
      <c r="L36" s="384">
        <f t="shared" si="4"/>
        <v>28.571428571428569</v>
      </c>
      <c r="M36" s="384">
        <f t="shared" si="4"/>
        <v>28.571428571428569</v>
      </c>
      <c r="N36" s="421">
        <f t="shared" si="3"/>
        <v>99.999999999999986</v>
      </c>
      <c r="O36" s="383">
        <v>36</v>
      </c>
      <c r="P36" s="384">
        <v>22</v>
      </c>
      <c r="Q36" s="384">
        <v>23</v>
      </c>
      <c r="R36" s="385">
        <f t="shared" si="2"/>
        <v>81</v>
      </c>
      <c r="S36" s="334">
        <v>3</v>
      </c>
      <c r="T36" s="357"/>
      <c r="V36" s="343" t="s">
        <v>132</v>
      </c>
      <c r="W36" s="334" t="s">
        <v>22</v>
      </c>
      <c r="X36" s="334" t="s">
        <v>11</v>
      </c>
      <c r="Y36" s="344">
        <v>24.5</v>
      </c>
      <c r="Z36" s="334" t="s">
        <v>81</v>
      </c>
      <c r="AA36" s="334" t="s">
        <v>17</v>
      </c>
      <c r="AB36" s="334" t="s">
        <v>18</v>
      </c>
      <c r="AC36" s="334">
        <v>22</v>
      </c>
      <c r="AD36" s="343" t="s">
        <v>467</v>
      </c>
      <c r="AE36" s="334" t="s">
        <v>20</v>
      </c>
      <c r="AF36" s="334" t="s">
        <v>12</v>
      </c>
      <c r="AG36" s="344">
        <v>23</v>
      </c>
      <c r="AH36" s="334" t="s">
        <v>341</v>
      </c>
      <c r="AI36" s="334" t="s">
        <v>75</v>
      </c>
      <c r="AJ36" s="334" t="s">
        <v>11</v>
      </c>
      <c r="AK36" s="334">
        <v>11.5</v>
      </c>
      <c r="AL36" s="343"/>
      <c r="AO36" s="344"/>
      <c r="AP36" s="343"/>
      <c r="AS36" s="344"/>
      <c r="AW36" s="344"/>
      <c r="BA36" s="345"/>
    </row>
    <row r="37" spans="1:53" s="334" customFormat="1" x14ac:dyDescent="0.15">
      <c r="A37" s="386">
        <v>1974</v>
      </c>
      <c r="B37" s="355"/>
      <c r="C37" s="812" t="s">
        <v>470</v>
      </c>
      <c r="D37" s="812"/>
      <c r="E37" s="334">
        <v>365</v>
      </c>
      <c r="F37" s="334">
        <v>1</v>
      </c>
      <c r="G37" s="419">
        <v>3</v>
      </c>
      <c r="H37" s="334">
        <v>2</v>
      </c>
      <c r="I37" s="334">
        <v>2</v>
      </c>
      <c r="J37" s="435">
        <v>7</v>
      </c>
      <c r="K37" s="384">
        <f t="shared" si="4"/>
        <v>42.857142857142854</v>
      </c>
      <c r="L37" s="384">
        <f t="shared" si="4"/>
        <v>28.571428571428569</v>
      </c>
      <c r="M37" s="384">
        <f t="shared" si="4"/>
        <v>28.571428571428569</v>
      </c>
      <c r="N37" s="421">
        <f t="shared" si="3"/>
        <v>99.999999999999986</v>
      </c>
      <c r="O37" s="383">
        <v>36</v>
      </c>
      <c r="P37" s="384">
        <v>22</v>
      </c>
      <c r="Q37" s="384">
        <v>23</v>
      </c>
      <c r="R37" s="385">
        <f t="shared" si="2"/>
        <v>81</v>
      </c>
      <c r="S37" s="334">
        <v>3</v>
      </c>
      <c r="T37" s="357"/>
      <c r="V37" s="343" t="s">
        <v>132</v>
      </c>
      <c r="W37" s="334" t="s">
        <v>22</v>
      </c>
      <c r="X37" s="334" t="s">
        <v>11</v>
      </c>
      <c r="Y37" s="344">
        <v>24.5</v>
      </c>
      <c r="Z37" s="334" t="s">
        <v>81</v>
      </c>
      <c r="AA37" s="334" t="s">
        <v>17</v>
      </c>
      <c r="AB37" s="334" t="s">
        <v>18</v>
      </c>
      <c r="AC37" s="334">
        <v>22</v>
      </c>
      <c r="AD37" s="343" t="s">
        <v>467</v>
      </c>
      <c r="AE37" s="334" t="s">
        <v>20</v>
      </c>
      <c r="AF37" s="334" t="s">
        <v>12</v>
      </c>
      <c r="AG37" s="344">
        <v>23</v>
      </c>
      <c r="AH37" s="334" t="s">
        <v>341</v>
      </c>
      <c r="AI37" s="334" t="s">
        <v>75</v>
      </c>
      <c r="AJ37" s="334" t="s">
        <v>11</v>
      </c>
      <c r="AK37" s="334">
        <v>11.5</v>
      </c>
      <c r="AL37" s="343"/>
      <c r="AO37" s="344"/>
      <c r="AP37" s="343"/>
      <c r="AS37" s="344"/>
      <c r="AW37" s="344"/>
      <c r="BA37" s="345"/>
    </row>
    <row r="38" spans="1:53" s="334" customFormat="1" ht="8.25" customHeight="1" x14ac:dyDescent="0.15">
      <c r="A38" s="386">
        <v>1975</v>
      </c>
      <c r="B38" s="355"/>
      <c r="C38" s="812" t="s">
        <v>470</v>
      </c>
      <c r="D38" s="812"/>
      <c r="E38" s="334">
        <v>343</v>
      </c>
      <c r="G38" s="419">
        <v>3</v>
      </c>
      <c r="H38" s="334">
        <v>2</v>
      </c>
      <c r="I38" s="334">
        <v>2</v>
      </c>
      <c r="J38" s="435">
        <v>7</v>
      </c>
      <c r="K38" s="384">
        <f t="shared" si="4"/>
        <v>42.857142857142854</v>
      </c>
      <c r="L38" s="384">
        <f t="shared" si="4"/>
        <v>28.571428571428569</v>
      </c>
      <c r="M38" s="384">
        <f t="shared" si="4"/>
        <v>28.571428571428569</v>
      </c>
      <c r="N38" s="421">
        <f t="shared" si="3"/>
        <v>99.999999999999986</v>
      </c>
      <c r="O38" s="383">
        <v>36</v>
      </c>
      <c r="P38" s="384">
        <v>22</v>
      </c>
      <c r="Q38" s="384">
        <v>23</v>
      </c>
      <c r="R38" s="385">
        <f t="shared" si="2"/>
        <v>81</v>
      </c>
      <c r="S38" s="334">
        <v>3</v>
      </c>
      <c r="T38" s="357"/>
      <c r="V38" s="343" t="s">
        <v>132</v>
      </c>
      <c r="W38" s="334" t="s">
        <v>22</v>
      </c>
      <c r="X38" s="334" t="s">
        <v>11</v>
      </c>
      <c r="Y38" s="344">
        <v>24.5</v>
      </c>
      <c r="Z38" s="334" t="s">
        <v>81</v>
      </c>
      <c r="AA38" s="334" t="s">
        <v>17</v>
      </c>
      <c r="AB38" s="334" t="s">
        <v>18</v>
      </c>
      <c r="AC38" s="334">
        <v>22</v>
      </c>
      <c r="AD38" s="343" t="s">
        <v>467</v>
      </c>
      <c r="AE38" s="334" t="s">
        <v>20</v>
      </c>
      <c r="AF38" s="334" t="s">
        <v>12</v>
      </c>
      <c r="AG38" s="344">
        <v>23</v>
      </c>
      <c r="AH38" s="334" t="s">
        <v>341</v>
      </c>
      <c r="AI38" s="334" t="s">
        <v>75</v>
      </c>
      <c r="AJ38" s="334" t="s">
        <v>11</v>
      </c>
      <c r="AK38" s="334">
        <v>11.5</v>
      </c>
      <c r="AL38" s="343"/>
      <c r="AO38" s="344"/>
      <c r="AP38" s="343"/>
      <c r="AS38" s="344"/>
      <c r="AW38" s="344"/>
      <c r="BA38" s="345"/>
    </row>
    <row r="39" spans="1:53" s="208" customFormat="1" x14ac:dyDescent="0.15">
      <c r="A39" s="102">
        <v>1975</v>
      </c>
      <c r="B39" s="207">
        <v>27738</v>
      </c>
      <c r="C39" s="811" t="s">
        <v>434</v>
      </c>
      <c r="D39" s="811"/>
      <c r="E39" s="208">
        <f>365-E38</f>
        <v>22</v>
      </c>
      <c r="F39" s="208">
        <v>1</v>
      </c>
      <c r="G39" s="123">
        <v>3</v>
      </c>
      <c r="H39" s="208">
        <v>2</v>
      </c>
      <c r="I39" s="208">
        <v>2</v>
      </c>
      <c r="J39" s="134">
        <v>7</v>
      </c>
      <c r="K39" s="92">
        <f t="shared" si="4"/>
        <v>42.857142857142854</v>
      </c>
      <c r="L39" s="92">
        <f t="shared" si="4"/>
        <v>28.571428571428569</v>
      </c>
      <c r="M39" s="92">
        <f t="shared" si="4"/>
        <v>28.571428571428569</v>
      </c>
      <c r="N39" s="125">
        <f t="shared" si="3"/>
        <v>99.999999999999986</v>
      </c>
      <c r="O39" s="91">
        <v>34</v>
      </c>
      <c r="P39" s="92">
        <v>23</v>
      </c>
      <c r="Q39" s="92">
        <v>27.5</v>
      </c>
      <c r="R39" s="93">
        <f t="shared" si="2"/>
        <v>84.5</v>
      </c>
      <c r="S39" s="208">
        <v>3</v>
      </c>
      <c r="T39" s="95">
        <v>27693</v>
      </c>
      <c r="U39" s="207">
        <v>27738</v>
      </c>
      <c r="V39" s="82" t="s">
        <v>132</v>
      </c>
      <c r="W39" s="208" t="s">
        <v>22</v>
      </c>
      <c r="X39" s="208" t="s">
        <v>11</v>
      </c>
      <c r="Y39" s="83">
        <v>23.5</v>
      </c>
      <c r="Z39" s="208" t="s">
        <v>81</v>
      </c>
      <c r="AA39" s="208" t="s">
        <v>17</v>
      </c>
      <c r="AB39" s="208" t="s">
        <v>18</v>
      </c>
      <c r="AC39" s="208">
        <v>23</v>
      </c>
      <c r="AD39" s="82" t="s">
        <v>467</v>
      </c>
      <c r="AE39" s="208" t="s">
        <v>20</v>
      </c>
      <c r="AF39" s="208" t="s">
        <v>12</v>
      </c>
      <c r="AG39" s="83">
        <v>27.5</v>
      </c>
      <c r="AH39" s="208" t="s">
        <v>341</v>
      </c>
      <c r="AI39" s="208" t="s">
        <v>75</v>
      </c>
      <c r="AJ39" s="208" t="s">
        <v>11</v>
      </c>
      <c r="AK39" s="208">
        <v>10.5</v>
      </c>
      <c r="AL39" s="82"/>
      <c r="AO39" s="83"/>
      <c r="AP39" s="82"/>
      <c r="AS39" s="83"/>
      <c r="AW39" s="83"/>
      <c r="BA39" s="84"/>
    </row>
    <row r="40" spans="1:53" s="208" customFormat="1" x14ac:dyDescent="0.15">
      <c r="A40" s="102">
        <v>1976</v>
      </c>
      <c r="B40" s="207"/>
      <c r="C40" s="811" t="s">
        <v>434</v>
      </c>
      <c r="D40" s="811"/>
      <c r="E40" s="208">
        <v>0</v>
      </c>
      <c r="G40" s="123">
        <v>3</v>
      </c>
      <c r="H40" s="208">
        <v>2</v>
      </c>
      <c r="I40" s="208">
        <v>2</v>
      </c>
      <c r="J40" s="134">
        <v>7</v>
      </c>
      <c r="K40" s="92">
        <f t="shared" si="4"/>
        <v>42.857142857142854</v>
      </c>
      <c r="L40" s="92">
        <f t="shared" si="4"/>
        <v>28.571428571428569</v>
      </c>
      <c r="M40" s="92">
        <f t="shared" si="4"/>
        <v>28.571428571428569</v>
      </c>
      <c r="N40" s="125">
        <f t="shared" si="3"/>
        <v>99.999999999999986</v>
      </c>
      <c r="O40" s="91">
        <v>34</v>
      </c>
      <c r="P40" s="92">
        <v>23</v>
      </c>
      <c r="Q40" s="92">
        <v>27.5</v>
      </c>
      <c r="R40" s="93">
        <f t="shared" si="2"/>
        <v>84.5</v>
      </c>
      <c r="S40" s="208">
        <v>3</v>
      </c>
      <c r="T40" s="81"/>
      <c r="V40" s="82" t="s">
        <v>132</v>
      </c>
      <c r="W40" s="208" t="s">
        <v>22</v>
      </c>
      <c r="X40" s="208" t="s">
        <v>11</v>
      </c>
      <c r="Y40" s="83">
        <v>23.5</v>
      </c>
      <c r="Z40" s="208" t="s">
        <v>81</v>
      </c>
      <c r="AA40" s="208" t="s">
        <v>17</v>
      </c>
      <c r="AB40" s="208" t="s">
        <v>18</v>
      </c>
      <c r="AC40" s="208">
        <v>23</v>
      </c>
      <c r="AD40" s="82" t="s">
        <v>467</v>
      </c>
      <c r="AE40" s="208" t="s">
        <v>20</v>
      </c>
      <c r="AF40" s="208" t="s">
        <v>12</v>
      </c>
      <c r="AG40" s="83">
        <v>27.5</v>
      </c>
      <c r="AH40" s="208" t="s">
        <v>341</v>
      </c>
      <c r="AI40" s="208" t="s">
        <v>75</v>
      </c>
      <c r="AJ40" s="208" t="s">
        <v>11</v>
      </c>
      <c r="AK40" s="208">
        <v>10.5</v>
      </c>
      <c r="AL40" s="82"/>
      <c r="AO40" s="83"/>
      <c r="AP40" s="82"/>
      <c r="AS40" s="83"/>
      <c r="AW40" s="83"/>
      <c r="BA40" s="84"/>
    </row>
    <row r="41" spans="1:53" s="208" customFormat="1" x14ac:dyDescent="0.15">
      <c r="A41" s="102">
        <v>1976</v>
      </c>
      <c r="B41" s="207"/>
      <c r="C41" s="811" t="s">
        <v>435</v>
      </c>
      <c r="D41" s="811"/>
      <c r="E41" s="208">
        <v>366</v>
      </c>
      <c r="F41" s="208">
        <v>1</v>
      </c>
      <c r="G41" s="123">
        <v>3</v>
      </c>
      <c r="H41" s="208">
        <v>2</v>
      </c>
      <c r="I41" s="208">
        <v>2</v>
      </c>
      <c r="J41" s="134">
        <v>7</v>
      </c>
      <c r="K41" s="92">
        <f t="shared" si="4"/>
        <v>42.857142857142854</v>
      </c>
      <c r="L41" s="92">
        <f t="shared" si="4"/>
        <v>28.571428571428569</v>
      </c>
      <c r="M41" s="92">
        <f t="shared" si="4"/>
        <v>28.571428571428569</v>
      </c>
      <c r="N41" s="125">
        <f t="shared" si="3"/>
        <v>99.999999999999986</v>
      </c>
      <c r="O41" s="91">
        <v>34</v>
      </c>
      <c r="P41" s="92">
        <v>23</v>
      </c>
      <c r="Q41" s="92">
        <v>27.5</v>
      </c>
      <c r="R41" s="93">
        <f t="shared" si="2"/>
        <v>84.5</v>
      </c>
      <c r="S41" s="208">
        <v>3</v>
      </c>
      <c r="T41" s="81"/>
      <c r="V41" s="82" t="s">
        <v>132</v>
      </c>
      <c r="W41" s="208" t="s">
        <v>22</v>
      </c>
      <c r="X41" s="208" t="s">
        <v>11</v>
      </c>
      <c r="Y41" s="83">
        <v>23.5</v>
      </c>
      <c r="Z41" s="208" t="s">
        <v>81</v>
      </c>
      <c r="AA41" s="208" t="s">
        <v>17</v>
      </c>
      <c r="AB41" s="208" t="s">
        <v>18</v>
      </c>
      <c r="AC41" s="208">
        <v>23</v>
      </c>
      <c r="AD41" s="82" t="s">
        <v>467</v>
      </c>
      <c r="AE41" s="208" t="s">
        <v>20</v>
      </c>
      <c r="AF41" s="208" t="s">
        <v>12</v>
      </c>
      <c r="AG41" s="83">
        <v>27.5</v>
      </c>
      <c r="AH41" s="208" t="s">
        <v>341</v>
      </c>
      <c r="AI41" s="208" t="s">
        <v>75</v>
      </c>
      <c r="AJ41" s="208" t="s">
        <v>11</v>
      </c>
      <c r="AK41" s="208">
        <v>10.5</v>
      </c>
      <c r="AL41" s="82"/>
      <c r="AO41" s="83"/>
      <c r="AP41" s="82"/>
      <c r="AS41" s="83"/>
      <c r="AW41" s="83"/>
      <c r="BA41" s="84"/>
    </row>
    <row r="42" spans="1:53" s="208" customFormat="1" x14ac:dyDescent="0.15">
      <c r="A42" s="102">
        <v>1977</v>
      </c>
      <c r="B42" s="207"/>
      <c r="C42" s="811" t="s">
        <v>435</v>
      </c>
      <c r="D42" s="811"/>
      <c r="E42" s="208">
        <v>0</v>
      </c>
      <c r="G42" s="123">
        <v>3</v>
      </c>
      <c r="H42" s="208">
        <v>2</v>
      </c>
      <c r="I42" s="208">
        <v>2</v>
      </c>
      <c r="J42" s="134">
        <v>7</v>
      </c>
      <c r="K42" s="92">
        <f t="shared" si="4"/>
        <v>42.857142857142854</v>
      </c>
      <c r="L42" s="92">
        <f t="shared" si="4"/>
        <v>28.571428571428569</v>
      </c>
      <c r="M42" s="92">
        <f t="shared" si="4"/>
        <v>28.571428571428569</v>
      </c>
      <c r="N42" s="125">
        <f t="shared" si="3"/>
        <v>99.999999999999986</v>
      </c>
      <c r="O42" s="91">
        <v>34</v>
      </c>
      <c r="P42" s="92">
        <v>23</v>
      </c>
      <c r="Q42" s="92">
        <v>27.5</v>
      </c>
      <c r="R42" s="93">
        <f t="shared" si="2"/>
        <v>84.5</v>
      </c>
      <c r="S42" s="208">
        <v>3</v>
      </c>
      <c r="T42" s="81"/>
      <c r="V42" s="82" t="s">
        <v>132</v>
      </c>
      <c r="W42" s="208" t="s">
        <v>22</v>
      </c>
      <c r="X42" s="208" t="s">
        <v>11</v>
      </c>
      <c r="Y42" s="83">
        <v>23.5</v>
      </c>
      <c r="Z42" s="208" t="s">
        <v>81</v>
      </c>
      <c r="AA42" s="208" t="s">
        <v>17</v>
      </c>
      <c r="AB42" s="208" t="s">
        <v>18</v>
      </c>
      <c r="AC42" s="208">
        <v>23</v>
      </c>
      <c r="AD42" s="82" t="s">
        <v>467</v>
      </c>
      <c r="AE42" s="208" t="s">
        <v>20</v>
      </c>
      <c r="AF42" s="208" t="s">
        <v>12</v>
      </c>
      <c r="AG42" s="83">
        <v>27.5</v>
      </c>
      <c r="AH42" s="208" t="s">
        <v>341</v>
      </c>
      <c r="AI42" s="208" t="s">
        <v>75</v>
      </c>
      <c r="AJ42" s="208" t="s">
        <v>11</v>
      </c>
      <c r="AK42" s="208">
        <v>10.5</v>
      </c>
      <c r="AL42" s="82"/>
      <c r="AO42" s="83"/>
      <c r="AP42" s="82"/>
      <c r="AS42" s="83"/>
      <c r="AW42" s="83"/>
      <c r="BA42" s="84"/>
    </row>
    <row r="43" spans="1:53" s="208" customFormat="1" x14ac:dyDescent="0.15">
      <c r="A43" s="102">
        <v>1977</v>
      </c>
      <c r="B43" s="207"/>
      <c r="C43" s="811" t="s">
        <v>471</v>
      </c>
      <c r="D43" s="811"/>
      <c r="E43" s="208">
        <v>365</v>
      </c>
      <c r="F43" s="208">
        <v>1</v>
      </c>
      <c r="G43" s="123">
        <v>3</v>
      </c>
      <c r="H43" s="208">
        <v>2</v>
      </c>
      <c r="I43" s="208">
        <v>2</v>
      </c>
      <c r="J43" s="134">
        <v>7</v>
      </c>
      <c r="K43" s="92">
        <f t="shared" si="4"/>
        <v>42.857142857142854</v>
      </c>
      <c r="L43" s="92">
        <f t="shared" si="4"/>
        <v>28.571428571428569</v>
      </c>
      <c r="M43" s="92">
        <f t="shared" si="4"/>
        <v>28.571428571428569</v>
      </c>
      <c r="N43" s="125">
        <f t="shared" si="3"/>
        <v>99.999999999999986</v>
      </c>
      <c r="O43" s="91">
        <v>34</v>
      </c>
      <c r="P43" s="92">
        <v>23</v>
      </c>
      <c r="Q43" s="92">
        <v>27.5</v>
      </c>
      <c r="R43" s="93">
        <f t="shared" si="2"/>
        <v>84.5</v>
      </c>
      <c r="S43" s="208">
        <v>3</v>
      </c>
      <c r="T43" s="81"/>
      <c r="V43" s="82" t="s">
        <v>132</v>
      </c>
      <c r="W43" s="208" t="s">
        <v>22</v>
      </c>
      <c r="X43" s="208" t="s">
        <v>11</v>
      </c>
      <c r="Y43" s="83">
        <v>23.5</v>
      </c>
      <c r="Z43" s="208" t="s">
        <v>81</v>
      </c>
      <c r="AA43" s="208" t="s">
        <v>17</v>
      </c>
      <c r="AB43" s="208" t="s">
        <v>18</v>
      </c>
      <c r="AC43" s="208">
        <v>23</v>
      </c>
      <c r="AD43" s="82" t="s">
        <v>467</v>
      </c>
      <c r="AE43" s="208" t="s">
        <v>20</v>
      </c>
      <c r="AF43" s="208" t="s">
        <v>12</v>
      </c>
      <c r="AG43" s="83">
        <v>27.5</v>
      </c>
      <c r="AH43" s="208" t="s">
        <v>341</v>
      </c>
      <c r="AI43" s="208" t="s">
        <v>75</v>
      </c>
      <c r="AJ43" s="208" t="s">
        <v>11</v>
      </c>
      <c r="AK43" s="208">
        <v>10.5</v>
      </c>
      <c r="AL43" s="82"/>
      <c r="AO43" s="83"/>
      <c r="AP43" s="82"/>
      <c r="AS43" s="83"/>
      <c r="AW43" s="83"/>
      <c r="BA43" s="84"/>
    </row>
    <row r="44" spans="1:53" s="208" customFormat="1" x14ac:dyDescent="0.15">
      <c r="A44" s="102">
        <v>1978</v>
      </c>
      <c r="B44" s="207"/>
      <c r="C44" s="811" t="s">
        <v>471</v>
      </c>
      <c r="D44" s="811"/>
      <c r="E44" s="208">
        <v>0</v>
      </c>
      <c r="G44" s="123">
        <v>3</v>
      </c>
      <c r="H44" s="208">
        <v>2</v>
      </c>
      <c r="I44" s="208">
        <v>2</v>
      </c>
      <c r="J44" s="134">
        <v>7</v>
      </c>
      <c r="K44" s="92">
        <f t="shared" si="4"/>
        <v>42.857142857142854</v>
      </c>
      <c r="L44" s="92">
        <f t="shared" si="4"/>
        <v>28.571428571428569</v>
      </c>
      <c r="M44" s="92">
        <f t="shared" si="4"/>
        <v>28.571428571428569</v>
      </c>
      <c r="N44" s="125">
        <f t="shared" si="3"/>
        <v>99.999999999999986</v>
      </c>
      <c r="O44" s="91">
        <v>34</v>
      </c>
      <c r="P44" s="92">
        <v>23</v>
      </c>
      <c r="Q44" s="92">
        <v>27.5</v>
      </c>
      <c r="R44" s="93">
        <f t="shared" si="2"/>
        <v>84.5</v>
      </c>
      <c r="S44" s="208">
        <v>3</v>
      </c>
      <c r="T44" s="81"/>
      <c r="V44" s="82" t="s">
        <v>132</v>
      </c>
      <c r="W44" s="208" t="s">
        <v>22</v>
      </c>
      <c r="X44" s="208" t="s">
        <v>11</v>
      </c>
      <c r="Y44" s="83">
        <v>23.5</v>
      </c>
      <c r="Z44" s="208" t="s">
        <v>81</v>
      </c>
      <c r="AA44" s="208" t="s">
        <v>17</v>
      </c>
      <c r="AB44" s="208" t="s">
        <v>18</v>
      </c>
      <c r="AC44" s="208">
        <v>23</v>
      </c>
      <c r="AD44" s="82" t="s">
        <v>467</v>
      </c>
      <c r="AE44" s="208" t="s">
        <v>20</v>
      </c>
      <c r="AF44" s="208" t="s">
        <v>12</v>
      </c>
      <c r="AG44" s="83">
        <v>27.5</v>
      </c>
      <c r="AH44" s="208" t="s">
        <v>341</v>
      </c>
      <c r="AI44" s="208" t="s">
        <v>75</v>
      </c>
      <c r="AJ44" s="208" t="s">
        <v>11</v>
      </c>
      <c r="AK44" s="208">
        <v>10.5</v>
      </c>
      <c r="AL44" s="82"/>
      <c r="AO44" s="83"/>
      <c r="AP44" s="82"/>
      <c r="AS44" s="83"/>
      <c r="AW44" s="83"/>
      <c r="BA44" s="84"/>
    </row>
    <row r="45" spans="1:53" s="208" customFormat="1" x14ac:dyDescent="0.15">
      <c r="A45" s="102">
        <v>1978</v>
      </c>
      <c r="B45" s="207"/>
      <c r="C45" s="811" t="s">
        <v>436</v>
      </c>
      <c r="D45" s="811"/>
      <c r="E45" s="208">
        <v>365</v>
      </c>
      <c r="F45" s="208">
        <v>1</v>
      </c>
      <c r="G45" s="123">
        <v>3</v>
      </c>
      <c r="H45" s="208">
        <v>2</v>
      </c>
      <c r="I45" s="208">
        <v>2</v>
      </c>
      <c r="J45" s="134">
        <v>7</v>
      </c>
      <c r="K45" s="92">
        <f t="shared" si="4"/>
        <v>42.857142857142854</v>
      </c>
      <c r="L45" s="92">
        <f t="shared" si="4"/>
        <v>28.571428571428569</v>
      </c>
      <c r="M45" s="92">
        <f t="shared" si="4"/>
        <v>28.571428571428569</v>
      </c>
      <c r="N45" s="125">
        <f t="shared" si="3"/>
        <v>99.999999999999986</v>
      </c>
      <c r="O45" s="91">
        <v>34</v>
      </c>
      <c r="P45" s="92">
        <v>23</v>
      </c>
      <c r="Q45" s="92">
        <v>27.5</v>
      </c>
      <c r="R45" s="93">
        <f t="shared" si="2"/>
        <v>84.5</v>
      </c>
      <c r="S45" s="208">
        <v>3</v>
      </c>
      <c r="T45" s="81"/>
      <c r="V45" s="82" t="s">
        <v>132</v>
      </c>
      <c r="W45" s="208" t="s">
        <v>22</v>
      </c>
      <c r="X45" s="208" t="s">
        <v>11</v>
      </c>
      <c r="Y45" s="83">
        <v>23.5</v>
      </c>
      <c r="Z45" s="208" t="s">
        <v>81</v>
      </c>
      <c r="AA45" s="208" t="s">
        <v>17</v>
      </c>
      <c r="AB45" s="208" t="s">
        <v>18</v>
      </c>
      <c r="AC45" s="208">
        <v>23</v>
      </c>
      <c r="AD45" s="82" t="s">
        <v>467</v>
      </c>
      <c r="AE45" s="208" t="s">
        <v>20</v>
      </c>
      <c r="AF45" s="208" t="s">
        <v>12</v>
      </c>
      <c r="AG45" s="83">
        <v>27.5</v>
      </c>
      <c r="AH45" s="208" t="s">
        <v>341</v>
      </c>
      <c r="AI45" s="208" t="s">
        <v>75</v>
      </c>
      <c r="AJ45" s="208" t="s">
        <v>11</v>
      </c>
      <c r="AK45" s="208">
        <v>10.5</v>
      </c>
      <c r="AL45" s="82"/>
      <c r="AO45" s="83"/>
      <c r="AP45" s="82"/>
      <c r="AS45" s="83"/>
      <c r="AW45" s="83"/>
      <c r="BA45" s="84"/>
    </row>
    <row r="46" spans="1:53" s="208" customFormat="1" x14ac:dyDescent="0.15">
      <c r="A46" s="102">
        <v>1979</v>
      </c>
      <c r="B46" s="207"/>
      <c r="C46" s="811" t="s">
        <v>436</v>
      </c>
      <c r="D46" s="811"/>
      <c r="E46" s="208">
        <v>360</v>
      </c>
      <c r="G46" s="123">
        <v>3</v>
      </c>
      <c r="H46" s="208">
        <v>2</v>
      </c>
      <c r="I46" s="208">
        <v>2</v>
      </c>
      <c r="J46" s="134">
        <v>7</v>
      </c>
      <c r="K46" s="92">
        <f t="shared" si="4"/>
        <v>42.857142857142854</v>
      </c>
      <c r="L46" s="92">
        <f t="shared" si="4"/>
        <v>28.571428571428569</v>
      </c>
      <c r="M46" s="92">
        <f t="shared" si="4"/>
        <v>28.571428571428569</v>
      </c>
      <c r="N46" s="125">
        <f t="shared" si="3"/>
        <v>99.999999999999986</v>
      </c>
      <c r="O46" s="91">
        <v>34</v>
      </c>
      <c r="P46" s="92">
        <v>23</v>
      </c>
      <c r="Q46" s="92">
        <v>27.5</v>
      </c>
      <c r="R46" s="93">
        <f t="shared" si="2"/>
        <v>84.5</v>
      </c>
      <c r="S46" s="208">
        <v>3</v>
      </c>
      <c r="T46" s="81"/>
      <c r="V46" s="82" t="s">
        <v>132</v>
      </c>
      <c r="W46" s="208" t="s">
        <v>22</v>
      </c>
      <c r="X46" s="208" t="s">
        <v>11</v>
      </c>
      <c r="Y46" s="83">
        <v>23.5</v>
      </c>
      <c r="Z46" s="208" t="s">
        <v>81</v>
      </c>
      <c r="AA46" s="208" t="s">
        <v>17</v>
      </c>
      <c r="AB46" s="208" t="s">
        <v>18</v>
      </c>
      <c r="AC46" s="208">
        <v>23</v>
      </c>
      <c r="AD46" s="82" t="s">
        <v>467</v>
      </c>
      <c r="AE46" s="208" t="s">
        <v>20</v>
      </c>
      <c r="AF46" s="208" t="s">
        <v>12</v>
      </c>
      <c r="AG46" s="83">
        <v>27.5</v>
      </c>
      <c r="AH46" s="208" t="s">
        <v>341</v>
      </c>
      <c r="AI46" s="208" t="s">
        <v>75</v>
      </c>
      <c r="AJ46" s="208" t="s">
        <v>11</v>
      </c>
      <c r="AK46" s="208">
        <v>10.5</v>
      </c>
      <c r="AL46" s="82"/>
      <c r="AO46" s="83"/>
      <c r="AP46" s="82"/>
      <c r="AS46" s="83"/>
      <c r="AW46" s="83"/>
      <c r="BA46" s="84"/>
    </row>
    <row r="47" spans="1:53" s="334" customFormat="1" x14ac:dyDescent="0.15">
      <c r="A47" s="386">
        <v>1979</v>
      </c>
      <c r="B47" s="355">
        <v>29216</v>
      </c>
      <c r="C47" s="812" t="s">
        <v>437</v>
      </c>
      <c r="D47" s="812"/>
      <c r="E47" s="334">
        <f>365-E46</f>
        <v>5</v>
      </c>
      <c r="F47" s="334">
        <v>1</v>
      </c>
      <c r="G47" s="419">
        <v>3</v>
      </c>
      <c r="H47" s="334">
        <v>2</v>
      </c>
      <c r="I47" s="334">
        <v>2</v>
      </c>
      <c r="J47" s="435">
        <v>7</v>
      </c>
      <c r="K47" s="384">
        <f t="shared" si="4"/>
        <v>42.857142857142854</v>
      </c>
      <c r="L47" s="384">
        <f t="shared" si="4"/>
        <v>28.571428571428569</v>
      </c>
      <c r="M47" s="384">
        <f t="shared" si="4"/>
        <v>28.571428571428569</v>
      </c>
      <c r="N47" s="421">
        <f t="shared" si="3"/>
        <v>99.999999999999986</v>
      </c>
      <c r="O47" s="383">
        <v>37</v>
      </c>
      <c r="P47" s="384">
        <v>22</v>
      </c>
      <c r="Q47" s="384">
        <v>25.5</v>
      </c>
      <c r="R47" s="385">
        <f t="shared" si="2"/>
        <v>84.5</v>
      </c>
      <c r="S47" s="334">
        <v>3</v>
      </c>
      <c r="T47" s="342">
        <v>29149</v>
      </c>
      <c r="U47" s="355">
        <v>29216</v>
      </c>
      <c r="V47" s="343" t="s">
        <v>132</v>
      </c>
      <c r="W47" s="334" t="s">
        <v>22</v>
      </c>
      <c r="X47" s="334" t="s">
        <v>11</v>
      </c>
      <c r="Y47" s="344">
        <v>25.5</v>
      </c>
      <c r="Z47" s="334" t="s">
        <v>81</v>
      </c>
      <c r="AA47" s="334" t="s">
        <v>17</v>
      </c>
      <c r="AB47" s="334" t="s">
        <v>18</v>
      </c>
      <c r="AC47" s="334">
        <v>22</v>
      </c>
      <c r="AD47" s="343" t="s">
        <v>467</v>
      </c>
      <c r="AE47" s="334" t="s">
        <v>20</v>
      </c>
      <c r="AF47" s="334" t="s">
        <v>12</v>
      </c>
      <c r="AG47" s="344">
        <v>25.5</v>
      </c>
      <c r="AH47" s="334" t="s">
        <v>341</v>
      </c>
      <c r="AI47" s="334" t="s">
        <v>75</v>
      </c>
      <c r="AJ47" s="334" t="s">
        <v>11</v>
      </c>
      <c r="AK47" s="334">
        <v>11.5</v>
      </c>
      <c r="AL47" s="343"/>
      <c r="AO47" s="344"/>
      <c r="AP47" s="343"/>
      <c r="AS47" s="344"/>
      <c r="AW47" s="344"/>
      <c r="BA47" s="345"/>
    </row>
    <row r="48" spans="1:53" s="334" customFormat="1" x14ac:dyDescent="0.15">
      <c r="A48" s="386">
        <v>1980</v>
      </c>
      <c r="B48" s="355"/>
      <c r="C48" s="812" t="s">
        <v>437</v>
      </c>
      <c r="D48" s="812"/>
      <c r="E48" s="334">
        <v>0</v>
      </c>
      <c r="G48" s="419">
        <v>3</v>
      </c>
      <c r="H48" s="334">
        <v>2</v>
      </c>
      <c r="I48" s="334">
        <v>2</v>
      </c>
      <c r="J48" s="435">
        <v>7</v>
      </c>
      <c r="K48" s="384">
        <f t="shared" si="4"/>
        <v>42.857142857142854</v>
      </c>
      <c r="L48" s="384">
        <f t="shared" si="4"/>
        <v>28.571428571428569</v>
      </c>
      <c r="M48" s="384">
        <f t="shared" si="4"/>
        <v>28.571428571428569</v>
      </c>
      <c r="N48" s="421">
        <f t="shared" si="3"/>
        <v>99.999999999999986</v>
      </c>
      <c r="O48" s="383">
        <v>37</v>
      </c>
      <c r="P48" s="384">
        <v>22</v>
      </c>
      <c r="Q48" s="384">
        <v>25.5</v>
      </c>
      <c r="R48" s="385">
        <f t="shared" si="2"/>
        <v>84.5</v>
      </c>
      <c r="S48" s="334">
        <v>3</v>
      </c>
      <c r="T48" s="357"/>
      <c r="V48" s="343" t="s">
        <v>132</v>
      </c>
      <c r="W48" s="334" t="s">
        <v>22</v>
      </c>
      <c r="X48" s="334" t="s">
        <v>11</v>
      </c>
      <c r="Y48" s="344">
        <v>25.5</v>
      </c>
      <c r="Z48" s="334" t="s">
        <v>81</v>
      </c>
      <c r="AA48" s="334" t="s">
        <v>17</v>
      </c>
      <c r="AB48" s="334" t="s">
        <v>18</v>
      </c>
      <c r="AC48" s="334">
        <v>22</v>
      </c>
      <c r="AD48" s="343" t="s">
        <v>467</v>
      </c>
      <c r="AE48" s="334" t="s">
        <v>20</v>
      </c>
      <c r="AF48" s="334" t="s">
        <v>12</v>
      </c>
      <c r="AG48" s="344">
        <v>25.5</v>
      </c>
      <c r="AH48" s="334" t="s">
        <v>341</v>
      </c>
      <c r="AI48" s="334" t="s">
        <v>75</v>
      </c>
      <c r="AJ48" s="334" t="s">
        <v>11</v>
      </c>
      <c r="AK48" s="334">
        <v>11.5</v>
      </c>
      <c r="AL48" s="343"/>
      <c r="AO48" s="344"/>
      <c r="AP48" s="343"/>
      <c r="AS48" s="344"/>
      <c r="AW48" s="344"/>
      <c r="BA48" s="345"/>
    </row>
    <row r="49" spans="1:53" s="334" customFormat="1" x14ac:dyDescent="0.15">
      <c r="A49" s="386">
        <v>1980</v>
      </c>
      <c r="B49" s="355"/>
      <c r="C49" s="812" t="s">
        <v>438</v>
      </c>
      <c r="D49" s="812"/>
      <c r="E49" s="334">
        <v>366</v>
      </c>
      <c r="F49" s="334">
        <v>1</v>
      </c>
      <c r="G49" s="419">
        <v>3</v>
      </c>
      <c r="H49" s="334">
        <v>2</v>
      </c>
      <c r="I49" s="334">
        <v>2</v>
      </c>
      <c r="J49" s="435">
        <v>7</v>
      </c>
      <c r="K49" s="384">
        <f t="shared" si="4"/>
        <v>42.857142857142854</v>
      </c>
      <c r="L49" s="384">
        <f t="shared" si="4"/>
        <v>28.571428571428569</v>
      </c>
      <c r="M49" s="384">
        <f t="shared" si="4"/>
        <v>28.571428571428569</v>
      </c>
      <c r="N49" s="421">
        <f t="shared" si="3"/>
        <v>99.999999999999986</v>
      </c>
      <c r="O49" s="383">
        <v>37</v>
      </c>
      <c r="P49" s="384">
        <v>22</v>
      </c>
      <c r="Q49" s="384">
        <v>25.5</v>
      </c>
      <c r="R49" s="385">
        <f t="shared" si="2"/>
        <v>84.5</v>
      </c>
      <c r="S49" s="334">
        <v>3</v>
      </c>
      <c r="T49" s="357"/>
      <c r="V49" s="343" t="s">
        <v>132</v>
      </c>
      <c r="W49" s="334" t="s">
        <v>22</v>
      </c>
      <c r="X49" s="334" t="s">
        <v>11</v>
      </c>
      <c r="Y49" s="344">
        <v>25.5</v>
      </c>
      <c r="Z49" s="334" t="s">
        <v>81</v>
      </c>
      <c r="AA49" s="334" t="s">
        <v>17</v>
      </c>
      <c r="AB49" s="334" t="s">
        <v>18</v>
      </c>
      <c r="AC49" s="334">
        <v>22</v>
      </c>
      <c r="AD49" s="343" t="s">
        <v>467</v>
      </c>
      <c r="AE49" s="334" t="s">
        <v>20</v>
      </c>
      <c r="AF49" s="334" t="s">
        <v>12</v>
      </c>
      <c r="AG49" s="344">
        <v>25.5</v>
      </c>
      <c r="AH49" s="334" t="s">
        <v>341</v>
      </c>
      <c r="AI49" s="334" t="s">
        <v>75</v>
      </c>
      <c r="AJ49" s="334" t="s">
        <v>11</v>
      </c>
      <c r="AK49" s="334">
        <v>11.5</v>
      </c>
      <c r="AL49" s="343"/>
      <c r="AO49" s="344"/>
      <c r="AP49" s="343"/>
      <c r="AS49" s="344"/>
      <c r="AW49" s="344"/>
      <c r="BA49" s="345"/>
    </row>
    <row r="50" spans="1:53" s="334" customFormat="1" x14ac:dyDescent="0.15">
      <c r="A50" s="386">
        <v>1981</v>
      </c>
      <c r="B50" s="355"/>
      <c r="C50" s="812" t="s">
        <v>438</v>
      </c>
      <c r="D50" s="812"/>
      <c r="E50" s="334">
        <v>0</v>
      </c>
      <c r="G50" s="419">
        <v>3</v>
      </c>
      <c r="H50" s="334">
        <v>2</v>
      </c>
      <c r="I50" s="334">
        <v>2</v>
      </c>
      <c r="J50" s="435">
        <v>7</v>
      </c>
      <c r="K50" s="384">
        <f t="shared" si="4"/>
        <v>42.857142857142854</v>
      </c>
      <c r="L50" s="384">
        <f t="shared" si="4"/>
        <v>28.571428571428569</v>
      </c>
      <c r="M50" s="384">
        <f t="shared" si="4"/>
        <v>28.571428571428569</v>
      </c>
      <c r="N50" s="421">
        <f t="shared" si="3"/>
        <v>99.999999999999986</v>
      </c>
      <c r="O50" s="383">
        <v>37</v>
      </c>
      <c r="P50" s="384">
        <v>22</v>
      </c>
      <c r="Q50" s="384">
        <v>25.5</v>
      </c>
      <c r="R50" s="385">
        <f t="shared" si="2"/>
        <v>84.5</v>
      </c>
      <c r="S50" s="334">
        <v>3</v>
      </c>
      <c r="T50" s="357"/>
      <c r="V50" s="343" t="s">
        <v>132</v>
      </c>
      <c r="W50" s="334" t="s">
        <v>22</v>
      </c>
      <c r="X50" s="334" t="s">
        <v>11</v>
      </c>
      <c r="Y50" s="344">
        <v>25.5</v>
      </c>
      <c r="Z50" s="334" t="s">
        <v>81</v>
      </c>
      <c r="AA50" s="334" t="s">
        <v>17</v>
      </c>
      <c r="AB50" s="334" t="s">
        <v>18</v>
      </c>
      <c r="AC50" s="334">
        <v>22</v>
      </c>
      <c r="AD50" s="343" t="s">
        <v>467</v>
      </c>
      <c r="AE50" s="334" t="s">
        <v>20</v>
      </c>
      <c r="AF50" s="334" t="s">
        <v>12</v>
      </c>
      <c r="AG50" s="344">
        <v>25.5</v>
      </c>
      <c r="AH50" s="334" t="s">
        <v>341</v>
      </c>
      <c r="AI50" s="334" t="s">
        <v>75</v>
      </c>
      <c r="AJ50" s="334" t="s">
        <v>11</v>
      </c>
      <c r="AK50" s="334">
        <v>11.5</v>
      </c>
      <c r="AL50" s="343"/>
      <c r="AO50" s="344"/>
      <c r="AP50" s="343"/>
      <c r="AS50" s="344"/>
      <c r="AW50" s="344"/>
      <c r="BA50" s="345"/>
    </row>
    <row r="51" spans="1:53" s="334" customFormat="1" x14ac:dyDescent="0.15">
      <c r="A51" s="386">
        <v>1981</v>
      </c>
      <c r="B51" s="355"/>
      <c r="C51" s="812" t="s">
        <v>439</v>
      </c>
      <c r="D51" s="812"/>
      <c r="E51" s="334">
        <v>365</v>
      </c>
      <c r="F51" s="334">
        <v>1</v>
      </c>
      <c r="G51" s="419">
        <v>3</v>
      </c>
      <c r="H51" s="334">
        <v>2</v>
      </c>
      <c r="I51" s="334">
        <v>2</v>
      </c>
      <c r="J51" s="435">
        <v>7</v>
      </c>
      <c r="K51" s="384">
        <f t="shared" si="4"/>
        <v>42.857142857142854</v>
      </c>
      <c r="L51" s="384">
        <f t="shared" si="4"/>
        <v>28.571428571428569</v>
      </c>
      <c r="M51" s="384">
        <f t="shared" si="4"/>
        <v>28.571428571428569</v>
      </c>
      <c r="N51" s="421">
        <f t="shared" si="3"/>
        <v>99.999999999999986</v>
      </c>
      <c r="O51" s="383">
        <v>37</v>
      </c>
      <c r="P51" s="384">
        <v>22</v>
      </c>
      <c r="Q51" s="384">
        <v>25.5</v>
      </c>
      <c r="R51" s="385">
        <f t="shared" si="2"/>
        <v>84.5</v>
      </c>
      <c r="S51" s="334">
        <v>3</v>
      </c>
      <c r="T51" s="357"/>
      <c r="V51" s="343" t="s">
        <v>132</v>
      </c>
      <c r="W51" s="334" t="s">
        <v>22</v>
      </c>
      <c r="X51" s="334" t="s">
        <v>11</v>
      </c>
      <c r="Y51" s="344">
        <v>25.5</v>
      </c>
      <c r="Z51" s="334" t="s">
        <v>81</v>
      </c>
      <c r="AA51" s="334" t="s">
        <v>17</v>
      </c>
      <c r="AB51" s="334" t="s">
        <v>18</v>
      </c>
      <c r="AC51" s="334">
        <v>22</v>
      </c>
      <c r="AD51" s="343" t="s">
        <v>467</v>
      </c>
      <c r="AE51" s="334" t="s">
        <v>20</v>
      </c>
      <c r="AF51" s="334" t="s">
        <v>12</v>
      </c>
      <c r="AG51" s="344">
        <v>25.5</v>
      </c>
      <c r="AH51" s="334" t="s">
        <v>341</v>
      </c>
      <c r="AI51" s="334" t="s">
        <v>75</v>
      </c>
      <c r="AJ51" s="334" t="s">
        <v>11</v>
      </c>
      <c r="AK51" s="334">
        <v>11.5</v>
      </c>
      <c r="AL51" s="343"/>
      <c r="AO51" s="344"/>
      <c r="AP51" s="343"/>
      <c r="AS51" s="344"/>
      <c r="AW51" s="344"/>
      <c r="BA51" s="345"/>
    </row>
    <row r="52" spans="1:53" s="334" customFormat="1" x14ac:dyDescent="0.15">
      <c r="A52" s="386">
        <v>1982</v>
      </c>
      <c r="B52" s="355"/>
      <c r="C52" s="812" t="s">
        <v>439</v>
      </c>
      <c r="D52" s="812"/>
      <c r="E52" s="334">
        <v>0</v>
      </c>
      <c r="G52" s="419">
        <v>3</v>
      </c>
      <c r="H52" s="334">
        <v>2</v>
      </c>
      <c r="I52" s="334">
        <v>2</v>
      </c>
      <c r="J52" s="435">
        <v>7</v>
      </c>
      <c r="K52" s="384">
        <f t="shared" si="4"/>
        <v>42.857142857142854</v>
      </c>
      <c r="L52" s="384">
        <f t="shared" si="4"/>
        <v>28.571428571428569</v>
      </c>
      <c r="M52" s="384">
        <f t="shared" si="4"/>
        <v>28.571428571428569</v>
      </c>
      <c r="N52" s="421">
        <f t="shared" si="3"/>
        <v>99.999999999999986</v>
      </c>
      <c r="O52" s="383">
        <v>37</v>
      </c>
      <c r="P52" s="384">
        <v>22</v>
      </c>
      <c r="Q52" s="384">
        <v>25.5</v>
      </c>
      <c r="R52" s="385">
        <f t="shared" si="2"/>
        <v>84.5</v>
      </c>
      <c r="S52" s="334">
        <v>3</v>
      </c>
      <c r="T52" s="357"/>
      <c r="V52" s="343" t="s">
        <v>132</v>
      </c>
      <c r="W52" s="334" t="s">
        <v>22</v>
      </c>
      <c r="X52" s="334" t="s">
        <v>11</v>
      </c>
      <c r="Y52" s="344">
        <v>25.5</v>
      </c>
      <c r="Z52" s="334" t="s">
        <v>81</v>
      </c>
      <c r="AA52" s="334" t="s">
        <v>17</v>
      </c>
      <c r="AB52" s="334" t="s">
        <v>18</v>
      </c>
      <c r="AC52" s="334">
        <v>22</v>
      </c>
      <c r="AD52" s="343" t="s">
        <v>467</v>
      </c>
      <c r="AE52" s="334" t="s">
        <v>20</v>
      </c>
      <c r="AF52" s="334" t="s">
        <v>12</v>
      </c>
      <c r="AG52" s="344">
        <v>25.5</v>
      </c>
      <c r="AH52" s="334" t="s">
        <v>341</v>
      </c>
      <c r="AI52" s="334" t="s">
        <v>75</v>
      </c>
      <c r="AJ52" s="334" t="s">
        <v>11</v>
      </c>
      <c r="AK52" s="334">
        <v>11.5</v>
      </c>
      <c r="AL52" s="343"/>
      <c r="AO52" s="344"/>
      <c r="AP52" s="343"/>
      <c r="AS52" s="344"/>
      <c r="AW52" s="344"/>
      <c r="BA52" s="345"/>
    </row>
    <row r="53" spans="1:53" s="334" customFormat="1" x14ac:dyDescent="0.15">
      <c r="A53" s="386">
        <v>1982</v>
      </c>
      <c r="B53" s="355"/>
      <c r="C53" s="812" t="s">
        <v>472</v>
      </c>
      <c r="D53" s="812"/>
      <c r="E53" s="334">
        <v>365</v>
      </c>
      <c r="F53" s="334">
        <v>1</v>
      </c>
      <c r="G53" s="419">
        <v>3</v>
      </c>
      <c r="H53" s="334">
        <v>2</v>
      </c>
      <c r="I53" s="334">
        <v>2</v>
      </c>
      <c r="J53" s="435">
        <v>7</v>
      </c>
      <c r="K53" s="384">
        <f t="shared" si="4"/>
        <v>42.857142857142854</v>
      </c>
      <c r="L53" s="384">
        <f t="shared" si="4"/>
        <v>28.571428571428569</v>
      </c>
      <c r="M53" s="384">
        <f t="shared" si="4"/>
        <v>28.571428571428569</v>
      </c>
      <c r="N53" s="421">
        <f t="shared" si="3"/>
        <v>99.999999999999986</v>
      </c>
      <c r="O53" s="383">
        <v>37</v>
      </c>
      <c r="P53" s="384">
        <v>22</v>
      </c>
      <c r="Q53" s="384">
        <v>25.5</v>
      </c>
      <c r="R53" s="385">
        <f t="shared" si="2"/>
        <v>84.5</v>
      </c>
      <c r="S53" s="334">
        <v>3</v>
      </c>
      <c r="T53" s="357"/>
      <c r="V53" s="343" t="s">
        <v>132</v>
      </c>
      <c r="W53" s="334" t="s">
        <v>22</v>
      </c>
      <c r="X53" s="334" t="s">
        <v>11</v>
      </c>
      <c r="Y53" s="344">
        <v>25.5</v>
      </c>
      <c r="Z53" s="334" t="s">
        <v>81</v>
      </c>
      <c r="AA53" s="334" t="s">
        <v>17</v>
      </c>
      <c r="AB53" s="334" t="s">
        <v>18</v>
      </c>
      <c r="AC53" s="334">
        <v>22</v>
      </c>
      <c r="AD53" s="343" t="s">
        <v>467</v>
      </c>
      <c r="AE53" s="334" t="s">
        <v>20</v>
      </c>
      <c r="AF53" s="334" t="s">
        <v>12</v>
      </c>
      <c r="AG53" s="344">
        <v>25.5</v>
      </c>
      <c r="AH53" s="334" t="s">
        <v>341</v>
      </c>
      <c r="AI53" s="334" t="s">
        <v>75</v>
      </c>
      <c r="AJ53" s="334" t="s">
        <v>11</v>
      </c>
      <c r="AK53" s="334">
        <v>11.5</v>
      </c>
      <c r="AL53" s="343"/>
      <c r="AO53" s="344"/>
      <c r="AP53" s="343"/>
      <c r="AS53" s="344"/>
      <c r="AW53" s="344"/>
      <c r="BA53" s="345"/>
    </row>
    <row r="54" spans="1:53" s="334" customFormat="1" x14ac:dyDescent="0.15">
      <c r="A54" s="386">
        <v>1983</v>
      </c>
      <c r="B54" s="355"/>
      <c r="C54" s="812" t="s">
        <v>472</v>
      </c>
      <c r="D54" s="812"/>
      <c r="E54" s="334">
        <v>352</v>
      </c>
      <c r="G54" s="419">
        <v>3</v>
      </c>
      <c r="H54" s="334">
        <v>2</v>
      </c>
      <c r="I54" s="334">
        <v>2</v>
      </c>
      <c r="J54" s="435">
        <v>7</v>
      </c>
      <c r="K54" s="384">
        <f t="shared" si="4"/>
        <v>42.857142857142854</v>
      </c>
      <c r="L54" s="384">
        <f t="shared" si="4"/>
        <v>28.571428571428569</v>
      </c>
      <c r="M54" s="384">
        <f t="shared" si="4"/>
        <v>28.571428571428569</v>
      </c>
      <c r="N54" s="421">
        <f t="shared" si="3"/>
        <v>99.999999999999986</v>
      </c>
      <c r="O54" s="383">
        <v>37</v>
      </c>
      <c r="P54" s="384">
        <v>22</v>
      </c>
      <c r="Q54" s="384">
        <v>25.5</v>
      </c>
      <c r="R54" s="385">
        <f t="shared" si="2"/>
        <v>84.5</v>
      </c>
      <c r="S54" s="334">
        <v>3</v>
      </c>
      <c r="T54" s="357"/>
      <c r="V54" s="343" t="s">
        <v>132</v>
      </c>
      <c r="W54" s="334" t="s">
        <v>22</v>
      </c>
      <c r="X54" s="334" t="s">
        <v>11</v>
      </c>
      <c r="Y54" s="344">
        <v>25.5</v>
      </c>
      <c r="Z54" s="334" t="s">
        <v>81</v>
      </c>
      <c r="AA54" s="334" t="s">
        <v>17</v>
      </c>
      <c r="AB54" s="334" t="s">
        <v>18</v>
      </c>
      <c r="AC54" s="334">
        <v>22</v>
      </c>
      <c r="AD54" s="343" t="s">
        <v>467</v>
      </c>
      <c r="AE54" s="334" t="s">
        <v>20</v>
      </c>
      <c r="AF54" s="334" t="s">
        <v>12</v>
      </c>
      <c r="AG54" s="344">
        <v>25.5</v>
      </c>
      <c r="AH54" s="334" t="s">
        <v>341</v>
      </c>
      <c r="AI54" s="334" t="s">
        <v>75</v>
      </c>
      <c r="AJ54" s="334" t="s">
        <v>11</v>
      </c>
      <c r="AK54" s="334">
        <v>11.5</v>
      </c>
      <c r="AL54" s="343"/>
      <c r="AO54" s="344"/>
      <c r="AP54" s="343"/>
      <c r="AS54" s="344"/>
      <c r="AW54" s="344"/>
      <c r="BA54" s="345"/>
    </row>
    <row r="55" spans="1:53" s="208" customFormat="1" x14ac:dyDescent="0.15">
      <c r="A55" s="102">
        <v>1983</v>
      </c>
      <c r="B55" s="207">
        <v>30669</v>
      </c>
      <c r="C55" s="811" t="s">
        <v>440</v>
      </c>
      <c r="D55" s="811"/>
      <c r="E55" s="208">
        <f>365-E54</f>
        <v>13</v>
      </c>
      <c r="F55" s="208">
        <v>1</v>
      </c>
      <c r="G55" s="123">
        <v>3</v>
      </c>
      <c r="H55" s="208">
        <v>2</v>
      </c>
      <c r="I55" s="208">
        <v>2</v>
      </c>
      <c r="J55" s="134">
        <v>7</v>
      </c>
      <c r="K55" s="92">
        <f t="shared" si="4"/>
        <v>42.857142857142854</v>
      </c>
      <c r="L55" s="92">
        <f t="shared" si="4"/>
        <v>28.571428571428569</v>
      </c>
      <c r="M55" s="92">
        <f t="shared" si="4"/>
        <v>28.571428571428569</v>
      </c>
      <c r="N55" s="125">
        <f t="shared" si="3"/>
        <v>99.999999999999986</v>
      </c>
      <c r="O55" s="91">
        <v>38.5</v>
      </c>
      <c r="P55" s="92">
        <v>21</v>
      </c>
      <c r="Q55" s="92">
        <v>23.5</v>
      </c>
      <c r="R55" s="93">
        <f t="shared" si="2"/>
        <v>83</v>
      </c>
      <c r="S55" s="208">
        <v>3</v>
      </c>
      <c r="T55" s="95">
        <v>30612</v>
      </c>
      <c r="U55" s="207">
        <v>30669</v>
      </c>
      <c r="V55" s="82" t="s">
        <v>132</v>
      </c>
      <c r="W55" s="208" t="s">
        <v>22</v>
      </c>
      <c r="X55" s="208" t="s">
        <v>11</v>
      </c>
      <c r="Y55" s="83">
        <v>27</v>
      </c>
      <c r="Z55" s="208" t="s">
        <v>81</v>
      </c>
      <c r="AA55" s="208" t="s">
        <v>17</v>
      </c>
      <c r="AB55" s="208" t="s">
        <v>18</v>
      </c>
      <c r="AC55" s="208">
        <v>21</v>
      </c>
      <c r="AD55" s="82" t="s">
        <v>467</v>
      </c>
      <c r="AE55" s="208" t="s">
        <v>20</v>
      </c>
      <c r="AF55" s="208" t="s">
        <v>12</v>
      </c>
      <c r="AG55" s="83">
        <v>23.5</v>
      </c>
      <c r="AH55" s="208" t="s">
        <v>341</v>
      </c>
      <c r="AI55" s="208" t="s">
        <v>75</v>
      </c>
      <c r="AJ55" s="208" t="s">
        <v>11</v>
      </c>
      <c r="AK55" s="208">
        <v>11.5</v>
      </c>
      <c r="AL55" s="82"/>
      <c r="AO55" s="83"/>
      <c r="AP55" s="82"/>
      <c r="AS55" s="83"/>
      <c r="AW55" s="83"/>
      <c r="BA55" s="84"/>
    </row>
    <row r="56" spans="1:53" s="208" customFormat="1" x14ac:dyDescent="0.15">
      <c r="A56" s="102">
        <v>1984</v>
      </c>
      <c r="B56" s="207"/>
      <c r="C56" s="811" t="s">
        <v>440</v>
      </c>
      <c r="D56" s="811"/>
      <c r="E56" s="208">
        <v>0</v>
      </c>
      <c r="G56" s="123">
        <v>3</v>
      </c>
      <c r="H56" s="208">
        <v>2</v>
      </c>
      <c r="I56" s="208">
        <v>2</v>
      </c>
      <c r="J56" s="134">
        <v>7</v>
      </c>
      <c r="K56" s="92">
        <f t="shared" si="4"/>
        <v>42.857142857142854</v>
      </c>
      <c r="L56" s="92">
        <f t="shared" si="4"/>
        <v>28.571428571428569</v>
      </c>
      <c r="M56" s="92">
        <f t="shared" si="4"/>
        <v>28.571428571428569</v>
      </c>
      <c r="N56" s="125">
        <f t="shared" si="3"/>
        <v>99.999999999999986</v>
      </c>
      <c r="O56" s="91">
        <v>38.5</v>
      </c>
      <c r="P56" s="92">
        <v>21</v>
      </c>
      <c r="Q56" s="92">
        <v>23.5</v>
      </c>
      <c r="R56" s="93">
        <f t="shared" si="2"/>
        <v>83</v>
      </c>
      <c r="S56" s="208">
        <v>3</v>
      </c>
      <c r="T56" s="81"/>
      <c r="V56" s="82" t="s">
        <v>132</v>
      </c>
      <c r="W56" s="208" t="s">
        <v>22</v>
      </c>
      <c r="X56" s="208" t="s">
        <v>11</v>
      </c>
      <c r="Y56" s="83">
        <v>27</v>
      </c>
      <c r="Z56" s="208" t="s">
        <v>81</v>
      </c>
      <c r="AA56" s="208" t="s">
        <v>17</v>
      </c>
      <c r="AB56" s="208" t="s">
        <v>18</v>
      </c>
      <c r="AC56" s="208">
        <v>21</v>
      </c>
      <c r="AD56" s="82" t="s">
        <v>467</v>
      </c>
      <c r="AE56" s="208" t="s">
        <v>20</v>
      </c>
      <c r="AF56" s="208" t="s">
        <v>12</v>
      </c>
      <c r="AG56" s="83">
        <v>23.5</v>
      </c>
      <c r="AH56" s="208" t="s">
        <v>341</v>
      </c>
      <c r="AI56" s="208" t="s">
        <v>75</v>
      </c>
      <c r="AJ56" s="208" t="s">
        <v>11</v>
      </c>
      <c r="AK56" s="208">
        <v>11.5</v>
      </c>
      <c r="AL56" s="82"/>
      <c r="AO56" s="83"/>
      <c r="AP56" s="82"/>
      <c r="AS56" s="83"/>
      <c r="AW56" s="83"/>
      <c r="BA56" s="84"/>
    </row>
    <row r="57" spans="1:53" s="208" customFormat="1" x14ac:dyDescent="0.15">
      <c r="A57" s="102">
        <v>1984</v>
      </c>
      <c r="B57" s="207"/>
      <c r="C57" s="811" t="s">
        <v>441</v>
      </c>
      <c r="D57" s="811"/>
      <c r="E57" s="208">
        <v>366</v>
      </c>
      <c r="F57" s="208">
        <v>1</v>
      </c>
      <c r="G57" s="123">
        <v>3</v>
      </c>
      <c r="H57" s="208">
        <v>2</v>
      </c>
      <c r="I57" s="208">
        <v>2</v>
      </c>
      <c r="J57" s="134">
        <v>7</v>
      </c>
      <c r="K57" s="92">
        <f t="shared" si="4"/>
        <v>42.857142857142854</v>
      </c>
      <c r="L57" s="92">
        <f t="shared" si="4"/>
        <v>28.571428571428569</v>
      </c>
      <c r="M57" s="92">
        <f t="shared" si="4"/>
        <v>28.571428571428569</v>
      </c>
      <c r="N57" s="125">
        <f t="shared" si="3"/>
        <v>99.999999999999986</v>
      </c>
      <c r="O57" s="91">
        <v>38.5</v>
      </c>
      <c r="P57" s="92">
        <v>21</v>
      </c>
      <c r="Q57" s="92">
        <v>23.5</v>
      </c>
      <c r="R57" s="93">
        <f t="shared" si="2"/>
        <v>83</v>
      </c>
      <c r="S57" s="208">
        <v>3</v>
      </c>
      <c r="T57" s="81"/>
      <c r="V57" s="82" t="s">
        <v>132</v>
      </c>
      <c r="W57" s="208" t="s">
        <v>22</v>
      </c>
      <c r="X57" s="208" t="s">
        <v>11</v>
      </c>
      <c r="Y57" s="83">
        <v>27</v>
      </c>
      <c r="Z57" s="208" t="s">
        <v>81</v>
      </c>
      <c r="AA57" s="208" t="s">
        <v>17</v>
      </c>
      <c r="AB57" s="208" t="s">
        <v>18</v>
      </c>
      <c r="AC57" s="208">
        <v>21</v>
      </c>
      <c r="AD57" s="82" t="s">
        <v>467</v>
      </c>
      <c r="AE57" s="208" t="s">
        <v>20</v>
      </c>
      <c r="AF57" s="208" t="s">
        <v>12</v>
      </c>
      <c r="AG57" s="83">
        <v>23.5</v>
      </c>
      <c r="AH57" s="208" t="s">
        <v>341</v>
      </c>
      <c r="AI57" s="208" t="s">
        <v>75</v>
      </c>
      <c r="AJ57" s="208" t="s">
        <v>11</v>
      </c>
      <c r="AK57" s="208">
        <v>11.5</v>
      </c>
      <c r="AL57" s="82"/>
      <c r="AO57" s="83"/>
      <c r="AP57" s="82"/>
      <c r="AS57" s="83"/>
      <c r="AW57" s="83"/>
      <c r="BA57" s="84"/>
    </row>
    <row r="58" spans="1:53" s="208" customFormat="1" x14ac:dyDescent="0.15">
      <c r="A58" s="102">
        <v>1985</v>
      </c>
      <c r="B58" s="207"/>
      <c r="C58" s="811" t="s">
        <v>441</v>
      </c>
      <c r="D58" s="811"/>
      <c r="E58" s="208">
        <v>0</v>
      </c>
      <c r="G58" s="123">
        <v>3</v>
      </c>
      <c r="H58" s="208">
        <v>2</v>
      </c>
      <c r="I58" s="208">
        <v>2</v>
      </c>
      <c r="J58" s="134">
        <v>7</v>
      </c>
      <c r="K58" s="92">
        <f t="shared" si="4"/>
        <v>42.857142857142854</v>
      </c>
      <c r="L58" s="92">
        <f t="shared" si="4"/>
        <v>28.571428571428569</v>
      </c>
      <c r="M58" s="92">
        <f t="shared" si="4"/>
        <v>28.571428571428569</v>
      </c>
      <c r="N58" s="125">
        <f t="shared" si="3"/>
        <v>99.999999999999986</v>
      </c>
      <c r="O58" s="91">
        <v>38.5</v>
      </c>
      <c r="P58" s="92">
        <v>21</v>
      </c>
      <c r="Q58" s="92">
        <v>23.5</v>
      </c>
      <c r="R58" s="93">
        <f t="shared" si="2"/>
        <v>83</v>
      </c>
      <c r="S58" s="208">
        <v>3</v>
      </c>
      <c r="T58" s="81"/>
      <c r="V58" s="82" t="s">
        <v>132</v>
      </c>
      <c r="W58" s="208" t="s">
        <v>22</v>
      </c>
      <c r="X58" s="208" t="s">
        <v>11</v>
      </c>
      <c r="Y58" s="83">
        <v>27</v>
      </c>
      <c r="Z58" s="208" t="s">
        <v>81</v>
      </c>
      <c r="AA58" s="208" t="s">
        <v>17</v>
      </c>
      <c r="AB58" s="208" t="s">
        <v>18</v>
      </c>
      <c r="AC58" s="208">
        <v>21</v>
      </c>
      <c r="AD58" s="82" t="s">
        <v>467</v>
      </c>
      <c r="AE58" s="208" t="s">
        <v>20</v>
      </c>
      <c r="AF58" s="208" t="s">
        <v>12</v>
      </c>
      <c r="AG58" s="83">
        <v>23.5</v>
      </c>
      <c r="AH58" s="208" t="s">
        <v>341</v>
      </c>
      <c r="AI58" s="208" t="s">
        <v>75</v>
      </c>
      <c r="AJ58" s="208" t="s">
        <v>11</v>
      </c>
      <c r="AK58" s="208">
        <v>11.5</v>
      </c>
      <c r="AL58" s="82"/>
      <c r="AO58" s="83"/>
      <c r="AP58" s="82"/>
      <c r="AS58" s="83"/>
      <c r="AW58" s="83"/>
      <c r="BA58" s="84"/>
    </row>
    <row r="59" spans="1:53" s="208" customFormat="1" x14ac:dyDescent="0.15">
      <c r="A59" s="102">
        <v>1985</v>
      </c>
      <c r="B59" s="207"/>
      <c r="C59" s="811" t="s">
        <v>442</v>
      </c>
      <c r="D59" s="811"/>
      <c r="E59" s="208">
        <v>365</v>
      </c>
      <c r="F59" s="208">
        <v>1</v>
      </c>
      <c r="G59" s="123">
        <v>3</v>
      </c>
      <c r="H59" s="208">
        <v>2</v>
      </c>
      <c r="I59" s="208">
        <v>2</v>
      </c>
      <c r="J59" s="134">
        <v>7</v>
      </c>
      <c r="K59" s="92">
        <f t="shared" si="4"/>
        <v>42.857142857142854</v>
      </c>
      <c r="L59" s="92">
        <f t="shared" si="4"/>
        <v>28.571428571428569</v>
      </c>
      <c r="M59" s="92">
        <f t="shared" si="4"/>
        <v>28.571428571428569</v>
      </c>
      <c r="N59" s="125">
        <f t="shared" si="3"/>
        <v>99.999999999999986</v>
      </c>
      <c r="O59" s="91">
        <v>38.5</v>
      </c>
      <c r="P59" s="92">
        <v>21</v>
      </c>
      <c r="Q59" s="92">
        <v>23.5</v>
      </c>
      <c r="R59" s="93">
        <f t="shared" si="2"/>
        <v>83</v>
      </c>
      <c r="S59" s="208">
        <v>3</v>
      </c>
      <c r="T59" s="81"/>
      <c r="V59" s="82" t="s">
        <v>132</v>
      </c>
      <c r="W59" s="208" t="s">
        <v>22</v>
      </c>
      <c r="X59" s="208" t="s">
        <v>11</v>
      </c>
      <c r="Y59" s="83">
        <v>27</v>
      </c>
      <c r="Z59" s="208" t="s">
        <v>81</v>
      </c>
      <c r="AA59" s="208" t="s">
        <v>17</v>
      </c>
      <c r="AB59" s="208" t="s">
        <v>18</v>
      </c>
      <c r="AC59" s="208">
        <v>21</v>
      </c>
      <c r="AD59" s="82" t="s">
        <v>467</v>
      </c>
      <c r="AE59" s="208" t="s">
        <v>20</v>
      </c>
      <c r="AF59" s="208" t="s">
        <v>12</v>
      </c>
      <c r="AG59" s="83">
        <v>23.5</v>
      </c>
      <c r="AH59" s="208" t="s">
        <v>341</v>
      </c>
      <c r="AI59" s="208" t="s">
        <v>75</v>
      </c>
      <c r="AJ59" s="208" t="s">
        <v>11</v>
      </c>
      <c r="AK59" s="208">
        <v>11.5</v>
      </c>
      <c r="AL59" s="82"/>
      <c r="AO59" s="83"/>
      <c r="AP59" s="82"/>
      <c r="AS59" s="83"/>
      <c r="AW59" s="83"/>
      <c r="BA59" s="84"/>
    </row>
    <row r="60" spans="1:53" s="208" customFormat="1" x14ac:dyDescent="0.15">
      <c r="A60" s="102">
        <v>1986</v>
      </c>
      <c r="B60" s="207"/>
      <c r="C60" s="811" t="s">
        <v>442</v>
      </c>
      <c r="D60" s="811"/>
      <c r="E60" s="208">
        <v>0</v>
      </c>
      <c r="G60" s="123">
        <v>3</v>
      </c>
      <c r="H60" s="208">
        <v>2</v>
      </c>
      <c r="I60" s="208">
        <v>2</v>
      </c>
      <c r="J60" s="134">
        <v>7</v>
      </c>
      <c r="K60" s="92">
        <f>G60/J60*100</f>
        <v>42.857142857142854</v>
      </c>
      <c r="L60" s="92">
        <f>H60/J60*100</f>
        <v>28.571428571428569</v>
      </c>
      <c r="M60" s="92">
        <f>I60/J60*100</f>
        <v>28.571428571428569</v>
      </c>
      <c r="N60" s="125">
        <f t="shared" si="3"/>
        <v>99.999999999999986</v>
      </c>
      <c r="O60" s="91">
        <v>38.5</v>
      </c>
      <c r="P60" s="92">
        <v>21</v>
      </c>
      <c r="Q60" s="92">
        <v>23.5</v>
      </c>
      <c r="R60" s="93">
        <f t="shared" si="2"/>
        <v>83</v>
      </c>
      <c r="S60" s="208">
        <v>3</v>
      </c>
      <c r="T60" s="81"/>
      <c r="V60" s="82" t="s">
        <v>132</v>
      </c>
      <c r="W60" s="208" t="s">
        <v>22</v>
      </c>
      <c r="X60" s="208" t="s">
        <v>11</v>
      </c>
      <c r="Y60" s="83">
        <v>27</v>
      </c>
      <c r="Z60" s="208" t="s">
        <v>81</v>
      </c>
      <c r="AA60" s="208" t="s">
        <v>17</v>
      </c>
      <c r="AB60" s="208" t="s">
        <v>18</v>
      </c>
      <c r="AC60" s="208">
        <v>21</v>
      </c>
      <c r="AD60" s="82" t="s">
        <v>467</v>
      </c>
      <c r="AE60" s="208" t="s">
        <v>20</v>
      </c>
      <c r="AF60" s="208" t="s">
        <v>12</v>
      </c>
      <c r="AG60" s="83">
        <v>23.5</v>
      </c>
      <c r="AH60" s="208" t="s">
        <v>341</v>
      </c>
      <c r="AI60" s="208" t="s">
        <v>75</v>
      </c>
      <c r="AJ60" s="208" t="s">
        <v>11</v>
      </c>
      <c r="AK60" s="208">
        <v>11.5</v>
      </c>
      <c r="AL60" s="82"/>
      <c r="AO60" s="83"/>
      <c r="AP60" s="82"/>
      <c r="AS60" s="83"/>
      <c r="AW60" s="83"/>
      <c r="BA60" s="84"/>
    </row>
    <row r="61" spans="1:53" s="208" customFormat="1" x14ac:dyDescent="0.15">
      <c r="A61" s="102">
        <v>1986</v>
      </c>
      <c r="B61" s="207"/>
      <c r="C61" s="811" t="s">
        <v>473</v>
      </c>
      <c r="D61" s="811"/>
      <c r="E61" s="208">
        <v>365</v>
      </c>
      <c r="F61" s="208">
        <v>1</v>
      </c>
      <c r="G61" s="123">
        <v>3</v>
      </c>
      <c r="H61" s="208">
        <v>2</v>
      </c>
      <c r="I61" s="208">
        <v>2</v>
      </c>
      <c r="J61" s="134">
        <v>7</v>
      </c>
      <c r="K61" s="92">
        <f t="shared" ref="K61:K68" si="5">G61/J61*100</f>
        <v>42.857142857142854</v>
      </c>
      <c r="L61" s="92">
        <f t="shared" ref="L61:L68" si="6">H61/J61*100</f>
        <v>28.571428571428569</v>
      </c>
      <c r="M61" s="92">
        <f t="shared" ref="M61:M68" si="7">I61/J61*100</f>
        <v>28.571428571428569</v>
      </c>
      <c r="N61" s="125">
        <f t="shared" si="3"/>
        <v>99.999999999999986</v>
      </c>
      <c r="O61" s="91">
        <v>38.5</v>
      </c>
      <c r="P61" s="92">
        <v>21</v>
      </c>
      <c r="Q61" s="92">
        <v>23.5</v>
      </c>
      <c r="R61" s="93">
        <f t="shared" si="2"/>
        <v>83</v>
      </c>
      <c r="S61" s="208">
        <v>3</v>
      </c>
      <c r="T61" s="81"/>
      <c r="V61" s="82" t="s">
        <v>132</v>
      </c>
      <c r="W61" s="208" t="s">
        <v>22</v>
      </c>
      <c r="X61" s="208" t="s">
        <v>11</v>
      </c>
      <c r="Y61" s="83">
        <v>27</v>
      </c>
      <c r="Z61" s="208" t="s">
        <v>81</v>
      </c>
      <c r="AA61" s="208" t="s">
        <v>17</v>
      </c>
      <c r="AB61" s="208" t="s">
        <v>18</v>
      </c>
      <c r="AC61" s="208">
        <v>21</v>
      </c>
      <c r="AD61" s="82" t="s">
        <v>467</v>
      </c>
      <c r="AE61" s="208" t="s">
        <v>20</v>
      </c>
      <c r="AF61" s="208" t="s">
        <v>12</v>
      </c>
      <c r="AG61" s="83">
        <v>23.5</v>
      </c>
      <c r="AH61" s="208" t="s">
        <v>341</v>
      </c>
      <c r="AI61" s="208" t="s">
        <v>75</v>
      </c>
      <c r="AJ61" s="208" t="s">
        <v>11</v>
      </c>
      <c r="AK61" s="208">
        <v>11.5</v>
      </c>
      <c r="AL61" s="82"/>
      <c r="AO61" s="83"/>
      <c r="AP61" s="82"/>
      <c r="AS61" s="83"/>
      <c r="AW61" s="83"/>
      <c r="BA61" s="84"/>
    </row>
    <row r="62" spans="1:53" s="208" customFormat="1" x14ac:dyDescent="0.15">
      <c r="A62" s="102">
        <v>1987</v>
      </c>
      <c r="B62" s="207"/>
      <c r="C62" s="811" t="s">
        <v>473</v>
      </c>
      <c r="D62" s="811"/>
      <c r="E62" s="208">
        <v>342</v>
      </c>
      <c r="G62" s="123">
        <v>3</v>
      </c>
      <c r="H62" s="208">
        <v>2</v>
      </c>
      <c r="I62" s="208">
        <v>2</v>
      </c>
      <c r="J62" s="134">
        <v>7</v>
      </c>
      <c r="K62" s="92">
        <f t="shared" si="5"/>
        <v>42.857142857142854</v>
      </c>
      <c r="L62" s="92">
        <f t="shared" si="6"/>
        <v>28.571428571428569</v>
      </c>
      <c r="M62" s="92">
        <f t="shared" si="7"/>
        <v>28.571428571428569</v>
      </c>
      <c r="N62" s="125">
        <f t="shared" si="3"/>
        <v>99.999999999999986</v>
      </c>
      <c r="O62" s="91">
        <v>38.5</v>
      </c>
      <c r="P62" s="92">
        <v>21</v>
      </c>
      <c r="Q62" s="92">
        <v>23.5</v>
      </c>
      <c r="R62" s="93">
        <f t="shared" si="2"/>
        <v>83</v>
      </c>
      <c r="S62" s="81">
        <v>3</v>
      </c>
      <c r="T62" s="81"/>
      <c r="V62" s="82" t="s">
        <v>132</v>
      </c>
      <c r="W62" s="208" t="s">
        <v>22</v>
      </c>
      <c r="X62" s="208" t="s">
        <v>11</v>
      </c>
      <c r="Y62" s="83">
        <v>27</v>
      </c>
      <c r="Z62" s="208" t="s">
        <v>81</v>
      </c>
      <c r="AA62" s="208" t="s">
        <v>17</v>
      </c>
      <c r="AB62" s="208" t="s">
        <v>18</v>
      </c>
      <c r="AC62" s="208">
        <v>21</v>
      </c>
      <c r="AD62" s="82" t="s">
        <v>467</v>
      </c>
      <c r="AE62" s="208" t="s">
        <v>20</v>
      </c>
      <c r="AF62" s="208" t="s">
        <v>12</v>
      </c>
      <c r="AG62" s="83">
        <v>23.5</v>
      </c>
      <c r="AH62" s="208" t="s">
        <v>341</v>
      </c>
      <c r="AI62" s="208" t="s">
        <v>75</v>
      </c>
      <c r="AJ62" s="208" t="s">
        <v>11</v>
      </c>
      <c r="AK62" s="208">
        <v>11.5</v>
      </c>
      <c r="AL62" s="82"/>
      <c r="AO62" s="83"/>
      <c r="AP62" s="82"/>
      <c r="AS62" s="83"/>
      <c r="AW62" s="83"/>
      <c r="BA62" s="84"/>
    </row>
    <row r="63" spans="1:53" s="334" customFormat="1" x14ac:dyDescent="0.15">
      <c r="A63" s="386">
        <v>1987</v>
      </c>
      <c r="B63" s="355">
        <v>32120</v>
      </c>
      <c r="C63" s="812" t="s">
        <v>474</v>
      </c>
      <c r="D63" s="812"/>
      <c r="E63" s="334">
        <f>365-E62</f>
        <v>23</v>
      </c>
      <c r="F63" s="334">
        <v>1</v>
      </c>
      <c r="G63" s="419">
        <v>3</v>
      </c>
      <c r="H63" s="334">
        <v>2</v>
      </c>
      <c r="I63" s="334">
        <v>2</v>
      </c>
      <c r="J63" s="435">
        <v>7</v>
      </c>
      <c r="K63" s="384">
        <f t="shared" si="5"/>
        <v>42.857142857142854</v>
      </c>
      <c r="L63" s="384">
        <f t="shared" si="6"/>
        <v>28.571428571428569</v>
      </c>
      <c r="M63" s="384">
        <f t="shared" si="7"/>
        <v>28.571428571428569</v>
      </c>
      <c r="N63" s="421">
        <f t="shared" si="3"/>
        <v>99.999999999999986</v>
      </c>
      <c r="O63" s="383">
        <v>38</v>
      </c>
      <c r="P63" s="384">
        <v>21</v>
      </c>
      <c r="Q63" s="384">
        <v>20.5</v>
      </c>
      <c r="R63" s="385">
        <f t="shared" si="2"/>
        <v>79.5</v>
      </c>
      <c r="S63" s="357">
        <v>3</v>
      </c>
      <c r="T63" s="342">
        <v>32068</v>
      </c>
      <c r="U63" s="355">
        <v>32120</v>
      </c>
      <c r="V63" s="343" t="s">
        <v>132</v>
      </c>
      <c r="W63" s="334" t="s">
        <v>22</v>
      </c>
      <c r="X63" s="334" t="s">
        <v>11</v>
      </c>
      <c r="Y63" s="344">
        <v>25.5</v>
      </c>
      <c r="Z63" s="334" t="s">
        <v>81</v>
      </c>
      <c r="AA63" s="334" t="s">
        <v>17</v>
      </c>
      <c r="AB63" s="334" t="s">
        <v>18</v>
      </c>
      <c r="AC63" s="334">
        <v>21</v>
      </c>
      <c r="AD63" s="343" t="s">
        <v>467</v>
      </c>
      <c r="AE63" s="334" t="s">
        <v>20</v>
      </c>
      <c r="AF63" s="334" t="s">
        <v>12</v>
      </c>
      <c r="AG63" s="344">
        <v>20.5</v>
      </c>
      <c r="AH63" s="334" t="s">
        <v>341</v>
      </c>
      <c r="AI63" s="334" t="s">
        <v>75</v>
      </c>
      <c r="AJ63" s="334" t="s">
        <v>11</v>
      </c>
      <c r="AK63" s="334">
        <v>12.5</v>
      </c>
      <c r="AL63" s="343"/>
      <c r="AO63" s="344"/>
      <c r="AP63" s="343"/>
      <c r="AS63" s="344"/>
      <c r="AW63" s="344"/>
      <c r="BA63" s="345"/>
    </row>
    <row r="64" spans="1:53" s="334" customFormat="1" x14ac:dyDescent="0.15">
      <c r="A64" s="386">
        <v>1988</v>
      </c>
      <c r="B64" s="355"/>
      <c r="C64" s="812" t="s">
        <v>474</v>
      </c>
      <c r="D64" s="812"/>
      <c r="E64" s="334">
        <v>0</v>
      </c>
      <c r="G64" s="419">
        <v>3</v>
      </c>
      <c r="H64" s="334">
        <v>2</v>
      </c>
      <c r="I64" s="334">
        <v>2</v>
      </c>
      <c r="J64" s="435">
        <v>7</v>
      </c>
      <c r="K64" s="384">
        <f t="shared" si="5"/>
        <v>42.857142857142854</v>
      </c>
      <c r="L64" s="384">
        <f t="shared" si="6"/>
        <v>28.571428571428569</v>
      </c>
      <c r="M64" s="384">
        <f t="shared" si="7"/>
        <v>28.571428571428569</v>
      </c>
      <c r="N64" s="421">
        <f t="shared" si="3"/>
        <v>99.999999999999986</v>
      </c>
      <c r="O64" s="383">
        <v>38</v>
      </c>
      <c r="P64" s="384">
        <v>21</v>
      </c>
      <c r="Q64" s="384">
        <v>20.5</v>
      </c>
      <c r="R64" s="385">
        <f t="shared" si="2"/>
        <v>79.5</v>
      </c>
      <c r="S64" s="357">
        <v>3</v>
      </c>
      <c r="T64" s="357"/>
      <c r="V64" s="343" t="s">
        <v>132</v>
      </c>
      <c r="W64" s="334" t="s">
        <v>22</v>
      </c>
      <c r="X64" s="334" t="s">
        <v>11</v>
      </c>
      <c r="Y64" s="344">
        <v>25.5</v>
      </c>
      <c r="Z64" s="334" t="s">
        <v>81</v>
      </c>
      <c r="AA64" s="334" t="s">
        <v>17</v>
      </c>
      <c r="AB64" s="334" t="s">
        <v>18</v>
      </c>
      <c r="AC64" s="334">
        <v>21</v>
      </c>
      <c r="AD64" s="343" t="s">
        <v>467</v>
      </c>
      <c r="AE64" s="334" t="s">
        <v>20</v>
      </c>
      <c r="AF64" s="334" t="s">
        <v>12</v>
      </c>
      <c r="AG64" s="344">
        <v>20.5</v>
      </c>
      <c r="AH64" s="334" t="s">
        <v>341</v>
      </c>
      <c r="AI64" s="334" t="s">
        <v>75</v>
      </c>
      <c r="AJ64" s="334" t="s">
        <v>11</v>
      </c>
      <c r="AK64" s="334">
        <v>12.5</v>
      </c>
      <c r="AL64" s="343"/>
      <c r="AO64" s="344"/>
      <c r="AP64" s="343"/>
      <c r="AS64" s="344"/>
      <c r="AW64" s="344"/>
      <c r="BA64" s="345"/>
    </row>
    <row r="65" spans="1:53" s="334" customFormat="1" x14ac:dyDescent="0.15">
      <c r="A65" s="386">
        <v>1988</v>
      </c>
      <c r="B65" s="355"/>
      <c r="C65" s="812" t="s">
        <v>443</v>
      </c>
      <c r="D65" s="812"/>
      <c r="E65" s="334">
        <v>366</v>
      </c>
      <c r="F65" s="334">
        <v>1</v>
      </c>
      <c r="G65" s="419">
        <v>3</v>
      </c>
      <c r="H65" s="334">
        <v>2</v>
      </c>
      <c r="I65" s="334">
        <v>2</v>
      </c>
      <c r="J65" s="435">
        <v>7</v>
      </c>
      <c r="K65" s="384">
        <f t="shared" si="5"/>
        <v>42.857142857142854</v>
      </c>
      <c r="L65" s="384">
        <f t="shared" si="6"/>
        <v>28.571428571428569</v>
      </c>
      <c r="M65" s="384">
        <f t="shared" si="7"/>
        <v>28.571428571428569</v>
      </c>
      <c r="N65" s="421">
        <f t="shared" si="3"/>
        <v>99.999999999999986</v>
      </c>
      <c r="O65" s="383">
        <v>38</v>
      </c>
      <c r="P65" s="384">
        <v>21</v>
      </c>
      <c r="Q65" s="384">
        <v>20.5</v>
      </c>
      <c r="R65" s="385">
        <f t="shared" si="2"/>
        <v>79.5</v>
      </c>
      <c r="S65" s="357">
        <v>3</v>
      </c>
      <c r="T65" s="357"/>
      <c r="V65" s="343" t="s">
        <v>132</v>
      </c>
      <c r="W65" s="334" t="s">
        <v>22</v>
      </c>
      <c r="X65" s="334" t="s">
        <v>11</v>
      </c>
      <c r="Y65" s="344">
        <v>25.5</v>
      </c>
      <c r="Z65" s="334" t="s">
        <v>81</v>
      </c>
      <c r="AA65" s="334" t="s">
        <v>17</v>
      </c>
      <c r="AB65" s="334" t="s">
        <v>18</v>
      </c>
      <c r="AC65" s="334">
        <v>21</v>
      </c>
      <c r="AD65" s="343" t="s">
        <v>467</v>
      </c>
      <c r="AE65" s="334" t="s">
        <v>20</v>
      </c>
      <c r="AF65" s="334" t="s">
        <v>12</v>
      </c>
      <c r="AG65" s="344">
        <v>20.5</v>
      </c>
      <c r="AH65" s="334" t="s">
        <v>341</v>
      </c>
      <c r="AI65" s="334" t="s">
        <v>75</v>
      </c>
      <c r="AJ65" s="334" t="s">
        <v>11</v>
      </c>
      <c r="AK65" s="334">
        <v>12.5</v>
      </c>
      <c r="AL65" s="343"/>
      <c r="AO65" s="344"/>
      <c r="AP65" s="343"/>
      <c r="AS65" s="344"/>
      <c r="AW65" s="344"/>
      <c r="BA65" s="345"/>
    </row>
    <row r="66" spans="1:53" s="334" customFormat="1" x14ac:dyDescent="0.15">
      <c r="A66" s="386">
        <v>1989</v>
      </c>
      <c r="B66" s="355"/>
      <c r="C66" s="812" t="s">
        <v>443</v>
      </c>
      <c r="D66" s="812"/>
      <c r="E66" s="334">
        <v>0</v>
      </c>
      <c r="G66" s="419">
        <v>3</v>
      </c>
      <c r="H66" s="334">
        <v>2</v>
      </c>
      <c r="I66" s="334">
        <v>2</v>
      </c>
      <c r="J66" s="435">
        <v>7</v>
      </c>
      <c r="K66" s="384">
        <f t="shared" si="5"/>
        <v>42.857142857142854</v>
      </c>
      <c r="L66" s="384">
        <f t="shared" si="6"/>
        <v>28.571428571428569</v>
      </c>
      <c r="M66" s="384">
        <f t="shared" si="7"/>
        <v>28.571428571428569</v>
      </c>
      <c r="N66" s="421">
        <f t="shared" si="3"/>
        <v>99.999999999999986</v>
      </c>
      <c r="O66" s="383">
        <v>38</v>
      </c>
      <c r="P66" s="384">
        <v>21</v>
      </c>
      <c r="Q66" s="384">
        <v>20.5</v>
      </c>
      <c r="R66" s="385">
        <f t="shared" si="2"/>
        <v>79.5</v>
      </c>
      <c r="S66" s="357">
        <v>3</v>
      </c>
      <c r="T66" s="357"/>
      <c r="V66" s="343" t="s">
        <v>132</v>
      </c>
      <c r="W66" s="334" t="s">
        <v>22</v>
      </c>
      <c r="X66" s="334" t="s">
        <v>11</v>
      </c>
      <c r="Y66" s="344">
        <v>25.5</v>
      </c>
      <c r="Z66" s="334" t="s">
        <v>81</v>
      </c>
      <c r="AA66" s="334" t="s">
        <v>17</v>
      </c>
      <c r="AB66" s="334" t="s">
        <v>18</v>
      </c>
      <c r="AC66" s="334">
        <v>21</v>
      </c>
      <c r="AD66" s="343" t="s">
        <v>467</v>
      </c>
      <c r="AE66" s="334" t="s">
        <v>20</v>
      </c>
      <c r="AF66" s="334" t="s">
        <v>12</v>
      </c>
      <c r="AG66" s="344">
        <v>20.5</v>
      </c>
      <c r="AH66" s="334" t="s">
        <v>341</v>
      </c>
      <c r="AI66" s="334" t="s">
        <v>75</v>
      </c>
      <c r="AJ66" s="334" t="s">
        <v>11</v>
      </c>
      <c r="AK66" s="334">
        <v>12.5</v>
      </c>
      <c r="AL66" s="343"/>
      <c r="AO66" s="344"/>
      <c r="AP66" s="343"/>
      <c r="AS66" s="344"/>
      <c r="AW66" s="344"/>
      <c r="BA66" s="345"/>
    </row>
    <row r="67" spans="1:53" s="104" customFormat="1" x14ac:dyDescent="0.15">
      <c r="A67" s="201">
        <v>1989</v>
      </c>
      <c r="B67" s="407"/>
      <c r="C67" s="818" t="s">
        <v>445</v>
      </c>
      <c r="D67" s="818"/>
      <c r="E67" s="104">
        <f>365-E66</f>
        <v>365</v>
      </c>
      <c r="F67" s="104">
        <v>1</v>
      </c>
      <c r="G67" s="447">
        <v>3</v>
      </c>
      <c r="H67" s="104">
        <v>2</v>
      </c>
      <c r="I67" s="104">
        <v>2</v>
      </c>
      <c r="J67" s="448">
        <v>7</v>
      </c>
      <c r="K67" s="404">
        <f t="shared" si="5"/>
        <v>42.857142857142854</v>
      </c>
      <c r="L67" s="404">
        <f t="shared" si="6"/>
        <v>28.571428571428569</v>
      </c>
      <c r="M67" s="404">
        <f t="shared" si="7"/>
        <v>28.571428571428569</v>
      </c>
      <c r="N67" s="405">
        <f t="shared" si="3"/>
        <v>99.999999999999986</v>
      </c>
      <c r="O67" s="403">
        <v>38</v>
      </c>
      <c r="P67" s="404">
        <v>21</v>
      </c>
      <c r="Q67" s="404">
        <v>20.5</v>
      </c>
      <c r="R67" s="405">
        <f t="shared" si="2"/>
        <v>79.5</v>
      </c>
      <c r="S67" s="458">
        <v>3</v>
      </c>
      <c r="T67" s="458"/>
      <c r="V67" s="105" t="s">
        <v>132</v>
      </c>
      <c r="W67" s="104" t="s">
        <v>22</v>
      </c>
      <c r="X67" s="104" t="s">
        <v>11</v>
      </c>
      <c r="Y67" s="106">
        <v>25.5</v>
      </c>
      <c r="Z67" s="104" t="s">
        <v>81</v>
      </c>
      <c r="AA67" s="104" t="s">
        <v>17</v>
      </c>
      <c r="AB67" s="104" t="s">
        <v>18</v>
      </c>
      <c r="AC67" s="104">
        <v>21</v>
      </c>
      <c r="AD67" s="105" t="s">
        <v>467</v>
      </c>
      <c r="AE67" s="104" t="s">
        <v>20</v>
      </c>
      <c r="AF67" s="104" t="s">
        <v>12</v>
      </c>
      <c r="AG67" s="106">
        <v>20.5</v>
      </c>
      <c r="AH67" s="104" t="s">
        <v>341</v>
      </c>
      <c r="AI67" s="104" t="s">
        <v>75</v>
      </c>
      <c r="AJ67" s="104" t="s">
        <v>11</v>
      </c>
      <c r="AK67" s="106">
        <v>12.5</v>
      </c>
      <c r="AL67" s="105"/>
      <c r="AO67" s="106"/>
      <c r="AP67" s="105"/>
      <c r="AS67" s="106"/>
      <c r="AW67" s="106"/>
      <c r="BA67" s="107"/>
    </row>
    <row r="68" spans="1:53" s="334" customFormat="1" x14ac:dyDescent="0.15">
      <c r="A68" s="334">
        <v>1990</v>
      </c>
      <c r="C68" s="812" t="s">
        <v>445</v>
      </c>
      <c r="D68" s="812"/>
      <c r="E68" s="334">
        <v>0</v>
      </c>
      <c r="G68" s="419">
        <v>3</v>
      </c>
      <c r="H68" s="334">
        <v>2</v>
      </c>
      <c r="I68" s="334">
        <v>2</v>
      </c>
      <c r="J68" s="435">
        <v>7</v>
      </c>
      <c r="K68" s="384">
        <f t="shared" si="5"/>
        <v>42.857142857142854</v>
      </c>
      <c r="L68" s="384">
        <f t="shared" si="6"/>
        <v>28.571428571428569</v>
      </c>
      <c r="M68" s="384">
        <f t="shared" si="7"/>
        <v>28.571428571428569</v>
      </c>
      <c r="N68" s="421">
        <f t="shared" si="3"/>
        <v>99.999999999999986</v>
      </c>
      <c r="O68" s="383">
        <v>38</v>
      </c>
      <c r="P68" s="384">
        <v>21</v>
      </c>
      <c r="Q68" s="384">
        <v>20.5</v>
      </c>
      <c r="R68" s="385">
        <f>O68+P68+Q68</f>
        <v>79.5</v>
      </c>
      <c r="S68" s="334">
        <v>3</v>
      </c>
      <c r="T68" s="357"/>
      <c r="V68" s="343" t="s">
        <v>132</v>
      </c>
      <c r="W68" s="334" t="s">
        <v>22</v>
      </c>
      <c r="X68" s="334" t="s">
        <v>11</v>
      </c>
      <c r="Y68" s="344">
        <v>25.5</v>
      </c>
      <c r="Z68" s="334" t="s">
        <v>81</v>
      </c>
      <c r="AA68" s="334" t="s">
        <v>17</v>
      </c>
      <c r="AB68" s="334" t="s">
        <v>18</v>
      </c>
      <c r="AC68" s="334">
        <v>21</v>
      </c>
      <c r="AD68" s="343" t="s">
        <v>467</v>
      </c>
      <c r="AE68" s="334" t="s">
        <v>20</v>
      </c>
      <c r="AF68" s="334" t="s">
        <v>12</v>
      </c>
      <c r="AG68" s="344">
        <v>20.5</v>
      </c>
      <c r="AH68" s="334" t="s">
        <v>341</v>
      </c>
      <c r="AI68" s="334" t="s">
        <v>75</v>
      </c>
      <c r="AJ68" s="334" t="s">
        <v>11</v>
      </c>
      <c r="AK68" s="334">
        <v>12.5</v>
      </c>
      <c r="AL68" s="343"/>
      <c r="AO68" s="344"/>
      <c r="AP68" s="343"/>
      <c r="AS68" s="344"/>
      <c r="AW68" s="344"/>
      <c r="BA68" s="345"/>
    </row>
    <row r="69" spans="1:53" s="334" customFormat="1" x14ac:dyDescent="0.15">
      <c r="A69" s="334">
        <v>1990</v>
      </c>
      <c r="C69" s="812" t="s">
        <v>446</v>
      </c>
      <c r="D69" s="812"/>
      <c r="E69" s="334">
        <f>365-E68</f>
        <v>365</v>
      </c>
      <c r="F69" s="334">
        <v>1</v>
      </c>
      <c r="G69" s="419">
        <v>3</v>
      </c>
      <c r="H69" s="334">
        <v>2</v>
      </c>
      <c r="I69" s="334">
        <v>2</v>
      </c>
      <c r="J69" s="435">
        <v>7</v>
      </c>
      <c r="K69" s="384">
        <f>G69/J69*100</f>
        <v>42.857142857142854</v>
      </c>
      <c r="L69" s="384">
        <f>H69/J69*100</f>
        <v>28.571428571428569</v>
      </c>
      <c r="M69" s="384">
        <f>I69/J69*100</f>
        <v>28.571428571428569</v>
      </c>
      <c r="N69" s="421">
        <f t="shared" si="3"/>
        <v>99.999999999999986</v>
      </c>
      <c r="O69" s="383">
        <v>38</v>
      </c>
      <c r="P69" s="384">
        <v>21</v>
      </c>
      <c r="Q69" s="384">
        <v>20.5</v>
      </c>
      <c r="R69" s="385">
        <f>O69+P69+Q69</f>
        <v>79.5</v>
      </c>
      <c r="S69" s="334">
        <v>3</v>
      </c>
      <c r="T69" s="357"/>
      <c r="V69" s="343" t="s">
        <v>132</v>
      </c>
      <c r="W69" s="334" t="s">
        <v>22</v>
      </c>
      <c r="X69" s="334" t="s">
        <v>11</v>
      </c>
      <c r="Y69" s="344">
        <v>25.5</v>
      </c>
      <c r="Z69" s="334" t="s">
        <v>81</v>
      </c>
      <c r="AA69" s="334" t="s">
        <v>17</v>
      </c>
      <c r="AB69" s="334" t="s">
        <v>18</v>
      </c>
      <c r="AC69" s="334">
        <v>21</v>
      </c>
      <c r="AD69" s="343" t="s">
        <v>467</v>
      </c>
      <c r="AE69" s="334" t="s">
        <v>20</v>
      </c>
      <c r="AF69" s="334" t="s">
        <v>12</v>
      </c>
      <c r="AG69" s="344">
        <v>20.5</v>
      </c>
      <c r="AH69" s="334" t="s">
        <v>341</v>
      </c>
      <c r="AI69" s="334" t="s">
        <v>75</v>
      </c>
      <c r="AJ69" s="334" t="s">
        <v>11</v>
      </c>
      <c r="AK69" s="334">
        <v>12.5</v>
      </c>
      <c r="AL69" s="343"/>
      <c r="AO69" s="344"/>
      <c r="AP69" s="343"/>
      <c r="AS69" s="344"/>
      <c r="AW69" s="344"/>
      <c r="BA69" s="345"/>
    </row>
    <row r="70" spans="1:53" s="334" customFormat="1" x14ac:dyDescent="0.15">
      <c r="A70" s="334">
        <v>1991</v>
      </c>
      <c r="C70" s="812" t="s">
        <v>446</v>
      </c>
      <c r="D70" s="812"/>
      <c r="E70" s="334">
        <v>337</v>
      </c>
      <c r="G70" s="419">
        <v>3</v>
      </c>
      <c r="H70" s="334">
        <v>2</v>
      </c>
      <c r="I70" s="334">
        <v>2</v>
      </c>
      <c r="J70" s="435">
        <v>7</v>
      </c>
      <c r="K70" s="384">
        <f>G70/J70*100</f>
        <v>42.857142857142854</v>
      </c>
      <c r="L70" s="384">
        <f>H70/J70*100</f>
        <v>28.571428571428569</v>
      </c>
      <c r="M70" s="384">
        <f>I70/J70*100</f>
        <v>28.571428571428569</v>
      </c>
      <c r="N70" s="421">
        <f t="shared" si="3"/>
        <v>99.999999999999986</v>
      </c>
      <c r="O70" s="383">
        <v>38</v>
      </c>
      <c r="P70" s="384">
        <v>21</v>
      </c>
      <c r="Q70" s="384">
        <v>20.5</v>
      </c>
      <c r="R70" s="385">
        <f t="shared" ref="R70:R113" si="8">O70+P70+Q70</f>
        <v>79.5</v>
      </c>
      <c r="S70" s="334">
        <v>3</v>
      </c>
      <c r="T70" s="357"/>
      <c r="V70" s="343" t="s">
        <v>132</v>
      </c>
      <c r="W70" s="334" t="s">
        <v>22</v>
      </c>
      <c r="X70" s="334" t="s">
        <v>11</v>
      </c>
      <c r="Y70" s="344">
        <v>25.5</v>
      </c>
      <c r="Z70" s="334" t="s">
        <v>81</v>
      </c>
      <c r="AA70" s="334" t="s">
        <v>17</v>
      </c>
      <c r="AB70" s="334" t="s">
        <v>18</v>
      </c>
      <c r="AC70" s="334">
        <v>21</v>
      </c>
      <c r="AD70" s="343" t="s">
        <v>467</v>
      </c>
      <c r="AE70" s="334" t="s">
        <v>20</v>
      </c>
      <c r="AF70" s="334" t="s">
        <v>12</v>
      </c>
      <c r="AG70" s="344">
        <v>20.5</v>
      </c>
      <c r="AH70" s="334" t="s">
        <v>341</v>
      </c>
      <c r="AI70" s="334" t="s">
        <v>75</v>
      </c>
      <c r="AJ70" s="334" t="s">
        <v>11</v>
      </c>
      <c r="AK70" s="334">
        <v>12.5</v>
      </c>
      <c r="AL70" s="343"/>
      <c r="AO70" s="344"/>
      <c r="AP70" s="343"/>
      <c r="AS70" s="344"/>
      <c r="AW70" s="344"/>
      <c r="BA70" s="345"/>
    </row>
    <row r="71" spans="1:53" s="208" customFormat="1" x14ac:dyDescent="0.15">
      <c r="A71" s="208">
        <v>1991</v>
      </c>
      <c r="B71" s="207">
        <v>33576</v>
      </c>
      <c r="C71" s="811" t="s">
        <v>475</v>
      </c>
      <c r="D71" s="811"/>
      <c r="E71" s="208">
        <f>365-E70</f>
        <v>28</v>
      </c>
      <c r="F71" s="208">
        <v>1</v>
      </c>
      <c r="G71" s="123">
        <v>3</v>
      </c>
      <c r="H71" s="208">
        <v>2</v>
      </c>
      <c r="I71" s="208">
        <v>2</v>
      </c>
      <c r="J71" s="134">
        <v>7</v>
      </c>
      <c r="K71" s="92">
        <f>G71/J71*100</f>
        <v>42.857142857142854</v>
      </c>
      <c r="L71" s="92">
        <f>H71/J71*100</f>
        <v>28.571428571428569</v>
      </c>
      <c r="M71" s="92">
        <f>I71/J71*100</f>
        <v>28.571428571428569</v>
      </c>
      <c r="N71" s="125">
        <f t="shared" si="3"/>
        <v>99.999999999999986</v>
      </c>
      <c r="O71" s="91">
        <v>34.5</v>
      </c>
      <c r="P71" s="92">
        <v>18</v>
      </c>
      <c r="Q71" s="92">
        <v>20.5</v>
      </c>
      <c r="R71" s="93">
        <f t="shared" si="8"/>
        <v>73</v>
      </c>
      <c r="S71" s="208">
        <v>3</v>
      </c>
      <c r="T71" s="95">
        <v>33531</v>
      </c>
      <c r="U71" s="207">
        <v>33576</v>
      </c>
      <c r="V71" s="82" t="s">
        <v>132</v>
      </c>
      <c r="W71" s="208" t="s">
        <v>22</v>
      </c>
      <c r="X71" s="208" t="s">
        <v>11</v>
      </c>
      <c r="Y71" s="83">
        <v>22</v>
      </c>
      <c r="Z71" s="208" t="s">
        <v>81</v>
      </c>
      <c r="AA71" s="208" t="s">
        <v>17</v>
      </c>
      <c r="AB71" s="208" t="s">
        <v>18</v>
      </c>
      <c r="AC71" s="208">
        <v>18</v>
      </c>
      <c r="AD71" s="82" t="s">
        <v>467</v>
      </c>
      <c r="AE71" s="208" t="s">
        <v>20</v>
      </c>
      <c r="AF71" s="208" t="s">
        <v>12</v>
      </c>
      <c r="AG71" s="83">
        <v>20.5</v>
      </c>
      <c r="AH71" s="208" t="s">
        <v>341</v>
      </c>
      <c r="AI71" s="208" t="s">
        <v>75</v>
      </c>
      <c r="AJ71" s="208" t="s">
        <v>11</v>
      </c>
      <c r="AK71" s="208">
        <v>12.5</v>
      </c>
      <c r="AL71" s="82"/>
      <c r="AO71" s="83"/>
      <c r="AP71" s="82"/>
      <c r="AS71" s="83"/>
      <c r="AW71" s="83"/>
      <c r="BA71" s="84"/>
    </row>
    <row r="72" spans="1:53" s="208" customFormat="1" x14ac:dyDescent="0.15">
      <c r="A72" s="208">
        <v>1992</v>
      </c>
      <c r="C72" s="811" t="s">
        <v>475</v>
      </c>
      <c r="D72" s="811"/>
      <c r="E72" s="208">
        <v>0</v>
      </c>
      <c r="G72" s="123">
        <v>3</v>
      </c>
      <c r="H72" s="208">
        <v>2</v>
      </c>
      <c r="I72" s="208">
        <v>2</v>
      </c>
      <c r="J72" s="134">
        <v>7</v>
      </c>
      <c r="K72" s="92">
        <f>G72/J72*100</f>
        <v>42.857142857142854</v>
      </c>
      <c r="L72" s="92">
        <f>H72/J72*100</f>
        <v>28.571428571428569</v>
      </c>
      <c r="M72" s="92">
        <f>I72/J72*100</f>
        <v>28.571428571428569</v>
      </c>
      <c r="N72" s="125">
        <f t="shared" si="3"/>
        <v>99.999999999999986</v>
      </c>
      <c r="O72" s="91">
        <v>34.5</v>
      </c>
      <c r="P72" s="92">
        <v>18</v>
      </c>
      <c r="Q72" s="92">
        <v>20.5</v>
      </c>
      <c r="R72" s="93">
        <f t="shared" si="8"/>
        <v>73</v>
      </c>
      <c r="S72" s="208">
        <v>3</v>
      </c>
      <c r="T72" s="81"/>
      <c r="V72" s="82" t="s">
        <v>132</v>
      </c>
      <c r="W72" s="208" t="s">
        <v>22</v>
      </c>
      <c r="X72" s="208" t="s">
        <v>11</v>
      </c>
      <c r="Y72" s="83">
        <v>22</v>
      </c>
      <c r="Z72" s="208" t="s">
        <v>81</v>
      </c>
      <c r="AA72" s="208" t="s">
        <v>17</v>
      </c>
      <c r="AB72" s="208" t="s">
        <v>18</v>
      </c>
      <c r="AC72" s="208">
        <v>18</v>
      </c>
      <c r="AD72" s="82" t="s">
        <v>467</v>
      </c>
      <c r="AE72" s="208" t="s">
        <v>20</v>
      </c>
      <c r="AF72" s="208" t="s">
        <v>12</v>
      </c>
      <c r="AG72" s="83">
        <v>20.5</v>
      </c>
      <c r="AH72" s="208" t="s">
        <v>341</v>
      </c>
      <c r="AI72" s="208" t="s">
        <v>75</v>
      </c>
      <c r="AJ72" s="208" t="s">
        <v>11</v>
      </c>
      <c r="AK72" s="208">
        <v>12.5</v>
      </c>
      <c r="AL72" s="82"/>
      <c r="AO72" s="83"/>
      <c r="AP72" s="82"/>
      <c r="AS72" s="83"/>
      <c r="AW72" s="83"/>
      <c r="BA72" s="84"/>
    </row>
    <row r="73" spans="1:53" s="208" customFormat="1" x14ac:dyDescent="0.15">
      <c r="A73" s="208">
        <v>1992</v>
      </c>
      <c r="C73" s="811" t="s">
        <v>447</v>
      </c>
      <c r="D73" s="811"/>
      <c r="E73" s="208">
        <v>366</v>
      </c>
      <c r="F73" s="208">
        <v>1</v>
      </c>
      <c r="G73" s="123">
        <v>3</v>
      </c>
      <c r="H73" s="208">
        <v>2</v>
      </c>
      <c r="I73" s="208">
        <v>2</v>
      </c>
      <c r="J73" s="134">
        <v>7</v>
      </c>
      <c r="K73" s="92">
        <f>G73/J73*100</f>
        <v>42.857142857142854</v>
      </c>
      <c r="L73" s="92">
        <f>H73/J73*100</f>
        <v>28.571428571428569</v>
      </c>
      <c r="M73" s="92">
        <f>I73/J73*100</f>
        <v>28.571428571428569</v>
      </c>
      <c r="N73" s="125">
        <f t="shared" si="3"/>
        <v>99.999999999999986</v>
      </c>
      <c r="O73" s="91">
        <v>34.5</v>
      </c>
      <c r="P73" s="92">
        <v>18</v>
      </c>
      <c r="Q73" s="92">
        <v>20.5</v>
      </c>
      <c r="R73" s="93">
        <f t="shared" si="8"/>
        <v>73</v>
      </c>
      <c r="S73" s="208">
        <v>3</v>
      </c>
      <c r="T73" s="81"/>
      <c r="V73" s="82" t="s">
        <v>132</v>
      </c>
      <c r="W73" s="208" t="s">
        <v>22</v>
      </c>
      <c r="X73" s="208" t="s">
        <v>11</v>
      </c>
      <c r="Y73" s="83">
        <v>22</v>
      </c>
      <c r="Z73" s="208" t="s">
        <v>81</v>
      </c>
      <c r="AA73" s="208" t="s">
        <v>17</v>
      </c>
      <c r="AB73" s="208" t="s">
        <v>18</v>
      </c>
      <c r="AC73" s="208">
        <v>18</v>
      </c>
      <c r="AD73" s="82" t="s">
        <v>467</v>
      </c>
      <c r="AE73" s="208" t="s">
        <v>20</v>
      </c>
      <c r="AF73" s="208" t="s">
        <v>12</v>
      </c>
      <c r="AG73" s="83">
        <v>20.5</v>
      </c>
      <c r="AH73" s="208" t="s">
        <v>341</v>
      </c>
      <c r="AI73" s="208" t="s">
        <v>75</v>
      </c>
      <c r="AJ73" s="208" t="s">
        <v>11</v>
      </c>
      <c r="AK73" s="208">
        <v>12.5</v>
      </c>
      <c r="AL73" s="82"/>
      <c r="AO73" s="83"/>
      <c r="AP73" s="82"/>
      <c r="AS73" s="83"/>
      <c r="AW73" s="83"/>
      <c r="BA73" s="84"/>
    </row>
    <row r="74" spans="1:53" s="208" customFormat="1" x14ac:dyDescent="0.15">
      <c r="A74" s="208">
        <v>1993</v>
      </c>
      <c r="C74" s="811" t="s">
        <v>447</v>
      </c>
      <c r="D74" s="811"/>
      <c r="E74" s="208">
        <v>0</v>
      </c>
      <c r="G74" s="123">
        <v>3</v>
      </c>
      <c r="H74" s="208">
        <v>2</v>
      </c>
      <c r="I74" s="208">
        <v>2</v>
      </c>
      <c r="J74" s="134">
        <v>7</v>
      </c>
      <c r="K74" s="92">
        <f t="shared" ref="K74:K109" si="9">G74/J74*100</f>
        <v>42.857142857142854</v>
      </c>
      <c r="L74" s="92">
        <f t="shared" ref="L74:L109" si="10">H74/J74*100</f>
        <v>28.571428571428569</v>
      </c>
      <c r="M74" s="92">
        <f t="shared" ref="M74:M109" si="11">I74/J74*100</f>
        <v>28.571428571428569</v>
      </c>
      <c r="N74" s="125">
        <f t="shared" ref="N74:N113" si="12">K74+L74+M74</f>
        <v>99.999999999999986</v>
      </c>
      <c r="O74" s="91">
        <v>34.5</v>
      </c>
      <c r="P74" s="92">
        <v>18</v>
      </c>
      <c r="Q74" s="92">
        <v>20.5</v>
      </c>
      <c r="R74" s="93">
        <f t="shared" si="8"/>
        <v>73</v>
      </c>
      <c r="S74" s="208">
        <v>3</v>
      </c>
      <c r="T74" s="81"/>
      <c r="V74" s="82" t="s">
        <v>132</v>
      </c>
      <c r="W74" s="208" t="s">
        <v>22</v>
      </c>
      <c r="X74" s="208" t="s">
        <v>11</v>
      </c>
      <c r="Y74" s="83">
        <v>22</v>
      </c>
      <c r="Z74" s="208" t="s">
        <v>81</v>
      </c>
      <c r="AA74" s="208" t="s">
        <v>17</v>
      </c>
      <c r="AB74" s="208" t="s">
        <v>18</v>
      </c>
      <c r="AC74" s="208">
        <v>18</v>
      </c>
      <c r="AD74" s="82" t="s">
        <v>467</v>
      </c>
      <c r="AE74" s="208" t="s">
        <v>20</v>
      </c>
      <c r="AF74" s="208" t="s">
        <v>12</v>
      </c>
      <c r="AG74" s="83">
        <v>20.5</v>
      </c>
      <c r="AH74" s="208" t="s">
        <v>341</v>
      </c>
      <c r="AI74" s="208" t="s">
        <v>75</v>
      </c>
      <c r="AJ74" s="208" t="s">
        <v>11</v>
      </c>
      <c r="AK74" s="208">
        <v>12.5</v>
      </c>
      <c r="AL74" s="82"/>
      <c r="AO74" s="83"/>
      <c r="AP74" s="82"/>
      <c r="AS74" s="83"/>
      <c r="AW74" s="83"/>
      <c r="BA74" s="84"/>
    </row>
    <row r="75" spans="1:53" s="208" customFormat="1" x14ac:dyDescent="0.15">
      <c r="A75" s="208">
        <v>1993</v>
      </c>
      <c r="C75" s="811" t="s">
        <v>476</v>
      </c>
      <c r="D75" s="811"/>
      <c r="E75" s="208">
        <f>365-E74</f>
        <v>365</v>
      </c>
      <c r="F75" s="208">
        <v>1</v>
      </c>
      <c r="G75" s="123">
        <v>3</v>
      </c>
      <c r="H75" s="208">
        <v>2</v>
      </c>
      <c r="I75" s="208">
        <v>2</v>
      </c>
      <c r="J75" s="134">
        <v>7</v>
      </c>
      <c r="K75" s="92">
        <f t="shared" si="9"/>
        <v>42.857142857142854</v>
      </c>
      <c r="L75" s="92">
        <f t="shared" si="10"/>
        <v>28.571428571428569</v>
      </c>
      <c r="M75" s="92">
        <f t="shared" si="11"/>
        <v>28.571428571428569</v>
      </c>
      <c r="N75" s="125">
        <f t="shared" si="12"/>
        <v>99.999999999999986</v>
      </c>
      <c r="O75" s="91">
        <v>34.5</v>
      </c>
      <c r="P75" s="92">
        <v>18</v>
      </c>
      <c r="Q75" s="92">
        <v>20.5</v>
      </c>
      <c r="R75" s="93">
        <f t="shared" si="8"/>
        <v>73</v>
      </c>
      <c r="S75" s="208">
        <v>3</v>
      </c>
      <c r="T75" s="81"/>
      <c r="V75" s="82" t="s">
        <v>132</v>
      </c>
      <c r="W75" s="208" t="s">
        <v>22</v>
      </c>
      <c r="X75" s="208" t="s">
        <v>11</v>
      </c>
      <c r="Y75" s="83">
        <v>22</v>
      </c>
      <c r="Z75" s="208" t="s">
        <v>81</v>
      </c>
      <c r="AA75" s="208" t="s">
        <v>17</v>
      </c>
      <c r="AB75" s="208" t="s">
        <v>18</v>
      </c>
      <c r="AC75" s="208">
        <v>18</v>
      </c>
      <c r="AD75" s="82" t="s">
        <v>467</v>
      </c>
      <c r="AE75" s="208" t="s">
        <v>20</v>
      </c>
      <c r="AF75" s="208" t="s">
        <v>12</v>
      </c>
      <c r="AG75" s="83">
        <v>20.5</v>
      </c>
      <c r="AH75" s="208" t="s">
        <v>341</v>
      </c>
      <c r="AI75" s="208" t="s">
        <v>75</v>
      </c>
      <c r="AJ75" s="208" t="s">
        <v>11</v>
      </c>
      <c r="AK75" s="208">
        <v>12.5</v>
      </c>
      <c r="AL75" s="82"/>
      <c r="AO75" s="83"/>
      <c r="AP75" s="82"/>
      <c r="AS75" s="83"/>
      <c r="AW75" s="83"/>
      <c r="BA75" s="84"/>
    </row>
    <row r="76" spans="1:53" s="208" customFormat="1" x14ac:dyDescent="0.15">
      <c r="A76" s="208">
        <v>1994</v>
      </c>
      <c r="C76" s="811" t="s">
        <v>476</v>
      </c>
      <c r="D76" s="811"/>
      <c r="E76" s="208">
        <v>0</v>
      </c>
      <c r="G76" s="123">
        <v>3</v>
      </c>
      <c r="H76" s="208">
        <v>2</v>
      </c>
      <c r="I76" s="208">
        <v>2</v>
      </c>
      <c r="J76" s="134">
        <v>7</v>
      </c>
      <c r="K76" s="92">
        <f t="shared" si="9"/>
        <v>42.857142857142854</v>
      </c>
      <c r="L76" s="92">
        <f t="shared" si="10"/>
        <v>28.571428571428569</v>
      </c>
      <c r="M76" s="92">
        <f t="shared" si="11"/>
        <v>28.571428571428569</v>
      </c>
      <c r="N76" s="125">
        <f t="shared" si="12"/>
        <v>99.999999999999986</v>
      </c>
      <c r="O76" s="91">
        <v>34.5</v>
      </c>
      <c r="P76" s="92">
        <v>18</v>
      </c>
      <c r="Q76" s="92">
        <v>20.5</v>
      </c>
      <c r="R76" s="93">
        <f t="shared" si="8"/>
        <v>73</v>
      </c>
      <c r="S76" s="208">
        <v>3</v>
      </c>
      <c r="T76" s="81"/>
      <c r="V76" s="82" t="s">
        <v>132</v>
      </c>
      <c r="W76" s="208" t="s">
        <v>22</v>
      </c>
      <c r="X76" s="208" t="s">
        <v>11</v>
      </c>
      <c r="Y76" s="83">
        <v>22</v>
      </c>
      <c r="Z76" s="208" t="s">
        <v>81</v>
      </c>
      <c r="AA76" s="208" t="s">
        <v>17</v>
      </c>
      <c r="AB76" s="208" t="s">
        <v>18</v>
      </c>
      <c r="AC76" s="208">
        <v>18</v>
      </c>
      <c r="AD76" s="82" t="s">
        <v>467</v>
      </c>
      <c r="AE76" s="208" t="s">
        <v>20</v>
      </c>
      <c r="AF76" s="208" t="s">
        <v>12</v>
      </c>
      <c r="AG76" s="83">
        <v>20.5</v>
      </c>
      <c r="AH76" s="208" t="s">
        <v>341</v>
      </c>
      <c r="AI76" s="208" t="s">
        <v>75</v>
      </c>
      <c r="AJ76" s="208" t="s">
        <v>11</v>
      </c>
      <c r="AK76" s="208">
        <v>12.5</v>
      </c>
      <c r="AL76" s="82"/>
      <c r="AO76" s="83"/>
      <c r="AP76" s="82"/>
      <c r="AS76" s="83"/>
      <c r="AW76" s="83"/>
      <c r="BA76" s="84"/>
    </row>
    <row r="77" spans="1:53" s="208" customFormat="1" x14ac:dyDescent="0.15">
      <c r="A77" s="208">
        <v>1994</v>
      </c>
      <c r="C77" s="811" t="s">
        <v>452</v>
      </c>
      <c r="D77" s="811"/>
      <c r="E77" s="208">
        <f>365-E76</f>
        <v>365</v>
      </c>
      <c r="F77" s="208">
        <v>1</v>
      </c>
      <c r="G77" s="123">
        <v>3</v>
      </c>
      <c r="H77" s="208">
        <v>2</v>
      </c>
      <c r="I77" s="208">
        <v>2</v>
      </c>
      <c r="J77" s="134">
        <v>7</v>
      </c>
      <c r="K77" s="92">
        <f t="shared" si="9"/>
        <v>42.857142857142854</v>
      </c>
      <c r="L77" s="92">
        <f t="shared" si="10"/>
        <v>28.571428571428569</v>
      </c>
      <c r="M77" s="92">
        <f t="shared" si="11"/>
        <v>28.571428571428569</v>
      </c>
      <c r="N77" s="125">
        <f t="shared" si="12"/>
        <v>99.999999999999986</v>
      </c>
      <c r="O77" s="91">
        <v>34.5</v>
      </c>
      <c r="P77" s="92">
        <v>18</v>
      </c>
      <c r="Q77" s="92">
        <v>20.5</v>
      </c>
      <c r="R77" s="93">
        <f t="shared" si="8"/>
        <v>73</v>
      </c>
      <c r="S77" s="208">
        <v>3</v>
      </c>
      <c r="T77" s="81"/>
      <c r="V77" s="82" t="s">
        <v>132</v>
      </c>
      <c r="W77" s="208" t="s">
        <v>22</v>
      </c>
      <c r="X77" s="208" t="s">
        <v>11</v>
      </c>
      <c r="Y77" s="83">
        <v>22</v>
      </c>
      <c r="Z77" s="208" t="s">
        <v>81</v>
      </c>
      <c r="AA77" s="208" t="s">
        <v>17</v>
      </c>
      <c r="AB77" s="208" t="s">
        <v>18</v>
      </c>
      <c r="AC77" s="208">
        <v>18</v>
      </c>
      <c r="AD77" s="82" t="s">
        <v>467</v>
      </c>
      <c r="AE77" s="208" t="s">
        <v>20</v>
      </c>
      <c r="AF77" s="208" t="s">
        <v>12</v>
      </c>
      <c r="AG77" s="83">
        <v>20.5</v>
      </c>
      <c r="AH77" s="208" t="s">
        <v>341</v>
      </c>
      <c r="AI77" s="208" t="s">
        <v>75</v>
      </c>
      <c r="AJ77" s="208" t="s">
        <v>11</v>
      </c>
      <c r="AK77" s="208">
        <v>12.5</v>
      </c>
      <c r="AL77" s="82"/>
      <c r="AO77" s="83"/>
      <c r="AP77" s="82"/>
      <c r="AS77" s="83"/>
      <c r="AW77" s="83"/>
      <c r="BA77" s="84"/>
    </row>
    <row r="78" spans="1:53" s="208" customFormat="1" x14ac:dyDescent="0.15">
      <c r="A78" s="208">
        <v>1995</v>
      </c>
      <c r="C78" s="811" t="s">
        <v>452</v>
      </c>
      <c r="D78" s="811"/>
      <c r="E78" s="208">
        <v>346</v>
      </c>
      <c r="G78" s="123">
        <v>3</v>
      </c>
      <c r="H78" s="208">
        <v>2</v>
      </c>
      <c r="I78" s="208">
        <v>2</v>
      </c>
      <c r="J78" s="134">
        <v>7</v>
      </c>
      <c r="K78" s="92">
        <f t="shared" si="9"/>
        <v>42.857142857142854</v>
      </c>
      <c r="L78" s="92">
        <f t="shared" si="10"/>
        <v>28.571428571428569</v>
      </c>
      <c r="M78" s="92">
        <f t="shared" si="11"/>
        <v>28.571428571428569</v>
      </c>
      <c r="N78" s="125">
        <f t="shared" si="12"/>
        <v>99.999999999999986</v>
      </c>
      <c r="O78" s="91">
        <v>34.5</v>
      </c>
      <c r="P78" s="92">
        <v>18</v>
      </c>
      <c r="Q78" s="92">
        <v>20.5</v>
      </c>
      <c r="R78" s="93">
        <f t="shared" si="8"/>
        <v>73</v>
      </c>
      <c r="S78" s="208">
        <v>3</v>
      </c>
      <c r="T78" s="81"/>
      <c r="V78" s="82" t="s">
        <v>132</v>
      </c>
      <c r="W78" s="208" t="s">
        <v>22</v>
      </c>
      <c r="X78" s="208" t="s">
        <v>11</v>
      </c>
      <c r="Y78" s="83">
        <v>22</v>
      </c>
      <c r="Z78" s="208" t="s">
        <v>81</v>
      </c>
      <c r="AA78" s="208" t="s">
        <v>17</v>
      </c>
      <c r="AB78" s="208" t="s">
        <v>18</v>
      </c>
      <c r="AC78" s="208">
        <v>18</v>
      </c>
      <c r="AD78" s="82" t="s">
        <v>467</v>
      </c>
      <c r="AE78" s="208" t="s">
        <v>20</v>
      </c>
      <c r="AF78" s="208" t="s">
        <v>12</v>
      </c>
      <c r="AG78" s="83">
        <v>20.5</v>
      </c>
      <c r="AH78" s="208" t="s">
        <v>341</v>
      </c>
      <c r="AI78" s="208" t="s">
        <v>75</v>
      </c>
      <c r="AJ78" s="208" t="s">
        <v>11</v>
      </c>
      <c r="AK78" s="208">
        <v>12.5</v>
      </c>
      <c r="AL78" s="82"/>
      <c r="AO78" s="83"/>
      <c r="AP78" s="82"/>
      <c r="AS78" s="83"/>
      <c r="AW78" s="83"/>
      <c r="BA78" s="84"/>
    </row>
    <row r="79" spans="1:53" s="334" customFormat="1" x14ac:dyDescent="0.15">
      <c r="A79" s="334">
        <v>1995</v>
      </c>
      <c r="B79" s="355">
        <v>35046</v>
      </c>
      <c r="C79" s="812" t="s">
        <v>444</v>
      </c>
      <c r="D79" s="812"/>
      <c r="E79" s="334">
        <f>365-E78</f>
        <v>19</v>
      </c>
      <c r="F79" s="334">
        <v>1</v>
      </c>
      <c r="G79" s="419">
        <v>3</v>
      </c>
      <c r="H79" s="334">
        <v>2</v>
      </c>
      <c r="I79" s="334">
        <v>2</v>
      </c>
      <c r="J79" s="435">
        <v>7</v>
      </c>
      <c r="K79" s="384">
        <f t="shared" si="9"/>
        <v>42.857142857142854</v>
      </c>
      <c r="L79" s="384">
        <f t="shared" si="10"/>
        <v>28.571428571428569</v>
      </c>
      <c r="M79" s="384">
        <f t="shared" si="11"/>
        <v>28.571428571428569</v>
      </c>
      <c r="N79" s="421">
        <f t="shared" si="12"/>
        <v>99.999999999999986</v>
      </c>
      <c r="O79" s="383">
        <v>37</v>
      </c>
      <c r="P79" s="384">
        <v>17</v>
      </c>
      <c r="Q79" s="384">
        <v>27</v>
      </c>
      <c r="R79" s="385">
        <f t="shared" si="8"/>
        <v>81</v>
      </c>
      <c r="S79" s="334">
        <v>3</v>
      </c>
      <c r="T79" s="342">
        <v>34994</v>
      </c>
      <c r="U79" s="355">
        <v>35046</v>
      </c>
      <c r="V79" s="343" t="s">
        <v>132</v>
      </c>
      <c r="W79" s="334" t="s">
        <v>22</v>
      </c>
      <c r="X79" s="334" t="s">
        <v>11</v>
      </c>
      <c r="Y79" s="344">
        <v>22.5</v>
      </c>
      <c r="Z79" s="334" t="s">
        <v>81</v>
      </c>
      <c r="AA79" s="334" t="s">
        <v>17</v>
      </c>
      <c r="AB79" s="334" t="s">
        <v>18</v>
      </c>
      <c r="AC79" s="334">
        <v>17</v>
      </c>
      <c r="AD79" s="343" t="s">
        <v>467</v>
      </c>
      <c r="AE79" s="334" t="s">
        <v>20</v>
      </c>
      <c r="AF79" s="334" t="s">
        <v>12</v>
      </c>
      <c r="AG79" s="344">
        <v>27</v>
      </c>
      <c r="AH79" s="334" t="s">
        <v>341</v>
      </c>
      <c r="AI79" s="334" t="s">
        <v>869</v>
      </c>
      <c r="AJ79" s="334" t="s">
        <v>11</v>
      </c>
      <c r="AK79" s="334">
        <v>14.5</v>
      </c>
      <c r="AL79" s="343"/>
      <c r="AO79" s="344"/>
      <c r="AP79" s="343"/>
      <c r="AS79" s="344"/>
      <c r="AW79" s="344"/>
      <c r="BA79" s="345"/>
    </row>
    <row r="80" spans="1:53" s="334" customFormat="1" x14ac:dyDescent="0.15">
      <c r="A80" s="334">
        <v>1996</v>
      </c>
      <c r="C80" s="812" t="s">
        <v>444</v>
      </c>
      <c r="D80" s="812"/>
      <c r="E80" s="334">
        <v>0</v>
      </c>
      <c r="G80" s="419">
        <v>3</v>
      </c>
      <c r="H80" s="334">
        <v>2</v>
      </c>
      <c r="I80" s="334">
        <v>2</v>
      </c>
      <c r="J80" s="435">
        <v>7</v>
      </c>
      <c r="K80" s="384">
        <f t="shared" si="9"/>
        <v>42.857142857142854</v>
      </c>
      <c r="L80" s="384">
        <f t="shared" si="10"/>
        <v>28.571428571428569</v>
      </c>
      <c r="M80" s="384">
        <f t="shared" si="11"/>
        <v>28.571428571428569</v>
      </c>
      <c r="N80" s="421">
        <f t="shared" si="12"/>
        <v>99.999999999999986</v>
      </c>
      <c r="O80" s="383">
        <v>37</v>
      </c>
      <c r="P80" s="384">
        <v>17</v>
      </c>
      <c r="Q80" s="384">
        <v>27</v>
      </c>
      <c r="R80" s="385">
        <f t="shared" si="8"/>
        <v>81</v>
      </c>
      <c r="S80" s="334">
        <v>3</v>
      </c>
      <c r="T80" s="357"/>
      <c r="V80" s="343" t="s">
        <v>132</v>
      </c>
      <c r="W80" s="334" t="s">
        <v>22</v>
      </c>
      <c r="X80" s="334" t="s">
        <v>11</v>
      </c>
      <c r="Y80" s="344">
        <v>22.5</v>
      </c>
      <c r="Z80" s="334" t="s">
        <v>81</v>
      </c>
      <c r="AA80" s="334" t="s">
        <v>17</v>
      </c>
      <c r="AB80" s="334" t="s">
        <v>18</v>
      </c>
      <c r="AC80" s="334">
        <v>17</v>
      </c>
      <c r="AD80" s="343" t="s">
        <v>467</v>
      </c>
      <c r="AE80" s="334" t="s">
        <v>20</v>
      </c>
      <c r="AF80" s="334" t="s">
        <v>12</v>
      </c>
      <c r="AG80" s="344">
        <v>27</v>
      </c>
      <c r="AH80" s="334" t="s">
        <v>341</v>
      </c>
      <c r="AI80" s="334" t="s">
        <v>869</v>
      </c>
      <c r="AJ80" s="334" t="s">
        <v>11</v>
      </c>
      <c r="AK80" s="334">
        <v>14.5</v>
      </c>
      <c r="AL80" s="343"/>
      <c r="AO80" s="344"/>
      <c r="AP80" s="343"/>
      <c r="AS80" s="344"/>
      <c r="AW80" s="344"/>
      <c r="BA80" s="345"/>
    </row>
    <row r="81" spans="1:53" s="334" customFormat="1" x14ac:dyDescent="0.15">
      <c r="A81" s="334">
        <v>1996</v>
      </c>
      <c r="C81" s="812" t="s">
        <v>449</v>
      </c>
      <c r="D81" s="812"/>
      <c r="E81" s="334">
        <v>366</v>
      </c>
      <c r="F81" s="334">
        <v>1</v>
      </c>
      <c r="G81" s="419">
        <v>3</v>
      </c>
      <c r="H81" s="334">
        <v>2</v>
      </c>
      <c r="I81" s="334">
        <v>2</v>
      </c>
      <c r="J81" s="435">
        <v>7</v>
      </c>
      <c r="K81" s="384">
        <f t="shared" si="9"/>
        <v>42.857142857142854</v>
      </c>
      <c r="L81" s="384">
        <f t="shared" si="10"/>
        <v>28.571428571428569</v>
      </c>
      <c r="M81" s="384">
        <f t="shared" si="11"/>
        <v>28.571428571428569</v>
      </c>
      <c r="N81" s="421">
        <f t="shared" si="12"/>
        <v>99.999999999999986</v>
      </c>
      <c r="O81" s="383">
        <v>37</v>
      </c>
      <c r="P81" s="384">
        <v>17</v>
      </c>
      <c r="Q81" s="384">
        <v>27</v>
      </c>
      <c r="R81" s="385">
        <f t="shared" si="8"/>
        <v>81</v>
      </c>
      <c r="S81" s="334">
        <v>3</v>
      </c>
      <c r="T81" s="357"/>
      <c r="V81" s="343" t="s">
        <v>132</v>
      </c>
      <c r="W81" s="334" t="s">
        <v>22</v>
      </c>
      <c r="X81" s="334" t="s">
        <v>11</v>
      </c>
      <c r="Y81" s="344">
        <v>22.5</v>
      </c>
      <c r="Z81" s="334" t="s">
        <v>81</v>
      </c>
      <c r="AA81" s="334" t="s">
        <v>17</v>
      </c>
      <c r="AB81" s="334" t="s">
        <v>18</v>
      </c>
      <c r="AC81" s="334">
        <v>17</v>
      </c>
      <c r="AD81" s="343" t="s">
        <v>467</v>
      </c>
      <c r="AE81" s="334" t="s">
        <v>20</v>
      </c>
      <c r="AF81" s="334" t="s">
        <v>12</v>
      </c>
      <c r="AG81" s="344">
        <v>27</v>
      </c>
      <c r="AH81" s="334" t="s">
        <v>341</v>
      </c>
      <c r="AI81" s="334" t="s">
        <v>869</v>
      </c>
      <c r="AJ81" s="334" t="s">
        <v>11</v>
      </c>
      <c r="AK81" s="334">
        <v>14.5</v>
      </c>
      <c r="AL81" s="343"/>
      <c r="AO81" s="344"/>
      <c r="AP81" s="343"/>
      <c r="AS81" s="344"/>
      <c r="AW81" s="344"/>
      <c r="BA81" s="345"/>
    </row>
    <row r="82" spans="1:53" s="334" customFormat="1" x14ac:dyDescent="0.15">
      <c r="A82" s="334">
        <v>1997</v>
      </c>
      <c r="C82" s="812" t="s">
        <v>449</v>
      </c>
      <c r="D82" s="812"/>
      <c r="E82" s="334">
        <v>0</v>
      </c>
      <c r="G82" s="419">
        <v>3</v>
      </c>
      <c r="H82" s="334">
        <v>2</v>
      </c>
      <c r="I82" s="334">
        <v>2</v>
      </c>
      <c r="J82" s="435">
        <v>7</v>
      </c>
      <c r="K82" s="384">
        <f t="shared" si="9"/>
        <v>42.857142857142854</v>
      </c>
      <c r="L82" s="384">
        <f t="shared" si="10"/>
        <v>28.571428571428569</v>
      </c>
      <c r="M82" s="384">
        <f t="shared" si="11"/>
        <v>28.571428571428569</v>
      </c>
      <c r="N82" s="421">
        <f t="shared" si="12"/>
        <v>99.999999999999986</v>
      </c>
      <c r="O82" s="383">
        <v>37</v>
      </c>
      <c r="P82" s="384">
        <v>17</v>
      </c>
      <c r="Q82" s="384">
        <v>27</v>
      </c>
      <c r="R82" s="385">
        <f t="shared" si="8"/>
        <v>81</v>
      </c>
      <c r="S82" s="334">
        <v>3</v>
      </c>
      <c r="T82" s="357"/>
      <c r="V82" s="343" t="s">
        <v>132</v>
      </c>
      <c r="W82" s="334" t="s">
        <v>22</v>
      </c>
      <c r="X82" s="334" t="s">
        <v>11</v>
      </c>
      <c r="Y82" s="344">
        <v>22.5</v>
      </c>
      <c r="Z82" s="334" t="s">
        <v>81</v>
      </c>
      <c r="AA82" s="334" t="s">
        <v>17</v>
      </c>
      <c r="AB82" s="334" t="s">
        <v>18</v>
      </c>
      <c r="AC82" s="334">
        <v>17</v>
      </c>
      <c r="AD82" s="343" t="s">
        <v>467</v>
      </c>
      <c r="AE82" s="334" t="s">
        <v>20</v>
      </c>
      <c r="AF82" s="334" t="s">
        <v>12</v>
      </c>
      <c r="AG82" s="344">
        <v>27</v>
      </c>
      <c r="AH82" s="334" t="s">
        <v>341</v>
      </c>
      <c r="AI82" s="334" t="s">
        <v>869</v>
      </c>
      <c r="AJ82" s="334" t="s">
        <v>11</v>
      </c>
      <c r="AK82" s="334">
        <v>14.5</v>
      </c>
      <c r="AL82" s="343"/>
      <c r="AO82" s="344"/>
      <c r="AP82" s="343"/>
      <c r="AS82" s="344"/>
      <c r="AW82" s="344"/>
      <c r="BA82" s="345"/>
    </row>
    <row r="83" spans="1:53" s="334" customFormat="1" x14ac:dyDescent="0.15">
      <c r="A83" s="334">
        <v>1997</v>
      </c>
      <c r="C83" s="812" t="s">
        <v>450</v>
      </c>
      <c r="D83" s="812"/>
      <c r="E83" s="334">
        <f>365-E82</f>
        <v>365</v>
      </c>
      <c r="F83" s="334">
        <v>1</v>
      </c>
      <c r="G83" s="419">
        <v>3</v>
      </c>
      <c r="H83" s="334">
        <v>2</v>
      </c>
      <c r="I83" s="334">
        <v>2</v>
      </c>
      <c r="J83" s="435">
        <v>7</v>
      </c>
      <c r="K83" s="384">
        <f t="shared" si="9"/>
        <v>42.857142857142854</v>
      </c>
      <c r="L83" s="384">
        <f t="shared" si="10"/>
        <v>28.571428571428569</v>
      </c>
      <c r="M83" s="384">
        <f t="shared" si="11"/>
        <v>28.571428571428569</v>
      </c>
      <c r="N83" s="421">
        <f t="shared" si="12"/>
        <v>99.999999999999986</v>
      </c>
      <c r="O83" s="383">
        <v>37</v>
      </c>
      <c r="P83" s="384">
        <v>17</v>
      </c>
      <c r="Q83" s="384">
        <v>27</v>
      </c>
      <c r="R83" s="385">
        <f t="shared" si="8"/>
        <v>81</v>
      </c>
      <c r="S83" s="334">
        <v>3</v>
      </c>
      <c r="T83" s="357"/>
      <c r="V83" s="343" t="s">
        <v>132</v>
      </c>
      <c r="W83" s="334" t="s">
        <v>22</v>
      </c>
      <c r="X83" s="334" t="s">
        <v>11</v>
      </c>
      <c r="Y83" s="344">
        <v>22.5</v>
      </c>
      <c r="Z83" s="334" t="s">
        <v>81</v>
      </c>
      <c r="AA83" s="334" t="s">
        <v>17</v>
      </c>
      <c r="AB83" s="334" t="s">
        <v>18</v>
      </c>
      <c r="AC83" s="334">
        <v>17</v>
      </c>
      <c r="AD83" s="343" t="s">
        <v>467</v>
      </c>
      <c r="AE83" s="334" t="s">
        <v>20</v>
      </c>
      <c r="AF83" s="334" t="s">
        <v>12</v>
      </c>
      <c r="AG83" s="344">
        <v>27</v>
      </c>
      <c r="AH83" s="334" t="s">
        <v>341</v>
      </c>
      <c r="AI83" s="334" t="s">
        <v>869</v>
      </c>
      <c r="AJ83" s="334" t="s">
        <v>11</v>
      </c>
      <c r="AK83" s="334">
        <v>14.5</v>
      </c>
      <c r="AL83" s="343"/>
      <c r="AO83" s="344"/>
      <c r="AP83" s="343"/>
      <c r="AS83" s="344"/>
      <c r="AW83" s="344"/>
      <c r="BA83" s="345"/>
    </row>
    <row r="84" spans="1:53" s="334" customFormat="1" x14ac:dyDescent="0.15">
      <c r="A84" s="334">
        <v>1998</v>
      </c>
      <c r="C84" s="812" t="s">
        <v>450</v>
      </c>
      <c r="D84" s="812"/>
      <c r="E84" s="334">
        <v>0</v>
      </c>
      <c r="G84" s="419">
        <v>3</v>
      </c>
      <c r="H84" s="334">
        <v>2</v>
      </c>
      <c r="I84" s="334">
        <v>2</v>
      </c>
      <c r="J84" s="435">
        <v>7</v>
      </c>
      <c r="K84" s="384">
        <f t="shared" si="9"/>
        <v>42.857142857142854</v>
      </c>
      <c r="L84" s="384">
        <f t="shared" si="10"/>
        <v>28.571428571428569</v>
      </c>
      <c r="M84" s="384">
        <f t="shared" si="11"/>
        <v>28.571428571428569</v>
      </c>
      <c r="N84" s="421">
        <f t="shared" si="12"/>
        <v>99.999999999999986</v>
      </c>
      <c r="O84" s="383">
        <v>37</v>
      </c>
      <c r="P84" s="384">
        <v>17</v>
      </c>
      <c r="Q84" s="384">
        <v>27</v>
      </c>
      <c r="R84" s="385">
        <f t="shared" si="8"/>
        <v>81</v>
      </c>
      <c r="S84" s="334">
        <v>3</v>
      </c>
      <c r="T84" s="357"/>
      <c r="V84" s="343" t="s">
        <v>132</v>
      </c>
      <c r="W84" s="334" t="s">
        <v>22</v>
      </c>
      <c r="X84" s="334" t="s">
        <v>11</v>
      </c>
      <c r="Y84" s="344">
        <v>22.5</v>
      </c>
      <c r="Z84" s="334" t="s">
        <v>81</v>
      </c>
      <c r="AA84" s="334" t="s">
        <v>17</v>
      </c>
      <c r="AB84" s="334" t="s">
        <v>18</v>
      </c>
      <c r="AC84" s="334">
        <v>17</v>
      </c>
      <c r="AD84" s="343" t="s">
        <v>467</v>
      </c>
      <c r="AE84" s="334" t="s">
        <v>20</v>
      </c>
      <c r="AF84" s="334" t="s">
        <v>12</v>
      </c>
      <c r="AG84" s="344">
        <v>27</v>
      </c>
      <c r="AH84" s="334" t="s">
        <v>341</v>
      </c>
      <c r="AI84" s="334" t="s">
        <v>869</v>
      </c>
      <c r="AJ84" s="334" t="s">
        <v>11</v>
      </c>
      <c r="AK84" s="334">
        <v>14.5</v>
      </c>
      <c r="AL84" s="343"/>
      <c r="AO84" s="344"/>
      <c r="AP84" s="343"/>
      <c r="AS84" s="344"/>
      <c r="AW84" s="344"/>
      <c r="BA84" s="345"/>
    </row>
    <row r="85" spans="1:53" s="334" customFormat="1" x14ac:dyDescent="0.15">
      <c r="A85" s="334">
        <v>1998</v>
      </c>
      <c r="C85" s="812" t="s">
        <v>477</v>
      </c>
      <c r="D85" s="812"/>
      <c r="E85" s="334">
        <f>365-E84</f>
        <v>365</v>
      </c>
      <c r="F85" s="334">
        <v>1</v>
      </c>
      <c r="G85" s="419">
        <v>3</v>
      </c>
      <c r="H85" s="334">
        <v>2</v>
      </c>
      <c r="I85" s="334">
        <v>2</v>
      </c>
      <c r="J85" s="435">
        <v>7</v>
      </c>
      <c r="K85" s="384">
        <f t="shared" si="9"/>
        <v>42.857142857142854</v>
      </c>
      <c r="L85" s="384">
        <f t="shared" si="10"/>
        <v>28.571428571428569</v>
      </c>
      <c r="M85" s="384">
        <f t="shared" si="11"/>
        <v>28.571428571428569</v>
      </c>
      <c r="N85" s="421">
        <f t="shared" si="12"/>
        <v>99.999999999999986</v>
      </c>
      <c r="O85" s="383">
        <v>37</v>
      </c>
      <c r="P85" s="384">
        <v>17</v>
      </c>
      <c r="Q85" s="384">
        <v>27</v>
      </c>
      <c r="R85" s="385">
        <f t="shared" si="8"/>
        <v>81</v>
      </c>
      <c r="S85" s="334">
        <v>3</v>
      </c>
      <c r="T85" s="357"/>
      <c r="V85" s="343" t="s">
        <v>132</v>
      </c>
      <c r="W85" s="334" t="s">
        <v>22</v>
      </c>
      <c r="X85" s="334" t="s">
        <v>11</v>
      </c>
      <c r="Y85" s="344">
        <v>22.5</v>
      </c>
      <c r="Z85" s="334" t="s">
        <v>81</v>
      </c>
      <c r="AA85" s="334" t="s">
        <v>17</v>
      </c>
      <c r="AB85" s="334" t="s">
        <v>18</v>
      </c>
      <c r="AC85" s="334">
        <v>17</v>
      </c>
      <c r="AD85" s="343" t="s">
        <v>467</v>
      </c>
      <c r="AE85" s="334" t="s">
        <v>20</v>
      </c>
      <c r="AF85" s="334" t="s">
        <v>12</v>
      </c>
      <c r="AG85" s="344">
        <v>27</v>
      </c>
      <c r="AH85" s="334" t="s">
        <v>341</v>
      </c>
      <c r="AI85" s="334" t="s">
        <v>869</v>
      </c>
      <c r="AJ85" s="334" t="s">
        <v>11</v>
      </c>
      <c r="AK85" s="334">
        <v>14.5</v>
      </c>
      <c r="AL85" s="343"/>
      <c r="AO85" s="344"/>
      <c r="AP85" s="343"/>
      <c r="AS85" s="344"/>
      <c r="AW85" s="344"/>
      <c r="BA85" s="345"/>
    </row>
    <row r="86" spans="1:53" s="334" customFormat="1" x14ac:dyDescent="0.15">
      <c r="A86" s="334">
        <v>1999</v>
      </c>
      <c r="C86" s="812" t="s">
        <v>477</v>
      </c>
      <c r="D86" s="812"/>
      <c r="E86" s="334">
        <v>348</v>
      </c>
      <c r="G86" s="419">
        <v>3</v>
      </c>
      <c r="H86" s="334">
        <v>2</v>
      </c>
      <c r="I86" s="334">
        <v>2</v>
      </c>
      <c r="J86" s="435">
        <v>7</v>
      </c>
      <c r="K86" s="384">
        <f t="shared" si="9"/>
        <v>42.857142857142854</v>
      </c>
      <c r="L86" s="384">
        <f t="shared" si="10"/>
        <v>28.571428571428569</v>
      </c>
      <c r="M86" s="384">
        <f t="shared" si="11"/>
        <v>28.571428571428569</v>
      </c>
      <c r="N86" s="421">
        <f t="shared" si="12"/>
        <v>99.999999999999986</v>
      </c>
      <c r="O86" s="383">
        <v>37</v>
      </c>
      <c r="P86" s="384">
        <v>17</v>
      </c>
      <c r="Q86" s="384">
        <v>27</v>
      </c>
      <c r="R86" s="385">
        <f t="shared" si="8"/>
        <v>81</v>
      </c>
      <c r="S86" s="334">
        <v>3</v>
      </c>
      <c r="T86" s="357"/>
      <c r="V86" s="343" t="s">
        <v>132</v>
      </c>
      <c r="W86" s="334" t="s">
        <v>22</v>
      </c>
      <c r="X86" s="334" t="s">
        <v>11</v>
      </c>
      <c r="Y86" s="344">
        <v>22.5</v>
      </c>
      <c r="Z86" s="334" t="s">
        <v>81</v>
      </c>
      <c r="AA86" s="334" t="s">
        <v>17</v>
      </c>
      <c r="AB86" s="334" t="s">
        <v>18</v>
      </c>
      <c r="AC86" s="334">
        <v>17</v>
      </c>
      <c r="AD86" s="343" t="s">
        <v>467</v>
      </c>
      <c r="AE86" s="334" t="s">
        <v>20</v>
      </c>
      <c r="AF86" s="334" t="s">
        <v>12</v>
      </c>
      <c r="AG86" s="344">
        <v>27</v>
      </c>
      <c r="AH86" s="334" t="s">
        <v>341</v>
      </c>
      <c r="AI86" s="334" t="s">
        <v>869</v>
      </c>
      <c r="AJ86" s="334" t="s">
        <v>11</v>
      </c>
      <c r="AK86" s="334">
        <v>14.5</v>
      </c>
      <c r="AL86" s="343"/>
      <c r="AO86" s="344"/>
      <c r="AP86" s="343"/>
      <c r="AS86" s="344"/>
      <c r="AW86" s="344"/>
      <c r="BA86" s="345"/>
    </row>
    <row r="87" spans="1:53" s="208" customFormat="1" x14ac:dyDescent="0.15">
      <c r="A87" s="208">
        <v>1999</v>
      </c>
      <c r="B87" s="207">
        <v>36509</v>
      </c>
      <c r="C87" s="811" t="s">
        <v>451</v>
      </c>
      <c r="D87" s="811"/>
      <c r="E87" s="208">
        <f>365-E86</f>
        <v>17</v>
      </c>
      <c r="F87" s="208">
        <v>1</v>
      </c>
      <c r="G87" s="123">
        <v>3</v>
      </c>
      <c r="H87" s="208">
        <v>2</v>
      </c>
      <c r="I87" s="208">
        <v>2</v>
      </c>
      <c r="J87" s="134">
        <v>7</v>
      </c>
      <c r="K87" s="92">
        <f t="shared" si="9"/>
        <v>42.857142857142854</v>
      </c>
      <c r="L87" s="92">
        <f t="shared" si="10"/>
        <v>28.571428571428569</v>
      </c>
      <c r="M87" s="92">
        <f t="shared" si="11"/>
        <v>28.571428571428569</v>
      </c>
      <c r="N87" s="125">
        <f t="shared" si="12"/>
        <v>99.999999999999986</v>
      </c>
      <c r="O87" s="91">
        <v>43.5</v>
      </c>
      <c r="P87" s="92">
        <v>17.5</v>
      </c>
      <c r="Q87" s="92">
        <v>25.5</v>
      </c>
      <c r="R87" s="93">
        <f t="shared" si="8"/>
        <v>86.5</v>
      </c>
      <c r="S87" s="208">
        <v>3</v>
      </c>
      <c r="T87" s="95">
        <v>36457</v>
      </c>
      <c r="U87" s="207">
        <v>36509</v>
      </c>
      <c r="V87" s="82" t="s">
        <v>132</v>
      </c>
      <c r="W87" s="208" t="s">
        <v>22</v>
      </c>
      <c r="X87" s="208" t="s">
        <v>11</v>
      </c>
      <c r="Y87" s="83">
        <v>21.5</v>
      </c>
      <c r="Z87" s="208" t="s">
        <v>81</v>
      </c>
      <c r="AA87" s="208" t="s">
        <v>17</v>
      </c>
      <c r="AB87" s="208" t="s">
        <v>18</v>
      </c>
      <c r="AC87" s="208">
        <v>17.5</v>
      </c>
      <c r="AD87" s="82" t="s">
        <v>467</v>
      </c>
      <c r="AE87" s="208" t="s">
        <v>20</v>
      </c>
      <c r="AF87" s="208" t="s">
        <v>12</v>
      </c>
      <c r="AG87" s="83">
        <v>25.5</v>
      </c>
      <c r="AH87" s="208" t="s">
        <v>341</v>
      </c>
      <c r="AI87" s="208" t="s">
        <v>869</v>
      </c>
      <c r="AJ87" s="208" t="s">
        <v>11</v>
      </c>
      <c r="AK87" s="208">
        <v>22</v>
      </c>
      <c r="AL87" s="82"/>
      <c r="AO87" s="83"/>
      <c r="AP87" s="82"/>
      <c r="AS87" s="83"/>
      <c r="AW87" s="83"/>
      <c r="BA87" s="84"/>
    </row>
    <row r="88" spans="1:53" s="208" customFormat="1" x14ac:dyDescent="0.15">
      <c r="A88" s="208">
        <v>2000</v>
      </c>
      <c r="C88" s="811" t="s">
        <v>451</v>
      </c>
      <c r="D88" s="811"/>
      <c r="E88" s="208">
        <v>0</v>
      </c>
      <c r="G88" s="123">
        <v>3</v>
      </c>
      <c r="H88" s="208">
        <v>2</v>
      </c>
      <c r="I88" s="208">
        <v>2</v>
      </c>
      <c r="J88" s="134">
        <v>7</v>
      </c>
      <c r="K88" s="92">
        <f t="shared" si="9"/>
        <v>42.857142857142854</v>
      </c>
      <c r="L88" s="92">
        <f t="shared" si="10"/>
        <v>28.571428571428569</v>
      </c>
      <c r="M88" s="92">
        <f t="shared" si="11"/>
        <v>28.571428571428569</v>
      </c>
      <c r="N88" s="125">
        <f t="shared" si="12"/>
        <v>99.999999999999986</v>
      </c>
      <c r="O88" s="91">
        <v>43.5</v>
      </c>
      <c r="P88" s="92">
        <v>17.5</v>
      </c>
      <c r="Q88" s="92">
        <v>25.5</v>
      </c>
      <c r="R88" s="93">
        <f t="shared" si="8"/>
        <v>86.5</v>
      </c>
      <c r="S88" s="208">
        <v>3</v>
      </c>
      <c r="T88" s="81"/>
      <c r="V88" s="82" t="s">
        <v>132</v>
      </c>
      <c r="W88" s="208" t="s">
        <v>22</v>
      </c>
      <c r="X88" s="208" t="s">
        <v>11</v>
      </c>
      <c r="Y88" s="83">
        <v>21.5</v>
      </c>
      <c r="Z88" s="208" t="s">
        <v>81</v>
      </c>
      <c r="AA88" s="208" t="s">
        <v>17</v>
      </c>
      <c r="AB88" s="208" t="s">
        <v>18</v>
      </c>
      <c r="AC88" s="208">
        <v>17.5</v>
      </c>
      <c r="AD88" s="82" t="s">
        <v>467</v>
      </c>
      <c r="AE88" s="208" t="s">
        <v>20</v>
      </c>
      <c r="AF88" s="208" t="s">
        <v>12</v>
      </c>
      <c r="AG88" s="83">
        <v>25.5</v>
      </c>
      <c r="AH88" s="208" t="s">
        <v>341</v>
      </c>
      <c r="AI88" s="208" t="s">
        <v>869</v>
      </c>
      <c r="AJ88" s="208" t="s">
        <v>11</v>
      </c>
      <c r="AK88" s="208">
        <v>22</v>
      </c>
      <c r="AL88" s="82"/>
      <c r="AO88" s="83"/>
      <c r="AP88" s="82"/>
      <c r="AS88" s="83"/>
      <c r="AW88" s="83"/>
      <c r="BA88" s="84"/>
    </row>
    <row r="89" spans="1:53" s="208" customFormat="1" x14ac:dyDescent="0.15">
      <c r="A89" s="208">
        <v>2000</v>
      </c>
      <c r="C89" s="811" t="s">
        <v>478</v>
      </c>
      <c r="D89" s="811"/>
      <c r="E89" s="208">
        <v>366</v>
      </c>
      <c r="F89" s="208">
        <v>1</v>
      </c>
      <c r="G89" s="123">
        <v>3</v>
      </c>
      <c r="H89" s="208">
        <v>2</v>
      </c>
      <c r="I89" s="208">
        <v>2</v>
      </c>
      <c r="J89" s="134">
        <v>7</v>
      </c>
      <c r="K89" s="92">
        <f t="shared" si="9"/>
        <v>42.857142857142854</v>
      </c>
      <c r="L89" s="92">
        <f t="shared" si="10"/>
        <v>28.571428571428569</v>
      </c>
      <c r="M89" s="92">
        <f t="shared" si="11"/>
        <v>28.571428571428569</v>
      </c>
      <c r="N89" s="125">
        <f t="shared" si="12"/>
        <v>99.999999999999986</v>
      </c>
      <c r="O89" s="91">
        <v>43.5</v>
      </c>
      <c r="P89" s="92">
        <v>17.5</v>
      </c>
      <c r="Q89" s="92">
        <v>25.5</v>
      </c>
      <c r="R89" s="93">
        <f t="shared" si="8"/>
        <v>86.5</v>
      </c>
      <c r="S89" s="208">
        <v>3</v>
      </c>
      <c r="T89" s="81"/>
      <c r="V89" s="82" t="s">
        <v>132</v>
      </c>
      <c r="W89" s="208" t="s">
        <v>22</v>
      </c>
      <c r="X89" s="208" t="s">
        <v>11</v>
      </c>
      <c r="Y89" s="83">
        <v>21.5</v>
      </c>
      <c r="Z89" s="208" t="s">
        <v>81</v>
      </c>
      <c r="AA89" s="208" t="s">
        <v>17</v>
      </c>
      <c r="AB89" s="208" t="s">
        <v>18</v>
      </c>
      <c r="AC89" s="208">
        <v>17.5</v>
      </c>
      <c r="AD89" s="82" t="s">
        <v>467</v>
      </c>
      <c r="AE89" s="208" t="s">
        <v>20</v>
      </c>
      <c r="AF89" s="208" t="s">
        <v>12</v>
      </c>
      <c r="AG89" s="83">
        <v>25.5</v>
      </c>
      <c r="AH89" s="208" t="s">
        <v>341</v>
      </c>
      <c r="AI89" s="208" t="s">
        <v>869</v>
      </c>
      <c r="AJ89" s="208" t="s">
        <v>11</v>
      </c>
      <c r="AK89" s="208">
        <v>22</v>
      </c>
      <c r="AL89" s="82"/>
      <c r="AO89" s="83"/>
      <c r="AP89" s="82"/>
      <c r="AS89" s="83"/>
      <c r="AW89" s="83"/>
      <c r="BA89" s="84"/>
    </row>
    <row r="90" spans="1:53" s="208" customFormat="1" x14ac:dyDescent="0.15">
      <c r="A90" s="208">
        <v>2001</v>
      </c>
      <c r="C90" s="811" t="s">
        <v>478</v>
      </c>
      <c r="D90" s="811"/>
      <c r="E90" s="208">
        <v>0</v>
      </c>
      <c r="G90" s="123">
        <v>3</v>
      </c>
      <c r="H90" s="208">
        <v>2</v>
      </c>
      <c r="I90" s="208">
        <v>2</v>
      </c>
      <c r="J90" s="134">
        <v>7</v>
      </c>
      <c r="K90" s="92">
        <f t="shared" si="9"/>
        <v>42.857142857142854</v>
      </c>
      <c r="L90" s="92">
        <f t="shared" si="10"/>
        <v>28.571428571428569</v>
      </c>
      <c r="M90" s="92">
        <f t="shared" si="11"/>
        <v>28.571428571428569</v>
      </c>
      <c r="N90" s="125">
        <f t="shared" si="12"/>
        <v>99.999999999999986</v>
      </c>
      <c r="O90" s="91">
        <v>43.5</v>
      </c>
      <c r="P90" s="92">
        <v>17.5</v>
      </c>
      <c r="Q90" s="92">
        <v>25.5</v>
      </c>
      <c r="R90" s="93">
        <f t="shared" si="8"/>
        <v>86.5</v>
      </c>
      <c r="S90" s="208">
        <v>3</v>
      </c>
      <c r="T90" s="81"/>
      <c r="V90" s="82" t="s">
        <v>132</v>
      </c>
      <c r="W90" s="208" t="s">
        <v>22</v>
      </c>
      <c r="X90" s="208" t="s">
        <v>11</v>
      </c>
      <c r="Y90" s="83">
        <v>21.5</v>
      </c>
      <c r="Z90" s="208" t="s">
        <v>81</v>
      </c>
      <c r="AA90" s="208" t="s">
        <v>17</v>
      </c>
      <c r="AB90" s="208" t="s">
        <v>18</v>
      </c>
      <c r="AC90" s="208">
        <v>17.5</v>
      </c>
      <c r="AD90" s="82" t="s">
        <v>467</v>
      </c>
      <c r="AE90" s="208" t="s">
        <v>20</v>
      </c>
      <c r="AF90" s="208" t="s">
        <v>12</v>
      </c>
      <c r="AG90" s="83">
        <v>25.5</v>
      </c>
      <c r="AH90" s="208" t="s">
        <v>341</v>
      </c>
      <c r="AI90" s="208" t="s">
        <v>869</v>
      </c>
      <c r="AJ90" s="208" t="s">
        <v>11</v>
      </c>
      <c r="AK90" s="208">
        <v>22</v>
      </c>
      <c r="AL90" s="82"/>
      <c r="AO90" s="83"/>
      <c r="AP90" s="82"/>
      <c r="AS90" s="83"/>
      <c r="AW90" s="83"/>
      <c r="BA90" s="84"/>
    </row>
    <row r="91" spans="1:53" s="208" customFormat="1" x14ac:dyDescent="0.15">
      <c r="A91" s="208">
        <v>2001</v>
      </c>
      <c r="C91" s="811" t="s">
        <v>448</v>
      </c>
      <c r="D91" s="811"/>
      <c r="E91" s="208">
        <f>365-E90</f>
        <v>365</v>
      </c>
      <c r="F91" s="208">
        <v>1</v>
      </c>
      <c r="G91" s="123">
        <v>3</v>
      </c>
      <c r="H91" s="208">
        <v>2</v>
      </c>
      <c r="I91" s="208">
        <v>2</v>
      </c>
      <c r="J91" s="134">
        <v>7</v>
      </c>
      <c r="K91" s="92">
        <f t="shared" si="9"/>
        <v>42.857142857142854</v>
      </c>
      <c r="L91" s="92">
        <f t="shared" si="10"/>
        <v>28.571428571428569</v>
      </c>
      <c r="M91" s="92">
        <f t="shared" si="11"/>
        <v>28.571428571428569</v>
      </c>
      <c r="N91" s="125">
        <f t="shared" si="12"/>
        <v>99.999999999999986</v>
      </c>
      <c r="O91" s="91">
        <v>43.5</v>
      </c>
      <c r="P91" s="92">
        <v>17.5</v>
      </c>
      <c r="Q91" s="92">
        <v>25.5</v>
      </c>
      <c r="R91" s="93">
        <f t="shared" si="8"/>
        <v>86.5</v>
      </c>
      <c r="S91" s="208">
        <v>3</v>
      </c>
      <c r="T91" s="81"/>
      <c r="V91" s="82" t="s">
        <v>132</v>
      </c>
      <c r="W91" s="208" t="s">
        <v>22</v>
      </c>
      <c r="X91" s="208" t="s">
        <v>11</v>
      </c>
      <c r="Y91" s="83">
        <v>21.5</v>
      </c>
      <c r="Z91" s="208" t="s">
        <v>81</v>
      </c>
      <c r="AA91" s="208" t="s">
        <v>17</v>
      </c>
      <c r="AB91" s="208" t="s">
        <v>18</v>
      </c>
      <c r="AC91" s="208">
        <v>17.5</v>
      </c>
      <c r="AD91" s="82" t="s">
        <v>467</v>
      </c>
      <c r="AE91" s="208" t="s">
        <v>20</v>
      </c>
      <c r="AF91" s="208" t="s">
        <v>12</v>
      </c>
      <c r="AG91" s="83">
        <v>25.5</v>
      </c>
      <c r="AH91" s="208" t="s">
        <v>341</v>
      </c>
      <c r="AI91" s="208" t="s">
        <v>869</v>
      </c>
      <c r="AJ91" s="208" t="s">
        <v>11</v>
      </c>
      <c r="AK91" s="208">
        <v>22</v>
      </c>
      <c r="AL91" s="82"/>
      <c r="AO91" s="83"/>
      <c r="AP91" s="82"/>
      <c r="AS91" s="83"/>
      <c r="AW91" s="83"/>
      <c r="BA91" s="84"/>
    </row>
    <row r="92" spans="1:53" s="208" customFormat="1" x14ac:dyDescent="0.15">
      <c r="A92" s="208">
        <v>2002</v>
      </c>
      <c r="C92" s="811" t="s">
        <v>448</v>
      </c>
      <c r="D92" s="811"/>
      <c r="E92" s="208">
        <v>0</v>
      </c>
      <c r="G92" s="123">
        <v>3</v>
      </c>
      <c r="H92" s="208">
        <v>2</v>
      </c>
      <c r="I92" s="208">
        <v>2</v>
      </c>
      <c r="J92" s="134">
        <v>7</v>
      </c>
      <c r="K92" s="92">
        <f t="shared" si="9"/>
        <v>42.857142857142854</v>
      </c>
      <c r="L92" s="92">
        <f t="shared" si="10"/>
        <v>28.571428571428569</v>
      </c>
      <c r="M92" s="92">
        <f t="shared" si="11"/>
        <v>28.571428571428569</v>
      </c>
      <c r="N92" s="125">
        <f t="shared" si="12"/>
        <v>99.999999999999986</v>
      </c>
      <c r="O92" s="91">
        <v>43.5</v>
      </c>
      <c r="P92" s="92">
        <v>17.5</v>
      </c>
      <c r="Q92" s="92">
        <v>25.5</v>
      </c>
      <c r="R92" s="93">
        <f t="shared" si="8"/>
        <v>86.5</v>
      </c>
      <c r="S92" s="208">
        <v>3</v>
      </c>
      <c r="T92" s="81"/>
      <c r="V92" s="82" t="s">
        <v>132</v>
      </c>
      <c r="W92" s="208" t="s">
        <v>22</v>
      </c>
      <c r="X92" s="208" t="s">
        <v>11</v>
      </c>
      <c r="Y92" s="83">
        <v>21.5</v>
      </c>
      <c r="Z92" s="208" t="s">
        <v>81</v>
      </c>
      <c r="AA92" s="208" t="s">
        <v>17</v>
      </c>
      <c r="AB92" s="208" t="s">
        <v>18</v>
      </c>
      <c r="AC92" s="208">
        <v>17.5</v>
      </c>
      <c r="AD92" s="82" t="s">
        <v>467</v>
      </c>
      <c r="AE92" s="208" t="s">
        <v>20</v>
      </c>
      <c r="AF92" s="208" t="s">
        <v>12</v>
      </c>
      <c r="AG92" s="83">
        <v>25.5</v>
      </c>
      <c r="AH92" s="208" t="s">
        <v>341</v>
      </c>
      <c r="AI92" s="208" t="s">
        <v>869</v>
      </c>
      <c r="AJ92" s="208" t="s">
        <v>11</v>
      </c>
      <c r="AK92" s="208">
        <v>22</v>
      </c>
      <c r="AL92" s="82"/>
      <c r="AO92" s="83"/>
      <c r="AP92" s="82"/>
      <c r="AS92" s="83"/>
      <c r="AW92" s="83"/>
      <c r="BA92" s="84"/>
    </row>
    <row r="93" spans="1:53" s="208" customFormat="1" x14ac:dyDescent="0.15">
      <c r="A93" s="208">
        <v>2002</v>
      </c>
      <c r="C93" s="811" t="s">
        <v>453</v>
      </c>
      <c r="D93" s="811"/>
      <c r="E93" s="208">
        <f>365-E92</f>
        <v>365</v>
      </c>
      <c r="F93" s="208">
        <v>1</v>
      </c>
      <c r="G93" s="123">
        <v>3</v>
      </c>
      <c r="H93" s="208">
        <v>2</v>
      </c>
      <c r="I93" s="208">
        <v>2</v>
      </c>
      <c r="J93" s="134">
        <v>7</v>
      </c>
      <c r="K93" s="92">
        <f t="shared" si="9"/>
        <v>42.857142857142854</v>
      </c>
      <c r="L93" s="92">
        <f t="shared" si="10"/>
        <v>28.571428571428569</v>
      </c>
      <c r="M93" s="92">
        <f t="shared" si="11"/>
        <v>28.571428571428569</v>
      </c>
      <c r="N93" s="125">
        <f t="shared" si="12"/>
        <v>99.999999999999986</v>
      </c>
      <c r="O93" s="91">
        <v>43.5</v>
      </c>
      <c r="P93" s="92">
        <v>17.5</v>
      </c>
      <c r="Q93" s="92">
        <v>25.5</v>
      </c>
      <c r="R93" s="93">
        <f t="shared" si="8"/>
        <v>86.5</v>
      </c>
      <c r="S93" s="208">
        <v>3</v>
      </c>
      <c r="T93" s="81"/>
      <c r="V93" s="82" t="s">
        <v>132</v>
      </c>
      <c r="W93" s="208" t="s">
        <v>22</v>
      </c>
      <c r="X93" s="208" t="s">
        <v>11</v>
      </c>
      <c r="Y93" s="83">
        <v>21.5</v>
      </c>
      <c r="Z93" s="208" t="s">
        <v>81</v>
      </c>
      <c r="AA93" s="208" t="s">
        <v>17</v>
      </c>
      <c r="AB93" s="208" t="s">
        <v>18</v>
      </c>
      <c r="AC93" s="208">
        <v>17.5</v>
      </c>
      <c r="AD93" s="82" t="s">
        <v>467</v>
      </c>
      <c r="AE93" s="208" t="s">
        <v>20</v>
      </c>
      <c r="AF93" s="208" t="s">
        <v>12</v>
      </c>
      <c r="AG93" s="83">
        <v>25.5</v>
      </c>
      <c r="AH93" s="208" t="s">
        <v>341</v>
      </c>
      <c r="AI93" s="208" t="s">
        <v>869</v>
      </c>
      <c r="AJ93" s="208" t="s">
        <v>11</v>
      </c>
      <c r="AK93" s="208">
        <v>22</v>
      </c>
      <c r="AL93" s="82"/>
      <c r="AO93" s="83"/>
      <c r="AP93" s="82"/>
      <c r="AS93" s="83"/>
      <c r="AW93" s="83"/>
      <c r="BA93" s="84"/>
    </row>
    <row r="94" spans="1:53" s="208" customFormat="1" x14ac:dyDescent="0.15">
      <c r="A94" s="208">
        <v>2003</v>
      </c>
      <c r="C94" s="811" t="s">
        <v>453</v>
      </c>
      <c r="D94" s="811"/>
      <c r="E94" s="208">
        <v>343</v>
      </c>
      <c r="G94" s="123">
        <v>3</v>
      </c>
      <c r="H94" s="208">
        <v>2</v>
      </c>
      <c r="I94" s="208">
        <v>2</v>
      </c>
      <c r="J94" s="134">
        <v>7</v>
      </c>
      <c r="K94" s="92">
        <f t="shared" si="9"/>
        <v>42.857142857142854</v>
      </c>
      <c r="L94" s="92">
        <f t="shared" si="10"/>
        <v>28.571428571428569</v>
      </c>
      <c r="M94" s="92">
        <f t="shared" si="11"/>
        <v>28.571428571428569</v>
      </c>
      <c r="N94" s="125">
        <f t="shared" si="12"/>
        <v>99.999999999999986</v>
      </c>
      <c r="O94" s="91">
        <v>43.5</v>
      </c>
      <c r="P94" s="92">
        <v>17.5</v>
      </c>
      <c r="Q94" s="92">
        <v>25.5</v>
      </c>
      <c r="R94" s="93">
        <f t="shared" si="8"/>
        <v>86.5</v>
      </c>
      <c r="S94" s="208">
        <v>3</v>
      </c>
      <c r="T94" s="81"/>
      <c r="V94" s="82" t="s">
        <v>132</v>
      </c>
      <c r="W94" s="208" t="s">
        <v>22</v>
      </c>
      <c r="X94" s="208" t="s">
        <v>11</v>
      </c>
      <c r="Y94" s="83">
        <v>21.5</v>
      </c>
      <c r="Z94" s="208" t="s">
        <v>81</v>
      </c>
      <c r="AA94" s="208" t="s">
        <v>17</v>
      </c>
      <c r="AB94" s="208" t="s">
        <v>18</v>
      </c>
      <c r="AC94" s="208">
        <v>17.5</v>
      </c>
      <c r="AD94" s="82" t="s">
        <v>467</v>
      </c>
      <c r="AE94" s="208" t="s">
        <v>20</v>
      </c>
      <c r="AF94" s="208" t="s">
        <v>12</v>
      </c>
      <c r="AG94" s="83">
        <v>25.5</v>
      </c>
      <c r="AH94" s="208" t="s">
        <v>341</v>
      </c>
      <c r="AI94" s="208" t="s">
        <v>869</v>
      </c>
      <c r="AJ94" s="208" t="s">
        <v>11</v>
      </c>
      <c r="AK94" s="208">
        <v>22</v>
      </c>
      <c r="AL94" s="82"/>
      <c r="AO94" s="83"/>
      <c r="AP94" s="82"/>
      <c r="AS94" s="83"/>
      <c r="AW94" s="83"/>
      <c r="BA94" s="84"/>
    </row>
    <row r="95" spans="1:53" s="334" customFormat="1" x14ac:dyDescent="0.15">
      <c r="A95" s="334">
        <v>2003</v>
      </c>
      <c r="B95" s="355">
        <v>37965</v>
      </c>
      <c r="C95" s="812" t="s">
        <v>454</v>
      </c>
      <c r="D95" s="812"/>
      <c r="E95" s="334">
        <f>365-E94</f>
        <v>22</v>
      </c>
      <c r="F95" s="334">
        <v>1</v>
      </c>
      <c r="G95" s="419">
        <v>3</v>
      </c>
      <c r="H95" s="334">
        <v>2</v>
      </c>
      <c r="I95" s="334">
        <v>2</v>
      </c>
      <c r="J95" s="435">
        <v>7</v>
      </c>
      <c r="K95" s="384">
        <f t="shared" si="9"/>
        <v>42.857142857142854</v>
      </c>
      <c r="L95" s="384">
        <f t="shared" si="10"/>
        <v>28.571428571428569</v>
      </c>
      <c r="M95" s="384">
        <f t="shared" si="11"/>
        <v>28.571428571428569</v>
      </c>
      <c r="N95" s="421">
        <f t="shared" si="12"/>
        <v>99.999999999999986</v>
      </c>
      <c r="O95" s="383">
        <v>45.5</v>
      </c>
      <c r="P95" s="384">
        <v>14</v>
      </c>
      <c r="Q95" s="384">
        <v>26</v>
      </c>
      <c r="R95" s="385">
        <f t="shared" si="8"/>
        <v>85.5</v>
      </c>
      <c r="S95" s="334">
        <v>3</v>
      </c>
      <c r="T95" s="342">
        <v>37913</v>
      </c>
      <c r="U95" s="355">
        <v>37965</v>
      </c>
      <c r="V95" s="343" t="s">
        <v>132</v>
      </c>
      <c r="W95" s="334" t="s">
        <v>22</v>
      </c>
      <c r="X95" s="334" t="s">
        <v>11</v>
      </c>
      <c r="Y95" s="344">
        <v>18</v>
      </c>
      <c r="Z95" s="334" t="s">
        <v>81</v>
      </c>
      <c r="AA95" s="334" t="s">
        <v>17</v>
      </c>
      <c r="AB95" s="334" t="s">
        <v>18</v>
      </c>
      <c r="AC95" s="334">
        <v>14</v>
      </c>
      <c r="AD95" s="343" t="s">
        <v>467</v>
      </c>
      <c r="AE95" s="334" t="s">
        <v>20</v>
      </c>
      <c r="AF95" s="334" t="s">
        <v>12</v>
      </c>
      <c r="AG95" s="344">
        <v>26</v>
      </c>
      <c r="AH95" s="334" t="s">
        <v>341</v>
      </c>
      <c r="AI95" s="334" t="s">
        <v>869</v>
      </c>
      <c r="AJ95" s="334" t="s">
        <v>11</v>
      </c>
      <c r="AK95" s="334">
        <v>27.5</v>
      </c>
      <c r="AL95" s="343"/>
      <c r="AO95" s="344"/>
      <c r="AP95" s="343"/>
      <c r="AS95" s="344"/>
      <c r="AW95" s="344"/>
      <c r="BA95" s="345"/>
    </row>
    <row r="96" spans="1:53" s="334" customFormat="1" x14ac:dyDescent="0.15">
      <c r="A96" s="334">
        <v>2004</v>
      </c>
      <c r="C96" s="812" t="s">
        <v>454</v>
      </c>
      <c r="D96" s="812"/>
      <c r="E96" s="334">
        <v>0</v>
      </c>
      <c r="G96" s="419">
        <v>4</v>
      </c>
      <c r="H96" s="334">
        <v>1</v>
      </c>
      <c r="I96" s="334">
        <v>2</v>
      </c>
      <c r="J96" s="435">
        <v>7</v>
      </c>
      <c r="K96" s="384">
        <f t="shared" si="9"/>
        <v>57.142857142857139</v>
      </c>
      <c r="L96" s="384">
        <f t="shared" si="10"/>
        <v>14.285714285714285</v>
      </c>
      <c r="M96" s="384">
        <f t="shared" si="11"/>
        <v>28.571428571428569</v>
      </c>
      <c r="N96" s="421">
        <f t="shared" si="12"/>
        <v>99.999999999999986</v>
      </c>
      <c r="O96" s="383">
        <v>45.5</v>
      </c>
      <c r="P96" s="384">
        <v>14</v>
      </c>
      <c r="Q96" s="384">
        <v>26</v>
      </c>
      <c r="R96" s="385">
        <f t="shared" si="8"/>
        <v>85.5</v>
      </c>
      <c r="S96" s="334">
        <v>3</v>
      </c>
      <c r="T96" s="357"/>
      <c r="V96" s="343" t="s">
        <v>132</v>
      </c>
      <c r="W96" s="334" t="s">
        <v>22</v>
      </c>
      <c r="X96" s="334" t="s">
        <v>11</v>
      </c>
      <c r="Y96" s="344">
        <v>18</v>
      </c>
      <c r="Z96" s="334" t="s">
        <v>81</v>
      </c>
      <c r="AA96" s="334" t="s">
        <v>17</v>
      </c>
      <c r="AB96" s="334" t="s">
        <v>18</v>
      </c>
      <c r="AC96" s="334">
        <v>14</v>
      </c>
      <c r="AD96" s="343" t="s">
        <v>467</v>
      </c>
      <c r="AE96" s="334" t="s">
        <v>20</v>
      </c>
      <c r="AF96" s="334" t="s">
        <v>12</v>
      </c>
      <c r="AG96" s="344">
        <v>26</v>
      </c>
      <c r="AH96" s="334" t="s">
        <v>341</v>
      </c>
      <c r="AI96" s="334" t="s">
        <v>869</v>
      </c>
      <c r="AJ96" s="334" t="s">
        <v>11</v>
      </c>
      <c r="AK96" s="334">
        <v>27.5</v>
      </c>
      <c r="AL96" s="343"/>
      <c r="AO96" s="344"/>
      <c r="AP96" s="343"/>
      <c r="AS96" s="344"/>
      <c r="AW96" s="344"/>
      <c r="BA96" s="345"/>
    </row>
    <row r="97" spans="1:53" s="334" customFormat="1" x14ac:dyDescent="0.15">
      <c r="A97" s="334">
        <v>2004</v>
      </c>
      <c r="C97" s="812" t="s">
        <v>455</v>
      </c>
      <c r="D97" s="812"/>
      <c r="E97" s="334">
        <v>366</v>
      </c>
      <c r="F97" s="334">
        <v>1</v>
      </c>
      <c r="G97" s="419">
        <v>4</v>
      </c>
      <c r="H97" s="334">
        <v>1</v>
      </c>
      <c r="I97" s="334">
        <v>2</v>
      </c>
      <c r="J97" s="435">
        <v>7</v>
      </c>
      <c r="K97" s="384">
        <f t="shared" si="9"/>
        <v>57.142857142857139</v>
      </c>
      <c r="L97" s="384">
        <f t="shared" si="10"/>
        <v>14.285714285714285</v>
      </c>
      <c r="M97" s="384">
        <f t="shared" si="11"/>
        <v>28.571428571428569</v>
      </c>
      <c r="N97" s="421">
        <f t="shared" si="12"/>
        <v>99.999999999999986</v>
      </c>
      <c r="O97" s="383">
        <v>45.5</v>
      </c>
      <c r="P97" s="384">
        <v>14</v>
      </c>
      <c r="Q97" s="384">
        <v>26</v>
      </c>
      <c r="R97" s="385">
        <f t="shared" si="8"/>
        <v>85.5</v>
      </c>
      <c r="S97" s="334">
        <v>3</v>
      </c>
      <c r="T97" s="357"/>
      <c r="V97" s="343" t="s">
        <v>132</v>
      </c>
      <c r="W97" s="334" t="s">
        <v>22</v>
      </c>
      <c r="X97" s="334" t="s">
        <v>11</v>
      </c>
      <c r="Y97" s="344">
        <v>18</v>
      </c>
      <c r="Z97" s="334" t="s">
        <v>81</v>
      </c>
      <c r="AA97" s="334" t="s">
        <v>17</v>
      </c>
      <c r="AB97" s="334" t="s">
        <v>18</v>
      </c>
      <c r="AC97" s="334">
        <v>14</v>
      </c>
      <c r="AD97" s="343" t="s">
        <v>467</v>
      </c>
      <c r="AE97" s="334" t="s">
        <v>20</v>
      </c>
      <c r="AF97" s="334" t="s">
        <v>12</v>
      </c>
      <c r="AG97" s="344">
        <v>26</v>
      </c>
      <c r="AH97" s="334" t="s">
        <v>341</v>
      </c>
      <c r="AI97" s="334" t="s">
        <v>869</v>
      </c>
      <c r="AJ97" s="334" t="s">
        <v>11</v>
      </c>
      <c r="AK97" s="334">
        <v>27.5</v>
      </c>
      <c r="AL97" s="343"/>
      <c r="AO97" s="344"/>
      <c r="AP97" s="343"/>
      <c r="AS97" s="344"/>
      <c r="AW97" s="344"/>
      <c r="BA97" s="345"/>
    </row>
    <row r="98" spans="1:53" s="334" customFormat="1" x14ac:dyDescent="0.15">
      <c r="A98" s="334">
        <v>2005</v>
      </c>
      <c r="C98" s="812" t="s">
        <v>455</v>
      </c>
      <c r="D98" s="812"/>
      <c r="E98" s="334">
        <v>0</v>
      </c>
      <c r="G98" s="419">
        <v>4</v>
      </c>
      <c r="H98" s="334">
        <v>1</v>
      </c>
      <c r="I98" s="334">
        <v>2</v>
      </c>
      <c r="J98" s="435">
        <v>7</v>
      </c>
      <c r="K98" s="384">
        <f t="shared" si="9"/>
        <v>57.142857142857139</v>
      </c>
      <c r="L98" s="384">
        <f t="shared" si="10"/>
        <v>14.285714285714285</v>
      </c>
      <c r="M98" s="384">
        <f t="shared" si="11"/>
        <v>28.571428571428569</v>
      </c>
      <c r="N98" s="421">
        <f t="shared" si="12"/>
        <v>99.999999999999986</v>
      </c>
      <c r="O98" s="383">
        <v>45.5</v>
      </c>
      <c r="P98" s="384">
        <v>14</v>
      </c>
      <c r="Q98" s="384">
        <v>26</v>
      </c>
      <c r="R98" s="385">
        <f t="shared" si="8"/>
        <v>85.5</v>
      </c>
      <c r="S98" s="334">
        <v>3</v>
      </c>
      <c r="T98" s="357"/>
      <c r="V98" s="343" t="s">
        <v>132</v>
      </c>
      <c r="W98" s="334" t="s">
        <v>22</v>
      </c>
      <c r="X98" s="334" t="s">
        <v>11</v>
      </c>
      <c r="Y98" s="344">
        <v>18</v>
      </c>
      <c r="Z98" s="334" t="s">
        <v>81</v>
      </c>
      <c r="AA98" s="334" t="s">
        <v>17</v>
      </c>
      <c r="AB98" s="334" t="s">
        <v>18</v>
      </c>
      <c r="AC98" s="334">
        <v>14</v>
      </c>
      <c r="AD98" s="343" t="s">
        <v>467</v>
      </c>
      <c r="AE98" s="334" t="s">
        <v>20</v>
      </c>
      <c r="AF98" s="334" t="s">
        <v>12</v>
      </c>
      <c r="AG98" s="344">
        <v>26</v>
      </c>
      <c r="AH98" s="334" t="s">
        <v>341</v>
      </c>
      <c r="AI98" s="334" t="s">
        <v>869</v>
      </c>
      <c r="AJ98" s="334" t="s">
        <v>11</v>
      </c>
      <c r="AK98" s="334">
        <v>27.5</v>
      </c>
      <c r="AL98" s="343"/>
      <c r="AO98" s="344"/>
      <c r="AP98" s="343"/>
      <c r="AS98" s="344"/>
      <c r="AW98" s="344"/>
      <c r="BA98" s="345"/>
    </row>
    <row r="99" spans="1:53" s="334" customFormat="1" x14ac:dyDescent="0.15">
      <c r="A99" s="334">
        <v>2005</v>
      </c>
      <c r="C99" s="812" t="s">
        <v>479</v>
      </c>
      <c r="D99" s="812"/>
      <c r="E99" s="334">
        <f>365-E98</f>
        <v>365</v>
      </c>
      <c r="F99" s="334">
        <v>1</v>
      </c>
      <c r="G99" s="419">
        <v>4</v>
      </c>
      <c r="H99" s="334">
        <v>1</v>
      </c>
      <c r="I99" s="334">
        <v>2</v>
      </c>
      <c r="J99" s="435">
        <v>7</v>
      </c>
      <c r="K99" s="384">
        <f t="shared" si="9"/>
        <v>57.142857142857139</v>
      </c>
      <c r="L99" s="384">
        <f t="shared" si="10"/>
        <v>14.285714285714285</v>
      </c>
      <c r="M99" s="384">
        <f t="shared" si="11"/>
        <v>28.571428571428569</v>
      </c>
      <c r="N99" s="421">
        <f t="shared" si="12"/>
        <v>99.999999999999986</v>
      </c>
      <c r="O99" s="383">
        <v>45.5</v>
      </c>
      <c r="P99" s="384">
        <v>14</v>
      </c>
      <c r="Q99" s="384">
        <v>26</v>
      </c>
      <c r="R99" s="385">
        <f t="shared" si="8"/>
        <v>85.5</v>
      </c>
      <c r="S99" s="334">
        <v>3</v>
      </c>
      <c r="T99" s="357"/>
      <c r="V99" s="343" t="s">
        <v>132</v>
      </c>
      <c r="W99" s="334" t="s">
        <v>22</v>
      </c>
      <c r="X99" s="334" t="s">
        <v>11</v>
      </c>
      <c r="Y99" s="344">
        <v>18</v>
      </c>
      <c r="Z99" s="334" t="s">
        <v>81</v>
      </c>
      <c r="AA99" s="334" t="s">
        <v>17</v>
      </c>
      <c r="AB99" s="334" t="s">
        <v>18</v>
      </c>
      <c r="AC99" s="334">
        <v>14</v>
      </c>
      <c r="AD99" s="343" t="s">
        <v>467</v>
      </c>
      <c r="AE99" s="334" t="s">
        <v>20</v>
      </c>
      <c r="AF99" s="334" t="s">
        <v>12</v>
      </c>
      <c r="AG99" s="344">
        <v>26</v>
      </c>
      <c r="AH99" s="334" t="s">
        <v>341</v>
      </c>
      <c r="AI99" s="334" t="s">
        <v>869</v>
      </c>
      <c r="AJ99" s="334" t="s">
        <v>11</v>
      </c>
      <c r="AK99" s="334">
        <v>27.5</v>
      </c>
      <c r="AL99" s="343"/>
      <c r="AO99" s="344"/>
      <c r="AP99" s="343"/>
      <c r="AS99" s="344"/>
      <c r="AW99" s="344"/>
      <c r="BA99" s="345"/>
    </row>
    <row r="100" spans="1:53" s="334" customFormat="1" x14ac:dyDescent="0.15">
      <c r="A100" s="334">
        <v>2006</v>
      </c>
      <c r="C100" s="812" t="s">
        <v>479</v>
      </c>
      <c r="D100" s="812"/>
      <c r="E100" s="334">
        <v>0</v>
      </c>
      <c r="G100" s="419">
        <v>4</v>
      </c>
      <c r="H100" s="334">
        <v>1</v>
      </c>
      <c r="I100" s="334">
        <v>2</v>
      </c>
      <c r="J100" s="435">
        <v>7</v>
      </c>
      <c r="K100" s="384">
        <f t="shared" si="9"/>
        <v>57.142857142857139</v>
      </c>
      <c r="L100" s="384">
        <f t="shared" si="10"/>
        <v>14.285714285714285</v>
      </c>
      <c r="M100" s="384">
        <f t="shared" si="11"/>
        <v>28.571428571428569</v>
      </c>
      <c r="N100" s="421">
        <f t="shared" si="12"/>
        <v>99.999999999999986</v>
      </c>
      <c r="O100" s="383">
        <v>45.5</v>
      </c>
      <c r="P100" s="384">
        <v>14</v>
      </c>
      <c r="Q100" s="384">
        <v>26</v>
      </c>
      <c r="R100" s="385">
        <f t="shared" si="8"/>
        <v>85.5</v>
      </c>
      <c r="S100" s="334">
        <v>3</v>
      </c>
      <c r="T100" s="357"/>
      <c r="V100" s="343" t="s">
        <v>132</v>
      </c>
      <c r="W100" s="334" t="s">
        <v>22</v>
      </c>
      <c r="X100" s="334" t="s">
        <v>11</v>
      </c>
      <c r="Y100" s="344">
        <v>18</v>
      </c>
      <c r="Z100" s="334" t="s">
        <v>81</v>
      </c>
      <c r="AA100" s="334" t="s">
        <v>17</v>
      </c>
      <c r="AB100" s="334" t="s">
        <v>18</v>
      </c>
      <c r="AC100" s="334">
        <v>14</v>
      </c>
      <c r="AD100" s="343" t="s">
        <v>467</v>
      </c>
      <c r="AE100" s="334" t="s">
        <v>20</v>
      </c>
      <c r="AF100" s="334" t="s">
        <v>12</v>
      </c>
      <c r="AG100" s="344">
        <v>26</v>
      </c>
      <c r="AH100" s="334" t="s">
        <v>341</v>
      </c>
      <c r="AI100" s="334" t="s">
        <v>869</v>
      </c>
      <c r="AJ100" s="334" t="s">
        <v>11</v>
      </c>
      <c r="AK100" s="334">
        <v>27.5</v>
      </c>
      <c r="AL100" s="343"/>
      <c r="AO100" s="344"/>
      <c r="AP100" s="343"/>
      <c r="AS100" s="344"/>
      <c r="AW100" s="344"/>
      <c r="BA100" s="345"/>
    </row>
    <row r="101" spans="1:53" s="334" customFormat="1" x14ac:dyDescent="0.15">
      <c r="A101" s="334">
        <v>2006</v>
      </c>
      <c r="C101" s="812" t="s">
        <v>480</v>
      </c>
      <c r="D101" s="812"/>
      <c r="E101" s="334">
        <f>365-E100</f>
        <v>365</v>
      </c>
      <c r="F101" s="334">
        <v>1</v>
      </c>
      <c r="G101" s="419">
        <v>4</v>
      </c>
      <c r="H101" s="334">
        <v>1</v>
      </c>
      <c r="I101" s="334">
        <v>2</v>
      </c>
      <c r="J101" s="435">
        <v>7</v>
      </c>
      <c r="K101" s="384">
        <f t="shared" si="9"/>
        <v>57.142857142857139</v>
      </c>
      <c r="L101" s="384">
        <f t="shared" si="10"/>
        <v>14.285714285714285</v>
      </c>
      <c r="M101" s="384">
        <f t="shared" si="11"/>
        <v>28.571428571428569</v>
      </c>
      <c r="N101" s="421">
        <f t="shared" si="12"/>
        <v>99.999999999999986</v>
      </c>
      <c r="O101" s="383">
        <v>45.5</v>
      </c>
      <c r="P101" s="384">
        <v>14</v>
      </c>
      <c r="Q101" s="384">
        <v>26</v>
      </c>
      <c r="R101" s="385">
        <f t="shared" si="8"/>
        <v>85.5</v>
      </c>
      <c r="S101" s="334">
        <v>3</v>
      </c>
      <c r="T101" s="357"/>
      <c r="V101" s="343" t="s">
        <v>132</v>
      </c>
      <c r="W101" s="334" t="s">
        <v>22</v>
      </c>
      <c r="X101" s="334" t="s">
        <v>11</v>
      </c>
      <c r="Y101" s="344">
        <v>18</v>
      </c>
      <c r="Z101" s="334" t="s">
        <v>81</v>
      </c>
      <c r="AA101" s="334" t="s">
        <v>17</v>
      </c>
      <c r="AB101" s="334" t="s">
        <v>18</v>
      </c>
      <c r="AC101" s="334">
        <v>14</v>
      </c>
      <c r="AD101" s="343" t="s">
        <v>467</v>
      </c>
      <c r="AE101" s="334" t="s">
        <v>20</v>
      </c>
      <c r="AF101" s="334" t="s">
        <v>12</v>
      </c>
      <c r="AG101" s="344">
        <v>26</v>
      </c>
      <c r="AH101" s="334" t="s">
        <v>341</v>
      </c>
      <c r="AI101" s="334" t="s">
        <v>869</v>
      </c>
      <c r="AJ101" s="334" t="s">
        <v>11</v>
      </c>
      <c r="AK101" s="334">
        <v>27.5</v>
      </c>
      <c r="AL101" s="343"/>
      <c r="AO101" s="344"/>
      <c r="AP101" s="343"/>
      <c r="AS101" s="344"/>
      <c r="AW101" s="344"/>
      <c r="BA101" s="345"/>
    </row>
    <row r="102" spans="1:53" s="334" customFormat="1" x14ac:dyDescent="0.15">
      <c r="A102" s="334">
        <v>2007</v>
      </c>
      <c r="C102" s="812" t="s">
        <v>480</v>
      </c>
      <c r="D102" s="812"/>
      <c r="E102" s="334">
        <v>345</v>
      </c>
      <c r="G102" s="419">
        <v>4</v>
      </c>
      <c r="H102" s="334">
        <v>1</v>
      </c>
      <c r="I102" s="334">
        <v>2</v>
      </c>
      <c r="J102" s="435">
        <v>7</v>
      </c>
      <c r="K102" s="384">
        <f t="shared" si="9"/>
        <v>57.142857142857139</v>
      </c>
      <c r="L102" s="384">
        <f t="shared" si="10"/>
        <v>14.285714285714285</v>
      </c>
      <c r="M102" s="384">
        <f t="shared" si="11"/>
        <v>28.571428571428569</v>
      </c>
      <c r="N102" s="421">
        <f t="shared" si="12"/>
        <v>99.999999999999986</v>
      </c>
      <c r="O102" s="383">
        <v>45.5</v>
      </c>
      <c r="P102" s="384">
        <v>14</v>
      </c>
      <c r="Q102" s="384">
        <v>26</v>
      </c>
      <c r="R102" s="385">
        <f t="shared" si="8"/>
        <v>85.5</v>
      </c>
      <c r="S102" s="334">
        <v>3</v>
      </c>
      <c r="T102" s="357"/>
      <c r="V102" s="343" t="s">
        <v>132</v>
      </c>
      <c r="W102" s="334" t="s">
        <v>22</v>
      </c>
      <c r="X102" s="334" t="s">
        <v>11</v>
      </c>
      <c r="Y102" s="344">
        <v>18</v>
      </c>
      <c r="Z102" s="334" t="s">
        <v>81</v>
      </c>
      <c r="AA102" s="334" t="s">
        <v>17</v>
      </c>
      <c r="AB102" s="334" t="s">
        <v>18</v>
      </c>
      <c r="AC102" s="334">
        <v>14</v>
      </c>
      <c r="AD102" s="343" t="s">
        <v>467</v>
      </c>
      <c r="AE102" s="334" t="s">
        <v>20</v>
      </c>
      <c r="AF102" s="334" t="s">
        <v>12</v>
      </c>
      <c r="AG102" s="344">
        <v>26</v>
      </c>
      <c r="AH102" s="334" t="s">
        <v>341</v>
      </c>
      <c r="AI102" s="334" t="s">
        <v>869</v>
      </c>
      <c r="AJ102" s="334" t="s">
        <v>11</v>
      </c>
      <c r="AK102" s="334">
        <v>27.5</v>
      </c>
      <c r="AL102" s="343"/>
      <c r="AO102" s="344"/>
      <c r="AP102" s="343"/>
      <c r="AS102" s="344"/>
      <c r="AW102" s="344"/>
      <c r="BA102" s="345"/>
    </row>
    <row r="103" spans="1:53" s="208" customFormat="1" x14ac:dyDescent="0.15">
      <c r="A103" s="208">
        <v>2007</v>
      </c>
      <c r="B103" s="207">
        <v>39428</v>
      </c>
      <c r="C103" s="811" t="s">
        <v>456</v>
      </c>
      <c r="D103" s="811"/>
      <c r="E103" s="208">
        <f>365-E102</f>
        <v>20</v>
      </c>
      <c r="F103" s="208">
        <v>1</v>
      </c>
      <c r="G103" s="123">
        <v>4</v>
      </c>
      <c r="H103" s="208">
        <v>1</v>
      </c>
      <c r="I103" s="208">
        <v>2</v>
      </c>
      <c r="J103" s="134">
        <v>7</v>
      </c>
      <c r="K103" s="92">
        <f t="shared" si="9"/>
        <v>57.142857142857139</v>
      </c>
      <c r="L103" s="92">
        <f t="shared" si="10"/>
        <v>14.285714285714285</v>
      </c>
      <c r="M103" s="92">
        <f t="shared" si="11"/>
        <v>28.571428571428569</v>
      </c>
      <c r="N103" s="125">
        <f t="shared" si="12"/>
        <v>99.999999999999986</v>
      </c>
      <c r="O103" s="91">
        <v>46.5</v>
      </c>
      <c r="P103" s="92">
        <v>15.5</v>
      </c>
      <c r="Q103" s="92">
        <v>21.5</v>
      </c>
      <c r="R103" s="93">
        <f t="shared" si="8"/>
        <v>83.5</v>
      </c>
      <c r="S103" s="208">
        <v>3</v>
      </c>
      <c r="T103" s="95">
        <v>39376</v>
      </c>
      <c r="U103" s="207">
        <v>39428</v>
      </c>
      <c r="V103" s="82" t="s">
        <v>132</v>
      </c>
      <c r="W103" s="208" t="s">
        <v>22</v>
      </c>
      <c r="X103" s="208" t="s">
        <v>11</v>
      </c>
      <c r="Y103" s="83">
        <v>15.5</v>
      </c>
      <c r="Z103" s="208" t="s">
        <v>81</v>
      </c>
      <c r="AA103" s="208" t="s">
        <v>17</v>
      </c>
      <c r="AB103" s="208" t="s">
        <v>18</v>
      </c>
      <c r="AC103" s="208">
        <v>15.5</v>
      </c>
      <c r="AD103" s="82" t="s">
        <v>467</v>
      </c>
      <c r="AE103" s="208" t="s">
        <v>20</v>
      </c>
      <c r="AF103" s="208" t="s">
        <v>12</v>
      </c>
      <c r="AG103" s="83">
        <v>21.5</v>
      </c>
      <c r="AH103" s="208" t="s">
        <v>341</v>
      </c>
      <c r="AI103" s="208" t="s">
        <v>869</v>
      </c>
      <c r="AJ103" s="208" t="s">
        <v>11</v>
      </c>
      <c r="AK103" s="208">
        <v>31</v>
      </c>
      <c r="AL103" s="82"/>
      <c r="AO103" s="83"/>
      <c r="AP103" s="82"/>
      <c r="AS103" s="83"/>
      <c r="AW103" s="83"/>
      <c r="BA103" s="84"/>
    </row>
    <row r="104" spans="1:53" s="208" customFormat="1" x14ac:dyDescent="0.15">
      <c r="A104" s="208">
        <v>2008</v>
      </c>
      <c r="C104" s="811" t="s">
        <v>456</v>
      </c>
      <c r="D104" s="811"/>
      <c r="E104" s="208">
        <v>0</v>
      </c>
      <c r="G104" s="123">
        <v>4</v>
      </c>
      <c r="H104" s="208">
        <v>1</v>
      </c>
      <c r="I104" s="208">
        <v>2</v>
      </c>
      <c r="J104" s="134">
        <v>7</v>
      </c>
      <c r="K104" s="92">
        <f t="shared" si="9"/>
        <v>57.142857142857139</v>
      </c>
      <c r="L104" s="92">
        <f t="shared" si="10"/>
        <v>14.285714285714285</v>
      </c>
      <c r="M104" s="92">
        <f>I104/J104*100</f>
        <v>28.571428571428569</v>
      </c>
      <c r="N104" s="125">
        <f t="shared" si="12"/>
        <v>99.999999999999986</v>
      </c>
      <c r="O104" s="91">
        <v>46.5</v>
      </c>
      <c r="P104" s="92">
        <v>15.5</v>
      </c>
      <c r="Q104" s="92">
        <v>21.5</v>
      </c>
      <c r="R104" s="93">
        <f t="shared" si="8"/>
        <v>83.5</v>
      </c>
      <c r="S104" s="208">
        <v>3</v>
      </c>
      <c r="T104" s="81"/>
      <c r="V104" s="82" t="s">
        <v>132</v>
      </c>
      <c r="W104" s="208" t="s">
        <v>22</v>
      </c>
      <c r="X104" s="208" t="s">
        <v>11</v>
      </c>
      <c r="Y104" s="83">
        <v>15.5</v>
      </c>
      <c r="Z104" s="208" t="s">
        <v>81</v>
      </c>
      <c r="AA104" s="208" t="s">
        <v>17</v>
      </c>
      <c r="AB104" s="208" t="s">
        <v>18</v>
      </c>
      <c r="AC104" s="208">
        <v>15.5</v>
      </c>
      <c r="AD104" s="82" t="s">
        <v>467</v>
      </c>
      <c r="AE104" s="208" t="s">
        <v>20</v>
      </c>
      <c r="AF104" s="208" t="s">
        <v>12</v>
      </c>
      <c r="AG104" s="83">
        <v>21.5</v>
      </c>
      <c r="AH104" s="208" t="s">
        <v>341</v>
      </c>
      <c r="AI104" s="208" t="s">
        <v>869</v>
      </c>
      <c r="AJ104" s="208" t="s">
        <v>11</v>
      </c>
      <c r="AK104" s="208">
        <v>31</v>
      </c>
      <c r="AL104" s="82"/>
      <c r="AO104" s="83"/>
      <c r="AP104" s="82"/>
      <c r="AS104" s="83"/>
      <c r="AW104" s="83"/>
      <c r="BA104" s="84"/>
    </row>
    <row r="105" spans="1:53" s="208" customFormat="1" x14ac:dyDescent="0.15">
      <c r="A105" s="208">
        <v>2008</v>
      </c>
      <c r="C105" s="811" t="s">
        <v>457</v>
      </c>
      <c r="D105" s="811"/>
      <c r="E105" s="208">
        <v>366</v>
      </c>
      <c r="F105" s="208">
        <v>1</v>
      </c>
      <c r="G105" s="123">
        <v>4</v>
      </c>
      <c r="H105" s="208">
        <v>1</v>
      </c>
      <c r="I105" s="208">
        <v>2</v>
      </c>
      <c r="J105" s="134">
        <v>7</v>
      </c>
      <c r="K105" s="92">
        <f t="shared" si="9"/>
        <v>57.142857142857139</v>
      </c>
      <c r="L105" s="92">
        <f t="shared" si="10"/>
        <v>14.285714285714285</v>
      </c>
      <c r="M105" s="92">
        <f t="shared" si="11"/>
        <v>28.571428571428569</v>
      </c>
      <c r="N105" s="125">
        <f t="shared" si="12"/>
        <v>99.999999999999986</v>
      </c>
      <c r="O105" s="91">
        <v>46.5</v>
      </c>
      <c r="P105" s="92">
        <v>15.5</v>
      </c>
      <c r="Q105" s="92">
        <v>21.5</v>
      </c>
      <c r="R105" s="93">
        <f t="shared" si="8"/>
        <v>83.5</v>
      </c>
      <c r="S105" s="208">
        <v>3</v>
      </c>
      <c r="T105" s="81"/>
      <c r="V105" s="82" t="s">
        <v>132</v>
      </c>
      <c r="W105" s="208" t="s">
        <v>22</v>
      </c>
      <c r="X105" s="208" t="s">
        <v>11</v>
      </c>
      <c r="Y105" s="83">
        <v>15.5</v>
      </c>
      <c r="Z105" s="208" t="s">
        <v>81</v>
      </c>
      <c r="AA105" s="208" t="s">
        <v>17</v>
      </c>
      <c r="AB105" s="208" t="s">
        <v>18</v>
      </c>
      <c r="AC105" s="208">
        <v>15.5</v>
      </c>
      <c r="AD105" s="82" t="s">
        <v>467</v>
      </c>
      <c r="AE105" s="208" t="s">
        <v>20</v>
      </c>
      <c r="AF105" s="208" t="s">
        <v>12</v>
      </c>
      <c r="AG105" s="83">
        <v>21.5</v>
      </c>
      <c r="AH105" s="208" t="s">
        <v>341</v>
      </c>
      <c r="AI105" s="208" t="s">
        <v>869</v>
      </c>
      <c r="AJ105" s="208" t="s">
        <v>11</v>
      </c>
      <c r="AK105" s="208">
        <v>31</v>
      </c>
      <c r="AL105" s="82"/>
      <c r="AO105" s="83"/>
      <c r="AP105" s="82"/>
      <c r="AS105" s="83"/>
      <c r="AW105" s="83"/>
      <c r="BA105" s="84"/>
    </row>
    <row r="106" spans="1:53" s="208" customFormat="1" x14ac:dyDescent="0.15">
      <c r="A106" s="208">
        <v>2009</v>
      </c>
      <c r="C106" s="811" t="s">
        <v>457</v>
      </c>
      <c r="D106" s="811"/>
      <c r="E106" s="208">
        <v>0</v>
      </c>
      <c r="G106" s="123">
        <v>4</v>
      </c>
      <c r="H106" s="208">
        <v>1</v>
      </c>
      <c r="I106" s="208">
        <v>2</v>
      </c>
      <c r="J106" s="134">
        <v>7</v>
      </c>
      <c r="K106" s="92">
        <f t="shared" si="9"/>
        <v>57.142857142857139</v>
      </c>
      <c r="L106" s="92">
        <f t="shared" si="10"/>
        <v>14.285714285714285</v>
      </c>
      <c r="M106" s="92">
        <f t="shared" si="11"/>
        <v>28.571428571428569</v>
      </c>
      <c r="N106" s="125">
        <f t="shared" si="12"/>
        <v>99.999999999999986</v>
      </c>
      <c r="O106" s="91">
        <v>46.5</v>
      </c>
      <c r="P106" s="92">
        <v>15.5</v>
      </c>
      <c r="Q106" s="92">
        <v>21.5</v>
      </c>
      <c r="R106" s="93">
        <f t="shared" si="8"/>
        <v>83.5</v>
      </c>
      <c r="S106" s="208">
        <v>3</v>
      </c>
      <c r="T106" s="81"/>
      <c r="V106" s="82" t="s">
        <v>132</v>
      </c>
      <c r="W106" s="208" t="s">
        <v>22</v>
      </c>
      <c r="X106" s="208" t="s">
        <v>11</v>
      </c>
      <c r="Y106" s="83">
        <v>15.5</v>
      </c>
      <c r="Z106" s="208" t="s">
        <v>81</v>
      </c>
      <c r="AA106" s="208" t="s">
        <v>17</v>
      </c>
      <c r="AB106" s="208" t="s">
        <v>18</v>
      </c>
      <c r="AC106" s="208">
        <v>15.5</v>
      </c>
      <c r="AD106" s="82" t="s">
        <v>467</v>
      </c>
      <c r="AE106" s="208" t="s">
        <v>20</v>
      </c>
      <c r="AF106" s="208" t="s">
        <v>12</v>
      </c>
      <c r="AG106" s="83">
        <v>21.5</v>
      </c>
      <c r="AH106" s="208" t="s">
        <v>341</v>
      </c>
      <c r="AI106" s="208" t="s">
        <v>869</v>
      </c>
      <c r="AJ106" s="208" t="s">
        <v>11</v>
      </c>
      <c r="AK106" s="208">
        <v>31</v>
      </c>
      <c r="AL106" s="82"/>
      <c r="AO106" s="83"/>
      <c r="AP106" s="82"/>
      <c r="AS106" s="83"/>
      <c r="AW106" s="83"/>
      <c r="BA106" s="84"/>
    </row>
    <row r="107" spans="1:53" s="208" customFormat="1" x14ac:dyDescent="0.15">
      <c r="A107" s="208">
        <v>2009</v>
      </c>
      <c r="C107" s="811" t="s">
        <v>458</v>
      </c>
      <c r="D107" s="811"/>
      <c r="E107" s="208">
        <v>365</v>
      </c>
      <c r="F107" s="208">
        <v>1</v>
      </c>
      <c r="G107" s="123">
        <v>4</v>
      </c>
      <c r="H107" s="208">
        <v>1</v>
      </c>
      <c r="I107" s="208">
        <v>2</v>
      </c>
      <c r="J107" s="134">
        <v>7</v>
      </c>
      <c r="K107" s="92">
        <f t="shared" si="9"/>
        <v>57.142857142857139</v>
      </c>
      <c r="L107" s="92">
        <f t="shared" si="10"/>
        <v>14.285714285714285</v>
      </c>
      <c r="M107" s="92">
        <f t="shared" si="11"/>
        <v>28.571428571428569</v>
      </c>
      <c r="N107" s="125">
        <f t="shared" si="12"/>
        <v>99.999999999999986</v>
      </c>
      <c r="O107" s="91">
        <v>46.5</v>
      </c>
      <c r="P107" s="92">
        <v>15.5</v>
      </c>
      <c r="Q107" s="92">
        <v>21.5</v>
      </c>
      <c r="R107" s="93">
        <f t="shared" si="8"/>
        <v>83.5</v>
      </c>
      <c r="S107" s="208">
        <v>3</v>
      </c>
      <c r="T107" s="81"/>
      <c r="V107" s="82" t="s">
        <v>132</v>
      </c>
      <c r="W107" s="208" t="s">
        <v>22</v>
      </c>
      <c r="X107" s="208" t="s">
        <v>11</v>
      </c>
      <c r="Y107" s="83">
        <v>15.5</v>
      </c>
      <c r="Z107" s="208" t="s">
        <v>81</v>
      </c>
      <c r="AA107" s="208" t="s">
        <v>17</v>
      </c>
      <c r="AB107" s="208" t="s">
        <v>18</v>
      </c>
      <c r="AC107" s="208">
        <v>15.5</v>
      </c>
      <c r="AD107" s="82" t="s">
        <v>467</v>
      </c>
      <c r="AE107" s="208" t="s">
        <v>20</v>
      </c>
      <c r="AF107" s="208" t="s">
        <v>12</v>
      </c>
      <c r="AG107" s="83">
        <v>21.5</v>
      </c>
      <c r="AH107" s="208" t="s">
        <v>341</v>
      </c>
      <c r="AI107" s="208" t="s">
        <v>869</v>
      </c>
      <c r="AJ107" s="208" t="s">
        <v>11</v>
      </c>
      <c r="AK107" s="208">
        <v>31</v>
      </c>
      <c r="AL107" s="82"/>
      <c r="AO107" s="83"/>
      <c r="AP107" s="82"/>
      <c r="AS107" s="83"/>
      <c r="AW107" s="83"/>
      <c r="BA107" s="84"/>
    </row>
    <row r="108" spans="1:53" s="208" customFormat="1" x14ac:dyDescent="0.15">
      <c r="A108" s="208">
        <v>2010</v>
      </c>
      <c r="C108" s="811" t="s">
        <v>458</v>
      </c>
      <c r="D108" s="811"/>
      <c r="E108" s="208">
        <v>0</v>
      </c>
      <c r="G108" s="123">
        <v>4</v>
      </c>
      <c r="H108" s="208">
        <v>1</v>
      </c>
      <c r="I108" s="208">
        <v>2</v>
      </c>
      <c r="J108" s="134">
        <v>7</v>
      </c>
      <c r="K108" s="92">
        <f t="shared" si="9"/>
        <v>57.142857142857139</v>
      </c>
      <c r="L108" s="92">
        <f t="shared" si="10"/>
        <v>14.285714285714285</v>
      </c>
      <c r="M108" s="92">
        <f t="shared" si="11"/>
        <v>28.571428571428569</v>
      </c>
      <c r="N108" s="125">
        <f t="shared" si="12"/>
        <v>99.999999999999986</v>
      </c>
      <c r="O108" s="91">
        <v>46.5</v>
      </c>
      <c r="P108" s="92">
        <v>15.5</v>
      </c>
      <c r="Q108" s="92">
        <v>21.5</v>
      </c>
      <c r="R108" s="93">
        <f t="shared" si="8"/>
        <v>83.5</v>
      </c>
      <c r="S108" s="208">
        <v>3</v>
      </c>
      <c r="T108" s="81"/>
      <c r="V108" s="82" t="s">
        <v>132</v>
      </c>
      <c r="W108" s="208" t="s">
        <v>22</v>
      </c>
      <c r="X108" s="208" t="s">
        <v>11</v>
      </c>
      <c r="Y108" s="83">
        <v>15.5</v>
      </c>
      <c r="Z108" s="208" t="s">
        <v>81</v>
      </c>
      <c r="AA108" s="208" t="s">
        <v>17</v>
      </c>
      <c r="AB108" s="208" t="s">
        <v>18</v>
      </c>
      <c r="AC108" s="208">
        <v>15.5</v>
      </c>
      <c r="AD108" s="82" t="s">
        <v>467</v>
      </c>
      <c r="AE108" s="208" t="s">
        <v>20</v>
      </c>
      <c r="AF108" s="208" t="s">
        <v>12</v>
      </c>
      <c r="AG108" s="83">
        <v>21.5</v>
      </c>
      <c r="AH108" s="208" t="s">
        <v>341</v>
      </c>
      <c r="AI108" s="208" t="s">
        <v>869</v>
      </c>
      <c r="AJ108" s="208" t="s">
        <v>11</v>
      </c>
      <c r="AK108" s="208">
        <v>31</v>
      </c>
      <c r="AL108" s="82"/>
      <c r="AO108" s="83"/>
      <c r="AP108" s="82"/>
      <c r="AS108" s="83"/>
      <c r="AW108" s="83"/>
      <c r="BA108" s="84"/>
    </row>
    <row r="109" spans="1:53" s="208" customFormat="1" x14ac:dyDescent="0.15">
      <c r="A109" s="208">
        <v>2010</v>
      </c>
      <c r="C109" s="811" t="s">
        <v>481</v>
      </c>
      <c r="D109" s="811"/>
      <c r="E109" s="208">
        <v>365</v>
      </c>
      <c r="F109" s="208">
        <v>1</v>
      </c>
      <c r="G109" s="123">
        <v>4</v>
      </c>
      <c r="H109" s="208">
        <v>1</v>
      </c>
      <c r="I109" s="208">
        <v>2</v>
      </c>
      <c r="J109" s="134">
        <v>7</v>
      </c>
      <c r="K109" s="92">
        <f t="shared" si="9"/>
        <v>57.142857142857139</v>
      </c>
      <c r="L109" s="92">
        <f t="shared" si="10"/>
        <v>14.285714285714285</v>
      </c>
      <c r="M109" s="92">
        <f t="shared" si="11"/>
        <v>28.571428571428569</v>
      </c>
      <c r="N109" s="125">
        <f t="shared" si="12"/>
        <v>99.999999999999986</v>
      </c>
      <c r="O109" s="91">
        <v>46.5</v>
      </c>
      <c r="P109" s="92">
        <v>15.5</v>
      </c>
      <c r="Q109" s="92">
        <v>21.5</v>
      </c>
      <c r="R109" s="93">
        <f t="shared" si="8"/>
        <v>83.5</v>
      </c>
      <c r="S109" s="208">
        <v>3</v>
      </c>
      <c r="T109" s="81"/>
      <c r="V109" s="82" t="s">
        <v>132</v>
      </c>
      <c r="W109" s="208" t="s">
        <v>22</v>
      </c>
      <c r="X109" s="208" t="s">
        <v>11</v>
      </c>
      <c r="Y109" s="83">
        <v>15.5</v>
      </c>
      <c r="Z109" s="208" t="s">
        <v>81</v>
      </c>
      <c r="AA109" s="208" t="s">
        <v>17</v>
      </c>
      <c r="AB109" s="208" t="s">
        <v>18</v>
      </c>
      <c r="AC109" s="208">
        <v>15.5</v>
      </c>
      <c r="AD109" s="82" t="s">
        <v>467</v>
      </c>
      <c r="AE109" s="208" t="s">
        <v>20</v>
      </c>
      <c r="AF109" s="208" t="s">
        <v>12</v>
      </c>
      <c r="AG109" s="83">
        <v>21.5</v>
      </c>
      <c r="AH109" s="208" t="s">
        <v>341</v>
      </c>
      <c r="AI109" s="208" t="s">
        <v>869</v>
      </c>
      <c r="AJ109" s="208" t="s">
        <v>11</v>
      </c>
      <c r="AK109" s="208">
        <v>31</v>
      </c>
      <c r="AL109" s="82"/>
      <c r="AO109" s="83"/>
      <c r="AP109" s="82"/>
      <c r="AS109" s="83"/>
      <c r="AW109" s="83"/>
      <c r="BA109" s="84"/>
    </row>
    <row r="110" spans="1:53" s="208" customFormat="1" x14ac:dyDescent="0.15">
      <c r="A110" s="208">
        <v>2011</v>
      </c>
      <c r="C110" s="811" t="s">
        <v>481</v>
      </c>
      <c r="D110" s="811"/>
      <c r="E110" s="208">
        <v>347</v>
      </c>
      <c r="G110" s="123">
        <v>4</v>
      </c>
      <c r="H110" s="208">
        <v>1</v>
      </c>
      <c r="I110" s="208">
        <v>2</v>
      </c>
      <c r="J110" s="134">
        <v>7</v>
      </c>
      <c r="K110" s="92">
        <f t="shared" ref="K110:K115" si="13">G110/J110*100</f>
        <v>57.142857142857139</v>
      </c>
      <c r="L110" s="92">
        <f t="shared" ref="L110:L115" si="14">H110/J110*100</f>
        <v>14.285714285714285</v>
      </c>
      <c r="M110" s="92">
        <f t="shared" ref="M110:M115" si="15">I110/J110*100</f>
        <v>28.571428571428569</v>
      </c>
      <c r="N110" s="125">
        <f t="shared" si="12"/>
        <v>99.999999999999986</v>
      </c>
      <c r="O110" s="91">
        <v>46.5</v>
      </c>
      <c r="P110" s="92">
        <v>15.5</v>
      </c>
      <c r="Q110" s="92">
        <v>21.5</v>
      </c>
      <c r="R110" s="93">
        <f t="shared" si="8"/>
        <v>83.5</v>
      </c>
      <c r="S110" s="208">
        <v>3</v>
      </c>
      <c r="T110" s="81"/>
      <c r="V110" s="82" t="s">
        <v>132</v>
      </c>
      <c r="W110" s="208" t="s">
        <v>22</v>
      </c>
      <c r="X110" s="208" t="s">
        <v>11</v>
      </c>
      <c r="Y110" s="83">
        <v>15.5</v>
      </c>
      <c r="Z110" s="208" t="s">
        <v>81</v>
      </c>
      <c r="AA110" s="208" t="s">
        <v>17</v>
      </c>
      <c r="AB110" s="208" t="s">
        <v>18</v>
      </c>
      <c r="AC110" s="208">
        <v>15.5</v>
      </c>
      <c r="AD110" s="82" t="s">
        <v>467</v>
      </c>
      <c r="AE110" s="208" t="s">
        <v>20</v>
      </c>
      <c r="AF110" s="208" t="s">
        <v>12</v>
      </c>
      <c r="AG110" s="83">
        <v>21.5</v>
      </c>
      <c r="AH110" s="208" t="s">
        <v>341</v>
      </c>
      <c r="AI110" s="208" t="s">
        <v>869</v>
      </c>
      <c r="AJ110" s="208" t="s">
        <v>11</v>
      </c>
      <c r="AK110" s="208">
        <v>31</v>
      </c>
      <c r="AL110" s="82"/>
      <c r="AO110" s="83"/>
      <c r="AP110" s="82"/>
      <c r="AS110" s="83"/>
      <c r="AW110" s="83"/>
      <c r="BA110" s="84"/>
    </row>
    <row r="111" spans="1:53" s="334" customFormat="1" x14ac:dyDescent="0.15">
      <c r="A111" s="334">
        <v>2011</v>
      </c>
      <c r="B111" s="355">
        <v>40891</v>
      </c>
      <c r="C111" s="812" t="s">
        <v>459</v>
      </c>
      <c r="D111" s="812"/>
      <c r="E111" s="334">
        <f>365-E110</f>
        <v>18</v>
      </c>
      <c r="F111" s="334">
        <v>1</v>
      </c>
      <c r="G111" s="419">
        <v>4</v>
      </c>
      <c r="H111" s="334">
        <v>1</v>
      </c>
      <c r="I111" s="334">
        <v>2</v>
      </c>
      <c r="J111" s="435">
        <v>7</v>
      </c>
      <c r="K111" s="384">
        <f t="shared" si="13"/>
        <v>57.142857142857139</v>
      </c>
      <c r="L111" s="384">
        <f t="shared" si="14"/>
        <v>14.285714285714285</v>
      </c>
      <c r="M111" s="384">
        <f t="shared" si="15"/>
        <v>28.571428571428569</v>
      </c>
      <c r="N111" s="421">
        <f t="shared" si="12"/>
        <v>99.999999999999986</v>
      </c>
      <c r="O111" s="383">
        <v>46.5</v>
      </c>
      <c r="P111" s="384">
        <v>14</v>
      </c>
      <c r="Q111" s="384">
        <v>23</v>
      </c>
      <c r="R111" s="385">
        <f t="shared" si="8"/>
        <v>83.5</v>
      </c>
      <c r="S111" s="334">
        <v>3</v>
      </c>
      <c r="T111" s="342">
        <v>40839</v>
      </c>
      <c r="U111" s="355">
        <v>40891</v>
      </c>
      <c r="V111" s="343" t="s">
        <v>132</v>
      </c>
      <c r="W111" s="334" t="s">
        <v>22</v>
      </c>
      <c r="X111" s="334" t="s">
        <v>11</v>
      </c>
      <c r="Y111" s="344">
        <v>15</v>
      </c>
      <c r="Z111" s="334" t="s">
        <v>81</v>
      </c>
      <c r="AA111" s="334" t="s">
        <v>17</v>
      </c>
      <c r="AB111" s="334" t="s">
        <v>18</v>
      </c>
      <c r="AC111" s="334">
        <v>14</v>
      </c>
      <c r="AD111" s="343" t="s">
        <v>467</v>
      </c>
      <c r="AE111" s="334" t="s">
        <v>20</v>
      </c>
      <c r="AF111" s="334" t="s">
        <v>12</v>
      </c>
      <c r="AG111" s="344">
        <v>23</v>
      </c>
      <c r="AH111" s="334" t="s">
        <v>341</v>
      </c>
      <c r="AI111" s="334" t="s">
        <v>869</v>
      </c>
      <c r="AJ111" s="334" t="s">
        <v>11</v>
      </c>
      <c r="AK111" s="334">
        <v>27</v>
      </c>
      <c r="AL111" s="343" t="s">
        <v>342</v>
      </c>
      <c r="AM111" s="334" t="s">
        <v>74</v>
      </c>
      <c r="AN111" s="334" t="s">
        <v>11</v>
      </c>
      <c r="AO111" s="344">
        <v>4.5</v>
      </c>
      <c r="AP111" s="343"/>
      <c r="AS111" s="344"/>
      <c r="AW111" s="344"/>
      <c r="BA111" s="345"/>
    </row>
    <row r="112" spans="1:53" s="334" customFormat="1" x14ac:dyDescent="0.15">
      <c r="A112" s="334">
        <v>2012</v>
      </c>
      <c r="C112" s="812" t="s">
        <v>459</v>
      </c>
      <c r="D112" s="812"/>
      <c r="E112" s="334">
        <v>0</v>
      </c>
      <c r="G112" s="419">
        <v>4</v>
      </c>
      <c r="H112" s="334">
        <v>1</v>
      </c>
      <c r="I112" s="334">
        <v>2</v>
      </c>
      <c r="J112" s="435">
        <v>7</v>
      </c>
      <c r="K112" s="384">
        <f t="shared" si="13"/>
        <v>57.142857142857139</v>
      </c>
      <c r="L112" s="384">
        <f t="shared" si="14"/>
        <v>14.285714285714285</v>
      </c>
      <c r="M112" s="384">
        <f t="shared" si="15"/>
        <v>28.571428571428569</v>
      </c>
      <c r="N112" s="421">
        <f t="shared" si="12"/>
        <v>99.999999999999986</v>
      </c>
      <c r="O112" s="383">
        <v>46.5</v>
      </c>
      <c r="P112" s="384">
        <v>14</v>
      </c>
      <c r="Q112" s="384">
        <v>23</v>
      </c>
      <c r="R112" s="385">
        <f t="shared" si="8"/>
        <v>83.5</v>
      </c>
      <c r="S112" s="334">
        <v>3</v>
      </c>
      <c r="T112" s="357"/>
      <c r="V112" s="343" t="s">
        <v>132</v>
      </c>
      <c r="W112" s="334" t="s">
        <v>22</v>
      </c>
      <c r="X112" s="334" t="s">
        <v>11</v>
      </c>
      <c r="Y112" s="344">
        <v>15</v>
      </c>
      <c r="Z112" s="334" t="s">
        <v>81</v>
      </c>
      <c r="AA112" s="334" t="s">
        <v>17</v>
      </c>
      <c r="AB112" s="334" t="s">
        <v>18</v>
      </c>
      <c r="AC112" s="334">
        <v>14</v>
      </c>
      <c r="AD112" s="343" t="s">
        <v>467</v>
      </c>
      <c r="AE112" s="334" t="s">
        <v>20</v>
      </c>
      <c r="AF112" s="334" t="s">
        <v>12</v>
      </c>
      <c r="AG112" s="344">
        <v>23</v>
      </c>
      <c r="AH112" s="334" t="s">
        <v>341</v>
      </c>
      <c r="AI112" s="334" t="s">
        <v>869</v>
      </c>
      <c r="AJ112" s="334" t="s">
        <v>11</v>
      </c>
      <c r="AK112" s="334">
        <v>27</v>
      </c>
      <c r="AL112" s="343" t="s">
        <v>342</v>
      </c>
      <c r="AM112" s="334" t="s">
        <v>74</v>
      </c>
      <c r="AN112" s="334" t="s">
        <v>11</v>
      </c>
      <c r="AO112" s="344">
        <v>4.5</v>
      </c>
      <c r="AP112" s="343"/>
      <c r="AS112" s="344"/>
      <c r="AW112" s="344"/>
      <c r="BA112" s="345"/>
    </row>
    <row r="113" spans="1:53" s="334" customFormat="1" x14ac:dyDescent="0.15">
      <c r="A113" s="334">
        <v>2012</v>
      </c>
      <c r="B113" s="355"/>
      <c r="C113" s="812" t="s">
        <v>460</v>
      </c>
      <c r="D113" s="812"/>
      <c r="E113" s="334">
        <v>366</v>
      </c>
      <c r="F113" s="334">
        <v>1</v>
      </c>
      <c r="G113" s="419">
        <v>4</v>
      </c>
      <c r="H113" s="334">
        <v>1</v>
      </c>
      <c r="I113" s="334">
        <v>2</v>
      </c>
      <c r="J113" s="435">
        <v>7</v>
      </c>
      <c r="K113" s="384">
        <f t="shared" si="13"/>
        <v>57.142857142857139</v>
      </c>
      <c r="L113" s="384">
        <f t="shared" si="14"/>
        <v>14.285714285714285</v>
      </c>
      <c r="M113" s="384">
        <f t="shared" si="15"/>
        <v>28.571428571428569</v>
      </c>
      <c r="N113" s="421">
        <f t="shared" si="12"/>
        <v>99.999999999999986</v>
      </c>
      <c r="O113" s="383">
        <v>46.5</v>
      </c>
      <c r="P113" s="384">
        <v>14</v>
      </c>
      <c r="Q113" s="384">
        <v>23</v>
      </c>
      <c r="R113" s="385">
        <f t="shared" si="8"/>
        <v>83.5</v>
      </c>
      <c r="S113" s="334">
        <v>3</v>
      </c>
      <c r="T113" s="357"/>
      <c r="V113" s="343" t="s">
        <v>132</v>
      </c>
      <c r="W113" s="334" t="s">
        <v>22</v>
      </c>
      <c r="X113" s="334" t="s">
        <v>11</v>
      </c>
      <c r="Y113" s="344">
        <v>15</v>
      </c>
      <c r="Z113" s="334" t="s">
        <v>81</v>
      </c>
      <c r="AA113" s="334" t="s">
        <v>17</v>
      </c>
      <c r="AB113" s="334" t="s">
        <v>18</v>
      </c>
      <c r="AC113" s="334">
        <v>14</v>
      </c>
      <c r="AD113" s="343" t="s">
        <v>467</v>
      </c>
      <c r="AE113" s="334" t="s">
        <v>20</v>
      </c>
      <c r="AF113" s="334" t="s">
        <v>12</v>
      </c>
      <c r="AG113" s="344">
        <v>23</v>
      </c>
      <c r="AH113" s="334" t="s">
        <v>341</v>
      </c>
      <c r="AI113" s="334" t="s">
        <v>869</v>
      </c>
      <c r="AJ113" s="334" t="s">
        <v>11</v>
      </c>
      <c r="AK113" s="334">
        <v>27</v>
      </c>
      <c r="AL113" s="343" t="s">
        <v>342</v>
      </c>
      <c r="AM113" s="334" t="s">
        <v>74</v>
      </c>
      <c r="AN113" s="334" t="s">
        <v>11</v>
      </c>
      <c r="AO113" s="344">
        <v>4.5</v>
      </c>
      <c r="AP113" s="343"/>
      <c r="AS113" s="344"/>
      <c r="AW113" s="344"/>
      <c r="BA113" s="345"/>
    </row>
    <row r="114" spans="1:53" s="334" customFormat="1" x14ac:dyDescent="0.15">
      <c r="A114" s="334">
        <v>2013</v>
      </c>
      <c r="B114" s="355"/>
      <c r="C114" s="812" t="s">
        <v>460</v>
      </c>
      <c r="D114" s="812"/>
      <c r="E114" s="334">
        <v>0</v>
      </c>
      <c r="G114" s="419">
        <v>4</v>
      </c>
      <c r="H114" s="334">
        <v>1</v>
      </c>
      <c r="I114" s="334">
        <v>2</v>
      </c>
      <c r="J114" s="435">
        <v>7</v>
      </c>
      <c r="K114" s="384">
        <f t="shared" si="13"/>
        <v>57.142857142857139</v>
      </c>
      <c r="L114" s="384">
        <f t="shared" si="14"/>
        <v>14.285714285714285</v>
      </c>
      <c r="M114" s="384">
        <f t="shared" si="15"/>
        <v>28.571428571428569</v>
      </c>
      <c r="N114" s="421">
        <f>K114+L114+M114</f>
        <v>99.999999999999986</v>
      </c>
      <c r="O114" s="383">
        <v>46.5</v>
      </c>
      <c r="P114" s="384">
        <v>14</v>
      </c>
      <c r="Q114" s="384">
        <v>23</v>
      </c>
      <c r="R114" s="385">
        <f>O114+P114+Q114</f>
        <v>83.5</v>
      </c>
      <c r="S114" s="334">
        <v>3</v>
      </c>
      <c r="T114" s="357"/>
      <c r="V114" s="343" t="s">
        <v>132</v>
      </c>
      <c r="W114" s="334" t="s">
        <v>22</v>
      </c>
      <c r="X114" s="334" t="s">
        <v>11</v>
      </c>
      <c r="Y114" s="344">
        <v>15</v>
      </c>
      <c r="Z114" s="334" t="s">
        <v>81</v>
      </c>
      <c r="AA114" s="334" t="s">
        <v>17</v>
      </c>
      <c r="AB114" s="334" t="s">
        <v>18</v>
      </c>
      <c r="AC114" s="334">
        <v>14</v>
      </c>
      <c r="AD114" s="343" t="s">
        <v>467</v>
      </c>
      <c r="AE114" s="334" t="s">
        <v>20</v>
      </c>
      <c r="AF114" s="334" t="s">
        <v>12</v>
      </c>
      <c r="AG114" s="344">
        <v>23</v>
      </c>
      <c r="AH114" s="334" t="s">
        <v>341</v>
      </c>
      <c r="AI114" s="334" t="s">
        <v>869</v>
      </c>
      <c r="AJ114" s="334" t="s">
        <v>11</v>
      </c>
      <c r="AK114" s="334">
        <v>27</v>
      </c>
      <c r="AL114" s="343" t="s">
        <v>342</v>
      </c>
      <c r="AM114" s="334" t="s">
        <v>74</v>
      </c>
      <c r="AN114" s="334" t="s">
        <v>11</v>
      </c>
      <c r="AO114" s="344">
        <v>4.5</v>
      </c>
      <c r="AP114" s="343"/>
      <c r="AS114" s="344"/>
      <c r="AW114" s="344"/>
      <c r="BA114" s="345"/>
    </row>
    <row r="115" spans="1:53" s="334" customFormat="1" x14ac:dyDescent="0.15">
      <c r="A115" s="334">
        <v>2013</v>
      </c>
      <c r="B115" s="355"/>
      <c r="C115" s="812" t="s">
        <v>1268</v>
      </c>
      <c r="D115" s="812"/>
      <c r="E115" s="334">
        <v>365</v>
      </c>
      <c r="F115" s="334">
        <v>1</v>
      </c>
      <c r="G115" s="419">
        <v>4</v>
      </c>
      <c r="H115" s="334">
        <v>1</v>
      </c>
      <c r="I115" s="334">
        <v>2</v>
      </c>
      <c r="J115" s="435">
        <v>7</v>
      </c>
      <c r="K115" s="384">
        <f t="shared" si="13"/>
        <v>57.142857142857139</v>
      </c>
      <c r="L115" s="384">
        <f t="shared" si="14"/>
        <v>14.285714285714285</v>
      </c>
      <c r="M115" s="384">
        <f t="shared" si="15"/>
        <v>28.571428571428569</v>
      </c>
      <c r="N115" s="421">
        <f>K115+L115+M115</f>
        <v>99.999999999999986</v>
      </c>
      <c r="O115" s="383">
        <v>46.5</v>
      </c>
      <c r="P115" s="384">
        <v>14</v>
      </c>
      <c r="Q115" s="384">
        <v>23</v>
      </c>
      <c r="R115" s="385">
        <f>O115+P115+Q115</f>
        <v>83.5</v>
      </c>
      <c r="S115" s="334">
        <v>3</v>
      </c>
      <c r="T115" s="357"/>
      <c r="V115" s="343" t="s">
        <v>132</v>
      </c>
      <c r="W115" s="334" t="s">
        <v>22</v>
      </c>
      <c r="X115" s="334" t="s">
        <v>11</v>
      </c>
      <c r="Y115" s="344">
        <v>15</v>
      </c>
      <c r="Z115" s="334" t="s">
        <v>81</v>
      </c>
      <c r="AA115" s="334" t="s">
        <v>17</v>
      </c>
      <c r="AB115" s="334" t="s">
        <v>18</v>
      </c>
      <c r="AC115" s="334">
        <v>14</v>
      </c>
      <c r="AD115" s="343" t="s">
        <v>467</v>
      </c>
      <c r="AE115" s="334" t="s">
        <v>20</v>
      </c>
      <c r="AF115" s="334" t="s">
        <v>12</v>
      </c>
      <c r="AG115" s="344">
        <v>23</v>
      </c>
      <c r="AH115" s="334" t="s">
        <v>341</v>
      </c>
      <c r="AI115" s="334" t="s">
        <v>869</v>
      </c>
      <c r="AJ115" s="334" t="s">
        <v>11</v>
      </c>
      <c r="AK115" s="334">
        <v>27</v>
      </c>
      <c r="AL115" s="343" t="s">
        <v>342</v>
      </c>
      <c r="AM115" s="334" t="s">
        <v>74</v>
      </c>
      <c r="AN115" s="334" t="s">
        <v>11</v>
      </c>
      <c r="AO115" s="344">
        <v>4.5</v>
      </c>
      <c r="AP115" s="343"/>
      <c r="AS115" s="344"/>
      <c r="AW115" s="344"/>
      <c r="BA115" s="345"/>
    </row>
    <row r="116" spans="1:53" s="617" customFormat="1" x14ac:dyDescent="0.15">
      <c r="A116" s="627">
        <v>2014</v>
      </c>
      <c r="B116" s="631"/>
      <c r="C116" s="812" t="s">
        <v>1268</v>
      </c>
      <c r="D116" s="812"/>
      <c r="E116" s="627">
        <v>0</v>
      </c>
      <c r="F116" s="627"/>
      <c r="G116" s="636">
        <v>4</v>
      </c>
      <c r="H116" s="627">
        <v>1</v>
      </c>
      <c r="I116" s="627">
        <v>2</v>
      </c>
      <c r="J116" s="638">
        <v>7</v>
      </c>
      <c r="K116" s="634">
        <v>57.142857142857139</v>
      </c>
      <c r="L116" s="634">
        <v>14.285714285714285</v>
      </c>
      <c r="M116" s="634">
        <v>28.571428571428569</v>
      </c>
      <c r="N116" s="637">
        <v>99.999999999999986</v>
      </c>
      <c r="O116" s="633">
        <v>46.5</v>
      </c>
      <c r="P116" s="634">
        <v>14</v>
      </c>
      <c r="Q116" s="634">
        <v>23</v>
      </c>
      <c r="R116" s="635">
        <v>83.5</v>
      </c>
      <c r="S116" s="627">
        <v>3</v>
      </c>
      <c r="T116" s="632"/>
      <c r="U116" s="627"/>
      <c r="V116" s="628" t="s">
        <v>132</v>
      </c>
      <c r="W116" s="627" t="s">
        <v>22</v>
      </c>
      <c r="X116" s="627" t="s">
        <v>11</v>
      </c>
      <c r="Y116" s="629">
        <v>15</v>
      </c>
      <c r="Z116" s="627" t="s">
        <v>81</v>
      </c>
      <c r="AA116" s="627" t="s">
        <v>17</v>
      </c>
      <c r="AB116" s="627" t="s">
        <v>18</v>
      </c>
      <c r="AC116" s="627">
        <v>14</v>
      </c>
      <c r="AD116" s="628" t="s">
        <v>467</v>
      </c>
      <c r="AE116" s="627" t="s">
        <v>20</v>
      </c>
      <c r="AF116" s="627" t="s">
        <v>12</v>
      </c>
      <c r="AG116" s="629">
        <v>23</v>
      </c>
      <c r="AH116" s="627" t="s">
        <v>341</v>
      </c>
      <c r="AI116" s="627" t="s">
        <v>869</v>
      </c>
      <c r="AJ116" s="627" t="s">
        <v>11</v>
      </c>
      <c r="AK116" s="627">
        <v>27</v>
      </c>
      <c r="AL116" s="628" t="s">
        <v>342</v>
      </c>
      <c r="AM116" s="627" t="s">
        <v>74</v>
      </c>
      <c r="AN116" s="627" t="s">
        <v>11</v>
      </c>
      <c r="AO116" s="629">
        <v>4.5</v>
      </c>
      <c r="AP116" s="628"/>
      <c r="AQ116" s="627"/>
      <c r="AR116" s="627"/>
      <c r="AS116" s="629"/>
      <c r="AT116" s="627"/>
      <c r="AU116" s="627"/>
      <c r="AV116" s="627"/>
      <c r="AW116" s="629"/>
      <c r="AX116" s="627"/>
      <c r="AY116" s="627"/>
      <c r="AZ116" s="627"/>
      <c r="BA116" s="630"/>
    </row>
    <row r="117" spans="1:53" s="617" customFormat="1" x14ac:dyDescent="0.15">
      <c r="A117" s="640">
        <v>2014</v>
      </c>
      <c r="B117" s="644"/>
      <c r="C117" s="812" t="s">
        <v>1314</v>
      </c>
      <c r="D117" s="812"/>
      <c r="E117" s="640">
        <v>365</v>
      </c>
      <c r="F117" s="640">
        <v>1</v>
      </c>
      <c r="G117" s="649">
        <v>4</v>
      </c>
      <c r="H117" s="640">
        <v>1</v>
      </c>
      <c r="I117" s="640">
        <v>2</v>
      </c>
      <c r="J117" s="651">
        <v>7</v>
      </c>
      <c r="K117" s="647">
        <v>57.142857142857139</v>
      </c>
      <c r="L117" s="647">
        <v>14.285714285714285</v>
      </c>
      <c r="M117" s="647">
        <v>28.571428571428569</v>
      </c>
      <c r="N117" s="650">
        <v>99.999999999999986</v>
      </c>
      <c r="O117" s="646">
        <v>46.5</v>
      </c>
      <c r="P117" s="647">
        <v>14</v>
      </c>
      <c r="Q117" s="647">
        <v>23</v>
      </c>
      <c r="R117" s="648">
        <v>83.5</v>
      </c>
      <c r="S117" s="640">
        <v>3</v>
      </c>
      <c r="T117" s="645"/>
      <c r="U117" s="640"/>
      <c r="V117" s="641" t="s">
        <v>132</v>
      </c>
      <c r="W117" s="640" t="s">
        <v>22</v>
      </c>
      <c r="X117" s="640" t="s">
        <v>11</v>
      </c>
      <c r="Y117" s="642">
        <v>15</v>
      </c>
      <c r="Z117" s="640" t="s">
        <v>81</v>
      </c>
      <c r="AA117" s="640" t="s">
        <v>17</v>
      </c>
      <c r="AB117" s="640" t="s">
        <v>18</v>
      </c>
      <c r="AC117" s="640">
        <v>14</v>
      </c>
      <c r="AD117" s="641" t="s">
        <v>467</v>
      </c>
      <c r="AE117" s="640" t="s">
        <v>20</v>
      </c>
      <c r="AF117" s="640" t="s">
        <v>12</v>
      </c>
      <c r="AG117" s="642">
        <v>23</v>
      </c>
      <c r="AH117" s="640" t="s">
        <v>341</v>
      </c>
      <c r="AI117" s="640" t="s">
        <v>869</v>
      </c>
      <c r="AJ117" s="640" t="s">
        <v>11</v>
      </c>
      <c r="AK117" s="640">
        <v>27</v>
      </c>
      <c r="AL117" s="641" t="s">
        <v>342</v>
      </c>
      <c r="AM117" s="640" t="s">
        <v>74</v>
      </c>
      <c r="AN117" s="640" t="s">
        <v>11</v>
      </c>
      <c r="AO117" s="642">
        <v>4.5</v>
      </c>
      <c r="AP117" s="641"/>
      <c r="AQ117" s="640"/>
      <c r="AR117" s="640"/>
      <c r="AS117" s="642"/>
      <c r="AT117" s="640"/>
      <c r="AU117" s="640"/>
      <c r="AV117" s="640"/>
      <c r="AW117" s="642"/>
      <c r="AX117" s="640"/>
      <c r="AY117" s="640"/>
      <c r="AZ117" s="640"/>
      <c r="BA117" s="643"/>
    </row>
    <row r="118" spans="1:53" s="770" customFormat="1" x14ac:dyDescent="0.15">
      <c r="A118" s="770">
        <v>2015</v>
      </c>
      <c r="B118" s="766"/>
      <c r="C118" s="812" t="s">
        <v>1314</v>
      </c>
      <c r="D118" s="812"/>
      <c r="E118" s="770">
        <v>342</v>
      </c>
      <c r="G118" s="649">
        <v>4</v>
      </c>
      <c r="H118" s="770">
        <v>1</v>
      </c>
      <c r="I118" s="770">
        <v>2</v>
      </c>
      <c r="J118" s="651">
        <v>7</v>
      </c>
      <c r="K118" s="647">
        <v>57.142857142857139</v>
      </c>
      <c r="L118" s="647">
        <v>14.285714285714285</v>
      </c>
      <c r="M118" s="647">
        <v>28.571428571428569</v>
      </c>
      <c r="N118" s="650">
        <v>99.999999999999986</v>
      </c>
      <c r="O118" s="646">
        <v>46.5</v>
      </c>
      <c r="P118" s="647">
        <v>14</v>
      </c>
      <c r="Q118" s="647">
        <v>23</v>
      </c>
      <c r="R118" s="648">
        <v>83.5</v>
      </c>
      <c r="S118" s="770">
        <v>3</v>
      </c>
      <c r="T118" s="645"/>
      <c r="V118" s="641" t="s">
        <v>132</v>
      </c>
      <c r="W118" s="770" t="s">
        <v>22</v>
      </c>
      <c r="X118" s="770" t="s">
        <v>11</v>
      </c>
      <c r="Y118" s="642">
        <v>15</v>
      </c>
      <c r="Z118" s="770" t="s">
        <v>81</v>
      </c>
      <c r="AA118" s="770" t="s">
        <v>17</v>
      </c>
      <c r="AB118" s="770" t="s">
        <v>18</v>
      </c>
      <c r="AC118" s="770">
        <v>14</v>
      </c>
      <c r="AD118" s="641" t="s">
        <v>467</v>
      </c>
      <c r="AE118" s="770" t="s">
        <v>20</v>
      </c>
      <c r="AF118" s="770" t="s">
        <v>12</v>
      </c>
      <c r="AG118" s="642">
        <v>23</v>
      </c>
      <c r="AH118" s="770" t="s">
        <v>341</v>
      </c>
      <c r="AI118" s="770" t="s">
        <v>869</v>
      </c>
      <c r="AJ118" s="770" t="s">
        <v>11</v>
      </c>
      <c r="AK118" s="770">
        <v>27</v>
      </c>
      <c r="AL118" s="641" t="s">
        <v>342</v>
      </c>
      <c r="AM118" s="770" t="s">
        <v>74</v>
      </c>
      <c r="AN118" s="770" t="s">
        <v>11</v>
      </c>
      <c r="AO118" s="642">
        <v>4.5</v>
      </c>
      <c r="AP118" s="641"/>
      <c r="AS118" s="642"/>
      <c r="AW118" s="642"/>
      <c r="BA118" s="643"/>
    </row>
    <row r="119" spans="1:53" s="769" customFormat="1" x14ac:dyDescent="0.15">
      <c r="A119" s="769">
        <v>2015</v>
      </c>
      <c r="B119" s="769">
        <v>42347</v>
      </c>
      <c r="C119" s="811" t="s">
        <v>1353</v>
      </c>
      <c r="D119" s="811"/>
      <c r="E119" s="769">
        <v>23</v>
      </c>
      <c r="F119" s="769">
        <v>1</v>
      </c>
      <c r="G119" s="600">
        <v>4</v>
      </c>
      <c r="H119" s="769">
        <v>1</v>
      </c>
      <c r="I119" s="769">
        <v>2</v>
      </c>
      <c r="J119" s="602">
        <v>7</v>
      </c>
      <c r="K119" s="597">
        <v>57.142857142857103</v>
      </c>
      <c r="L119" s="597">
        <v>14.285714285714301</v>
      </c>
      <c r="M119" s="597">
        <v>28.571428571428601</v>
      </c>
      <c r="N119" s="601">
        <v>100</v>
      </c>
      <c r="O119" s="596">
        <v>49</v>
      </c>
      <c r="P119" s="597">
        <v>14</v>
      </c>
      <c r="Q119" s="597">
        <v>28.6</v>
      </c>
      <c r="R119" s="598">
        <f t="shared" ref="R119" si="16">O119+P119+Q119</f>
        <v>91.6</v>
      </c>
      <c r="S119" s="769">
        <v>3</v>
      </c>
      <c r="T119" s="577"/>
      <c r="V119" s="592" t="s">
        <v>132</v>
      </c>
      <c r="W119" s="769" t="s">
        <v>22</v>
      </c>
      <c r="X119" s="769" t="s">
        <v>11</v>
      </c>
      <c r="Y119" s="593">
        <v>16.5</v>
      </c>
      <c r="Z119" s="769" t="s">
        <v>81</v>
      </c>
      <c r="AA119" s="769" t="s">
        <v>17</v>
      </c>
      <c r="AB119" s="769" t="s">
        <v>18</v>
      </c>
      <c r="AC119" s="769">
        <v>14</v>
      </c>
      <c r="AD119" s="592" t="s">
        <v>467</v>
      </c>
      <c r="AE119" s="769" t="s">
        <v>20</v>
      </c>
      <c r="AF119" s="769" t="s">
        <v>12</v>
      </c>
      <c r="AG119" s="593">
        <v>21.5</v>
      </c>
      <c r="AH119" s="769" t="s">
        <v>341</v>
      </c>
      <c r="AI119" s="769" t="s">
        <v>869</v>
      </c>
      <c r="AJ119" s="769" t="s">
        <v>11</v>
      </c>
      <c r="AK119" s="769">
        <v>32.5</v>
      </c>
      <c r="AL119" s="592"/>
      <c r="AO119" s="593"/>
      <c r="AP119" s="592"/>
      <c r="AS119" s="593"/>
      <c r="AW119" s="593"/>
      <c r="BA119" s="594"/>
    </row>
    <row r="122" spans="1:53" s="2" customFormat="1" ht="18" customHeight="1" x14ac:dyDescent="0.2">
      <c r="B122" s="22" t="s">
        <v>1284</v>
      </c>
      <c r="H122" s="6"/>
    </row>
    <row r="123" spans="1:53" s="2" customFormat="1" ht="9" customHeight="1" x14ac:dyDescent="0.15">
      <c r="H123" s="6"/>
    </row>
    <row r="124" spans="1:53" s="364" customFormat="1" ht="9" customHeight="1" x14ac:dyDescent="0.15">
      <c r="A124" s="362"/>
      <c r="B124" s="363" t="s">
        <v>1235</v>
      </c>
      <c r="C124" s="363"/>
      <c r="D124" s="363"/>
      <c r="E124" s="363"/>
      <c r="F124" s="363"/>
      <c r="G124" s="363" t="s">
        <v>1236</v>
      </c>
      <c r="H124" s="363"/>
      <c r="I124" s="363"/>
      <c r="J124" s="363"/>
      <c r="K124" s="363"/>
      <c r="L124" s="363"/>
      <c r="M124" s="363"/>
      <c r="N124" s="363"/>
      <c r="R124" s="802" t="s">
        <v>1237</v>
      </c>
      <c r="S124" s="802"/>
      <c r="T124" s="802"/>
      <c r="U124" s="802"/>
      <c r="V124" s="802"/>
      <c r="W124" s="802"/>
      <c r="X124" s="365"/>
      <c r="Y124" s="365"/>
      <c r="AA124" s="365"/>
      <c r="AB124" s="365"/>
      <c r="AC124" s="365"/>
      <c r="AD124" s="365"/>
    </row>
    <row r="125" spans="1:53" s="369" customFormat="1" ht="9" customHeight="1" x14ac:dyDescent="0.15">
      <c r="A125" s="366"/>
      <c r="B125" s="367" t="s">
        <v>1239</v>
      </c>
      <c r="C125" s="368"/>
      <c r="D125" s="368"/>
      <c r="E125" s="368"/>
      <c r="F125" s="368"/>
      <c r="G125" s="367" t="s">
        <v>1238</v>
      </c>
      <c r="H125" s="368"/>
      <c r="I125" s="368"/>
      <c r="J125" s="368"/>
      <c r="K125" s="368"/>
      <c r="L125" s="368"/>
      <c r="M125" s="368"/>
      <c r="N125" s="368"/>
      <c r="R125" s="370" t="s">
        <v>1240</v>
      </c>
      <c r="S125" s="371"/>
      <c r="T125" s="372"/>
      <c r="U125" s="372"/>
      <c r="V125" s="372"/>
      <c r="W125" s="370" t="s">
        <v>1241</v>
      </c>
      <c r="X125" s="372"/>
      <c r="Y125" s="372"/>
      <c r="AA125" s="372"/>
      <c r="AB125" s="372"/>
      <c r="AC125" s="372"/>
      <c r="AD125" s="372"/>
    </row>
    <row r="126" spans="1:53" s="351" customFormat="1" ht="12" customHeight="1" x14ac:dyDescent="0.15">
      <c r="A126" s="373" t="s">
        <v>3</v>
      </c>
      <c r="B126" s="374" t="s">
        <v>8</v>
      </c>
      <c r="C126" s="374" t="s">
        <v>9</v>
      </c>
      <c r="D126" s="374" t="s">
        <v>10</v>
      </c>
      <c r="E126" s="375" t="s">
        <v>1215</v>
      </c>
      <c r="F126" s="374"/>
      <c r="G126" s="351" t="s">
        <v>3</v>
      </c>
      <c r="H126" s="803" t="s">
        <v>0</v>
      </c>
      <c r="I126" s="803"/>
      <c r="J126" s="803" t="s">
        <v>1</v>
      </c>
      <c r="K126" s="803"/>
      <c r="L126" s="803" t="s">
        <v>2</v>
      </c>
      <c r="M126" s="803"/>
      <c r="N126" s="804" t="s">
        <v>1215</v>
      </c>
      <c r="O126" s="804"/>
      <c r="P126" s="376"/>
      <c r="Q126" s="376"/>
      <c r="R126" s="377" t="s">
        <v>3</v>
      </c>
      <c r="S126" s="378" t="s">
        <v>136</v>
      </c>
      <c r="T126" s="376" t="s">
        <v>134</v>
      </c>
      <c r="U126" s="374" t="s">
        <v>135</v>
      </c>
      <c r="V126" s="376"/>
      <c r="W126" s="379" t="s">
        <v>26</v>
      </c>
    </row>
    <row r="127" spans="1:53" s="273" customFormat="1" x14ac:dyDescent="0.15">
      <c r="A127" s="273">
        <v>1959</v>
      </c>
      <c r="B127" s="260">
        <f>(K6*($E6/365)) + (K7*($E7/365))</f>
        <v>56.55577299412915</v>
      </c>
      <c r="C127" s="260">
        <f>(L6*($E6/365)) + (L7*($E7/365))</f>
        <v>42.270058708414872</v>
      </c>
      <c r="D127" s="260">
        <f>(M6*($E6/365)) + (M7*($E7/365))</f>
        <v>1.1741682974559686</v>
      </c>
      <c r="E127" s="261">
        <f>B127+C127+D127</f>
        <v>99.999999999999986</v>
      </c>
      <c r="G127" s="273">
        <v>1959</v>
      </c>
      <c r="H127" s="819">
        <f>(O6/$R6*100*($E6/365))+(O7/$R7*100*($E7/365))</f>
        <v>59.743182497238152</v>
      </c>
      <c r="I127" s="819"/>
      <c r="J127" s="819">
        <f>(P6/$R6*100*($E6/365))+(P7/$R7*100*($E7/365))</f>
        <v>39.038467273930678</v>
      </c>
      <c r="K127" s="819"/>
      <c r="L127" s="819">
        <f>(Q6/$R6*100*($E6/365))+(Q7/$R7*100*($E7/365))</f>
        <v>1.2183502288311647</v>
      </c>
      <c r="M127" s="819"/>
      <c r="N127" s="813">
        <f>H127+J127+L127</f>
        <v>100</v>
      </c>
      <c r="O127" s="813"/>
      <c r="R127" s="273">
        <v>1959</v>
      </c>
      <c r="S127" s="260">
        <f>(O6*($E6/365)) + (O7*($E7/365))</f>
        <v>36.741095890410961</v>
      </c>
      <c r="T127" s="260">
        <f>(P6*($E6/365)) + (P7*($E7/365))</f>
        <v>24</v>
      </c>
      <c r="U127" s="260">
        <f>(Q6*($E6/365)) + (Q7*($E7/365))</f>
        <v>1.0684931506849313</v>
      </c>
      <c r="V127" s="274"/>
      <c r="W127" s="274">
        <f>S127+T127+U127</f>
        <v>61.80958904109589</v>
      </c>
    </row>
    <row r="128" spans="1:53" x14ac:dyDescent="0.15">
      <c r="A128" s="1">
        <v>1960</v>
      </c>
      <c r="B128" s="8">
        <f>(K8*($E8/366))+(K9*($E9/366))</f>
        <v>42.857142857142854</v>
      </c>
      <c r="C128" s="8">
        <f>(L8*($E8/366))+(L9*($E9/366))</f>
        <v>28.571428571428569</v>
      </c>
      <c r="D128" s="8">
        <f>(M8*($E8/366))+(M9*($E9/366))</f>
        <v>28.571428571428569</v>
      </c>
      <c r="E128" s="50">
        <f>B128+C128+D128</f>
        <v>99.999999999999986</v>
      </c>
      <c r="G128" s="1">
        <v>1960</v>
      </c>
      <c r="H128" s="809">
        <f>(O8/$R8*100*($E8/366))+(O9/$R9*100*($E9/366))</f>
        <v>42.987457240592931</v>
      </c>
      <c r="I128" s="809"/>
      <c r="J128" s="809">
        <f>(P8/$R8*100*($E8/366))+(P9/$R9*100*($E9/366))</f>
        <v>27.366020524515395</v>
      </c>
      <c r="K128" s="809"/>
      <c r="L128" s="809">
        <f>(Q8/$R8*100*($E8/366))+(Q9/$R9*100*($E9/366))</f>
        <v>29.646522234891677</v>
      </c>
      <c r="M128" s="809"/>
      <c r="N128" s="810">
        <f t="shared" ref="N128:N159" si="17">H128+J128+L128</f>
        <v>100</v>
      </c>
      <c r="O128" s="810"/>
      <c r="P128" s="2"/>
      <c r="R128" s="1">
        <v>1960</v>
      </c>
      <c r="S128" s="8">
        <f>(O8*($E8/366))+(O9*($E9/366))</f>
        <v>37.700000000000003</v>
      </c>
      <c r="T128" s="8">
        <f>(P8*($E8/366))+(P9*($E9/366))</f>
        <v>24</v>
      </c>
      <c r="U128" s="8">
        <f>(Q8*($E8/366))+(Q9*($E9/366))</f>
        <v>26</v>
      </c>
      <c r="V128" s="7"/>
      <c r="W128" s="7">
        <f>S128+T128+U128</f>
        <v>87.7</v>
      </c>
    </row>
    <row r="129" spans="1:23" x14ac:dyDescent="0.15">
      <c r="A129" s="1">
        <v>1961</v>
      </c>
      <c r="B129" s="8">
        <f>(K10*($E10/365))+(K11*($E11/365))</f>
        <v>42.857142857142854</v>
      </c>
      <c r="C129" s="8">
        <f>(L10*($E10/365))+(L11*($E11/365))</f>
        <v>28.571428571428569</v>
      </c>
      <c r="D129" s="8">
        <f>(M10*($E10/365))+(M11*($E11/365))</f>
        <v>28.571428571428569</v>
      </c>
      <c r="E129" s="50">
        <f t="shared" ref="E129:E181" si="18">B129+C129+D129</f>
        <v>99.999999999999986</v>
      </c>
      <c r="G129" s="1">
        <v>1961</v>
      </c>
      <c r="H129" s="809">
        <f>(O10/$R10*100*($E10/365))+(O11/$R11*100*($E11/365))</f>
        <v>42.987457240592931</v>
      </c>
      <c r="I129" s="809"/>
      <c r="J129" s="809">
        <f>(P10/$R10*100*($E10/365))+(P11/$R11*100*($E11/365))</f>
        <v>27.366020524515395</v>
      </c>
      <c r="K129" s="809"/>
      <c r="L129" s="809">
        <f>(Q10/$R10*100*($E10/365))+(Q11/$R11*100*($E11/365))</f>
        <v>29.646522234891677</v>
      </c>
      <c r="M129" s="809"/>
      <c r="N129" s="781">
        <f t="shared" si="17"/>
        <v>100</v>
      </c>
      <c r="O129" s="781"/>
      <c r="R129" s="1">
        <v>1961</v>
      </c>
      <c r="S129" s="8">
        <f>(O10*($E10/365))+(O11*($E11/365))</f>
        <v>37.700000000000003</v>
      </c>
      <c r="T129" s="8">
        <f>(P10*($E10/365))+(P11*($E11/365))</f>
        <v>24</v>
      </c>
      <c r="U129" s="8">
        <f>(Q10*($E10/365))+(Q11*($E11/365))</f>
        <v>26</v>
      </c>
      <c r="V129" s="7"/>
      <c r="W129" s="7">
        <f t="shared" ref="W129:W181" si="19">S129+T129+U129</f>
        <v>87.7</v>
      </c>
    </row>
    <row r="130" spans="1:23" x14ac:dyDescent="0.15">
      <c r="A130" s="1">
        <v>1962</v>
      </c>
      <c r="B130" s="8">
        <f>(K12*($E12/365))+(K13*($E13/365))</f>
        <v>42.857142857142854</v>
      </c>
      <c r="C130" s="8">
        <f>(L12*($E12/365))+(L13*($E13/365))</f>
        <v>28.571428571428569</v>
      </c>
      <c r="D130" s="8">
        <f>(M12*($E12/365))+(M13*($E13/365))</f>
        <v>28.571428571428569</v>
      </c>
      <c r="E130" s="50">
        <f t="shared" si="18"/>
        <v>99.999999999999986</v>
      </c>
      <c r="G130" s="1">
        <v>1962</v>
      </c>
      <c r="H130" s="809">
        <f>(O12/$R12*100*($E12/365))+(O13/$R13*100*($E13/365))</f>
        <v>42.987457240592931</v>
      </c>
      <c r="I130" s="809"/>
      <c r="J130" s="809">
        <f>(P12/$R12*100*($E12/365))+(P13/$R13*100*($E13/365))</f>
        <v>27.366020524515395</v>
      </c>
      <c r="K130" s="809"/>
      <c r="L130" s="809">
        <f>(Q12/$R12*100*($E12/365))+(Q13/$R13*100*($E13/365))</f>
        <v>29.646522234891677</v>
      </c>
      <c r="M130" s="809"/>
      <c r="N130" s="781">
        <f t="shared" si="17"/>
        <v>100</v>
      </c>
      <c r="O130" s="781"/>
      <c r="R130" s="1">
        <v>1962</v>
      </c>
      <c r="S130" s="8">
        <f>(O12*($E12/365))+(O13*($E13/365))</f>
        <v>37.700000000000003</v>
      </c>
      <c r="T130" s="8">
        <f>(P12*($E12/365))+(P13*($E13/365))</f>
        <v>24</v>
      </c>
      <c r="U130" s="8">
        <f>(Q12*($E12/365))+(Q13*($E13/365))</f>
        <v>26</v>
      </c>
      <c r="V130" s="7"/>
      <c r="W130" s="7">
        <f t="shared" si="19"/>
        <v>87.7</v>
      </c>
    </row>
    <row r="131" spans="1:23" x14ac:dyDescent="0.15">
      <c r="A131" s="1">
        <v>1963</v>
      </c>
      <c r="B131" s="8">
        <f>(K14*($E14/365))+(K15*($E15/365))</f>
        <v>42.857142857142854</v>
      </c>
      <c r="C131" s="8">
        <f>(L14*($E14/365))+(L15*($E15/365))</f>
        <v>28.571428571428569</v>
      </c>
      <c r="D131" s="8">
        <f>(M14*($E14/365))+(M15*($E15/365))</f>
        <v>28.571428571428569</v>
      </c>
      <c r="E131" s="50">
        <f t="shared" si="18"/>
        <v>99.999999999999986</v>
      </c>
      <c r="G131" s="1">
        <v>1963</v>
      </c>
      <c r="H131" s="809">
        <f>(O14/$R14*100*($E14/365))+(O15/$R15*100*($E15/365))</f>
        <v>42.930830706231994</v>
      </c>
      <c r="I131" s="809"/>
      <c r="J131" s="809">
        <f>(P14/$R14*100*($E14/365))+(P15/$R15*100*($E15/365))</f>
        <v>27.378085531202316</v>
      </c>
      <c r="K131" s="809"/>
      <c r="L131" s="809">
        <f>(Q14/$R14*100*($E14/365))+(Q15/$R15*100*($E15/365))</f>
        <v>29.691083762565697</v>
      </c>
      <c r="M131" s="809"/>
      <c r="N131" s="781">
        <f t="shared" si="17"/>
        <v>100.00000000000001</v>
      </c>
      <c r="O131" s="781"/>
      <c r="R131" s="1">
        <v>1963</v>
      </c>
      <c r="S131" s="8">
        <f>(O14*($E14/365))+(O15*($E15/365))</f>
        <v>37.634246575342466</v>
      </c>
      <c r="T131" s="8">
        <f>(P14*($E14/365))+(P15*($E15/365))</f>
        <v>24</v>
      </c>
      <c r="U131" s="8">
        <f>(Q14*($E14/365))+(Q15*($E15/365))</f>
        <v>26.027397260273975</v>
      </c>
      <c r="V131" s="7"/>
      <c r="W131" s="7">
        <f t="shared" si="19"/>
        <v>87.661643835616445</v>
      </c>
    </row>
    <row r="132" spans="1:23" x14ac:dyDescent="0.15">
      <c r="A132" s="1">
        <v>1964</v>
      </c>
      <c r="B132" s="8">
        <f>(K16*($E16/366))+(K17*($E17/366))</f>
        <v>42.857142857142854</v>
      </c>
      <c r="C132" s="8">
        <f>(L16*($E16/366))+(L17*($E17/366))</f>
        <v>28.571428571428569</v>
      </c>
      <c r="D132" s="8">
        <f>(M16*($E16/366))+(M17*($E17/366))</f>
        <v>28.571428571428569</v>
      </c>
      <c r="E132" s="50">
        <f t="shared" si="18"/>
        <v>99.999999999999986</v>
      </c>
      <c r="G132" s="1">
        <v>1964</v>
      </c>
      <c r="H132" s="809">
        <f>(O16/$R16*100*($E16/366))+(O17/$R17*100*($E17/366))</f>
        <v>41.954022988505749</v>
      </c>
      <c r="I132" s="809"/>
      <c r="J132" s="809">
        <f>(P16/$R16*100*($E16/366))+(P17/$R17*100*($E17/366))</f>
        <v>27.586206896551722</v>
      </c>
      <c r="K132" s="809"/>
      <c r="L132" s="809">
        <f>(Q16/$R16*100*($E16/366))+(Q17/$R17*100*($E17/366))</f>
        <v>30.459770114942529</v>
      </c>
      <c r="M132" s="809"/>
      <c r="N132" s="781">
        <f t="shared" si="17"/>
        <v>100</v>
      </c>
      <c r="O132" s="781"/>
      <c r="R132" s="1">
        <v>1964</v>
      </c>
      <c r="S132" s="8">
        <f>(O16*($E16/366))+(O17*($E17/366))</f>
        <v>36.5</v>
      </c>
      <c r="T132" s="8">
        <f>(P16*($E16/366))+(P17*($E17/366))</f>
        <v>24</v>
      </c>
      <c r="U132" s="8">
        <f>(Q16*($E16/366))+(Q17*($E17/366))</f>
        <v>26.5</v>
      </c>
      <c r="V132" s="7"/>
      <c r="W132" s="7">
        <f t="shared" si="19"/>
        <v>87</v>
      </c>
    </row>
    <row r="133" spans="1:23" x14ac:dyDescent="0.15">
      <c r="A133" s="1">
        <v>1965</v>
      </c>
      <c r="B133" s="8">
        <f>(K18*($E18/365))+(K19*($E19/365))</f>
        <v>42.857142857142854</v>
      </c>
      <c r="C133" s="8">
        <f>(L18*($E18/365))+(L19*($E19/365))</f>
        <v>28.571428571428569</v>
      </c>
      <c r="D133" s="8">
        <f>(M18*($E18/365))+(M19*($E19/365))</f>
        <v>28.571428571428569</v>
      </c>
      <c r="E133" s="50">
        <f t="shared" si="18"/>
        <v>99.999999999999986</v>
      </c>
      <c r="G133" s="1">
        <v>1965</v>
      </c>
      <c r="H133" s="809">
        <f>(O18/$R18*100*($E18/365))+(O19/$R19*100*($E19/365))</f>
        <v>41.954022988505749</v>
      </c>
      <c r="I133" s="809"/>
      <c r="J133" s="809">
        <f>(P18/$R18*100*($E18/365))+(P19/$R19*100*($E19/365))</f>
        <v>27.586206896551722</v>
      </c>
      <c r="K133" s="809"/>
      <c r="L133" s="809">
        <f>(Q18/$R18*100*($E18/365))+(Q19/$R19*100*($E19/365))</f>
        <v>30.459770114942529</v>
      </c>
      <c r="M133" s="809"/>
      <c r="N133" s="781">
        <f t="shared" si="17"/>
        <v>100</v>
      </c>
      <c r="O133" s="781"/>
      <c r="R133" s="1">
        <v>1965</v>
      </c>
      <c r="S133" s="8">
        <f>(O18*($E18/365))+(O19*($E19/365))</f>
        <v>36.5</v>
      </c>
      <c r="T133" s="8">
        <f>(P18*($E18/365))+(P19*($E19/365))</f>
        <v>24</v>
      </c>
      <c r="U133" s="8">
        <f>(Q18*($E18/365))+(Q19*($E19/365))</f>
        <v>26.5</v>
      </c>
      <c r="V133" s="7"/>
      <c r="W133" s="7">
        <f t="shared" si="19"/>
        <v>87</v>
      </c>
    </row>
    <row r="134" spans="1:23" x14ac:dyDescent="0.15">
      <c r="A134" s="1">
        <v>1966</v>
      </c>
      <c r="B134" s="8">
        <f>(K20*($E20/365))+(K21*($E21/365))</f>
        <v>42.857142857142854</v>
      </c>
      <c r="C134" s="8">
        <f>(L20*($E20/365))+(L21*($E21/365))</f>
        <v>28.571428571428569</v>
      </c>
      <c r="D134" s="8">
        <f>(M20*($E20/365))+(M21*($E21/365))</f>
        <v>28.571428571428569</v>
      </c>
      <c r="E134" s="50">
        <f t="shared" si="18"/>
        <v>99.999999999999986</v>
      </c>
      <c r="G134" s="1">
        <v>1966</v>
      </c>
      <c r="H134" s="809">
        <f>(O20/$R20*100*($E20/365))+(O21/$R21*100*($E21/365))</f>
        <v>41.954022988505749</v>
      </c>
      <c r="I134" s="809"/>
      <c r="J134" s="809">
        <f>(P20/$R20*100*($E20/365))+(P21/$R21*100*($E21/365))</f>
        <v>27.586206896551722</v>
      </c>
      <c r="K134" s="809"/>
      <c r="L134" s="809">
        <f>(Q20/$R20*100*($E20/365))+(Q21/$R21*100*($E21/365))</f>
        <v>30.459770114942529</v>
      </c>
      <c r="M134" s="809"/>
      <c r="N134" s="781">
        <f t="shared" si="17"/>
        <v>100</v>
      </c>
      <c r="O134" s="781"/>
      <c r="R134" s="1">
        <v>1966</v>
      </c>
      <c r="S134" s="8">
        <f>(O20*($E20/365))+(O21*($E21/365))</f>
        <v>36.5</v>
      </c>
      <c r="T134" s="8">
        <f>(P20*($E20/365))+(P21*($E21/365))</f>
        <v>24</v>
      </c>
      <c r="U134" s="8">
        <f>(Q20*($E20/365))+(Q21*($E21/365))</f>
        <v>26.5</v>
      </c>
      <c r="V134" s="7"/>
      <c r="W134" s="7">
        <f t="shared" si="19"/>
        <v>87</v>
      </c>
    </row>
    <row r="135" spans="1:23" x14ac:dyDescent="0.15">
      <c r="A135" s="1">
        <v>1967</v>
      </c>
      <c r="B135" s="8">
        <f>(K22*($E22/365))+(K23*($E23/365))</f>
        <v>42.857142857142854</v>
      </c>
      <c r="C135" s="8">
        <f>(L22*($E22/365))+(L23*($E23/365))</f>
        <v>28.571428571428569</v>
      </c>
      <c r="D135" s="8">
        <f>(M22*($E22/365))+(M23*($E23/365))</f>
        <v>28.571428571428569</v>
      </c>
      <c r="E135" s="50">
        <f t="shared" si="18"/>
        <v>99.999999999999986</v>
      </c>
      <c r="G135" s="1">
        <v>1967</v>
      </c>
      <c r="H135" s="809">
        <f>(O22/$R22*100*($E22/365))+(O23/$R23*100*($E23/365))</f>
        <v>41.955199162260762</v>
      </c>
      <c r="I135" s="809"/>
      <c r="J135" s="809">
        <f>(P22/$R22*100*($E22/365))+(P23/$R23*100*($E23/365))</f>
        <v>27.583588961419604</v>
      </c>
      <c r="K135" s="809"/>
      <c r="L135" s="809">
        <f>(Q22/$R22*100*($E22/365))+(Q23/$R23*100*($E23/365))</f>
        <v>30.461211876319638</v>
      </c>
      <c r="M135" s="809"/>
      <c r="N135" s="781">
        <f t="shared" si="17"/>
        <v>100</v>
      </c>
      <c r="O135" s="781"/>
      <c r="R135" s="1">
        <v>1967</v>
      </c>
      <c r="S135" s="8">
        <f>(O22*($E22/365))+(O23*($E23/365))</f>
        <v>36.491780821917814</v>
      </c>
      <c r="T135" s="8">
        <f>(P22*($E22/365))+(P23*($E23/365))</f>
        <v>23.991780821917811</v>
      </c>
      <c r="U135" s="8">
        <f>(Q22*($E22/365))+(Q23*($E23/365))</f>
        <v>26.494520547945204</v>
      </c>
      <c r="V135" s="7"/>
      <c r="W135" s="7">
        <f t="shared" si="19"/>
        <v>86.978082191780828</v>
      </c>
    </row>
    <row r="136" spans="1:23" x14ac:dyDescent="0.15">
      <c r="A136" s="1">
        <v>1968</v>
      </c>
      <c r="B136" s="8">
        <f>(K24*($E24/366))+(K25*($E25/366))</f>
        <v>42.857142857142854</v>
      </c>
      <c r="C136" s="8">
        <f>(L24*($E24/366))+(L25*($E25/366))</f>
        <v>28.571428571428569</v>
      </c>
      <c r="D136" s="8">
        <f>(M24*($E24/366))+(M25*($E25/366))</f>
        <v>28.571428571428569</v>
      </c>
      <c r="E136" s="50">
        <f t="shared" si="18"/>
        <v>99.999999999999986</v>
      </c>
      <c r="G136" s="1">
        <v>1968</v>
      </c>
      <c r="H136" s="809">
        <f>(O24/$R24*100*($E24/366))+(O25/$R25*100*($E25/366))</f>
        <v>42.168674698795186</v>
      </c>
      <c r="I136" s="809"/>
      <c r="J136" s="809">
        <f>(P24/$R24*100*($E24/366))+(P25/$R25*100*($E25/366))</f>
        <v>27.108433734939759</v>
      </c>
      <c r="K136" s="809"/>
      <c r="L136" s="809">
        <f>(Q24/$R24*100*($E24/366))+(Q25/$R25*100*($E25/366))</f>
        <v>30.722891566265059</v>
      </c>
      <c r="M136" s="809"/>
      <c r="N136" s="781">
        <f t="shared" si="17"/>
        <v>100.00000000000001</v>
      </c>
      <c r="O136" s="781"/>
      <c r="R136" s="1">
        <v>1968</v>
      </c>
      <c r="S136" s="8">
        <f>(O24*($E24/366))+(O25*($E25/366))</f>
        <v>35</v>
      </c>
      <c r="T136" s="8">
        <f>(P24*($E24/366))+(P25*($E25/366))</f>
        <v>22.5</v>
      </c>
      <c r="U136" s="8">
        <f>(Q24*($E24/366))+(Q25*($E25/366))</f>
        <v>25.5</v>
      </c>
      <c r="V136" s="7"/>
      <c r="W136" s="7">
        <f t="shared" si="19"/>
        <v>83</v>
      </c>
    </row>
    <row r="137" spans="1:23" x14ac:dyDescent="0.15">
      <c r="A137" s="1">
        <v>1969</v>
      </c>
      <c r="B137" s="8">
        <f>(K26*($E26/365))+(K27*($E27/365))</f>
        <v>42.857142857142854</v>
      </c>
      <c r="C137" s="8">
        <f>(L26*($E26/365))+(L27*($E27/365))</f>
        <v>28.571428571428569</v>
      </c>
      <c r="D137" s="8">
        <f>(M26*($E26/365))+(M27*($E27/365))</f>
        <v>28.571428571428569</v>
      </c>
      <c r="E137" s="50">
        <f t="shared" si="18"/>
        <v>99.999999999999986</v>
      </c>
      <c r="G137" s="1">
        <v>1969</v>
      </c>
      <c r="H137" s="809">
        <f>(O26/$R26*100*($E26/365))+(O27/$R27*100*($E27/365))</f>
        <v>42.168674698795186</v>
      </c>
      <c r="I137" s="809"/>
      <c r="J137" s="809">
        <f>(P26/$R26*100*($E26/365))+(P27/$R27*100*($E27/365))</f>
        <v>27.108433734939759</v>
      </c>
      <c r="K137" s="809"/>
      <c r="L137" s="809">
        <f>(Q26/$R26*100*($E26/365))+(Q27/$R27*100*($E27/365))</f>
        <v>30.722891566265059</v>
      </c>
      <c r="M137" s="809"/>
      <c r="N137" s="781">
        <f t="shared" si="17"/>
        <v>100.00000000000001</v>
      </c>
      <c r="O137" s="781"/>
      <c r="R137" s="1">
        <v>1969</v>
      </c>
      <c r="S137" s="8">
        <f>(O26*($E26/365))+(O27*($E27/365))</f>
        <v>35</v>
      </c>
      <c r="T137" s="8">
        <f>(P26*($E26/365))+(P27*($E27/365))</f>
        <v>22.5</v>
      </c>
      <c r="U137" s="8">
        <f>(Q26*($E26/365))+(Q27*($E27/365))</f>
        <v>25.5</v>
      </c>
      <c r="V137" s="7"/>
      <c r="W137" s="7">
        <f t="shared" si="19"/>
        <v>83</v>
      </c>
    </row>
    <row r="138" spans="1:23" x14ac:dyDescent="0.15">
      <c r="A138" s="1">
        <v>1970</v>
      </c>
      <c r="B138" s="8">
        <f>(K28*($E28/365))+(K29*($E29/365))</f>
        <v>42.857142857142854</v>
      </c>
      <c r="C138" s="8">
        <f>(L28*($E28/365))+(L29*($E29/365))</f>
        <v>28.571428571428569</v>
      </c>
      <c r="D138" s="8">
        <f>(M28*($E28/365))+(M29*($E29/365))</f>
        <v>28.571428571428569</v>
      </c>
      <c r="E138" s="50">
        <f t="shared" si="18"/>
        <v>99.999999999999986</v>
      </c>
      <c r="G138" s="1">
        <v>1970</v>
      </c>
      <c r="H138" s="809">
        <f>(O28/$R28*100*($E28/365))+(O29/$R29*100*($E29/365))</f>
        <v>42.168674698795186</v>
      </c>
      <c r="I138" s="809"/>
      <c r="J138" s="809">
        <f>(P28/$R28*100*($E28/365))+(P29/$R29*100*($E29/365))</f>
        <v>27.108433734939759</v>
      </c>
      <c r="K138" s="809"/>
      <c r="L138" s="809">
        <f>(Q28/$R28*100*($E28/365))+(Q29/$R29*100*($E29/365))</f>
        <v>30.722891566265059</v>
      </c>
      <c r="M138" s="809"/>
      <c r="N138" s="781">
        <f t="shared" si="17"/>
        <v>100.00000000000001</v>
      </c>
      <c r="O138" s="781"/>
      <c r="R138" s="1">
        <v>1970</v>
      </c>
      <c r="S138" s="8">
        <f>(O28*($E28/365))+(O29*($E29/365))</f>
        <v>35</v>
      </c>
      <c r="T138" s="8">
        <f>(P28*($E28/365))+(P29*($E29/365))</f>
        <v>22.5</v>
      </c>
      <c r="U138" s="8">
        <f>(Q28*($E28/365))+(Q29*($E29/365))</f>
        <v>25.5</v>
      </c>
      <c r="V138" s="7"/>
      <c r="W138" s="7">
        <f t="shared" si="19"/>
        <v>83</v>
      </c>
    </row>
    <row r="139" spans="1:23" x14ac:dyDescent="0.15">
      <c r="A139" s="1">
        <v>1971</v>
      </c>
      <c r="B139" s="8">
        <f>(K30*($E30/365))+(K31*($E31/365))</f>
        <v>42.857142857142854</v>
      </c>
      <c r="C139" s="8">
        <f>(L30*($E30/365))+(L31*($E31/365))</f>
        <v>28.571428571428569</v>
      </c>
      <c r="D139" s="8">
        <f>(M30*($E30/365))+(M31*($E31/365))</f>
        <v>28.571428571428569</v>
      </c>
      <c r="E139" s="50">
        <f t="shared" si="18"/>
        <v>99.999999999999986</v>
      </c>
      <c r="G139" s="1">
        <v>1971</v>
      </c>
      <c r="H139" s="809">
        <f>(O30/$R30*100*($E30/365))+(O31/$R31*100*($E31/365))</f>
        <v>42.318314353303634</v>
      </c>
      <c r="I139" s="809"/>
      <c r="J139" s="809">
        <f>(P30/$R30*100*($E30/365))+(P31/$R31*100*($E31/365))</f>
        <v>27.111856864291259</v>
      </c>
      <c r="K139" s="809"/>
      <c r="L139" s="809">
        <f>(Q30/$R30*100*($E30/365))+(Q31/$R31*100*($E31/365))</f>
        <v>30.569828782405114</v>
      </c>
      <c r="M139" s="809"/>
      <c r="N139" s="781">
        <f t="shared" si="17"/>
        <v>100</v>
      </c>
      <c r="O139" s="781"/>
      <c r="R139" s="1">
        <v>1971</v>
      </c>
      <c r="S139" s="8">
        <f>(O30*($E30/365))+(O31*($E31/365))</f>
        <v>35.065753424657537</v>
      </c>
      <c r="T139" s="8">
        <f>(P30*($E30/365))+(P31*($E31/365))</f>
        <v>22.467123287671232</v>
      </c>
      <c r="U139" s="8">
        <f>(Q30*($E30/365))+(Q31*($E31/365))</f>
        <v>25.335616438356166</v>
      </c>
      <c r="V139" s="7"/>
      <c r="W139" s="7">
        <f t="shared" si="19"/>
        <v>82.868493150684941</v>
      </c>
    </row>
    <row r="140" spans="1:23" x14ac:dyDescent="0.15">
      <c r="A140" s="1">
        <v>1972</v>
      </c>
      <c r="B140" s="8">
        <f>(K32*($E32/366))+(K33*($E33/366))</f>
        <v>42.857142857142854</v>
      </c>
      <c r="C140" s="8">
        <f>(L32*($E32/366))+(L33*($E33/366))</f>
        <v>28.571428571428569</v>
      </c>
      <c r="D140" s="8">
        <f>(M32*($E32/366))+(M33*($E33/366))</f>
        <v>28.571428571428569</v>
      </c>
      <c r="E140" s="50">
        <f t="shared" si="18"/>
        <v>99.999999999999986</v>
      </c>
      <c r="G140" s="1">
        <v>1972</v>
      </c>
      <c r="H140" s="809">
        <f>(O32/$R32*100*($E32/366))+(O33/$R33*100*($E33/366))</f>
        <v>44.444444444444443</v>
      </c>
      <c r="I140" s="809"/>
      <c r="J140" s="809">
        <f>(P32/$R32*100*($E32/366))+(P33/$R33*100*($E33/366))</f>
        <v>27.160493827160494</v>
      </c>
      <c r="K140" s="809"/>
      <c r="L140" s="809">
        <f>(Q32/$R32*100*($E32/366))+(Q33/$R33*100*($E33/366))</f>
        <v>28.39506172839506</v>
      </c>
      <c r="M140" s="809"/>
      <c r="N140" s="781">
        <f t="shared" si="17"/>
        <v>100</v>
      </c>
      <c r="O140" s="781"/>
      <c r="R140" s="1">
        <v>1972</v>
      </c>
      <c r="S140" s="8">
        <f>(O32*($E32/366))+(O33*($E33/366))</f>
        <v>36</v>
      </c>
      <c r="T140" s="8">
        <f>(P32*($E32/366))+(P33*($E33/366))</f>
        <v>22</v>
      </c>
      <c r="U140" s="8">
        <f>(Q32*($E32/366))+(Q33*($E33/366))</f>
        <v>23</v>
      </c>
      <c r="V140" s="7"/>
      <c r="W140" s="7">
        <f t="shared" si="19"/>
        <v>81</v>
      </c>
    </row>
    <row r="141" spans="1:23" x14ac:dyDescent="0.15">
      <c r="A141" s="1">
        <v>1973</v>
      </c>
      <c r="B141" s="8">
        <f>(K34*($E34/365))+(K35*($E35/365))</f>
        <v>42.857142857142854</v>
      </c>
      <c r="C141" s="8">
        <f>(L34*($E34/365))+(L35*($E35/365))</f>
        <v>28.571428571428569</v>
      </c>
      <c r="D141" s="8">
        <f>(M34*($E34/365))+(M35*($E35/365))</f>
        <v>28.571428571428569</v>
      </c>
      <c r="E141" s="50">
        <f t="shared" si="18"/>
        <v>99.999999999999986</v>
      </c>
      <c r="G141" s="1">
        <v>1973</v>
      </c>
      <c r="H141" s="809">
        <f>(O34/$R34*100*($E34/365))+(O35/$R35*100*($E35/365))</f>
        <v>44.444444444444443</v>
      </c>
      <c r="I141" s="809"/>
      <c r="J141" s="809">
        <f>(P34/$R34*100*($E34/365))+(P35/$R35*100*($E35/365))</f>
        <v>27.160493827160494</v>
      </c>
      <c r="K141" s="809"/>
      <c r="L141" s="809">
        <f>(Q34/$R34*100*($E34/365))+(Q35/$R35*100*($E35/365))</f>
        <v>28.39506172839506</v>
      </c>
      <c r="M141" s="809"/>
      <c r="N141" s="781">
        <f t="shared" si="17"/>
        <v>100</v>
      </c>
      <c r="O141" s="781"/>
      <c r="R141" s="1">
        <v>1973</v>
      </c>
      <c r="S141" s="8">
        <f>(O34*($E34/365))+(O35*($E35/365))</f>
        <v>36</v>
      </c>
      <c r="T141" s="8">
        <f>(P34*($E34/365))+(P35*($E35/365))</f>
        <v>22</v>
      </c>
      <c r="U141" s="8">
        <f>(Q34*($E34/365))+(Q35*($E35/365))</f>
        <v>23</v>
      </c>
      <c r="V141" s="7"/>
      <c r="W141" s="7">
        <f t="shared" si="19"/>
        <v>81</v>
      </c>
    </row>
    <row r="142" spans="1:23" x14ac:dyDescent="0.15">
      <c r="A142" s="1">
        <v>1974</v>
      </c>
      <c r="B142" s="8">
        <f>(K36*($E36/365))+(K37*($E37/365))</f>
        <v>42.857142857142854</v>
      </c>
      <c r="C142" s="8">
        <f>(L36*($E36/365))+(L37*($E37/365))</f>
        <v>28.571428571428569</v>
      </c>
      <c r="D142" s="8">
        <f>(M36*($E36/365))+(M37*($E37/365))</f>
        <v>28.571428571428569</v>
      </c>
      <c r="E142" s="50">
        <f t="shared" si="18"/>
        <v>99.999999999999986</v>
      </c>
      <c r="G142" s="1">
        <v>1974</v>
      </c>
      <c r="H142" s="809">
        <f>(O36/$R36*100*($E36/365))+(O37/$R37*100*($E37/365))</f>
        <v>44.444444444444443</v>
      </c>
      <c r="I142" s="809"/>
      <c r="J142" s="809">
        <f>(P36/$R36*100*($E36/365))+(P37/$R37*100*($E37/365))</f>
        <v>27.160493827160494</v>
      </c>
      <c r="K142" s="809"/>
      <c r="L142" s="809">
        <f>(Q36/$R36*100*($E36/365))+(Q37/$R37*100*($E37/365))</f>
        <v>28.39506172839506</v>
      </c>
      <c r="M142" s="809"/>
      <c r="N142" s="781">
        <f t="shared" si="17"/>
        <v>100</v>
      </c>
      <c r="O142" s="781"/>
      <c r="R142" s="1">
        <v>1974</v>
      </c>
      <c r="S142" s="8">
        <f>(O36*($E36/365))+(O37*($E37/365))</f>
        <v>36</v>
      </c>
      <c r="T142" s="8">
        <f>(P36*($E36/365))+(P37*($E37/365))</f>
        <v>22</v>
      </c>
      <c r="U142" s="8">
        <f>(Q36*($E36/365))+(Q37*($E37/365))</f>
        <v>23</v>
      </c>
      <c r="V142" s="7"/>
      <c r="W142" s="7">
        <f t="shared" si="19"/>
        <v>81</v>
      </c>
    </row>
    <row r="143" spans="1:23" x14ac:dyDescent="0.15">
      <c r="A143" s="1">
        <v>1975</v>
      </c>
      <c r="B143" s="8">
        <f>(K38*($E38/365))+(K39*($E39/365))</f>
        <v>42.857142857142854</v>
      </c>
      <c r="C143" s="8">
        <f>(L38*($E38/365))+(L39*($E39/365))</f>
        <v>28.571428571428569</v>
      </c>
      <c r="D143" s="8">
        <f>(M38*($E38/365))+(M39*($E39/365))</f>
        <v>28.571428571428569</v>
      </c>
      <c r="E143" s="50">
        <f t="shared" si="18"/>
        <v>99.999999999999986</v>
      </c>
      <c r="G143" s="1">
        <v>1975</v>
      </c>
      <c r="H143" s="809">
        <f>(O38/$R38*100*($E38/365))+(O39/$R39*100*($E39/365))</f>
        <v>44.190826150784005</v>
      </c>
      <c r="I143" s="809"/>
      <c r="J143" s="809">
        <f>(P38/$R38*100*($E38/365))+(P39/$R39*100*($E39/365))</f>
        <v>27.164016303461331</v>
      </c>
      <c r="K143" s="809"/>
      <c r="L143" s="809">
        <f>(Q38/$R38*100*($E38/365))+(Q39/$R39*100*($E39/365))</f>
        <v>28.645157545754664</v>
      </c>
      <c r="M143" s="809"/>
      <c r="N143" s="781">
        <f t="shared" si="17"/>
        <v>100</v>
      </c>
      <c r="O143" s="781"/>
      <c r="R143" s="1">
        <v>1975</v>
      </c>
      <c r="S143" s="8">
        <f>(O38*($E38/365))+(O39*($E39/365))</f>
        <v>35.87945205479452</v>
      </c>
      <c r="T143" s="8">
        <f>(P38*($E38/365))+(P39*($E39/365))</f>
        <v>22.06027397260274</v>
      </c>
      <c r="U143" s="8">
        <f>(Q38*($E38/365))+(Q39*($E39/365))</f>
        <v>23.271232876712329</v>
      </c>
      <c r="V143" s="7"/>
      <c r="W143" s="7">
        <f t="shared" si="19"/>
        <v>81.210958904109589</v>
      </c>
    </row>
    <row r="144" spans="1:23" x14ac:dyDescent="0.15">
      <c r="A144" s="1">
        <v>1976</v>
      </c>
      <c r="B144" s="8">
        <f>(K40*($E40/366))+(K41*($E41/366))</f>
        <v>42.857142857142854</v>
      </c>
      <c r="C144" s="8">
        <f>(L40*($E40/366))+(L41*($E41/366))</f>
        <v>28.571428571428569</v>
      </c>
      <c r="D144" s="8">
        <f>(M40*($E40/366))+(M41*($E41/366))</f>
        <v>28.571428571428569</v>
      </c>
      <c r="E144" s="50">
        <f t="shared" si="18"/>
        <v>99.999999999999986</v>
      </c>
      <c r="G144" s="1">
        <v>1976</v>
      </c>
      <c r="H144" s="809">
        <f>(O40/$R40*100*($E40/366))+(O41/$R41*100*($E41/366))</f>
        <v>40.236686390532547</v>
      </c>
      <c r="I144" s="809"/>
      <c r="J144" s="809">
        <f>(P40/$R40*100*($E40/366))+(P41/$R41*100*($E41/366))</f>
        <v>27.218934911242602</v>
      </c>
      <c r="K144" s="809"/>
      <c r="L144" s="809">
        <f>(Q40/$R40*100*($E40/366))+(Q41/$R41*100*($E41/366))</f>
        <v>32.544378698224854</v>
      </c>
      <c r="M144" s="809"/>
      <c r="N144" s="781">
        <f t="shared" si="17"/>
        <v>100</v>
      </c>
      <c r="O144" s="781"/>
      <c r="R144" s="1">
        <v>1976</v>
      </c>
      <c r="S144" s="8">
        <f>(O40*($E40/366))+(O41*($E41/366))</f>
        <v>34</v>
      </c>
      <c r="T144" s="8">
        <f>(P40*($E40/366))+(P41*($E41/366))</f>
        <v>23</v>
      </c>
      <c r="U144" s="8">
        <f>(Q40*($E40/366))+(Q41*($E41/366))</f>
        <v>27.5</v>
      </c>
      <c r="V144" s="7"/>
      <c r="W144" s="7">
        <f t="shared" si="19"/>
        <v>84.5</v>
      </c>
    </row>
    <row r="145" spans="1:23" x14ac:dyDescent="0.15">
      <c r="A145" s="1">
        <v>1977</v>
      </c>
      <c r="B145" s="8">
        <f>(K42*($E42/365))+(K43*($E43/365))</f>
        <v>42.857142857142854</v>
      </c>
      <c r="C145" s="8">
        <f>(L42*($E42/365))+(L43*($E43/365))</f>
        <v>28.571428571428569</v>
      </c>
      <c r="D145" s="8">
        <f>(M42*($E42/365))+(M43*($E43/365))</f>
        <v>28.571428571428569</v>
      </c>
      <c r="E145" s="50">
        <f t="shared" si="18"/>
        <v>99.999999999999986</v>
      </c>
      <c r="G145" s="1">
        <v>1977</v>
      </c>
      <c r="H145" s="809">
        <f>(O42/$R42*100*($E42/365))+(O43/$R43*100*($E43/365))</f>
        <v>40.236686390532547</v>
      </c>
      <c r="I145" s="809"/>
      <c r="J145" s="809">
        <f>(P42/$R42*100*($E42/365))+(P43/$R43*100*($E43/365))</f>
        <v>27.218934911242602</v>
      </c>
      <c r="K145" s="809"/>
      <c r="L145" s="809">
        <f>(Q42/$R42*100*($E42/365))+(Q43/$R43*100*($E43/365))</f>
        <v>32.544378698224854</v>
      </c>
      <c r="M145" s="809"/>
      <c r="N145" s="781">
        <f t="shared" si="17"/>
        <v>100</v>
      </c>
      <c r="O145" s="781"/>
      <c r="R145" s="1">
        <v>1977</v>
      </c>
      <c r="S145" s="8">
        <f>(O42*($E42/365))+(O43*($E43/365))</f>
        <v>34</v>
      </c>
      <c r="T145" s="8">
        <f>(P42*($E42/365))+(P43*($E43/365))</f>
        <v>23</v>
      </c>
      <c r="U145" s="8">
        <f>(Q42*($E42/365))+(Q43*($E43/365))</f>
        <v>27.5</v>
      </c>
      <c r="V145" s="7"/>
      <c r="W145" s="7">
        <f t="shared" si="19"/>
        <v>84.5</v>
      </c>
    </row>
    <row r="146" spans="1:23" x14ac:dyDescent="0.15">
      <c r="A146" s="1">
        <v>1978</v>
      </c>
      <c r="B146" s="8">
        <f>(K44*($E44/365))+(K45*($E45/365))</f>
        <v>42.857142857142854</v>
      </c>
      <c r="C146" s="8">
        <f>(L44*($E44/365))+(L45*($E45/365))</f>
        <v>28.571428571428569</v>
      </c>
      <c r="D146" s="8">
        <f>(M44*($E44/365))+(M45*($E45/365))</f>
        <v>28.571428571428569</v>
      </c>
      <c r="E146" s="50">
        <f t="shared" si="18"/>
        <v>99.999999999999986</v>
      </c>
      <c r="G146" s="1">
        <v>1978</v>
      </c>
      <c r="H146" s="809">
        <f>(O44/$R44*100*($E44/365))+(O45/$R45*100*($E45/365))</f>
        <v>40.236686390532547</v>
      </c>
      <c r="I146" s="809"/>
      <c r="J146" s="809">
        <f>(P44/$R44*100*($E44/365))+(P45/$R45*100*($E45/365))</f>
        <v>27.218934911242602</v>
      </c>
      <c r="K146" s="809"/>
      <c r="L146" s="809">
        <f>(Q44/$R44*100*($E44/365))+(Q45/$R45*100*($E45/365))</f>
        <v>32.544378698224854</v>
      </c>
      <c r="M146" s="809"/>
      <c r="N146" s="781">
        <f t="shared" si="17"/>
        <v>100</v>
      </c>
      <c r="O146" s="781"/>
      <c r="R146" s="1">
        <v>1978</v>
      </c>
      <c r="S146" s="8">
        <f>(O44*($E44/365))+(O45*($E45/365))</f>
        <v>34</v>
      </c>
      <c r="T146" s="8">
        <f>(P44*($E44/365))+(P45*($E45/365))</f>
        <v>23</v>
      </c>
      <c r="U146" s="8">
        <f>(Q44*($E44/365))+(Q45*($E45/365))</f>
        <v>27.5</v>
      </c>
      <c r="V146" s="7"/>
      <c r="W146" s="7">
        <f t="shared" si="19"/>
        <v>84.5</v>
      </c>
    </row>
    <row r="147" spans="1:23" x14ac:dyDescent="0.15">
      <c r="A147" s="1">
        <v>1979</v>
      </c>
      <c r="B147" s="8">
        <f>(K46*($E46/365))+(K47*($E47/365))</f>
        <v>42.857142857142847</v>
      </c>
      <c r="C147" s="8">
        <f>(L46*($E46/365))+(L47*($E47/365))</f>
        <v>28.571428571428566</v>
      </c>
      <c r="D147" s="8">
        <f>(M46*($E46/365))+(M47*($E47/365))</f>
        <v>28.571428571428566</v>
      </c>
      <c r="E147" s="50">
        <f t="shared" si="18"/>
        <v>99.999999999999986</v>
      </c>
      <c r="G147" s="1">
        <v>1979</v>
      </c>
      <c r="H147" s="809">
        <f>(O46/$R46*100*($E46/365))+(O47/$R47*100*($E47/365))</f>
        <v>40.285320580368001</v>
      </c>
      <c r="I147" s="809"/>
      <c r="J147" s="809">
        <f>(P46/$R46*100*($E46/365))+(P47/$R47*100*($E47/365))</f>
        <v>27.202723514630783</v>
      </c>
      <c r="K147" s="809"/>
      <c r="L147" s="809">
        <f>(Q46/$R46*100*($E46/365))+(Q47/$R47*100*($E47/365))</f>
        <v>32.511955905001216</v>
      </c>
      <c r="M147" s="809"/>
      <c r="N147" s="781">
        <f t="shared" si="17"/>
        <v>100</v>
      </c>
      <c r="O147" s="781"/>
      <c r="R147" s="1">
        <v>1979</v>
      </c>
      <c r="S147" s="8">
        <f>(O46*($E46/365))+(O47*($E47/365))</f>
        <v>34.041095890410958</v>
      </c>
      <c r="T147" s="8">
        <f>(P46*($E46/365))+(P47*($E47/365))</f>
        <v>22.986301369863011</v>
      </c>
      <c r="U147" s="8">
        <f>(Q46*($E46/365))+(Q47*($E47/365))</f>
        <v>27.472602739726028</v>
      </c>
      <c r="V147" s="7"/>
      <c r="W147" s="7">
        <f t="shared" si="19"/>
        <v>84.5</v>
      </c>
    </row>
    <row r="148" spans="1:23" x14ac:dyDescent="0.15">
      <c r="A148" s="1">
        <v>1980</v>
      </c>
      <c r="B148" s="8">
        <f>(K48*($E48/366))+(K49*($E49/366))</f>
        <v>42.857142857142854</v>
      </c>
      <c r="C148" s="8">
        <f>(L48*($E48/366))+(L49*($E49/366))</f>
        <v>28.571428571428569</v>
      </c>
      <c r="D148" s="8">
        <f>(M48*($E48/366))+(M49*($E49/366))</f>
        <v>28.571428571428569</v>
      </c>
      <c r="E148" s="50">
        <f t="shared" si="18"/>
        <v>99.999999999999986</v>
      </c>
      <c r="G148" s="1">
        <v>1980</v>
      </c>
      <c r="H148" s="809">
        <f>(O48/$R48*100*($E48/366))+(O49/$R49*100*($E49/366))</f>
        <v>43.786982248520715</v>
      </c>
      <c r="I148" s="809"/>
      <c r="J148" s="809">
        <f>(P48/$R48*100*($E48/366))+(P49/$R49*100*($E49/366))</f>
        <v>26.035502958579883</v>
      </c>
      <c r="K148" s="809"/>
      <c r="L148" s="809">
        <f>(Q48/$R48*100*($E48/366))+(Q49/$R49*100*($E49/366))</f>
        <v>30.177514792899409</v>
      </c>
      <c r="M148" s="809"/>
      <c r="N148" s="781">
        <f t="shared" si="17"/>
        <v>100</v>
      </c>
      <c r="O148" s="781"/>
      <c r="R148" s="1">
        <v>1980</v>
      </c>
      <c r="S148" s="8">
        <f>(O48*($E48/366))+(O49*($E49/366))</f>
        <v>37</v>
      </c>
      <c r="T148" s="8">
        <f>(P48*($E48/366))+(P49*($E49/366))</f>
        <v>22</v>
      </c>
      <c r="U148" s="8">
        <f>(Q48*($E48/366))+(Q49*($E49/366))</f>
        <v>25.5</v>
      </c>
      <c r="V148" s="7"/>
      <c r="W148" s="7">
        <f t="shared" si="19"/>
        <v>84.5</v>
      </c>
    </row>
    <row r="149" spans="1:23" x14ac:dyDescent="0.15">
      <c r="A149" s="1">
        <v>1981</v>
      </c>
      <c r="B149" s="8">
        <f>(K50*($E50/365))+(K51*($E51/365))</f>
        <v>42.857142857142854</v>
      </c>
      <c r="C149" s="8">
        <f>(L50*($E50/365))+(L51*($E51/365))</f>
        <v>28.571428571428569</v>
      </c>
      <c r="D149" s="8">
        <f>(M50*($E50/365))+(M51*($E51/365))</f>
        <v>28.571428571428569</v>
      </c>
      <c r="E149" s="50">
        <f t="shared" si="18"/>
        <v>99.999999999999986</v>
      </c>
      <c r="G149" s="1">
        <v>1981</v>
      </c>
      <c r="H149" s="809">
        <f>(O50/$R50*100*($E50/365))+(O51/$R51*100*($E51/365))</f>
        <v>43.786982248520715</v>
      </c>
      <c r="I149" s="809"/>
      <c r="J149" s="809">
        <f>(P50/$R50*100*($E50/365))+(P51/$R51*100*($E51/365))</f>
        <v>26.035502958579883</v>
      </c>
      <c r="K149" s="809"/>
      <c r="L149" s="809">
        <f>(Q50/$R50*100*($E50/365))+(Q51/$R51*100*($E51/365))</f>
        <v>30.177514792899409</v>
      </c>
      <c r="M149" s="809"/>
      <c r="N149" s="781">
        <f t="shared" si="17"/>
        <v>100</v>
      </c>
      <c r="O149" s="781"/>
      <c r="R149" s="1">
        <v>1981</v>
      </c>
      <c r="S149" s="8">
        <f>(O50*($E50/365))+(O51*($E51/365))</f>
        <v>37</v>
      </c>
      <c r="T149" s="8">
        <f>(P50*($E50/365))+(P51*($E51/365))</f>
        <v>22</v>
      </c>
      <c r="U149" s="8">
        <f>(Q50*($E50/365))+(Q51*($E51/365))</f>
        <v>25.5</v>
      </c>
      <c r="V149" s="7"/>
      <c r="W149" s="7">
        <f t="shared" si="19"/>
        <v>84.5</v>
      </c>
    </row>
    <row r="150" spans="1:23" x14ac:dyDescent="0.15">
      <c r="A150" s="1">
        <v>1982</v>
      </c>
      <c r="B150" s="8">
        <f>(K52*($E52/365))+(K53*($E53/365))</f>
        <v>42.857142857142854</v>
      </c>
      <c r="C150" s="8">
        <f>(L52*($E52/365))+(L53*($E53/365))</f>
        <v>28.571428571428569</v>
      </c>
      <c r="D150" s="8">
        <f>(M52*($E52/365))+(M53*($E53/365))</f>
        <v>28.571428571428569</v>
      </c>
      <c r="E150" s="50">
        <f t="shared" si="18"/>
        <v>99.999999999999986</v>
      </c>
      <c r="G150" s="1">
        <v>1982</v>
      </c>
      <c r="H150" s="809">
        <f>(O52/$R52*100*($E52/365))+(O53/$R53*100*($E53/365))</f>
        <v>43.786982248520715</v>
      </c>
      <c r="I150" s="809"/>
      <c r="J150" s="809">
        <f>(P52/$R52*100*($E52/365))+(P53/$R53*100*($E53/365))</f>
        <v>26.035502958579883</v>
      </c>
      <c r="K150" s="809"/>
      <c r="L150" s="809">
        <f>(Q52/$R52*100*($E52/365))+(Q53/$R53*100*($E53/365))</f>
        <v>30.177514792899409</v>
      </c>
      <c r="M150" s="809"/>
      <c r="N150" s="781">
        <f t="shared" si="17"/>
        <v>100</v>
      </c>
      <c r="O150" s="781"/>
      <c r="R150" s="1">
        <v>1982</v>
      </c>
      <c r="S150" s="8">
        <f>(O52*($E52/365))+(O53*($E53/365))</f>
        <v>37</v>
      </c>
      <c r="T150" s="8">
        <f>(P52*($E52/365))+(P53*($E53/365))</f>
        <v>22</v>
      </c>
      <c r="U150" s="8">
        <f>(Q52*($E52/365))+(Q53*($E53/365))</f>
        <v>25.5</v>
      </c>
      <c r="V150" s="7"/>
      <c r="W150" s="7">
        <f t="shared" si="19"/>
        <v>84.5</v>
      </c>
    </row>
    <row r="151" spans="1:23" x14ac:dyDescent="0.15">
      <c r="A151" s="1">
        <v>1983</v>
      </c>
      <c r="B151" s="8">
        <f>(K54*($E54/365))+(K55*($E55/365))</f>
        <v>42.857142857142854</v>
      </c>
      <c r="C151" s="8">
        <f>(L54*($E54/365))+(L55*($E55/365))</f>
        <v>28.571428571428569</v>
      </c>
      <c r="D151" s="8">
        <f>(M54*($E54/365))+(M55*($E55/365))</f>
        <v>28.571428571428569</v>
      </c>
      <c r="E151" s="50">
        <f t="shared" si="18"/>
        <v>99.999999999999986</v>
      </c>
      <c r="G151" s="1">
        <v>1983</v>
      </c>
      <c r="H151" s="809">
        <f>(O54/$R54*100*($E54/365))+(O55/$R55*100*($E55/365))</f>
        <v>43.879533697731681</v>
      </c>
      <c r="I151" s="809"/>
      <c r="J151" s="809">
        <f>(P54/$R54*100*($E54/365))+(P55/$R55*100*($E55/365))</f>
        <v>26.009349874166361</v>
      </c>
      <c r="K151" s="809"/>
      <c r="L151" s="809">
        <f>(Q54/$R54*100*($E54/365))+(Q55/$R55*100*($E55/365))</f>
        <v>30.111116428101969</v>
      </c>
      <c r="M151" s="809"/>
      <c r="N151" s="781">
        <f t="shared" si="17"/>
        <v>100.00000000000001</v>
      </c>
      <c r="O151" s="781"/>
      <c r="R151" s="1">
        <v>1983</v>
      </c>
      <c r="S151" s="8">
        <f>(O54*($E54/365))+(O55*($E55/365))</f>
        <v>37.053424657534244</v>
      </c>
      <c r="T151" s="8">
        <f>(P54*($E54/365))+(P55*($E55/365))</f>
        <v>21.964383561643839</v>
      </c>
      <c r="U151" s="8">
        <f>(Q54*($E54/365))+(Q55*($E55/365))</f>
        <v>25.42876712328767</v>
      </c>
      <c r="V151" s="7"/>
      <c r="W151" s="7">
        <f t="shared" si="19"/>
        <v>84.446575342465749</v>
      </c>
    </row>
    <row r="152" spans="1:23" x14ac:dyDescent="0.15">
      <c r="A152" s="1">
        <v>1984</v>
      </c>
      <c r="B152" s="8">
        <f>(K56*($E56/366))+(K57*($E57/366))</f>
        <v>42.857142857142854</v>
      </c>
      <c r="C152" s="8">
        <f>(L56*($E56/366))+(L57*($E57/366))</f>
        <v>28.571428571428569</v>
      </c>
      <c r="D152" s="8">
        <f>(M56*($E56/366))+(M57*($E57/366))</f>
        <v>28.571428571428569</v>
      </c>
      <c r="E152" s="50">
        <f t="shared" si="18"/>
        <v>99.999999999999986</v>
      </c>
      <c r="G152" s="1">
        <v>1984</v>
      </c>
      <c r="H152" s="809">
        <f>(O56/$R56*100*($E56/366))+(O57/$R57*100*($E57/366))</f>
        <v>46.385542168674696</v>
      </c>
      <c r="I152" s="809"/>
      <c r="J152" s="809">
        <f>(P56/$R56*100*($E56/366))+(P57/$R57*100*($E57/366))</f>
        <v>25.301204819277107</v>
      </c>
      <c r="K152" s="809"/>
      <c r="L152" s="809">
        <f>(Q56/$R56*100*($E56/366))+(Q57/$R57*100*($E57/366))</f>
        <v>28.313253012048197</v>
      </c>
      <c r="M152" s="809"/>
      <c r="N152" s="781">
        <f t="shared" si="17"/>
        <v>100</v>
      </c>
      <c r="O152" s="781"/>
      <c r="R152" s="1">
        <v>1984</v>
      </c>
      <c r="S152" s="8">
        <f>(O56*($E56/366))+(O57*($E57/366))</f>
        <v>38.5</v>
      </c>
      <c r="T152" s="8">
        <f>(P56*($E56/366))+(P57*($E57/366))</f>
        <v>21</v>
      </c>
      <c r="U152" s="8">
        <f>(Q56*($E56/366))+(Q57*($E57/366))</f>
        <v>23.5</v>
      </c>
      <c r="V152" s="7"/>
      <c r="W152" s="7">
        <f t="shared" si="19"/>
        <v>83</v>
      </c>
    </row>
    <row r="153" spans="1:23" x14ac:dyDescent="0.15">
      <c r="A153" s="1">
        <v>1985</v>
      </c>
      <c r="B153" s="8">
        <f>(K58*($E58/365))+(K59*($E59/365))</f>
        <v>42.857142857142854</v>
      </c>
      <c r="C153" s="8">
        <f>(L58*($E58/365))+(L59*($E59/365))</f>
        <v>28.571428571428569</v>
      </c>
      <c r="D153" s="8">
        <f>(M58*($E58/365))+(M59*($E59/365))</f>
        <v>28.571428571428569</v>
      </c>
      <c r="E153" s="50">
        <f t="shared" si="18"/>
        <v>99.999999999999986</v>
      </c>
      <c r="G153" s="1">
        <v>1985</v>
      </c>
      <c r="H153" s="809">
        <f>(O58/$R58*100*($E58/365))+(O59/$R59*100*($E59/365))</f>
        <v>46.385542168674696</v>
      </c>
      <c r="I153" s="809"/>
      <c r="J153" s="809">
        <f>(P58/$R58*100*($E58/365))+(P59/$R59*100*($E59/365))</f>
        <v>25.301204819277107</v>
      </c>
      <c r="K153" s="809"/>
      <c r="L153" s="809">
        <f>(Q58/$R58*100*($E58/365))+(Q59/$R59*100*($E59/365))</f>
        <v>28.313253012048197</v>
      </c>
      <c r="M153" s="809"/>
      <c r="N153" s="781">
        <f t="shared" si="17"/>
        <v>100</v>
      </c>
      <c r="O153" s="781"/>
      <c r="R153" s="1">
        <v>1985</v>
      </c>
      <c r="S153" s="8">
        <f>(O58*($E58/365))+(O59*($E59/365))</f>
        <v>38.5</v>
      </c>
      <c r="T153" s="8">
        <f>(P58*($E58/365))+(P59*($E59/365))</f>
        <v>21</v>
      </c>
      <c r="U153" s="8">
        <f>(Q58*($E58/365))+(Q59*($E59/365))</f>
        <v>23.5</v>
      </c>
      <c r="V153" s="7"/>
      <c r="W153" s="7">
        <f t="shared" si="19"/>
        <v>83</v>
      </c>
    </row>
    <row r="154" spans="1:23" x14ac:dyDescent="0.15">
      <c r="A154" s="1">
        <v>1986</v>
      </c>
      <c r="B154" s="8">
        <f>(K60*($E60/365))+(K61*($E61/365))</f>
        <v>42.857142857142854</v>
      </c>
      <c r="C154" s="8">
        <f>(L60*($E60/365))+(L61*($E61/365))</f>
        <v>28.571428571428569</v>
      </c>
      <c r="D154" s="8">
        <f>(M60*($E60/365))+(M61*($E61/365))</f>
        <v>28.571428571428569</v>
      </c>
      <c r="E154" s="50">
        <f t="shared" si="18"/>
        <v>99.999999999999986</v>
      </c>
      <c r="G154" s="1">
        <v>1986</v>
      </c>
      <c r="H154" s="809">
        <f>(O60/$R60*100*($E60/365))+(O61/$R61*100*($E61/365))</f>
        <v>46.385542168674696</v>
      </c>
      <c r="I154" s="809"/>
      <c r="J154" s="809">
        <f>(P60/$R60*100*($E60/365))+(P61/$R61*100*($E61/365))</f>
        <v>25.301204819277107</v>
      </c>
      <c r="K154" s="809"/>
      <c r="L154" s="809">
        <f>(Q60/$R60*100*($E60/365))+(Q61/$R61*100*($E61/365))</f>
        <v>28.313253012048197</v>
      </c>
      <c r="M154" s="809"/>
      <c r="N154" s="781">
        <f t="shared" si="17"/>
        <v>100</v>
      </c>
      <c r="O154" s="781"/>
      <c r="R154" s="1">
        <v>1986</v>
      </c>
      <c r="S154" s="8">
        <f>(O60*($E60/365))+(O61*($E61/365))</f>
        <v>38.5</v>
      </c>
      <c r="T154" s="8">
        <f>(P60*($E60/365))+(P61*($E61/365))</f>
        <v>21</v>
      </c>
      <c r="U154" s="8">
        <f>(Q60*($E60/365))+(Q61*($E61/365))</f>
        <v>23.5</v>
      </c>
      <c r="V154" s="7"/>
      <c r="W154" s="7">
        <f t="shared" si="19"/>
        <v>83</v>
      </c>
    </row>
    <row r="155" spans="1:23" x14ac:dyDescent="0.15">
      <c r="A155" s="1">
        <v>1987</v>
      </c>
      <c r="B155" s="8">
        <f>(K62*($E62/365))+(K63*($E63/365))</f>
        <v>42.857142857142854</v>
      </c>
      <c r="C155" s="8">
        <f>(L62*($E62/365))+(L63*($E63/365))</f>
        <v>28.571428571428569</v>
      </c>
      <c r="D155" s="8">
        <f>(M62*($E62/365))+(M63*($E63/365))</f>
        <v>28.571428571428569</v>
      </c>
      <c r="E155" s="50">
        <f t="shared" si="18"/>
        <v>99.999999999999986</v>
      </c>
      <c r="G155" s="1">
        <v>1987</v>
      </c>
      <c r="H155" s="809">
        <f>(O62/$R62*100*($E62/365))+(O63/$R63*100*($E63/365))</f>
        <v>46.474593125668868</v>
      </c>
      <c r="I155" s="809"/>
      <c r="J155" s="809">
        <f>(P62/$R62*100*($E62/365))+(P63/$R63*100*($E63/365))</f>
        <v>25.371395117819432</v>
      </c>
      <c r="K155" s="809"/>
      <c r="L155" s="809">
        <f>(Q62/$R62*100*($E62/365))+(Q63/$R63*100*($E63/365))</f>
        <v>28.154011756511707</v>
      </c>
      <c r="M155" s="809"/>
      <c r="N155" s="781">
        <f t="shared" si="17"/>
        <v>100.00000000000001</v>
      </c>
      <c r="O155" s="781"/>
      <c r="R155" s="1">
        <v>1987</v>
      </c>
      <c r="S155" s="8">
        <f>(O62*($E62/365))+(O63*($E63/365))</f>
        <v>38.468493150684935</v>
      </c>
      <c r="T155" s="8">
        <f>(P62*($E62/365))+(P63*($E63/365))</f>
        <v>21</v>
      </c>
      <c r="U155" s="8">
        <f>(Q62*($E62/365))+(Q63*($E63/365))</f>
        <v>23.31095890410959</v>
      </c>
      <c r="V155" s="7"/>
      <c r="W155" s="7">
        <f t="shared" si="19"/>
        <v>82.779452054794518</v>
      </c>
    </row>
    <row r="156" spans="1:23" x14ac:dyDescent="0.15">
      <c r="A156" s="1">
        <v>1988</v>
      </c>
      <c r="B156" s="8">
        <f>(K64*($E64/366))+(K65*($E65/366))</f>
        <v>42.857142857142854</v>
      </c>
      <c r="C156" s="8">
        <f>(L64*($E64/366))+(L65*($E65/366))</f>
        <v>28.571428571428569</v>
      </c>
      <c r="D156" s="8">
        <f>(M64*($E64/366))+(M65*($E65/366))</f>
        <v>28.571428571428569</v>
      </c>
      <c r="E156" s="50">
        <f t="shared" si="18"/>
        <v>99.999999999999986</v>
      </c>
      <c r="G156" s="1">
        <v>1988</v>
      </c>
      <c r="H156" s="809">
        <f>(O64/$R64*100*($E64/366))+(O65/$R65*100*($E65/366))</f>
        <v>47.79874213836478</v>
      </c>
      <c r="I156" s="809"/>
      <c r="J156" s="809">
        <f>(P64/$R64*100*($E64/366))+(P65/$R65*100*($E65/366))</f>
        <v>26.415094339622641</v>
      </c>
      <c r="K156" s="809"/>
      <c r="L156" s="809">
        <f>(Q64/$R64*100*($E64/366))+(Q65/$R65*100*($E65/366))</f>
        <v>25.786163522012579</v>
      </c>
      <c r="M156" s="809"/>
      <c r="N156" s="781">
        <f t="shared" si="17"/>
        <v>100</v>
      </c>
      <c r="O156" s="781"/>
      <c r="R156" s="1">
        <v>1988</v>
      </c>
      <c r="S156" s="8">
        <f>(O64*($E64/366))+(O65*($E65/366))</f>
        <v>38</v>
      </c>
      <c r="T156" s="8">
        <f>(P64*($E64/366))+(P65*($E65/366))</f>
        <v>21</v>
      </c>
      <c r="U156" s="8">
        <f>(Q64*($E64/366))+(Q65*($E65/366))</f>
        <v>20.5</v>
      </c>
      <c r="V156" s="7"/>
      <c r="W156" s="7">
        <f t="shared" si="19"/>
        <v>79.5</v>
      </c>
    </row>
    <row r="157" spans="1:23" x14ac:dyDescent="0.15">
      <c r="A157" s="1">
        <v>1989</v>
      </c>
      <c r="B157" s="8">
        <f>(K66*($E66/365))+(K67*($E67/365))</f>
        <v>42.857142857142854</v>
      </c>
      <c r="C157" s="8">
        <f>(L66*($E66/365))+(L67*($E67/365))</f>
        <v>28.571428571428569</v>
      </c>
      <c r="D157" s="8">
        <f>(M66*($E66/365))+(M67*($E67/365))</f>
        <v>28.571428571428569</v>
      </c>
      <c r="E157" s="50">
        <f t="shared" si="18"/>
        <v>99.999999999999986</v>
      </c>
      <c r="G157" s="1">
        <v>1989</v>
      </c>
      <c r="H157" s="809">
        <f>(O66/$R66*100*($E66/365))+(O67/$R67*100*($E67/365))</f>
        <v>47.79874213836478</v>
      </c>
      <c r="I157" s="809"/>
      <c r="J157" s="809">
        <f>(P66/$R66*100*($E66/365))+(P67/$R67*100*($E67/365))</f>
        <v>26.415094339622641</v>
      </c>
      <c r="K157" s="809"/>
      <c r="L157" s="809">
        <f>(Q66/$R66*100*($E66/365))+(Q67/$R67*100*($E67/365))</f>
        <v>25.786163522012579</v>
      </c>
      <c r="M157" s="809"/>
      <c r="N157" s="781">
        <f t="shared" si="17"/>
        <v>100</v>
      </c>
      <c r="O157" s="781"/>
      <c r="R157" s="1">
        <v>1989</v>
      </c>
      <c r="S157" s="8">
        <f>(O66*($E66/365))+(O67*($E67/365))</f>
        <v>38</v>
      </c>
      <c r="T157" s="8">
        <f>(P66*($E66/365))+(P67*($E67/365))</f>
        <v>21</v>
      </c>
      <c r="U157" s="8">
        <f>(Q66*($E66/365))+(Q67*($E67/365))</f>
        <v>20.5</v>
      </c>
      <c r="V157" s="7"/>
      <c r="W157" s="7">
        <f t="shared" si="19"/>
        <v>79.5</v>
      </c>
    </row>
    <row r="158" spans="1:23" x14ac:dyDescent="0.15">
      <c r="A158" s="1">
        <v>1990</v>
      </c>
      <c r="B158" s="8">
        <f>(K68*($E68/365))+(K69*($E69/365))</f>
        <v>42.857142857142854</v>
      </c>
      <c r="C158" s="8">
        <f>(L68*($E68/365))+(L69*($E69/365))</f>
        <v>28.571428571428569</v>
      </c>
      <c r="D158" s="8">
        <f>(M68*($E68/365))+(M69*($E69/365))</f>
        <v>28.571428571428569</v>
      </c>
      <c r="E158" s="50">
        <f t="shared" si="18"/>
        <v>99.999999999999986</v>
      </c>
      <c r="G158" s="1">
        <v>1990</v>
      </c>
      <c r="H158" s="809">
        <f>(O68/$R68*100*($E68/365))+(O69/$R69*100*($E69/365))</f>
        <v>47.79874213836478</v>
      </c>
      <c r="I158" s="809"/>
      <c r="J158" s="809">
        <f>(P68/$R68*100*($E68/365))+(P69/$R69*100*($E69/365))</f>
        <v>26.415094339622641</v>
      </c>
      <c r="K158" s="809"/>
      <c r="L158" s="809">
        <f>(Q68/$R68*100*($E68/365))+(Q69/$R69*100*($E69/365))</f>
        <v>25.786163522012579</v>
      </c>
      <c r="M158" s="809"/>
      <c r="N158" s="781">
        <f t="shared" si="17"/>
        <v>100</v>
      </c>
      <c r="O158" s="781"/>
      <c r="R158" s="1">
        <v>1990</v>
      </c>
      <c r="S158" s="8">
        <f>(O68*($E68/365))+(O69*($E69/365))</f>
        <v>38</v>
      </c>
      <c r="T158" s="8">
        <f>(P68*($E68/365))+(P69*($E69/365))</f>
        <v>21</v>
      </c>
      <c r="U158" s="8">
        <f>(Q68*($E68/365))+(Q69*($E69/365))</f>
        <v>20.5</v>
      </c>
      <c r="V158" s="7"/>
      <c r="W158" s="7">
        <f t="shared" si="19"/>
        <v>79.5</v>
      </c>
    </row>
    <row r="159" spans="1:23" x14ac:dyDescent="0.15">
      <c r="A159" s="1">
        <v>1991</v>
      </c>
      <c r="B159" s="8">
        <f>(K70*($E70/365))+(K71*($E71/365))</f>
        <v>42.857142857142854</v>
      </c>
      <c r="C159" s="8">
        <f>(L70*($E70/365))+(L71*($E71/365))</f>
        <v>28.571428571428569</v>
      </c>
      <c r="D159" s="8">
        <f>(M70*($E70/365))+(M71*($E71/365))</f>
        <v>28.571428571428569</v>
      </c>
      <c r="E159" s="50">
        <f t="shared" si="18"/>
        <v>99.999999999999986</v>
      </c>
      <c r="G159" s="1">
        <v>1991</v>
      </c>
      <c r="H159" s="809">
        <f>(O70/$R70*100*($E70/365))+(O71/$R71*100*($E71/365))</f>
        <v>47.757434991402214</v>
      </c>
      <c r="I159" s="809"/>
      <c r="J159" s="809">
        <f>(P70/$R70*100*($E70/365))+(P71/$R71*100*($E71/365))</f>
        <v>26.28026781193682</v>
      </c>
      <c r="K159" s="809"/>
      <c r="L159" s="809">
        <f>(Q70/$R70*100*($E70/365))+(Q71/$R71*100*($E71/365))</f>
        <v>25.962297196660966</v>
      </c>
      <c r="M159" s="809"/>
      <c r="N159" s="781">
        <f t="shared" si="17"/>
        <v>100</v>
      </c>
      <c r="O159" s="781"/>
      <c r="R159" s="1">
        <v>1991</v>
      </c>
      <c r="S159" s="8">
        <f>(O70*($E70/365))+(O71*($E71/365))</f>
        <v>37.731506849315068</v>
      </c>
      <c r="T159" s="8">
        <f>(P70*($E70/365))+(P71*($E71/365))</f>
        <v>20.769863013698629</v>
      </c>
      <c r="U159" s="8">
        <f>(Q70*($E70/365))+(Q71*($E71/365))</f>
        <v>20.5</v>
      </c>
      <c r="V159" s="7"/>
      <c r="W159" s="7">
        <f t="shared" si="19"/>
        <v>79.001369863013693</v>
      </c>
    </row>
    <row r="160" spans="1:23" x14ac:dyDescent="0.15">
      <c r="A160" s="1">
        <v>1992</v>
      </c>
      <c r="B160" s="8">
        <f>(K72*($E72/366))+(K73*($E73/366))</f>
        <v>42.857142857142854</v>
      </c>
      <c r="C160" s="8">
        <f>(L72*($E72/366))+(L73*($E73/366))</f>
        <v>28.571428571428569</v>
      </c>
      <c r="D160" s="8">
        <f>(M72*($E72/366))+(M73*($E73/366))</f>
        <v>28.571428571428569</v>
      </c>
      <c r="E160" s="50">
        <f t="shared" si="18"/>
        <v>99.999999999999986</v>
      </c>
      <c r="G160" s="1">
        <v>1992</v>
      </c>
      <c r="H160" s="809">
        <f>(O72/$R72*100*($E72/366))+(O73/$R73*100*($E73/366))</f>
        <v>47.260273972602739</v>
      </c>
      <c r="I160" s="809"/>
      <c r="J160" s="809">
        <f>(P72/$R72*100*($E72/366))+(P73/$R73*100*($E73/366))</f>
        <v>24.657534246575342</v>
      </c>
      <c r="K160" s="809"/>
      <c r="L160" s="809">
        <f>(Q72/$R72*100*($E72/366))+(Q73/$R73*100*($E73/366))</f>
        <v>28.082191780821919</v>
      </c>
      <c r="M160" s="809"/>
      <c r="N160" s="781">
        <f t="shared" ref="N160:N180" si="20">H160+J160+L160</f>
        <v>100</v>
      </c>
      <c r="O160" s="781"/>
      <c r="R160" s="1">
        <v>1992</v>
      </c>
      <c r="S160" s="8">
        <f>(O72*($E72/366))+(O73*($E73/366))</f>
        <v>34.5</v>
      </c>
      <c r="T160" s="8">
        <f>(P72*($E72/366))+(P73*($E73/366))</f>
        <v>18</v>
      </c>
      <c r="U160" s="8">
        <f>(Q72*($E72/366))+(Q73*($E73/366))</f>
        <v>20.5</v>
      </c>
      <c r="V160" s="7"/>
      <c r="W160" s="7">
        <f t="shared" si="19"/>
        <v>73</v>
      </c>
    </row>
    <row r="161" spans="1:23" x14ac:dyDescent="0.15">
      <c r="A161" s="1">
        <v>1993</v>
      </c>
      <c r="B161" s="8">
        <f>(K74*($E74/365))+(K75*($E75/365))</f>
        <v>42.857142857142854</v>
      </c>
      <c r="C161" s="8">
        <f>(L74*($E74/365))+(L75*($E75/365))</f>
        <v>28.571428571428569</v>
      </c>
      <c r="D161" s="8">
        <f>(M74*($E74/365))+(M75*($E75/365))</f>
        <v>28.571428571428569</v>
      </c>
      <c r="E161" s="50">
        <f t="shared" si="18"/>
        <v>99.999999999999986</v>
      </c>
      <c r="G161" s="1">
        <v>1993</v>
      </c>
      <c r="H161" s="809">
        <f>(O74/$R74*100*($E74/365))+(O75/$R75*100*($E75/365))</f>
        <v>47.260273972602739</v>
      </c>
      <c r="I161" s="809"/>
      <c r="J161" s="809">
        <f>(P74/$R74*100*($E74/365))+(P75/$R75*100*($E75/365))</f>
        <v>24.657534246575342</v>
      </c>
      <c r="K161" s="809"/>
      <c r="L161" s="809">
        <f>(Q74/$R74*100*($E74/365))+(Q75/$R75*100*($E75/365))</f>
        <v>28.082191780821919</v>
      </c>
      <c r="M161" s="809"/>
      <c r="N161" s="781">
        <f t="shared" si="20"/>
        <v>100</v>
      </c>
      <c r="O161" s="781"/>
      <c r="R161" s="1">
        <v>1993</v>
      </c>
      <c r="S161" s="8">
        <f>(O74*($E74/365))+(O75*($E75/365))</f>
        <v>34.5</v>
      </c>
      <c r="T161" s="8">
        <f>(P74*($E74/365))+(P75*($E75/365))</f>
        <v>18</v>
      </c>
      <c r="U161" s="8">
        <f>(Q74*($E74/365))+(Q75*($E75/365))</f>
        <v>20.5</v>
      </c>
      <c r="V161" s="7"/>
      <c r="W161" s="7">
        <f t="shared" si="19"/>
        <v>73</v>
      </c>
    </row>
    <row r="162" spans="1:23" x14ac:dyDescent="0.15">
      <c r="A162" s="1">
        <v>1994</v>
      </c>
      <c r="B162" s="8">
        <f>(K76*($E76/365))+(K77*($E77/365))</f>
        <v>42.857142857142854</v>
      </c>
      <c r="C162" s="8">
        <f>(L76*($E76/365))+(L77*($E77/365))</f>
        <v>28.571428571428569</v>
      </c>
      <c r="D162" s="8">
        <f>(M76*($E76/365))+(M77*($E77/365))</f>
        <v>28.571428571428569</v>
      </c>
      <c r="E162" s="50">
        <f t="shared" si="18"/>
        <v>99.999999999999986</v>
      </c>
      <c r="G162" s="1">
        <v>1994</v>
      </c>
      <c r="H162" s="809">
        <f>(O76/$R76*100*($E76/365))+(O77/$R77*100*($E77/365))</f>
        <v>47.260273972602739</v>
      </c>
      <c r="I162" s="809"/>
      <c r="J162" s="809">
        <f>(P76/$R76*100*($E76/365))+(P77/$R77*100*($E77/365))</f>
        <v>24.657534246575342</v>
      </c>
      <c r="K162" s="809"/>
      <c r="L162" s="809">
        <f>(Q76/$R76*100*($E76/365))+(Q77/$R77*100*($E77/365))</f>
        <v>28.082191780821919</v>
      </c>
      <c r="M162" s="809"/>
      <c r="N162" s="781">
        <f t="shared" si="20"/>
        <v>100</v>
      </c>
      <c r="O162" s="781"/>
      <c r="R162" s="1">
        <v>1994</v>
      </c>
      <c r="S162" s="8">
        <f>(O76*($E76/365))+(O77*($E77/365))</f>
        <v>34.5</v>
      </c>
      <c r="T162" s="8">
        <f>(P76*($E76/365))+(P77*($E77/365))</f>
        <v>18</v>
      </c>
      <c r="U162" s="8">
        <f>(Q76*($E76/365))+(Q77*($E77/365))</f>
        <v>20.5</v>
      </c>
      <c r="V162" s="7"/>
      <c r="W162" s="7">
        <f t="shared" si="19"/>
        <v>73</v>
      </c>
    </row>
    <row r="163" spans="1:23" x14ac:dyDescent="0.15">
      <c r="A163" s="1">
        <v>1995</v>
      </c>
      <c r="B163" s="8">
        <f>(K78*($E78/365))+(K79*($E79/365))</f>
        <v>42.857142857142854</v>
      </c>
      <c r="C163" s="8">
        <f>(L78*($E78/365))+(L79*($E79/365))</f>
        <v>28.571428571428569</v>
      </c>
      <c r="D163" s="8">
        <f>(M78*($E78/365))+(M79*($E79/365))</f>
        <v>28.571428571428569</v>
      </c>
      <c r="E163" s="50">
        <f t="shared" si="18"/>
        <v>99.999999999999986</v>
      </c>
      <c r="G163" s="1">
        <v>1995</v>
      </c>
      <c r="H163" s="809">
        <f>(O78/$R78*100*($E78/365))+(O79/$R79*100*($E79/365))</f>
        <v>47.177961723529997</v>
      </c>
      <c r="I163" s="809"/>
      <c r="J163" s="809">
        <f>(P78/$R78*100*($E78/365))+(P79/$R79*100*($E79/365))</f>
        <v>24.466499401133792</v>
      </c>
      <c r="K163" s="809"/>
      <c r="L163" s="809">
        <f>(Q78/$R78*100*($E78/365))+(Q79/$R79*100*($E79/365))</f>
        <v>28.355538875336212</v>
      </c>
      <c r="M163" s="809"/>
      <c r="N163" s="781">
        <f t="shared" si="20"/>
        <v>100</v>
      </c>
      <c r="O163" s="781"/>
      <c r="R163" s="1">
        <v>1995</v>
      </c>
      <c r="S163" s="8">
        <f>(O78*($E78/365))+(O79*($E79/365))</f>
        <v>34.630136986301366</v>
      </c>
      <c r="T163" s="8">
        <f>(P78*($E78/365))+(P79*($E79/365))</f>
        <v>17.947945205479453</v>
      </c>
      <c r="U163" s="8">
        <f>(Q78*($E78/365))+(Q79*($E79/365))</f>
        <v>20.838356164383562</v>
      </c>
      <c r="V163" s="7"/>
      <c r="W163" s="7">
        <f t="shared" si="19"/>
        <v>73.416438356164377</v>
      </c>
    </row>
    <row r="164" spans="1:23" x14ac:dyDescent="0.15">
      <c r="A164" s="1">
        <v>1996</v>
      </c>
      <c r="B164" s="8">
        <f>(K80*($E80/366))+(K81*($E81/366))</f>
        <v>42.857142857142854</v>
      </c>
      <c r="C164" s="8">
        <f>(L80*($E80/366))+(L81*($E81/366))</f>
        <v>28.571428571428569</v>
      </c>
      <c r="D164" s="8">
        <f>(M80*($E80/366))+(M81*($E81/366))</f>
        <v>28.571428571428569</v>
      </c>
      <c r="E164" s="50">
        <f t="shared" si="18"/>
        <v>99.999999999999986</v>
      </c>
      <c r="G164" s="1">
        <v>1996</v>
      </c>
      <c r="H164" s="809">
        <f>(O80/$R80*100*($E80/366))+(O81/$R81*100*($E81/366))</f>
        <v>45.679012345679013</v>
      </c>
      <c r="I164" s="809"/>
      <c r="J164" s="809">
        <f>(P80/$R80*100*($E80/366))+(P81/$R81*100*($E81/366))</f>
        <v>20.987654320987652</v>
      </c>
      <c r="K164" s="809"/>
      <c r="L164" s="809">
        <f>(Q80/$R80*100*($E80/366))+(Q81/$R81*100*($E81/366))</f>
        <v>33.333333333333329</v>
      </c>
      <c r="M164" s="809"/>
      <c r="N164" s="781">
        <f t="shared" si="20"/>
        <v>99.999999999999986</v>
      </c>
      <c r="O164" s="781"/>
      <c r="R164" s="1">
        <v>1996</v>
      </c>
      <c r="S164" s="8">
        <f>(O80*($E80/366))+(O81*($E81/366))</f>
        <v>37</v>
      </c>
      <c r="T164" s="8">
        <f>(P80*($E80/366))+(P81*($E81/366))</f>
        <v>17</v>
      </c>
      <c r="U164" s="8">
        <f>(Q80*($E80/366))+(Q81*($E81/366))</f>
        <v>27</v>
      </c>
      <c r="V164" s="7"/>
      <c r="W164" s="7">
        <f t="shared" si="19"/>
        <v>81</v>
      </c>
    </row>
    <row r="165" spans="1:23" x14ac:dyDescent="0.15">
      <c r="A165" s="1">
        <v>1997</v>
      </c>
      <c r="B165" s="8">
        <f>(K82*($E82/365))+(K83*($E83/365))</f>
        <v>42.857142857142854</v>
      </c>
      <c r="C165" s="8">
        <f>(L82*($E82/365))+(L83*($E83/365))</f>
        <v>28.571428571428569</v>
      </c>
      <c r="D165" s="8">
        <f>(M82*($E82/365))+(M83*($E83/365))</f>
        <v>28.571428571428569</v>
      </c>
      <c r="E165" s="50">
        <f t="shared" si="18"/>
        <v>99.999999999999986</v>
      </c>
      <c r="G165" s="1">
        <v>1997</v>
      </c>
      <c r="H165" s="809">
        <f>(O82/$R82*100*($E82/365))+(O83/$R83*100*($E83/365))</f>
        <v>45.679012345679013</v>
      </c>
      <c r="I165" s="809"/>
      <c r="J165" s="809">
        <f>(P82/$R82*100*($E82/365))+(P83/$R83*100*($E83/365))</f>
        <v>20.987654320987652</v>
      </c>
      <c r="K165" s="809"/>
      <c r="L165" s="809">
        <f>(Q82/$R82*100*($E82/365))+(Q83/$R83*100*($E83/365))</f>
        <v>33.333333333333329</v>
      </c>
      <c r="M165" s="809"/>
      <c r="N165" s="781">
        <f t="shared" si="20"/>
        <v>99.999999999999986</v>
      </c>
      <c r="O165" s="781"/>
      <c r="R165" s="1">
        <v>1997</v>
      </c>
      <c r="S165" s="8">
        <f>(O82*($E82/365))+(O83*($E83/365))</f>
        <v>37</v>
      </c>
      <c r="T165" s="8">
        <f>(P82*($E82/365))+(P83*($E83/365))</f>
        <v>17</v>
      </c>
      <c r="U165" s="8">
        <f>(Q82*($E82/365))+(Q83*($E83/365))</f>
        <v>27</v>
      </c>
      <c r="V165" s="7"/>
      <c r="W165" s="7">
        <f t="shared" si="19"/>
        <v>81</v>
      </c>
    </row>
    <row r="166" spans="1:23" x14ac:dyDescent="0.15">
      <c r="A166" s="1">
        <v>1998</v>
      </c>
      <c r="B166" s="8">
        <f>(K84*($E84/365))+(K85*($E85/365))</f>
        <v>42.857142857142854</v>
      </c>
      <c r="C166" s="8">
        <f>(L84*($E84/365))+(L85*($E85/365))</f>
        <v>28.571428571428569</v>
      </c>
      <c r="D166" s="8">
        <f>(M84*($E84/365))+(M85*($E85/365))</f>
        <v>28.571428571428569</v>
      </c>
      <c r="E166" s="50">
        <f t="shared" si="18"/>
        <v>99.999999999999986</v>
      </c>
      <c r="G166" s="1">
        <v>1998</v>
      </c>
      <c r="H166" s="809">
        <f>(O84/$R84*100*($E84/365))+(O85/$R85*100*($E85/365))</f>
        <v>45.679012345679013</v>
      </c>
      <c r="I166" s="809"/>
      <c r="J166" s="809">
        <f>(P84/$R84*100*($E84/365))+(P85/$R85*100*($E85/365))</f>
        <v>20.987654320987652</v>
      </c>
      <c r="K166" s="809"/>
      <c r="L166" s="809">
        <f>(Q84/$R84*100*($E84/365))+(Q85/$R85*100*($E85/365))</f>
        <v>33.333333333333329</v>
      </c>
      <c r="M166" s="809"/>
      <c r="N166" s="781">
        <f t="shared" si="20"/>
        <v>99.999999999999986</v>
      </c>
      <c r="O166" s="781"/>
      <c r="R166" s="1">
        <v>1998</v>
      </c>
      <c r="S166" s="8">
        <f>(O84*($E84/365))+(O85*($E85/365))</f>
        <v>37</v>
      </c>
      <c r="T166" s="8">
        <f>(P84*($E84/365))+(P85*($E85/365))</f>
        <v>17</v>
      </c>
      <c r="U166" s="8">
        <f>(Q84*($E84/365))+(Q85*($E85/365))</f>
        <v>27</v>
      </c>
      <c r="V166" s="7"/>
      <c r="W166" s="7">
        <f t="shared" si="19"/>
        <v>81</v>
      </c>
    </row>
    <row r="167" spans="1:23" x14ac:dyDescent="0.15">
      <c r="A167" s="1">
        <v>1999</v>
      </c>
      <c r="B167" s="8">
        <f>(K86*($E86/365))+(K87*($E87/365))</f>
        <v>42.857142857142854</v>
      </c>
      <c r="C167" s="8">
        <f>(L86*($E86/365))+(L87*($E87/365))</f>
        <v>28.571428571428569</v>
      </c>
      <c r="D167" s="8">
        <f>(M86*($E86/365))+(M87*($E87/365))</f>
        <v>28.571428571428569</v>
      </c>
      <c r="E167" s="50">
        <f t="shared" si="18"/>
        <v>99.999999999999986</v>
      </c>
      <c r="G167" s="1">
        <v>1999</v>
      </c>
      <c r="H167" s="809">
        <f>(O86/$R86*100*($E86/365))+(O87/$R87*100*($E87/365))</f>
        <v>45.893724907106801</v>
      </c>
      <c r="I167" s="809"/>
      <c r="J167" s="809">
        <f>(P86/$R86*100*($E86/365))+(P87/$R87*100*($E87/365))</f>
        <v>20.952422848059872</v>
      </c>
      <c r="K167" s="809"/>
      <c r="L167" s="809">
        <f>(Q86/$R86*100*($E86/365))+(Q87/$R87*100*($E87/365))</f>
        <v>33.153852244833317</v>
      </c>
      <c r="M167" s="809"/>
      <c r="N167" s="781">
        <f t="shared" si="20"/>
        <v>99.999999999999986</v>
      </c>
      <c r="O167" s="781"/>
      <c r="R167" s="1">
        <v>1999</v>
      </c>
      <c r="S167" s="8">
        <f>(O86*($E86/365))+(O87*($E87/365))</f>
        <v>37.302739726027397</v>
      </c>
      <c r="T167" s="8">
        <f>(P86*($E86/365))+(P87*($E87/365))</f>
        <v>17.023287671232879</v>
      </c>
      <c r="U167" s="8">
        <f>(Q86*($E86/365))+(Q87*($E87/365))</f>
        <v>26.93013698630137</v>
      </c>
      <c r="V167" s="7"/>
      <c r="W167" s="7">
        <f t="shared" si="19"/>
        <v>81.256164383561639</v>
      </c>
    </row>
    <row r="168" spans="1:23" x14ac:dyDescent="0.15">
      <c r="A168" s="1">
        <v>2000</v>
      </c>
      <c r="B168" s="8">
        <f>(K88*($E88/366))+(K89*($E89/366))</f>
        <v>42.857142857142854</v>
      </c>
      <c r="C168" s="8">
        <f>(L88*($E88/366))+(L89*($E89/366))</f>
        <v>28.571428571428569</v>
      </c>
      <c r="D168" s="8">
        <f>(M88*($E88/366))+(M89*($E89/366))</f>
        <v>28.571428571428569</v>
      </c>
      <c r="E168" s="50">
        <f t="shared" si="18"/>
        <v>99.999999999999986</v>
      </c>
      <c r="G168" s="1">
        <v>2000</v>
      </c>
      <c r="H168" s="809">
        <f>(O88/$R88*100*($E88/366))+(O89/$R89*100*($E89/366))</f>
        <v>50.289017341040463</v>
      </c>
      <c r="I168" s="809"/>
      <c r="J168" s="809">
        <f>(P88/$R88*100*($E88/366))+(P89/$R89*100*($E89/366))</f>
        <v>20.23121387283237</v>
      </c>
      <c r="K168" s="809"/>
      <c r="L168" s="809">
        <f>(Q88/$R88*100*($E88/366))+(Q89/$R89*100*($E89/366))</f>
        <v>29.47976878612717</v>
      </c>
      <c r="M168" s="809"/>
      <c r="N168" s="781">
        <f t="shared" si="20"/>
        <v>100</v>
      </c>
      <c r="O168" s="781"/>
      <c r="R168" s="1">
        <v>2000</v>
      </c>
      <c r="S168" s="8">
        <f>(O88*($E88/366))+(O89*($E89/366))</f>
        <v>43.5</v>
      </c>
      <c r="T168" s="8">
        <f>(P88*($E88/366))+(P89*($E89/366))</f>
        <v>17.5</v>
      </c>
      <c r="U168" s="8">
        <f>(Q88*($E88/366))+(Q89*($E89/366))</f>
        <v>25.5</v>
      </c>
      <c r="V168" s="7"/>
      <c r="W168" s="7">
        <f t="shared" si="19"/>
        <v>86.5</v>
      </c>
    </row>
    <row r="169" spans="1:23" x14ac:dyDescent="0.15">
      <c r="A169" s="1">
        <v>2001</v>
      </c>
      <c r="B169" s="8">
        <f>(K90*($E90/365))+(K91*($E91/365))</f>
        <v>42.857142857142854</v>
      </c>
      <c r="C169" s="8">
        <f>(L90*($E90/365))+(L91*($E91/365))</f>
        <v>28.571428571428569</v>
      </c>
      <c r="D169" s="8">
        <f>(M90*($E90/365))+(M91*($E91/365))</f>
        <v>28.571428571428569</v>
      </c>
      <c r="E169" s="50">
        <f t="shared" si="18"/>
        <v>99.999999999999986</v>
      </c>
      <c r="G169" s="1">
        <v>2001</v>
      </c>
      <c r="H169" s="809">
        <f>(O90/$R90*100*($E90/365))+(O91/$R91*100*($E91/365))</f>
        <v>50.289017341040463</v>
      </c>
      <c r="I169" s="809"/>
      <c r="J169" s="809">
        <f>(P90/$R90*100*($E90/365))+(P91/$R91*100*($E91/365))</f>
        <v>20.23121387283237</v>
      </c>
      <c r="K169" s="809"/>
      <c r="L169" s="809">
        <f>(Q90/$R90*100*($E90/365))+(Q91/$R91*100*($E91/365))</f>
        <v>29.47976878612717</v>
      </c>
      <c r="M169" s="809"/>
      <c r="N169" s="781">
        <f t="shared" si="20"/>
        <v>100</v>
      </c>
      <c r="O169" s="781"/>
      <c r="R169" s="1">
        <v>2001</v>
      </c>
      <c r="S169" s="8">
        <f>(O90*($E90/365))+(O91*($E91/365))</f>
        <v>43.5</v>
      </c>
      <c r="T169" s="8">
        <f>(P90*($E90/365))+(P91*($E91/365))</f>
        <v>17.5</v>
      </c>
      <c r="U169" s="8">
        <f>(Q90*($E90/365))+(Q91*($E91/365))</f>
        <v>25.5</v>
      </c>
      <c r="V169" s="7"/>
      <c r="W169" s="7">
        <f t="shared" si="19"/>
        <v>86.5</v>
      </c>
    </row>
    <row r="170" spans="1:23" x14ac:dyDescent="0.15">
      <c r="A170" s="1">
        <v>2002</v>
      </c>
      <c r="B170" s="8">
        <f>(K92*($E92/365))+(K93*($E93/365))</f>
        <v>42.857142857142854</v>
      </c>
      <c r="C170" s="8">
        <f>(L92*($E92/365))+(L93*($E93/365))</f>
        <v>28.571428571428569</v>
      </c>
      <c r="D170" s="8">
        <f>(M92*($E92/365))+(M93*($E93/365))</f>
        <v>28.571428571428569</v>
      </c>
      <c r="E170" s="50">
        <f t="shared" si="18"/>
        <v>99.999999999999986</v>
      </c>
      <c r="G170" s="1">
        <v>2002</v>
      </c>
      <c r="H170" s="809">
        <f>(O92/$R92*100*($E92/365))+(O93/$R93*100*($E93/365))</f>
        <v>50.289017341040463</v>
      </c>
      <c r="I170" s="809"/>
      <c r="J170" s="809">
        <f>(P92/$R92*100*($E92/365))+(P93/$R93*100*($E93/365))</f>
        <v>20.23121387283237</v>
      </c>
      <c r="K170" s="809"/>
      <c r="L170" s="809">
        <f>(Q92/$R92*100*($E92/365))+(Q93/$R93*100*($E93/365))</f>
        <v>29.47976878612717</v>
      </c>
      <c r="M170" s="809"/>
      <c r="N170" s="781">
        <f t="shared" si="20"/>
        <v>100</v>
      </c>
      <c r="O170" s="781"/>
      <c r="R170" s="1">
        <v>2002</v>
      </c>
      <c r="S170" s="8">
        <f>(O92*($E92/365))+(O93*($E93/365))</f>
        <v>43.5</v>
      </c>
      <c r="T170" s="8">
        <f>(P92*($E92/365))+(P93*($E93/365))</f>
        <v>17.5</v>
      </c>
      <c r="U170" s="8">
        <f>(Q92*($E92/365))+(Q93*($E93/365))</f>
        <v>25.5</v>
      </c>
      <c r="V170" s="7"/>
      <c r="W170" s="7">
        <f t="shared" si="19"/>
        <v>86.5</v>
      </c>
    </row>
    <row r="171" spans="1:23" x14ac:dyDescent="0.15">
      <c r="A171" s="1">
        <v>2003</v>
      </c>
      <c r="B171" s="8">
        <f>(K94*($E94/365))+(K95*($E95/365))</f>
        <v>42.857142857142854</v>
      </c>
      <c r="C171" s="8">
        <f>(L94*($E94/365))+(L95*($E95/365))</f>
        <v>28.571428571428569</v>
      </c>
      <c r="D171" s="8">
        <f>(M94*($E94/365))+(M95*($E95/365))</f>
        <v>28.571428571428569</v>
      </c>
      <c r="E171" s="50">
        <f t="shared" si="18"/>
        <v>99.999999999999986</v>
      </c>
      <c r="G171" s="1">
        <v>2003</v>
      </c>
      <c r="H171" s="809">
        <f>(O94/$R94*100*($E94/365))+(O95/$R95*100*($E95/365))</f>
        <v>50.46546077231509</v>
      </c>
      <c r="I171" s="809"/>
      <c r="J171" s="809">
        <f>(P94/$R94*100*($E94/365))+(P95/$R95*100*($E95/365))</f>
        <v>19.998740483589476</v>
      </c>
      <c r="K171" s="809"/>
      <c r="L171" s="809">
        <f>(Q94/$R94*100*($E94/365))+(Q95/$R95*100*($E95/365))</f>
        <v>29.535798744095445</v>
      </c>
      <c r="M171" s="809"/>
      <c r="N171" s="781">
        <f t="shared" si="20"/>
        <v>100.00000000000001</v>
      </c>
      <c r="O171" s="781"/>
      <c r="R171" s="1">
        <v>2003</v>
      </c>
      <c r="S171" s="8">
        <f>(O94*($E94/365))+(O95*($E95/365))</f>
        <v>43.62054794520548</v>
      </c>
      <c r="T171" s="8">
        <f>(P94*($E94/365))+(P95*($E95/365))</f>
        <v>17.289041095890411</v>
      </c>
      <c r="U171" s="8">
        <f>(Q94*($E94/365))+(Q95*($E95/365))</f>
        <v>25.530136986301372</v>
      </c>
      <c r="V171" s="7"/>
      <c r="W171" s="7">
        <f t="shared" si="19"/>
        <v>86.439726027397256</v>
      </c>
    </row>
    <row r="172" spans="1:23" x14ac:dyDescent="0.15">
      <c r="A172" s="1">
        <v>2004</v>
      </c>
      <c r="B172" s="8">
        <f>(K96*($E96/366))+(K97*($E97/366))</f>
        <v>57.142857142857139</v>
      </c>
      <c r="C172" s="8">
        <f>(L96*($E96/366))+(L97*($E97/366))</f>
        <v>14.285714285714285</v>
      </c>
      <c r="D172" s="8">
        <f>(M96*($E96/366))+(M97*($E97/366))</f>
        <v>28.571428571428569</v>
      </c>
      <c r="E172" s="50">
        <f t="shared" si="18"/>
        <v>99.999999999999986</v>
      </c>
      <c r="G172" s="1">
        <v>2004</v>
      </c>
      <c r="H172" s="809">
        <f>(O96/$R96*100*($E96/366))+(O97/$R97*100*($E97/366))</f>
        <v>53.216374269005854</v>
      </c>
      <c r="I172" s="809"/>
      <c r="J172" s="809">
        <f>(P96/$R96*100*($E96/366))+(P97/$R97*100*($E97/366))</f>
        <v>16.374269005847953</v>
      </c>
      <c r="K172" s="809"/>
      <c r="L172" s="809">
        <f>(Q96/$R96*100*($E96/366))+(Q97/$R97*100*($E97/366))</f>
        <v>30.409356725146196</v>
      </c>
      <c r="M172" s="809"/>
      <c r="N172" s="781">
        <f t="shared" si="20"/>
        <v>100</v>
      </c>
      <c r="O172" s="781"/>
      <c r="R172" s="1">
        <v>2004</v>
      </c>
      <c r="S172" s="8">
        <f>(O96*($E96/366))+(O97*($E97/366))</f>
        <v>45.5</v>
      </c>
      <c r="T172" s="8">
        <f>(P96*($E96/366))+(P97*($E97/366))</f>
        <v>14</v>
      </c>
      <c r="U172" s="8">
        <f>(Q96*($E96/366))+(Q97*($E97/366))</f>
        <v>26</v>
      </c>
      <c r="V172" s="7"/>
      <c r="W172" s="7">
        <f t="shared" si="19"/>
        <v>85.5</v>
      </c>
    </row>
    <row r="173" spans="1:23" x14ac:dyDescent="0.15">
      <c r="A173" s="1">
        <v>2005</v>
      </c>
      <c r="B173" s="8">
        <f>(K98*($E98/365))+(K99*($E99/365))</f>
        <v>57.142857142857139</v>
      </c>
      <c r="C173" s="8">
        <f>(L98*($E98/365))+(L99*($E99/365))</f>
        <v>14.285714285714285</v>
      </c>
      <c r="D173" s="8">
        <f>(M98*($E98/365))+(M99*($E99/365))</f>
        <v>28.571428571428569</v>
      </c>
      <c r="E173" s="50">
        <f t="shared" si="18"/>
        <v>99.999999999999986</v>
      </c>
      <c r="G173" s="1">
        <v>2005</v>
      </c>
      <c r="H173" s="809">
        <f>(O98/$R98*100*($E98/365))+(O99/$R99*100*($E99/365))</f>
        <v>53.216374269005854</v>
      </c>
      <c r="I173" s="809"/>
      <c r="J173" s="809">
        <f>(P98/$R98*100*($E98/365))+(P99/$R99*100*($E99/365))</f>
        <v>16.374269005847953</v>
      </c>
      <c r="K173" s="809"/>
      <c r="L173" s="809">
        <f>(Q98/$R98*100*($E98/365))+(Q99/$R99*100*($E99/365))</f>
        <v>30.409356725146196</v>
      </c>
      <c r="M173" s="809"/>
      <c r="N173" s="781">
        <f t="shared" si="20"/>
        <v>100</v>
      </c>
      <c r="O173" s="781"/>
      <c r="R173" s="1">
        <v>2005</v>
      </c>
      <c r="S173" s="8">
        <f>(O98*($E98/365))+(O99*($E99/365))</f>
        <v>45.5</v>
      </c>
      <c r="T173" s="8">
        <f>(P98*($E98/365))+(P99*($E99/365))</f>
        <v>14</v>
      </c>
      <c r="U173" s="8">
        <f>(Q98*($E98/365))+(Q99*($E99/365))</f>
        <v>26</v>
      </c>
      <c r="V173" s="7"/>
      <c r="W173" s="7">
        <f t="shared" si="19"/>
        <v>85.5</v>
      </c>
    </row>
    <row r="174" spans="1:23" x14ac:dyDescent="0.15">
      <c r="A174" s="1">
        <v>2006</v>
      </c>
      <c r="B174" s="8">
        <f>(K100*($E100/365))+(K101*($E101/365))</f>
        <v>57.142857142857139</v>
      </c>
      <c r="C174" s="8">
        <f>(L100*($E100/365))+(L101*($E101/365))</f>
        <v>14.285714285714285</v>
      </c>
      <c r="D174" s="8">
        <f>(M100*($E100/365))+(M101*($E101/365))</f>
        <v>28.571428571428569</v>
      </c>
      <c r="E174" s="50">
        <f t="shared" si="18"/>
        <v>99.999999999999986</v>
      </c>
      <c r="G174" s="1">
        <v>2006</v>
      </c>
      <c r="H174" s="809">
        <f>(O100/$R100*100*($E100/365))+(O101/$R101*100*($E101/365))</f>
        <v>53.216374269005854</v>
      </c>
      <c r="I174" s="809"/>
      <c r="J174" s="809">
        <f>(P100/$R100*100*($E100/365))+(P101/$R101*100*($E101/365))</f>
        <v>16.374269005847953</v>
      </c>
      <c r="K174" s="809"/>
      <c r="L174" s="809">
        <f>(Q100/$R100*100*($E100/365))+(Q101/$R101*100*($E101/365))</f>
        <v>30.409356725146196</v>
      </c>
      <c r="M174" s="809"/>
      <c r="N174" s="781">
        <f t="shared" si="20"/>
        <v>100</v>
      </c>
      <c r="O174" s="781"/>
      <c r="R174" s="1">
        <v>2006</v>
      </c>
      <c r="S174" s="8">
        <f>(O100*($E100/365))+(O101*($E101/365))</f>
        <v>45.5</v>
      </c>
      <c r="T174" s="8">
        <f>(P100*($E100/365))+(P101*($E101/365))</f>
        <v>14</v>
      </c>
      <c r="U174" s="8">
        <f>(Q100*($E100/365))+(Q101*($E101/365))</f>
        <v>26</v>
      </c>
      <c r="V174" s="7"/>
      <c r="W174" s="7">
        <f t="shared" si="19"/>
        <v>85.5</v>
      </c>
    </row>
    <row r="175" spans="1:23" x14ac:dyDescent="0.15">
      <c r="A175" s="1">
        <v>2007</v>
      </c>
      <c r="B175" s="8">
        <f>(K102*($E102/365))+(K103*($E103/365))</f>
        <v>57.142857142857139</v>
      </c>
      <c r="C175" s="8">
        <f>(L102*($E102/365))+(L103*($E103/365))</f>
        <v>14.285714285714285</v>
      </c>
      <c r="D175" s="8">
        <f>(M102*($E102/365))+(M103*($E103/365))</f>
        <v>28.571428571428569</v>
      </c>
      <c r="E175" s="50">
        <f t="shared" si="18"/>
        <v>99.999999999999986</v>
      </c>
      <c r="G175" s="1">
        <v>2007</v>
      </c>
      <c r="H175" s="809">
        <f>(O102/$R102*100*($E102/365))+(O103/$R103*100*($E103/365))</f>
        <v>53.351839939443394</v>
      </c>
      <c r="I175" s="809"/>
      <c r="J175" s="809">
        <f>(P102/$R102*100*($E102/365))+(P103/$R103*100*($E103/365))</f>
        <v>16.49419258095201</v>
      </c>
      <c r="K175" s="809"/>
      <c r="L175" s="809">
        <f>(Q102/$R102*100*($E102/365))+(Q103/$R103*100*($E103/365))</f>
        <v>30.153967479604596</v>
      </c>
      <c r="M175" s="809"/>
      <c r="N175" s="781">
        <f t="shared" si="20"/>
        <v>100</v>
      </c>
      <c r="O175" s="781"/>
      <c r="R175" s="1">
        <v>2007</v>
      </c>
      <c r="S175" s="8">
        <f>(O102*($E102/365))+(O103*($E103/365))</f>
        <v>45.554794520547944</v>
      </c>
      <c r="T175" s="8">
        <f>(P102*($E102/365))+(P103*($E103/365))</f>
        <v>14.082191780821919</v>
      </c>
      <c r="U175" s="8">
        <f>(Q102*($E102/365))+(Q103*($E103/365))</f>
        <v>25.753424657534246</v>
      </c>
      <c r="V175" s="7"/>
      <c r="W175" s="7">
        <f t="shared" si="19"/>
        <v>85.390410958904113</v>
      </c>
    </row>
    <row r="176" spans="1:23" x14ac:dyDescent="0.15">
      <c r="A176" s="1">
        <v>2008</v>
      </c>
      <c r="B176" s="8">
        <f>(K104*($E104/366))+(K105*($E105/366))</f>
        <v>57.142857142857139</v>
      </c>
      <c r="C176" s="8">
        <f>(L104*($E104/366))+(L105*($E105/366))</f>
        <v>14.285714285714285</v>
      </c>
      <c r="D176" s="8">
        <f>(M104*($E104/366))+(M105*($E105/366))</f>
        <v>28.571428571428569</v>
      </c>
      <c r="E176" s="50">
        <f t="shared" si="18"/>
        <v>99.999999999999986</v>
      </c>
      <c r="G176" s="1">
        <v>2008</v>
      </c>
      <c r="H176" s="809">
        <f>(O104/$R104*100*($E104/366))+(O105/$R105*100*($E105/366))</f>
        <v>55.688622754491014</v>
      </c>
      <c r="I176" s="809"/>
      <c r="J176" s="809">
        <f>(P104/$R104*100*($E104/366))+(P105/$R105*100*($E105/366))</f>
        <v>18.562874251497004</v>
      </c>
      <c r="K176" s="809"/>
      <c r="L176" s="809">
        <f>(Q104/$R104*100*($E104/366))+(Q105/$R105*100*($E105/366))</f>
        <v>25.748502994011975</v>
      </c>
      <c r="M176" s="809"/>
      <c r="N176" s="781">
        <f t="shared" si="20"/>
        <v>99.999999999999986</v>
      </c>
      <c r="O176" s="781"/>
      <c r="R176" s="1">
        <v>2008</v>
      </c>
      <c r="S176" s="8">
        <f>(O104*($E104/366))+(O105*($E105/366))</f>
        <v>46.5</v>
      </c>
      <c r="T176" s="8">
        <f>(P104*($E104/366))+(P105*($E105/366))</f>
        <v>15.5</v>
      </c>
      <c r="U176" s="8">
        <f>(Q104*($E104/366))+(Q105*($E105/366))</f>
        <v>21.5</v>
      </c>
      <c r="V176" s="7"/>
      <c r="W176" s="7">
        <f t="shared" si="19"/>
        <v>83.5</v>
      </c>
    </row>
    <row r="177" spans="1:23" x14ac:dyDescent="0.15">
      <c r="A177" s="1">
        <v>2009</v>
      </c>
      <c r="B177" s="8">
        <f>(K106*($E106/365))+(K107*($E107/365))</f>
        <v>57.142857142857139</v>
      </c>
      <c r="C177" s="8">
        <f>(L106*($E106/365))+(L107*($E107/365))</f>
        <v>14.285714285714285</v>
      </c>
      <c r="D177" s="8">
        <f>(M106*($E106/365))+(M107*($E107/365))</f>
        <v>28.571428571428569</v>
      </c>
      <c r="E177" s="50">
        <f t="shared" si="18"/>
        <v>99.999999999999986</v>
      </c>
      <c r="G177" s="1">
        <v>2009</v>
      </c>
      <c r="H177" s="809">
        <f>(O106/$R106*100*($E106/365))+(O107/$R107*100*($E107/365))</f>
        <v>55.688622754491014</v>
      </c>
      <c r="I177" s="809"/>
      <c r="J177" s="809">
        <f>(P106/$R106*100*($E106/365))+(P107/$R107*100*($E107/365))</f>
        <v>18.562874251497004</v>
      </c>
      <c r="K177" s="809"/>
      <c r="L177" s="809">
        <f>(Q106/$R106*100*($E106/365))+(Q107/$R107*100*($E107/365))</f>
        <v>25.748502994011975</v>
      </c>
      <c r="M177" s="809"/>
      <c r="N177" s="781">
        <f t="shared" si="20"/>
        <v>99.999999999999986</v>
      </c>
      <c r="O177" s="781"/>
      <c r="R177" s="1">
        <v>2009</v>
      </c>
      <c r="S177" s="8">
        <f>(O106*($E106/365))+(O107*($E107/365))</f>
        <v>46.5</v>
      </c>
      <c r="T177" s="8">
        <f>(P106*($E106/365))+(P107*($E107/365))</f>
        <v>15.5</v>
      </c>
      <c r="U177" s="8">
        <f>(Q106*($E106/365))+(Q107*($E107/365))</f>
        <v>21.5</v>
      </c>
      <c r="V177" s="7"/>
      <c r="W177" s="7">
        <f t="shared" si="19"/>
        <v>83.5</v>
      </c>
    </row>
    <row r="178" spans="1:23" x14ac:dyDescent="0.15">
      <c r="A178" s="1">
        <v>2010</v>
      </c>
      <c r="B178" s="8">
        <f>(K108*($E108/365))+(K109*($E109/365))</f>
        <v>57.142857142857139</v>
      </c>
      <c r="C178" s="8">
        <f>(L108*($E108/365))+(L109*($E109/365))</f>
        <v>14.285714285714285</v>
      </c>
      <c r="D178" s="8">
        <f>(M108*($E108/365))+(M109*($E109/365))</f>
        <v>28.571428571428569</v>
      </c>
      <c r="E178" s="50">
        <f t="shared" si="18"/>
        <v>99.999999999999986</v>
      </c>
      <c r="G178" s="1">
        <v>2010</v>
      </c>
      <c r="H178" s="809">
        <f>(O108/$R108*100*($E108/365))+(O109/$R109*100*($E109/365))</f>
        <v>55.688622754491014</v>
      </c>
      <c r="I178" s="809"/>
      <c r="J178" s="809">
        <f>(P108/$R108*100*($E108/365))+(P109/$R109*100*($E109/365))</f>
        <v>18.562874251497004</v>
      </c>
      <c r="K178" s="809"/>
      <c r="L178" s="809">
        <f>(Q108/$R108*100*($E108/365))+(Q109/$R109*100*($E109/365))</f>
        <v>25.748502994011975</v>
      </c>
      <c r="M178" s="809"/>
      <c r="N178" s="781">
        <f t="shared" si="20"/>
        <v>99.999999999999986</v>
      </c>
      <c r="O178" s="781"/>
      <c r="R178" s="1">
        <v>2010</v>
      </c>
      <c r="S178" s="8">
        <f>(O108*($E108/365))+(O109*($E109/365))</f>
        <v>46.5</v>
      </c>
      <c r="T178" s="8">
        <f>(P108*($E108/365))+(P109*($E109/365))</f>
        <v>15.5</v>
      </c>
      <c r="U178" s="8">
        <f>(Q108*($E108/365))+(Q109*($E109/365))</f>
        <v>21.5</v>
      </c>
      <c r="V178" s="7"/>
      <c r="W178" s="7">
        <f t="shared" si="19"/>
        <v>83.5</v>
      </c>
    </row>
    <row r="179" spans="1:23" x14ac:dyDescent="0.15">
      <c r="A179" s="1">
        <v>2011</v>
      </c>
      <c r="B179" s="8">
        <f>(K110*($E110/365))+(K111*($E111/365))</f>
        <v>57.142857142857139</v>
      </c>
      <c r="C179" s="8">
        <f>(L110*($E110/365))+(L111*($E111/365))</f>
        <v>14.285714285714285</v>
      </c>
      <c r="D179" s="8">
        <f>(M110*($E110/365))+(M111*($E111/365))</f>
        <v>28.571428571428569</v>
      </c>
      <c r="E179" s="50">
        <f t="shared" si="18"/>
        <v>99.999999999999986</v>
      </c>
      <c r="G179" s="1">
        <v>2011</v>
      </c>
      <c r="H179" s="809">
        <f>(O110/$R110*100*($E110/365))+(O111/$R111*100*($E111/365))</f>
        <v>55.688622754491014</v>
      </c>
      <c r="I179" s="809"/>
      <c r="J179" s="809">
        <f>(P110/$R110*100*($E110/365))+(P111/$R111*100*($E111/365))</f>
        <v>18.474284308096134</v>
      </c>
      <c r="K179" s="809"/>
      <c r="L179" s="809">
        <f>(Q110/$R110*100*($E110/365))+(Q111/$R111*100*($E111/365))</f>
        <v>25.837092937412844</v>
      </c>
      <c r="M179" s="809"/>
      <c r="N179" s="781">
        <f t="shared" si="20"/>
        <v>100</v>
      </c>
      <c r="O179" s="781"/>
      <c r="R179" s="1">
        <v>2011</v>
      </c>
      <c r="S179" s="8">
        <f>(O110*($E110/365))+(O111*($E111/365))</f>
        <v>46.5</v>
      </c>
      <c r="T179" s="8">
        <f>(P110*($E110/365))+(P111*($E111/365))</f>
        <v>15.426027397260274</v>
      </c>
      <c r="U179" s="8">
        <f>(Q110*($E110/365))+(Q111*($E111/365))</f>
        <v>21.573972602739726</v>
      </c>
      <c r="V179" s="7"/>
      <c r="W179" s="7">
        <f t="shared" si="19"/>
        <v>83.5</v>
      </c>
    </row>
    <row r="180" spans="1:23" x14ac:dyDescent="0.15">
      <c r="A180" s="1">
        <v>2012</v>
      </c>
      <c r="B180" s="8">
        <f>(K112*($E112/366))+(K113*($E113/366))</f>
        <v>57.142857142857139</v>
      </c>
      <c r="C180" s="8">
        <f>(L112*($E112/366))+(L113*($E113/366))</f>
        <v>14.285714285714285</v>
      </c>
      <c r="D180" s="8">
        <f>(M112*($E112/366))+(M113*($E113/366))</f>
        <v>28.571428571428569</v>
      </c>
      <c r="E180" s="50">
        <f t="shared" si="18"/>
        <v>99.999999999999986</v>
      </c>
      <c r="G180" s="1">
        <v>2012</v>
      </c>
      <c r="H180" s="809">
        <f>(O112/$R112*100*($E112/366))+(O113/$R113*100*($E113/366))</f>
        <v>55.688622754491014</v>
      </c>
      <c r="I180" s="809"/>
      <c r="J180" s="809">
        <f>(P112/$R112*100*($E112/366))+(P113/$R113*100*($E113/366))</f>
        <v>16.766467065868262</v>
      </c>
      <c r="K180" s="809"/>
      <c r="L180" s="809">
        <f>(Q112/$R112*100*($E112/366))+(Q113/$R113*100*($E113/366))</f>
        <v>27.54491017964072</v>
      </c>
      <c r="M180" s="809"/>
      <c r="N180" s="781">
        <f t="shared" si="20"/>
        <v>100</v>
      </c>
      <c r="O180" s="781"/>
      <c r="R180" s="1">
        <v>2012</v>
      </c>
      <c r="S180" s="8">
        <f>(O112*($E112/366))+(O113*($E113/366))</f>
        <v>46.5</v>
      </c>
      <c r="T180" s="8">
        <f>(P112*($E112/366))+(P113*($E113/366))</f>
        <v>14</v>
      </c>
      <c r="U180" s="8">
        <f>(Q112*($E112/366))+(Q113*($E113/366))</f>
        <v>23</v>
      </c>
      <c r="V180" s="7"/>
      <c r="W180" s="7">
        <f t="shared" si="19"/>
        <v>83.5</v>
      </c>
    </row>
    <row r="181" spans="1:23" x14ac:dyDescent="0.15">
      <c r="A181" s="1">
        <v>2013</v>
      </c>
      <c r="B181" s="8">
        <f>(K114*($E114/365))+(K115*($E115/365))</f>
        <v>57.142857142857139</v>
      </c>
      <c r="C181" s="8">
        <f>(L114*($E114/365))+(L115*($E115/365))</f>
        <v>14.285714285714285</v>
      </c>
      <c r="D181" s="8">
        <f>(M114*($E114/365))+(M115*($E115/365))</f>
        <v>28.571428571428569</v>
      </c>
      <c r="E181" s="309">
        <f t="shared" si="18"/>
        <v>99.999999999999986</v>
      </c>
      <c r="G181" s="1">
        <v>2013</v>
      </c>
      <c r="H181" s="809">
        <f>(O114/$R114*100*($E114/365))+(O115/$R115*100*($E115/365))</f>
        <v>55.688622754491014</v>
      </c>
      <c r="I181" s="809"/>
      <c r="J181" s="809">
        <f>(P114/$R114*100*($E114/365))+(P115/$R115*100*($E115/365))</f>
        <v>16.766467065868262</v>
      </c>
      <c r="K181" s="809"/>
      <c r="L181" s="809">
        <f>(Q114/$R114*100*($E114/365))+(Q115/$R115*100*($E115/365))</f>
        <v>27.54491017964072</v>
      </c>
      <c r="M181" s="809"/>
      <c r="N181" s="781">
        <f>H181+J181+L181</f>
        <v>100</v>
      </c>
      <c r="O181" s="781"/>
      <c r="R181" s="1">
        <v>2013</v>
      </c>
      <c r="S181" s="8">
        <f>(O114*($E114/365))+(O115*($E115/365))</f>
        <v>46.5</v>
      </c>
      <c r="T181" s="8">
        <f>(P114*($E114/365))+(P115*($E115/365))</f>
        <v>14</v>
      </c>
      <c r="U181" s="8">
        <f>(Q114*($E114/365))+(Q115*($E115/365))</f>
        <v>23</v>
      </c>
      <c r="W181" s="7">
        <f t="shared" si="19"/>
        <v>83.5</v>
      </c>
    </row>
    <row r="182" spans="1:23" x14ac:dyDescent="0.15">
      <c r="A182" s="1">
        <v>2014</v>
      </c>
      <c r="B182" s="8">
        <f>(K116*($E116/365))+(K117*($E117/365))</f>
        <v>57.142857142857139</v>
      </c>
      <c r="C182" s="8">
        <f>(L116*($E116/365))+(L117*($E117/365))</f>
        <v>14.285714285714285</v>
      </c>
      <c r="D182" s="8">
        <f>(M116*($E116/365))+(M117*($E117/365))</f>
        <v>28.571428571428569</v>
      </c>
      <c r="E182" s="639">
        <f>B182+C182+D182</f>
        <v>99.999999999999986</v>
      </c>
      <c r="G182" s="1">
        <v>2014</v>
      </c>
      <c r="H182" s="809">
        <f>(O116/$R116*100*($E116/365))+(O117/$R117*100*($E117/365))</f>
        <v>55.688622754491014</v>
      </c>
      <c r="I182" s="809"/>
      <c r="J182" s="809">
        <f>(P116/$R116*100*($E116/365))+(P117/$R117*100*($E117/365))</f>
        <v>16.766467065868262</v>
      </c>
      <c r="K182" s="809"/>
      <c r="L182" s="809">
        <f>(Q116/$R116*100*($E116/365))+(Q117/$R117*100*($E117/365))</f>
        <v>27.54491017964072</v>
      </c>
      <c r="M182" s="809"/>
      <c r="N182" s="781">
        <f>H182+J182+L182</f>
        <v>100</v>
      </c>
      <c r="O182" s="781"/>
      <c r="R182" s="1">
        <v>2014</v>
      </c>
      <c r="S182" s="8">
        <f>(O116*($E116/365))+(O117*($E117/365))</f>
        <v>46.5</v>
      </c>
      <c r="T182" s="8">
        <f>(P116*($E116/365))+(P117*($E117/365))</f>
        <v>14</v>
      </c>
      <c r="U182" s="8">
        <f>(Q116*($E116/365))+(Q117*($E117/365))</f>
        <v>23</v>
      </c>
      <c r="W182" s="7">
        <f>S182+T182+U182</f>
        <v>83.5</v>
      </c>
    </row>
    <row r="183" spans="1:23" x14ac:dyDescent="0.15">
      <c r="A183" s="1">
        <v>2015</v>
      </c>
      <c r="B183" s="767">
        <f>(K118*($E118/365))+(K119*($E119/365))</f>
        <v>57.142857142857139</v>
      </c>
      <c r="C183" s="767">
        <f>(L118*($E118/365))+(L119*($E119/365))</f>
        <v>14.285714285714286</v>
      </c>
      <c r="D183" s="767">
        <f>(M118*($E118/365))+(M119*($E119/365))</f>
        <v>28.571428571428573</v>
      </c>
      <c r="E183" s="768">
        <f>B183+C183+D183</f>
        <v>100</v>
      </c>
      <c r="F183" s="772"/>
      <c r="G183" s="772">
        <v>2015</v>
      </c>
      <c r="H183" s="809">
        <f>(O118/$R118*100*($E118/365))+(O119/$R119*100*($E119/365))</f>
        <v>55.550296786339985</v>
      </c>
      <c r="I183" s="809"/>
      <c r="J183" s="809">
        <f>(P118/$R118*100*($E118/365))+(P119/$R119*100*($E119/365))</f>
        <v>16.673041426866909</v>
      </c>
      <c r="K183" s="809"/>
      <c r="L183" s="809">
        <f>(Q118/$R118*100*($E118/365))+(Q119/$R119*100*($E119/365))</f>
        <v>27.77666178679311</v>
      </c>
      <c r="M183" s="809"/>
      <c r="N183" s="781">
        <f>H183+J183+L183</f>
        <v>100</v>
      </c>
      <c r="O183" s="781"/>
      <c r="P183" s="772"/>
      <c r="Q183" s="772"/>
      <c r="R183" s="772">
        <v>2015</v>
      </c>
      <c r="S183" s="767">
        <f>(O118*($E118/365))+(O119*($E119/365))</f>
        <v>46.657534246575345</v>
      </c>
      <c r="T183" s="767">
        <f>(P118*($E118/365))+(P119*($E119/365))</f>
        <v>14</v>
      </c>
      <c r="U183" s="767">
        <f>(Q118*($E118/365))+(Q119*($E119/365))</f>
        <v>23.352876712328769</v>
      </c>
      <c r="V183" s="772"/>
      <c r="W183" s="771">
        <f>S183+T183+U183</f>
        <v>84.010410958904117</v>
      </c>
    </row>
  </sheetData>
  <mergeCells count="368">
    <mergeCell ref="C119:D119"/>
    <mergeCell ref="C118:D118"/>
    <mergeCell ref="H183:I183"/>
    <mergeCell ref="J183:K183"/>
    <mergeCell ref="L183:M183"/>
    <mergeCell ref="N183:O183"/>
    <mergeCell ref="AX4:BA4"/>
    <mergeCell ref="C114:D114"/>
    <mergeCell ref="C115:D115"/>
    <mergeCell ref="H181:I181"/>
    <mergeCell ref="J181:K181"/>
    <mergeCell ref="L181:M181"/>
    <mergeCell ref="N163:O163"/>
    <mergeCell ref="N164:O164"/>
    <mergeCell ref="N179:O179"/>
    <mergeCell ref="C116:D116"/>
    <mergeCell ref="C117:D117"/>
    <mergeCell ref="N180:O180"/>
    <mergeCell ref="N178:O178"/>
    <mergeCell ref="N166:O166"/>
    <mergeCell ref="N167:O167"/>
    <mergeCell ref="N168:O168"/>
    <mergeCell ref="N169:O169"/>
    <mergeCell ref="H126:I126"/>
    <mergeCell ref="N181:O181"/>
    <mergeCell ref="N174:O174"/>
    <mergeCell ref="N175:O175"/>
    <mergeCell ref="N176:O176"/>
    <mergeCell ref="R124:W124"/>
    <mergeCell ref="N157:O157"/>
    <mergeCell ref="AT4:AW4"/>
    <mergeCell ref="H157:I157"/>
    <mergeCell ref="J155:K155"/>
    <mergeCell ref="L155:M155"/>
    <mergeCell ref="N155:O155"/>
    <mergeCell ref="H155:I155"/>
    <mergeCell ref="H153:I153"/>
    <mergeCell ref="J153:K153"/>
    <mergeCell ref="L154:M154"/>
    <mergeCell ref="N154:O154"/>
    <mergeCell ref="H150:I150"/>
    <mergeCell ref="J150:K150"/>
    <mergeCell ref="L150:M150"/>
    <mergeCell ref="N150:O150"/>
    <mergeCell ref="H151:I151"/>
    <mergeCell ref="J151:K151"/>
    <mergeCell ref="L151:M151"/>
    <mergeCell ref="N151:O151"/>
    <mergeCell ref="N162:O162"/>
    <mergeCell ref="N165:O165"/>
    <mergeCell ref="J160:K160"/>
    <mergeCell ref="J161:K161"/>
    <mergeCell ref="J162:K162"/>
    <mergeCell ref="J163:K163"/>
    <mergeCell ref="J164:K164"/>
    <mergeCell ref="J165:K165"/>
    <mergeCell ref="H158:I158"/>
    <mergeCell ref="H159:I159"/>
    <mergeCell ref="H160:I160"/>
    <mergeCell ref="H161:I161"/>
    <mergeCell ref="H162:I162"/>
    <mergeCell ref="N158:O158"/>
    <mergeCell ref="N159:O159"/>
    <mergeCell ref="N160:O160"/>
    <mergeCell ref="N161:O161"/>
    <mergeCell ref="L178:M178"/>
    <mergeCell ref="L179:M179"/>
    <mergeCell ref="N170:O170"/>
    <mergeCell ref="N171:O171"/>
    <mergeCell ref="N172:O172"/>
    <mergeCell ref="N173:O173"/>
    <mergeCell ref="L163:M163"/>
    <mergeCell ref="L164:M164"/>
    <mergeCell ref="L180:M180"/>
    <mergeCell ref="L169:M169"/>
    <mergeCell ref="L170:M170"/>
    <mergeCell ref="L171:M171"/>
    <mergeCell ref="L172:M172"/>
    <mergeCell ref="L173:M173"/>
    <mergeCell ref="L174:M174"/>
    <mergeCell ref="L175:M175"/>
    <mergeCell ref="L176:M176"/>
    <mergeCell ref="L177:M177"/>
    <mergeCell ref="L165:M165"/>
    <mergeCell ref="L166:M166"/>
    <mergeCell ref="L167:M167"/>
    <mergeCell ref="L168:M168"/>
    <mergeCell ref="N177:O177"/>
    <mergeCell ref="J178:K178"/>
    <mergeCell ref="J179:K179"/>
    <mergeCell ref="J175:K175"/>
    <mergeCell ref="J176:K176"/>
    <mergeCell ref="J177:K177"/>
    <mergeCell ref="J166:K166"/>
    <mergeCell ref="J180:K180"/>
    <mergeCell ref="L157:M157"/>
    <mergeCell ref="L158:M158"/>
    <mergeCell ref="L159:M159"/>
    <mergeCell ref="L160:M160"/>
    <mergeCell ref="L161:M161"/>
    <mergeCell ref="L162:M162"/>
    <mergeCell ref="J172:K172"/>
    <mergeCell ref="J173:K173"/>
    <mergeCell ref="J174:K174"/>
    <mergeCell ref="J167:K167"/>
    <mergeCell ref="J168:K168"/>
    <mergeCell ref="J169:K169"/>
    <mergeCell ref="J170:K170"/>
    <mergeCell ref="J171:K171"/>
    <mergeCell ref="J157:K157"/>
    <mergeCell ref="J158:K158"/>
    <mergeCell ref="J159:K159"/>
    <mergeCell ref="H178:I178"/>
    <mergeCell ref="H179:I179"/>
    <mergeCell ref="H180:I180"/>
    <mergeCell ref="H169:I169"/>
    <mergeCell ref="H170:I170"/>
    <mergeCell ref="H171:I171"/>
    <mergeCell ref="H172:I172"/>
    <mergeCell ref="H173:I173"/>
    <mergeCell ref="H174:I174"/>
    <mergeCell ref="H177:I177"/>
    <mergeCell ref="H182:I182"/>
    <mergeCell ref="J182:K182"/>
    <mergeCell ref="H156:I156"/>
    <mergeCell ref="J156:K156"/>
    <mergeCell ref="L156:M156"/>
    <mergeCell ref="N156:O156"/>
    <mergeCell ref="H167:I167"/>
    <mergeCell ref="H168:I168"/>
    <mergeCell ref="H152:I152"/>
    <mergeCell ref="J152:K152"/>
    <mergeCell ref="L152:M152"/>
    <mergeCell ref="N152:O152"/>
    <mergeCell ref="L182:M182"/>
    <mergeCell ref="N182:O182"/>
    <mergeCell ref="L153:M153"/>
    <mergeCell ref="N153:O153"/>
    <mergeCell ref="H154:I154"/>
    <mergeCell ref="J154:K154"/>
    <mergeCell ref="H175:I175"/>
    <mergeCell ref="H176:I176"/>
    <mergeCell ref="H163:I163"/>
    <mergeCell ref="H164:I164"/>
    <mergeCell ref="H165:I165"/>
    <mergeCell ref="H166:I166"/>
    <mergeCell ref="N149:O149"/>
    <mergeCell ref="H146:I146"/>
    <mergeCell ref="J146:K146"/>
    <mergeCell ref="L146:M146"/>
    <mergeCell ref="N146:O146"/>
    <mergeCell ref="H147:I147"/>
    <mergeCell ref="J147:K147"/>
    <mergeCell ref="L147:M147"/>
    <mergeCell ref="N147:O147"/>
    <mergeCell ref="H148:I148"/>
    <mergeCell ref="J148:K148"/>
    <mergeCell ref="L148:M148"/>
    <mergeCell ref="N148:O148"/>
    <mergeCell ref="H149:I149"/>
    <mergeCell ref="J149:K149"/>
    <mergeCell ref="L149:M149"/>
    <mergeCell ref="H144:I144"/>
    <mergeCell ref="J144:K144"/>
    <mergeCell ref="L144:M144"/>
    <mergeCell ref="N144:O144"/>
    <mergeCell ref="H145:I145"/>
    <mergeCell ref="J145:K145"/>
    <mergeCell ref="L145:M145"/>
    <mergeCell ref="N145:O145"/>
    <mergeCell ref="H142:I142"/>
    <mergeCell ref="J142:K142"/>
    <mergeCell ref="L142:M142"/>
    <mergeCell ref="N142:O142"/>
    <mergeCell ref="H143:I143"/>
    <mergeCell ref="J143:K143"/>
    <mergeCell ref="L143:M143"/>
    <mergeCell ref="N143:O143"/>
    <mergeCell ref="H140:I140"/>
    <mergeCell ref="J140:K140"/>
    <mergeCell ref="L140:M140"/>
    <mergeCell ref="N140:O140"/>
    <mergeCell ref="H141:I141"/>
    <mergeCell ref="J141:K141"/>
    <mergeCell ref="L141:M141"/>
    <mergeCell ref="N141:O141"/>
    <mergeCell ref="H138:I138"/>
    <mergeCell ref="J138:K138"/>
    <mergeCell ref="L138:M138"/>
    <mergeCell ref="N138:O138"/>
    <mergeCell ref="H139:I139"/>
    <mergeCell ref="J139:K139"/>
    <mergeCell ref="L139:M139"/>
    <mergeCell ref="N139:O139"/>
    <mergeCell ref="H136:I136"/>
    <mergeCell ref="J136:K136"/>
    <mergeCell ref="L136:M136"/>
    <mergeCell ref="N136:O136"/>
    <mergeCell ref="H137:I137"/>
    <mergeCell ref="J137:K137"/>
    <mergeCell ref="L137:M137"/>
    <mergeCell ref="N137:O137"/>
    <mergeCell ref="H134:I134"/>
    <mergeCell ref="J134:K134"/>
    <mergeCell ref="L134:M134"/>
    <mergeCell ref="N134:O134"/>
    <mergeCell ref="H135:I135"/>
    <mergeCell ref="J135:K135"/>
    <mergeCell ref="L135:M135"/>
    <mergeCell ref="N135:O135"/>
    <mergeCell ref="H132:I132"/>
    <mergeCell ref="J132:K132"/>
    <mergeCell ref="L132:M132"/>
    <mergeCell ref="N132:O132"/>
    <mergeCell ref="H133:I133"/>
    <mergeCell ref="J133:K133"/>
    <mergeCell ref="L133:M133"/>
    <mergeCell ref="N133:O133"/>
    <mergeCell ref="H130:I130"/>
    <mergeCell ref="J130:K130"/>
    <mergeCell ref="L130:M130"/>
    <mergeCell ref="N130:O130"/>
    <mergeCell ref="H131:I131"/>
    <mergeCell ref="J131:K131"/>
    <mergeCell ref="L131:M131"/>
    <mergeCell ref="N131:O131"/>
    <mergeCell ref="L128:M128"/>
    <mergeCell ref="N128:O128"/>
    <mergeCell ref="H129:I129"/>
    <mergeCell ref="J129:K129"/>
    <mergeCell ref="L129:M129"/>
    <mergeCell ref="N129:O129"/>
    <mergeCell ref="G3:M3"/>
    <mergeCell ref="O3:Q3"/>
    <mergeCell ref="N127:O127"/>
    <mergeCell ref="L126:M126"/>
    <mergeCell ref="N126:O126"/>
    <mergeCell ref="J127:K127"/>
    <mergeCell ref="L127:M127"/>
    <mergeCell ref="J126:K126"/>
    <mergeCell ref="A4:A5"/>
    <mergeCell ref="B4:B5"/>
    <mergeCell ref="C4:D5"/>
    <mergeCell ref="E4:E5"/>
    <mergeCell ref="F4:F5"/>
    <mergeCell ref="G4:J4"/>
    <mergeCell ref="C11:D11"/>
    <mergeCell ref="H128:I128"/>
    <mergeCell ref="J128:K128"/>
    <mergeCell ref="C12:D12"/>
    <mergeCell ref="C9:D9"/>
    <mergeCell ref="C10:D10"/>
    <mergeCell ref="C13:D13"/>
    <mergeCell ref="C14:D14"/>
    <mergeCell ref="C15:D15"/>
    <mergeCell ref="C16:D16"/>
    <mergeCell ref="C17:D17"/>
    <mergeCell ref="C18:D18"/>
    <mergeCell ref="C19:D19"/>
    <mergeCell ref="C20:D20"/>
    <mergeCell ref="C21:D21"/>
    <mergeCell ref="C22:D22"/>
    <mergeCell ref="C23:D23"/>
    <mergeCell ref="C24:D24"/>
    <mergeCell ref="Z4:AC4"/>
    <mergeCell ref="AD4:AG4"/>
    <mergeCell ref="AH4:AK4"/>
    <mergeCell ref="AL4:AO4"/>
    <mergeCell ref="U4:U5"/>
    <mergeCell ref="V4:Y4"/>
    <mergeCell ref="AP4:AS4"/>
    <mergeCell ref="C8:D8"/>
    <mergeCell ref="K4:N4"/>
    <mergeCell ref="O4:R4"/>
    <mergeCell ref="S4:S5"/>
    <mergeCell ref="T4:T5"/>
    <mergeCell ref="C7:D7"/>
    <mergeCell ref="C6:D6"/>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76:D76"/>
    <mergeCell ref="C77:D77"/>
    <mergeCell ref="C78:D78"/>
    <mergeCell ref="C79:D79"/>
    <mergeCell ref="C80:D80"/>
    <mergeCell ref="C81:D81"/>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C74:D74"/>
    <mergeCell ref="C75:D75"/>
    <mergeCell ref="C104:D104"/>
    <mergeCell ref="C111:D111"/>
    <mergeCell ref="C112:D112"/>
    <mergeCell ref="C113:D113"/>
    <mergeCell ref="C105:D105"/>
    <mergeCell ref="C106:D106"/>
    <mergeCell ref="C107:D107"/>
    <mergeCell ref="C108:D108"/>
    <mergeCell ref="C109:D109"/>
    <mergeCell ref="C94:D94"/>
    <mergeCell ref="C95:D95"/>
    <mergeCell ref="C82:D82"/>
    <mergeCell ref="C83:D83"/>
    <mergeCell ref="C84:D84"/>
    <mergeCell ref="C88:D88"/>
    <mergeCell ref="C89:D89"/>
    <mergeCell ref="C90:D90"/>
    <mergeCell ref="H127:I127"/>
    <mergeCell ref="C102:D102"/>
    <mergeCell ref="C91:D91"/>
    <mergeCell ref="C92:D92"/>
    <mergeCell ref="C93:D93"/>
    <mergeCell ref="C97:D97"/>
    <mergeCell ref="C98:D98"/>
    <mergeCell ref="C99:D99"/>
    <mergeCell ref="C100:D100"/>
    <mergeCell ref="C101:D101"/>
    <mergeCell ref="C85:D85"/>
    <mergeCell ref="C86:D86"/>
    <mergeCell ref="C87:D87"/>
    <mergeCell ref="C96:D96"/>
    <mergeCell ref="C110:D110"/>
    <mergeCell ref="C103:D103"/>
  </mergeCells>
  <phoneticPr fontId="0" type="noConversion"/>
  <pageMargins left="0.78740157499999996" right="0.78740157499999996" top="0.984251969" bottom="0.984251969" header="0.4921259845" footer="0.4921259845"/>
  <pageSetup paperSize="9" orientation="portrait" r:id="rId1"/>
  <headerFooter alignWithMargins="0"/>
  <drawing r:id="rId2"/>
  <legacyDrawing r:id="rId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85"/>
  <sheetViews>
    <sheetView zoomScale="120" zoomScaleNormal="120" workbookViewId="0">
      <pane xSplit="1" ySplit="5" topLeftCell="B135" activePane="bottomRight" state="frozen"/>
      <selection pane="topRight" activeCell="B1" sqref="B1"/>
      <selection pane="bottomLeft" activeCell="A6" sqref="A6"/>
      <selection pane="bottomRight" activeCell="E185" sqref="E185"/>
    </sheetView>
  </sheetViews>
  <sheetFormatPr baseColWidth="10" defaultColWidth="10.7109375" defaultRowHeight="9" x14ac:dyDescent="0.15"/>
  <cols>
    <col min="1" max="1" width="5.85546875" style="1" customWidth="1"/>
    <col min="2" max="6" width="7.85546875" style="1" customWidth="1"/>
    <col min="7" max="18" width="4.42578125" style="1" customWidth="1"/>
    <col min="19" max="21" width="7.85546875" style="1" customWidth="1"/>
    <col min="22" max="53" width="5.7109375" style="1" customWidth="1"/>
    <col min="54" max="16384" width="10.7109375" style="1"/>
  </cols>
  <sheetData>
    <row r="1" spans="1:53" s="2" customFormat="1" ht="15" customHeight="1" x14ac:dyDescent="0.2">
      <c r="B1" s="22" t="s">
        <v>14</v>
      </c>
    </row>
    <row r="2" spans="1:53" s="2" customFormat="1" ht="15" customHeight="1" x14ac:dyDescent="0.2">
      <c r="B2" s="22" t="s">
        <v>70</v>
      </c>
    </row>
    <row r="3" spans="1:53" s="2" customFormat="1" x14ac:dyDescent="0.15">
      <c r="G3" s="814"/>
      <c r="H3" s="814"/>
      <c r="I3" s="814"/>
      <c r="J3" s="814"/>
      <c r="K3" s="814"/>
      <c r="L3" s="814"/>
      <c r="M3" s="814"/>
      <c r="O3" s="814"/>
      <c r="P3" s="814"/>
      <c r="Q3" s="814"/>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1" t="s">
        <v>23</v>
      </c>
      <c r="AU5" s="351" t="s">
        <v>24</v>
      </c>
      <c r="AV5" s="351" t="s">
        <v>25</v>
      </c>
      <c r="AW5" s="353" t="s">
        <v>1217</v>
      </c>
      <c r="AX5" s="351" t="s">
        <v>23</v>
      </c>
      <c r="AY5" s="351" t="s">
        <v>24</v>
      </c>
      <c r="AZ5" s="351" t="s">
        <v>25</v>
      </c>
      <c r="BA5" s="354" t="s">
        <v>1217</v>
      </c>
    </row>
    <row r="6" spans="1:53" s="257" customFormat="1" x14ac:dyDescent="0.15">
      <c r="A6" s="263">
        <v>1959</v>
      </c>
      <c r="B6" s="252"/>
      <c r="C6" s="815" t="s">
        <v>1255</v>
      </c>
      <c r="D6" s="815"/>
      <c r="E6" s="257">
        <v>287</v>
      </c>
      <c r="G6" s="265">
        <v>18</v>
      </c>
      <c r="J6" s="272">
        <v>18</v>
      </c>
      <c r="K6" s="248">
        <f t="shared" ref="K6:M8" si="0">G6/$J6*100</f>
        <v>100</v>
      </c>
      <c r="L6" s="248">
        <f t="shared" si="0"/>
        <v>0</v>
      </c>
      <c r="M6" s="248">
        <f t="shared" si="0"/>
        <v>0</v>
      </c>
      <c r="N6" s="267">
        <f>K6+L6+M6</f>
        <v>100</v>
      </c>
      <c r="O6" s="247">
        <v>51.4</v>
      </c>
      <c r="P6" s="248"/>
      <c r="Q6" s="248"/>
      <c r="R6" s="249">
        <f>O6+P6+Q6</f>
        <v>51.4</v>
      </c>
      <c r="S6" s="257">
        <v>1</v>
      </c>
      <c r="T6" s="278"/>
      <c r="V6" s="256" t="s">
        <v>805</v>
      </c>
      <c r="W6" s="257" t="s">
        <v>74</v>
      </c>
      <c r="X6" s="257" t="s">
        <v>11</v>
      </c>
      <c r="Y6" s="258">
        <v>51.4</v>
      </c>
      <c r="AD6" s="256"/>
      <c r="AG6" s="258"/>
      <c r="AL6" s="256"/>
      <c r="AO6" s="258"/>
      <c r="AP6" s="256"/>
      <c r="AS6" s="258"/>
      <c r="AW6" s="258"/>
      <c r="BA6" s="259"/>
    </row>
    <row r="7" spans="1:53" s="257" customFormat="1" x14ac:dyDescent="0.15">
      <c r="A7" s="263">
        <v>1959</v>
      </c>
      <c r="B7" s="252">
        <v>21838</v>
      </c>
      <c r="C7" s="815" t="s">
        <v>870</v>
      </c>
      <c r="D7" s="815"/>
      <c r="E7" s="257">
        <f xml:space="preserve"> 365-E6</f>
        <v>78</v>
      </c>
      <c r="F7" s="257">
        <v>1</v>
      </c>
      <c r="G7" s="265">
        <v>19</v>
      </c>
      <c r="J7" s="272">
        <v>19</v>
      </c>
      <c r="K7" s="248">
        <f t="shared" si="0"/>
        <v>100</v>
      </c>
      <c r="L7" s="248">
        <f t="shared" si="0"/>
        <v>0</v>
      </c>
      <c r="M7" s="248">
        <f t="shared" si="0"/>
        <v>0</v>
      </c>
      <c r="N7" s="267">
        <f>K7+L7+M7</f>
        <v>100</v>
      </c>
      <c r="O7" s="247">
        <v>57.9</v>
      </c>
      <c r="P7" s="248"/>
      <c r="Q7" s="248"/>
      <c r="R7" s="249">
        <f>O7+P7+Q7</f>
        <v>57.9</v>
      </c>
      <c r="S7" s="257">
        <v>1</v>
      </c>
      <c r="T7" s="251">
        <v>21831</v>
      </c>
      <c r="U7" s="252">
        <v>21838</v>
      </c>
      <c r="V7" s="256" t="s">
        <v>805</v>
      </c>
      <c r="W7" s="257" t="s">
        <v>74</v>
      </c>
      <c r="X7" s="257" t="s">
        <v>11</v>
      </c>
      <c r="Y7" s="258">
        <v>57.9</v>
      </c>
      <c r="AD7" s="256"/>
      <c r="AG7" s="258"/>
      <c r="AL7" s="256"/>
      <c r="AO7" s="258"/>
      <c r="AP7" s="256"/>
      <c r="AS7" s="258"/>
      <c r="AW7" s="258"/>
      <c r="BA7" s="259"/>
    </row>
    <row r="8" spans="1:53" s="208" customFormat="1" x14ac:dyDescent="0.15">
      <c r="A8" s="102">
        <v>1960</v>
      </c>
      <c r="B8" s="207"/>
      <c r="C8" s="811" t="s">
        <v>870</v>
      </c>
      <c r="D8" s="811"/>
      <c r="E8" s="208">
        <v>0</v>
      </c>
      <c r="G8" s="123">
        <v>19</v>
      </c>
      <c r="J8" s="134">
        <v>19</v>
      </c>
      <c r="K8" s="92">
        <f t="shared" si="0"/>
        <v>100</v>
      </c>
      <c r="L8" s="92">
        <f t="shared" si="0"/>
        <v>0</v>
      </c>
      <c r="M8" s="92">
        <f t="shared" si="0"/>
        <v>0</v>
      </c>
      <c r="N8" s="125">
        <f>K8+L8+M8</f>
        <v>100</v>
      </c>
      <c r="O8" s="91">
        <v>57.9</v>
      </c>
      <c r="P8" s="92"/>
      <c r="Q8" s="92"/>
      <c r="R8" s="93">
        <f>O8+P8+Q8</f>
        <v>57.9</v>
      </c>
      <c r="S8" s="208">
        <v>1</v>
      </c>
      <c r="T8" s="81"/>
      <c r="V8" s="82" t="s">
        <v>805</v>
      </c>
      <c r="W8" s="208" t="s">
        <v>74</v>
      </c>
      <c r="X8" s="208" t="s">
        <v>11</v>
      </c>
      <c r="Y8" s="83">
        <v>57.9</v>
      </c>
      <c r="AD8" s="82"/>
      <c r="AG8" s="83"/>
      <c r="AL8" s="82"/>
      <c r="AO8" s="83"/>
      <c r="AP8" s="82"/>
      <c r="AS8" s="83"/>
      <c r="AW8" s="83"/>
      <c r="BA8" s="84"/>
    </row>
    <row r="9" spans="1:53" s="208" customFormat="1" x14ac:dyDescent="0.15">
      <c r="A9" s="102">
        <v>1960</v>
      </c>
      <c r="B9" s="207"/>
      <c r="C9" s="811" t="s">
        <v>870</v>
      </c>
      <c r="D9" s="811"/>
      <c r="E9" s="208">
        <v>366</v>
      </c>
      <c r="G9" s="123">
        <v>19</v>
      </c>
      <c r="J9" s="134">
        <v>19</v>
      </c>
      <c r="K9" s="92">
        <f t="shared" ref="K9:M72" si="1">G9/$J9*100</f>
        <v>100</v>
      </c>
      <c r="L9" s="92">
        <f t="shared" si="1"/>
        <v>0</v>
      </c>
      <c r="M9" s="92">
        <f t="shared" si="1"/>
        <v>0</v>
      </c>
      <c r="N9" s="125">
        <f t="shared" ref="N9:N72" si="2">K9+L9+M9</f>
        <v>100</v>
      </c>
      <c r="O9" s="91">
        <v>57.9</v>
      </c>
      <c r="P9" s="92"/>
      <c r="Q9" s="92"/>
      <c r="R9" s="93">
        <f t="shared" ref="R9:R72" si="3">O9+P9+Q9</f>
        <v>57.9</v>
      </c>
      <c r="S9" s="208">
        <v>1</v>
      </c>
      <c r="T9" s="81"/>
      <c r="V9" s="82" t="s">
        <v>805</v>
      </c>
      <c r="W9" s="208" t="s">
        <v>74</v>
      </c>
      <c r="X9" s="208" t="s">
        <v>11</v>
      </c>
      <c r="Y9" s="83">
        <v>57.9</v>
      </c>
      <c r="AD9" s="82"/>
      <c r="AG9" s="83"/>
      <c r="AL9" s="82"/>
      <c r="AO9" s="83"/>
      <c r="AP9" s="82"/>
      <c r="AS9" s="83"/>
      <c r="AW9" s="83"/>
      <c r="BA9" s="84"/>
    </row>
    <row r="10" spans="1:53" s="208" customFormat="1" x14ac:dyDescent="0.15">
      <c r="A10" s="102">
        <v>1961</v>
      </c>
      <c r="B10" s="207"/>
      <c r="C10" s="811" t="s">
        <v>870</v>
      </c>
      <c r="D10" s="811"/>
      <c r="E10" s="208">
        <v>0</v>
      </c>
      <c r="G10" s="123">
        <v>19</v>
      </c>
      <c r="J10" s="134">
        <v>19</v>
      </c>
      <c r="K10" s="92">
        <f t="shared" si="1"/>
        <v>100</v>
      </c>
      <c r="L10" s="92">
        <f t="shared" si="1"/>
        <v>0</v>
      </c>
      <c r="M10" s="92">
        <f t="shared" si="1"/>
        <v>0</v>
      </c>
      <c r="N10" s="125">
        <f t="shared" si="2"/>
        <v>100</v>
      </c>
      <c r="O10" s="91">
        <v>57.9</v>
      </c>
      <c r="P10" s="92"/>
      <c r="Q10" s="92"/>
      <c r="R10" s="93">
        <f t="shared" si="3"/>
        <v>57.9</v>
      </c>
      <c r="S10" s="208">
        <v>1</v>
      </c>
      <c r="T10" s="81"/>
      <c r="V10" s="82" t="s">
        <v>805</v>
      </c>
      <c r="W10" s="208" t="s">
        <v>74</v>
      </c>
      <c r="X10" s="208" t="s">
        <v>11</v>
      </c>
      <c r="Y10" s="83">
        <v>57.9</v>
      </c>
      <c r="AD10" s="82"/>
      <c r="AG10" s="83"/>
      <c r="AL10" s="82"/>
      <c r="AO10" s="83"/>
      <c r="AP10" s="82"/>
      <c r="AS10" s="83"/>
      <c r="AW10" s="83"/>
      <c r="BA10" s="84"/>
    </row>
    <row r="11" spans="1:53" s="208" customFormat="1" x14ac:dyDescent="0.15">
      <c r="A11" s="102">
        <v>1961</v>
      </c>
      <c r="B11" s="207"/>
      <c r="C11" s="811" t="s">
        <v>870</v>
      </c>
      <c r="D11" s="811"/>
      <c r="E11" s="208">
        <v>365</v>
      </c>
      <c r="G11" s="123">
        <v>19</v>
      </c>
      <c r="J11" s="134">
        <v>19</v>
      </c>
      <c r="K11" s="92">
        <f t="shared" si="1"/>
        <v>100</v>
      </c>
      <c r="L11" s="92">
        <f t="shared" si="1"/>
        <v>0</v>
      </c>
      <c r="M11" s="92">
        <f t="shared" si="1"/>
        <v>0</v>
      </c>
      <c r="N11" s="125">
        <f t="shared" si="2"/>
        <v>100</v>
      </c>
      <c r="O11" s="91">
        <v>57.9</v>
      </c>
      <c r="P11" s="92"/>
      <c r="Q11" s="92"/>
      <c r="R11" s="93">
        <f t="shared" si="3"/>
        <v>57.9</v>
      </c>
      <c r="S11" s="208">
        <v>1</v>
      </c>
      <c r="T11" s="81"/>
      <c r="V11" s="82" t="s">
        <v>805</v>
      </c>
      <c r="W11" s="208" t="s">
        <v>74</v>
      </c>
      <c r="X11" s="208" t="s">
        <v>11</v>
      </c>
      <c r="Y11" s="83">
        <v>57.9</v>
      </c>
      <c r="AD11" s="82"/>
      <c r="AG11" s="83"/>
      <c r="AL11" s="82"/>
      <c r="AO11" s="83"/>
      <c r="AP11" s="82"/>
      <c r="AS11" s="83"/>
      <c r="AW11" s="83"/>
      <c r="BA11" s="84"/>
    </row>
    <row r="12" spans="1:53" s="208" customFormat="1" x14ac:dyDescent="0.15">
      <c r="A12" s="102">
        <v>1962</v>
      </c>
      <c r="B12" s="207"/>
      <c r="C12" s="811" t="s">
        <v>870</v>
      </c>
      <c r="D12" s="811"/>
      <c r="E12" s="208">
        <v>0</v>
      </c>
      <c r="G12" s="123">
        <v>19</v>
      </c>
      <c r="J12" s="134">
        <v>19</v>
      </c>
      <c r="K12" s="92">
        <f t="shared" si="1"/>
        <v>100</v>
      </c>
      <c r="L12" s="92">
        <f t="shared" si="1"/>
        <v>0</v>
      </c>
      <c r="M12" s="92">
        <f t="shared" si="1"/>
        <v>0</v>
      </c>
      <c r="N12" s="125">
        <f t="shared" si="2"/>
        <v>100</v>
      </c>
      <c r="O12" s="91">
        <v>57.9</v>
      </c>
      <c r="P12" s="92"/>
      <c r="Q12" s="92"/>
      <c r="R12" s="93">
        <f t="shared" si="3"/>
        <v>57.9</v>
      </c>
      <c r="S12" s="208">
        <v>1</v>
      </c>
      <c r="T12" s="81"/>
      <c r="V12" s="82" t="s">
        <v>805</v>
      </c>
      <c r="W12" s="208" t="s">
        <v>74</v>
      </c>
      <c r="X12" s="208" t="s">
        <v>11</v>
      </c>
      <c r="Y12" s="83">
        <v>57.9</v>
      </c>
      <c r="AD12" s="82"/>
      <c r="AG12" s="83"/>
      <c r="AL12" s="82"/>
      <c r="AO12" s="83"/>
      <c r="AP12" s="82"/>
      <c r="AS12" s="83"/>
      <c r="AW12" s="83"/>
      <c r="BA12" s="84"/>
    </row>
    <row r="13" spans="1:53" s="208" customFormat="1" x14ac:dyDescent="0.15">
      <c r="A13" s="102">
        <v>1962</v>
      </c>
      <c r="B13" s="207"/>
      <c r="C13" s="811" t="s">
        <v>870</v>
      </c>
      <c r="D13" s="811"/>
      <c r="E13" s="208">
        <v>365</v>
      </c>
      <c r="G13" s="123">
        <v>19</v>
      </c>
      <c r="J13" s="134">
        <v>19</v>
      </c>
      <c r="K13" s="92">
        <f t="shared" si="1"/>
        <v>100</v>
      </c>
      <c r="L13" s="92">
        <f t="shared" si="1"/>
        <v>0</v>
      </c>
      <c r="M13" s="92">
        <f t="shared" si="1"/>
        <v>0</v>
      </c>
      <c r="N13" s="125">
        <f t="shared" si="2"/>
        <v>100</v>
      </c>
      <c r="O13" s="91">
        <v>57.9</v>
      </c>
      <c r="P13" s="92"/>
      <c r="Q13" s="92"/>
      <c r="R13" s="93">
        <f t="shared" si="3"/>
        <v>57.9</v>
      </c>
      <c r="S13" s="208">
        <v>1</v>
      </c>
      <c r="T13" s="81"/>
      <c r="V13" s="82" t="s">
        <v>805</v>
      </c>
      <c r="W13" s="208" t="s">
        <v>74</v>
      </c>
      <c r="X13" s="208" t="s">
        <v>11</v>
      </c>
      <c r="Y13" s="83">
        <v>57.9</v>
      </c>
      <c r="AD13" s="82"/>
      <c r="AG13" s="83"/>
      <c r="AL13" s="82"/>
      <c r="AO13" s="83"/>
      <c r="AP13" s="82"/>
      <c r="AS13" s="83"/>
      <c r="AW13" s="83"/>
      <c r="BA13" s="84"/>
    </row>
    <row r="14" spans="1:53" s="208" customFormat="1" x14ac:dyDescent="0.15">
      <c r="A14" s="102">
        <v>1962.6</v>
      </c>
      <c r="B14" s="207"/>
      <c r="C14" s="811" t="s">
        <v>870</v>
      </c>
      <c r="D14" s="811"/>
      <c r="E14" s="208">
        <v>291</v>
      </c>
      <c r="G14" s="123">
        <v>19</v>
      </c>
      <c r="J14" s="134">
        <v>19</v>
      </c>
      <c r="K14" s="92">
        <f t="shared" si="1"/>
        <v>100</v>
      </c>
      <c r="L14" s="92">
        <f t="shared" si="1"/>
        <v>0</v>
      </c>
      <c r="M14" s="92">
        <f t="shared" si="1"/>
        <v>0</v>
      </c>
      <c r="N14" s="125">
        <f t="shared" si="2"/>
        <v>100</v>
      </c>
      <c r="O14" s="91">
        <v>57.9</v>
      </c>
      <c r="P14" s="92"/>
      <c r="Q14" s="92"/>
      <c r="R14" s="93">
        <f t="shared" si="3"/>
        <v>57.9</v>
      </c>
      <c r="S14" s="208">
        <v>1</v>
      </c>
      <c r="T14" s="81"/>
      <c r="V14" s="82" t="s">
        <v>805</v>
      </c>
      <c r="W14" s="208" t="s">
        <v>74</v>
      </c>
      <c r="X14" s="208" t="s">
        <v>11</v>
      </c>
      <c r="Y14" s="83">
        <v>57.9</v>
      </c>
      <c r="AD14" s="82"/>
      <c r="AG14" s="83"/>
      <c r="AL14" s="82"/>
      <c r="AO14" s="83"/>
      <c r="AP14" s="82"/>
      <c r="AS14" s="83"/>
      <c r="AW14" s="83"/>
      <c r="BA14" s="84"/>
    </row>
    <row r="15" spans="1:53" s="334" customFormat="1" x14ac:dyDescent="0.15">
      <c r="A15" s="386">
        <v>1963.05714285714</v>
      </c>
      <c r="B15" s="355">
        <v>23303</v>
      </c>
      <c r="C15" s="812" t="s">
        <v>806</v>
      </c>
      <c r="D15" s="812"/>
      <c r="E15" s="334">
        <f xml:space="preserve"> 365-E14</f>
        <v>74</v>
      </c>
      <c r="F15" s="334">
        <v>3</v>
      </c>
      <c r="G15" s="419">
        <v>23</v>
      </c>
      <c r="J15" s="435">
        <v>23</v>
      </c>
      <c r="K15" s="384">
        <f t="shared" si="1"/>
        <v>100</v>
      </c>
      <c r="L15" s="384">
        <f t="shared" si="1"/>
        <v>0</v>
      </c>
      <c r="M15" s="384">
        <f t="shared" si="1"/>
        <v>0</v>
      </c>
      <c r="N15" s="421">
        <f t="shared" si="2"/>
        <v>100</v>
      </c>
      <c r="O15" s="383">
        <v>57.9</v>
      </c>
      <c r="P15" s="384"/>
      <c r="Q15" s="384"/>
      <c r="R15" s="385">
        <f t="shared" si="3"/>
        <v>57.9</v>
      </c>
      <c r="S15" s="334">
        <v>1</v>
      </c>
      <c r="T15" s="357"/>
      <c r="U15" s="355">
        <v>23303</v>
      </c>
      <c r="V15" s="343" t="s">
        <v>805</v>
      </c>
      <c r="W15" s="334" t="s">
        <v>74</v>
      </c>
      <c r="X15" s="334" t="s">
        <v>11</v>
      </c>
      <c r="Y15" s="344">
        <v>57.9</v>
      </c>
      <c r="AD15" s="343"/>
      <c r="AG15" s="344"/>
      <c r="AL15" s="343"/>
      <c r="AO15" s="344"/>
      <c r="AP15" s="343"/>
      <c r="AS15" s="344"/>
      <c r="AW15" s="344"/>
      <c r="BA15" s="345"/>
    </row>
    <row r="16" spans="1:53" s="334" customFormat="1" x14ac:dyDescent="0.15">
      <c r="A16" s="386">
        <v>1963.5142857142901</v>
      </c>
      <c r="B16" s="355"/>
      <c r="C16" s="812" t="s">
        <v>806</v>
      </c>
      <c r="D16" s="812"/>
      <c r="E16" s="334">
        <v>290</v>
      </c>
      <c r="G16" s="419">
        <v>23</v>
      </c>
      <c r="J16" s="435">
        <v>23</v>
      </c>
      <c r="K16" s="384">
        <f t="shared" si="1"/>
        <v>100</v>
      </c>
      <c r="L16" s="384">
        <f t="shared" si="1"/>
        <v>0</v>
      </c>
      <c r="M16" s="384">
        <f t="shared" si="1"/>
        <v>0</v>
      </c>
      <c r="N16" s="421">
        <f t="shared" si="2"/>
        <v>100</v>
      </c>
      <c r="O16" s="383">
        <v>57.9</v>
      </c>
      <c r="P16" s="384"/>
      <c r="Q16" s="384"/>
      <c r="R16" s="385">
        <f t="shared" si="3"/>
        <v>57.9</v>
      </c>
      <c r="S16" s="334">
        <v>1</v>
      </c>
      <c r="T16" s="357"/>
      <c r="V16" s="343" t="s">
        <v>805</v>
      </c>
      <c r="W16" s="334" t="s">
        <v>74</v>
      </c>
      <c r="X16" s="334" t="s">
        <v>11</v>
      </c>
      <c r="Y16" s="344">
        <v>57.9</v>
      </c>
      <c r="AD16" s="343"/>
      <c r="AG16" s="344"/>
      <c r="AL16" s="343"/>
      <c r="AO16" s="344"/>
      <c r="AP16" s="343"/>
      <c r="AS16" s="344"/>
      <c r="AW16" s="344"/>
      <c r="BA16" s="345"/>
    </row>
    <row r="17" spans="1:53" s="208" customFormat="1" x14ac:dyDescent="0.15">
      <c r="A17" s="102">
        <v>1963.9714285714299</v>
      </c>
      <c r="B17" s="207">
        <v>23667</v>
      </c>
      <c r="C17" s="811" t="s">
        <v>796</v>
      </c>
      <c r="D17" s="811"/>
      <c r="E17" s="208">
        <f xml:space="preserve"> 366-E16</f>
        <v>76</v>
      </c>
      <c r="F17" s="208">
        <v>1</v>
      </c>
      <c r="G17" s="123"/>
      <c r="I17" s="208">
        <v>23</v>
      </c>
      <c r="J17" s="134">
        <v>23</v>
      </c>
      <c r="K17" s="92">
        <f t="shared" si="1"/>
        <v>0</v>
      </c>
      <c r="L17" s="92">
        <f t="shared" si="1"/>
        <v>0</v>
      </c>
      <c r="M17" s="92">
        <f t="shared" si="1"/>
        <v>100</v>
      </c>
      <c r="N17" s="125">
        <f t="shared" si="2"/>
        <v>100</v>
      </c>
      <c r="O17" s="91"/>
      <c r="P17" s="92"/>
      <c r="Q17" s="92">
        <v>50.3</v>
      </c>
      <c r="R17" s="93">
        <f t="shared" si="3"/>
        <v>50.3</v>
      </c>
      <c r="S17" s="208">
        <v>1</v>
      </c>
      <c r="T17" s="95">
        <v>23665</v>
      </c>
      <c r="U17" s="207">
        <v>23667</v>
      </c>
      <c r="V17" s="82" t="s">
        <v>464</v>
      </c>
      <c r="W17" s="208" t="s">
        <v>20</v>
      </c>
      <c r="X17" s="208" t="s">
        <v>12</v>
      </c>
      <c r="Y17" s="83">
        <v>50.3</v>
      </c>
      <c r="AD17" s="82"/>
      <c r="AG17" s="83"/>
      <c r="AL17" s="82"/>
      <c r="AO17" s="83"/>
      <c r="AP17" s="82"/>
      <c r="AS17" s="83"/>
      <c r="AW17" s="83"/>
      <c r="BA17" s="84"/>
    </row>
    <row r="18" spans="1:53" s="208" customFormat="1" x14ac:dyDescent="0.15">
      <c r="A18" s="102">
        <v>1965</v>
      </c>
      <c r="B18" s="207"/>
      <c r="C18" s="811" t="s">
        <v>796</v>
      </c>
      <c r="D18" s="811"/>
      <c r="E18" s="208">
        <v>0</v>
      </c>
      <c r="G18" s="123"/>
      <c r="I18" s="208">
        <v>23</v>
      </c>
      <c r="J18" s="134">
        <v>23</v>
      </c>
      <c r="K18" s="92">
        <f t="shared" si="1"/>
        <v>0</v>
      </c>
      <c r="L18" s="92">
        <f t="shared" si="1"/>
        <v>0</v>
      </c>
      <c r="M18" s="92">
        <f t="shared" si="1"/>
        <v>100</v>
      </c>
      <c r="N18" s="125">
        <f t="shared" si="2"/>
        <v>100</v>
      </c>
      <c r="O18" s="91"/>
      <c r="P18" s="92"/>
      <c r="Q18" s="92">
        <v>50.3</v>
      </c>
      <c r="R18" s="93">
        <f t="shared" si="3"/>
        <v>50.3</v>
      </c>
      <c r="S18" s="208">
        <v>1</v>
      </c>
      <c r="T18" s="81"/>
      <c r="V18" s="82" t="s">
        <v>464</v>
      </c>
      <c r="W18" s="208" t="s">
        <v>20</v>
      </c>
      <c r="X18" s="208" t="s">
        <v>12</v>
      </c>
      <c r="Y18" s="83">
        <v>50.3</v>
      </c>
      <c r="AD18" s="82"/>
      <c r="AG18" s="83"/>
      <c r="AL18" s="82"/>
      <c r="AO18" s="83"/>
      <c r="AP18" s="82"/>
      <c r="AS18" s="83"/>
      <c r="AW18" s="83"/>
      <c r="BA18" s="84"/>
    </row>
    <row r="19" spans="1:53" s="208" customFormat="1" x14ac:dyDescent="0.15">
      <c r="A19" s="102">
        <v>1964.88571428572</v>
      </c>
      <c r="B19" s="207"/>
      <c r="C19" s="811" t="s">
        <v>796</v>
      </c>
      <c r="D19" s="811"/>
      <c r="E19" s="208">
        <v>365</v>
      </c>
      <c r="G19" s="123"/>
      <c r="I19" s="208">
        <v>23</v>
      </c>
      <c r="J19" s="134">
        <v>23</v>
      </c>
      <c r="K19" s="92">
        <f t="shared" si="1"/>
        <v>0</v>
      </c>
      <c r="L19" s="92">
        <f t="shared" si="1"/>
        <v>0</v>
      </c>
      <c r="M19" s="92">
        <f t="shared" si="1"/>
        <v>100</v>
      </c>
      <c r="N19" s="125">
        <f t="shared" si="2"/>
        <v>100</v>
      </c>
      <c r="O19" s="91"/>
      <c r="P19" s="92"/>
      <c r="Q19" s="92">
        <v>50.3</v>
      </c>
      <c r="R19" s="93">
        <f t="shared" si="3"/>
        <v>50.3</v>
      </c>
      <c r="S19" s="208">
        <v>1</v>
      </c>
      <c r="T19" s="81"/>
      <c r="V19" s="82" t="s">
        <v>464</v>
      </c>
      <c r="W19" s="208" t="s">
        <v>20</v>
      </c>
      <c r="X19" s="208" t="s">
        <v>12</v>
      </c>
      <c r="Y19" s="83">
        <v>50.3</v>
      </c>
      <c r="AD19" s="82"/>
      <c r="AG19" s="83"/>
      <c r="AL19" s="82"/>
      <c r="AO19" s="83"/>
      <c r="AP19" s="82"/>
      <c r="AS19" s="83"/>
      <c r="AW19" s="83"/>
      <c r="BA19" s="84"/>
    </row>
    <row r="20" spans="1:53" s="208" customFormat="1" x14ac:dyDescent="0.15">
      <c r="A20" s="102">
        <v>1966</v>
      </c>
      <c r="B20" s="207"/>
      <c r="C20" s="811" t="s">
        <v>796</v>
      </c>
      <c r="D20" s="811"/>
      <c r="E20" s="208">
        <v>95</v>
      </c>
      <c r="G20" s="123"/>
      <c r="I20" s="208">
        <v>23</v>
      </c>
      <c r="J20" s="134">
        <v>23</v>
      </c>
      <c r="K20" s="92">
        <f t="shared" si="1"/>
        <v>0</v>
      </c>
      <c r="L20" s="92">
        <f t="shared" si="1"/>
        <v>0</v>
      </c>
      <c r="M20" s="92">
        <f t="shared" si="1"/>
        <v>100</v>
      </c>
      <c r="N20" s="125">
        <f t="shared" si="2"/>
        <v>100</v>
      </c>
      <c r="O20" s="91"/>
      <c r="P20" s="92"/>
      <c r="Q20" s="92">
        <v>50.3</v>
      </c>
      <c r="R20" s="93">
        <f t="shared" si="3"/>
        <v>50.3</v>
      </c>
      <c r="S20" s="208">
        <v>1</v>
      </c>
      <c r="T20" s="81"/>
      <c r="V20" s="82" t="s">
        <v>464</v>
      </c>
      <c r="W20" s="208" t="s">
        <v>20</v>
      </c>
      <c r="X20" s="208" t="s">
        <v>12</v>
      </c>
      <c r="Y20" s="83">
        <v>50.3</v>
      </c>
      <c r="AD20" s="82"/>
      <c r="AG20" s="83"/>
      <c r="AL20" s="82"/>
      <c r="AO20" s="83"/>
      <c r="AP20" s="82"/>
      <c r="AS20" s="83"/>
      <c r="AW20" s="83"/>
      <c r="BA20" s="84"/>
    </row>
    <row r="21" spans="1:53" s="334" customFormat="1" x14ac:dyDescent="0.15">
      <c r="A21" s="386">
        <v>1965.8</v>
      </c>
      <c r="B21" s="355">
        <v>24203</v>
      </c>
      <c r="C21" s="812" t="s">
        <v>797</v>
      </c>
      <c r="D21" s="812"/>
      <c r="E21" s="334">
        <f>365-E20</f>
        <v>270</v>
      </c>
      <c r="F21" s="334">
        <v>1</v>
      </c>
      <c r="G21" s="419"/>
      <c r="I21" s="334">
        <v>23</v>
      </c>
      <c r="J21" s="435">
        <v>23</v>
      </c>
      <c r="K21" s="384">
        <f t="shared" si="1"/>
        <v>0</v>
      </c>
      <c r="L21" s="384">
        <f t="shared" si="1"/>
        <v>0</v>
      </c>
      <c r="M21" s="384">
        <f t="shared" si="1"/>
        <v>100</v>
      </c>
      <c r="N21" s="421">
        <f t="shared" si="2"/>
        <v>100</v>
      </c>
      <c r="O21" s="383"/>
      <c r="P21" s="384"/>
      <c r="Q21" s="384">
        <v>57.8</v>
      </c>
      <c r="R21" s="385">
        <f t="shared" si="3"/>
        <v>57.8</v>
      </c>
      <c r="S21" s="334">
        <v>1</v>
      </c>
      <c r="T21" s="342">
        <v>24197</v>
      </c>
      <c r="U21" s="355">
        <v>24203</v>
      </c>
      <c r="V21" s="343" t="s">
        <v>464</v>
      </c>
      <c r="W21" s="334" t="s">
        <v>20</v>
      </c>
      <c r="X21" s="334" t="s">
        <v>12</v>
      </c>
      <c r="Y21" s="344">
        <v>57.8</v>
      </c>
      <c r="AD21" s="343"/>
      <c r="AG21" s="344"/>
      <c r="AL21" s="343"/>
      <c r="AO21" s="344"/>
      <c r="AP21" s="343"/>
      <c r="AS21" s="344"/>
      <c r="AW21" s="344"/>
      <c r="BA21" s="345"/>
    </row>
    <row r="22" spans="1:53" s="334" customFormat="1" x14ac:dyDescent="0.15">
      <c r="A22" s="386">
        <v>1967</v>
      </c>
      <c r="B22" s="355"/>
      <c r="C22" s="812" t="s">
        <v>797</v>
      </c>
      <c r="D22" s="812"/>
      <c r="E22" s="334">
        <v>0</v>
      </c>
      <c r="G22" s="419"/>
      <c r="I22" s="334">
        <v>23</v>
      </c>
      <c r="J22" s="435">
        <v>23</v>
      </c>
      <c r="K22" s="384">
        <f t="shared" si="1"/>
        <v>0</v>
      </c>
      <c r="L22" s="384">
        <f t="shared" si="1"/>
        <v>0</v>
      </c>
      <c r="M22" s="384">
        <f t="shared" si="1"/>
        <v>100</v>
      </c>
      <c r="N22" s="421">
        <f t="shared" si="2"/>
        <v>100</v>
      </c>
      <c r="O22" s="383"/>
      <c r="P22" s="384"/>
      <c r="Q22" s="384">
        <v>57.8</v>
      </c>
      <c r="R22" s="385">
        <f t="shared" si="3"/>
        <v>57.8</v>
      </c>
      <c r="S22" s="334">
        <v>1</v>
      </c>
      <c r="T22" s="357"/>
      <c r="V22" s="343" t="s">
        <v>464</v>
      </c>
      <c r="W22" s="334" t="s">
        <v>20</v>
      </c>
      <c r="X22" s="334" t="s">
        <v>12</v>
      </c>
      <c r="Y22" s="344">
        <v>57.8</v>
      </c>
      <c r="AD22" s="343"/>
      <c r="AG22" s="344"/>
      <c r="AL22" s="343"/>
      <c r="AO22" s="344"/>
      <c r="AP22" s="343"/>
      <c r="AS22" s="344"/>
      <c r="AW22" s="344"/>
      <c r="BA22" s="345"/>
    </row>
    <row r="23" spans="1:53" s="334" customFormat="1" x14ac:dyDescent="0.15">
      <c r="A23" s="386">
        <v>1966.7142857142901</v>
      </c>
      <c r="B23" s="355"/>
      <c r="C23" s="812" t="s">
        <v>797</v>
      </c>
      <c r="D23" s="812"/>
      <c r="E23" s="334">
        <v>365</v>
      </c>
      <c r="G23" s="419"/>
      <c r="I23" s="334">
        <v>23</v>
      </c>
      <c r="J23" s="435">
        <v>23</v>
      </c>
      <c r="K23" s="384">
        <f t="shared" si="1"/>
        <v>0</v>
      </c>
      <c r="L23" s="384">
        <f t="shared" si="1"/>
        <v>0</v>
      </c>
      <c r="M23" s="384">
        <f t="shared" si="1"/>
        <v>100</v>
      </c>
      <c r="N23" s="421">
        <f t="shared" si="2"/>
        <v>100</v>
      </c>
      <c r="O23" s="383"/>
      <c r="P23" s="384"/>
      <c r="Q23" s="384">
        <v>57.8</v>
      </c>
      <c r="R23" s="385">
        <f t="shared" si="3"/>
        <v>57.8</v>
      </c>
      <c r="S23" s="334">
        <v>1</v>
      </c>
      <c r="T23" s="357"/>
      <c r="V23" s="343" t="s">
        <v>464</v>
      </c>
      <c r="W23" s="334" t="s">
        <v>20</v>
      </c>
      <c r="X23" s="334" t="s">
        <v>12</v>
      </c>
      <c r="Y23" s="344">
        <v>57.8</v>
      </c>
      <c r="AD23" s="343"/>
      <c r="AG23" s="344"/>
      <c r="AL23" s="343"/>
      <c r="AO23" s="344"/>
      <c r="AP23" s="343"/>
      <c r="AS23" s="344"/>
      <c r="AW23" s="344"/>
      <c r="BA23" s="345"/>
    </row>
    <row r="24" spans="1:53" s="334" customFormat="1" x14ac:dyDescent="0.15">
      <c r="A24" s="386">
        <v>1968</v>
      </c>
      <c r="B24" s="355"/>
      <c r="C24" s="812" t="s">
        <v>797</v>
      </c>
      <c r="D24" s="812"/>
      <c r="E24" s="334">
        <v>0</v>
      </c>
      <c r="G24" s="419"/>
      <c r="I24" s="334">
        <v>23</v>
      </c>
      <c r="J24" s="435">
        <v>23</v>
      </c>
      <c r="K24" s="384">
        <f t="shared" si="1"/>
        <v>0</v>
      </c>
      <c r="L24" s="384">
        <f t="shared" si="1"/>
        <v>0</v>
      </c>
      <c r="M24" s="384">
        <f t="shared" si="1"/>
        <v>100</v>
      </c>
      <c r="N24" s="421">
        <f t="shared" si="2"/>
        <v>100</v>
      </c>
      <c r="O24" s="383"/>
      <c r="P24" s="384"/>
      <c r="Q24" s="384">
        <v>57.8</v>
      </c>
      <c r="R24" s="385">
        <f t="shared" si="3"/>
        <v>57.8</v>
      </c>
      <c r="S24" s="334">
        <v>1</v>
      </c>
      <c r="T24" s="357"/>
      <c r="V24" s="343" t="s">
        <v>464</v>
      </c>
      <c r="W24" s="334" t="s">
        <v>20</v>
      </c>
      <c r="X24" s="334" t="s">
        <v>12</v>
      </c>
      <c r="Y24" s="344">
        <v>57.8</v>
      </c>
      <c r="AD24" s="343"/>
      <c r="AG24" s="344"/>
      <c r="AL24" s="343"/>
      <c r="AO24" s="344"/>
      <c r="AP24" s="343"/>
      <c r="AS24" s="344"/>
      <c r="AW24" s="344"/>
      <c r="BA24" s="345"/>
    </row>
    <row r="25" spans="1:53" s="334" customFormat="1" x14ac:dyDescent="0.15">
      <c r="A25" s="386">
        <v>1967.62857142857</v>
      </c>
      <c r="B25" s="355"/>
      <c r="C25" s="812" t="s">
        <v>797</v>
      </c>
      <c r="D25" s="812"/>
      <c r="E25" s="334">
        <v>366</v>
      </c>
      <c r="G25" s="419"/>
      <c r="I25" s="334">
        <v>23</v>
      </c>
      <c r="J25" s="435">
        <v>23</v>
      </c>
      <c r="K25" s="384">
        <f t="shared" si="1"/>
        <v>0</v>
      </c>
      <c r="L25" s="384">
        <f t="shared" si="1"/>
        <v>0</v>
      </c>
      <c r="M25" s="384">
        <f t="shared" si="1"/>
        <v>100</v>
      </c>
      <c r="N25" s="421">
        <f t="shared" si="2"/>
        <v>100</v>
      </c>
      <c r="O25" s="383"/>
      <c r="P25" s="384"/>
      <c r="Q25" s="384">
        <v>57.8</v>
      </c>
      <c r="R25" s="385">
        <f t="shared" si="3"/>
        <v>57.8</v>
      </c>
      <c r="S25" s="334">
        <v>1</v>
      </c>
      <c r="T25" s="357"/>
      <c r="V25" s="343" t="s">
        <v>464</v>
      </c>
      <c r="W25" s="334" t="s">
        <v>20</v>
      </c>
      <c r="X25" s="334" t="s">
        <v>12</v>
      </c>
      <c r="Y25" s="344">
        <v>57.8</v>
      </c>
      <c r="AD25" s="343"/>
      <c r="AG25" s="344"/>
      <c r="AL25" s="343"/>
      <c r="AO25" s="344"/>
      <c r="AP25" s="343"/>
      <c r="AS25" s="344"/>
      <c r="AW25" s="344"/>
      <c r="BA25" s="345"/>
    </row>
    <row r="26" spans="1:53" s="334" customFormat="1" x14ac:dyDescent="0.15">
      <c r="A26" s="386">
        <v>1969</v>
      </c>
      <c r="B26" s="355"/>
      <c r="C26" s="812" t="s">
        <v>797</v>
      </c>
      <c r="D26" s="812"/>
      <c r="E26" s="334">
        <v>0</v>
      </c>
      <c r="G26" s="419"/>
      <c r="I26" s="334">
        <v>23</v>
      </c>
      <c r="J26" s="435">
        <v>23</v>
      </c>
      <c r="K26" s="384">
        <f t="shared" si="1"/>
        <v>0</v>
      </c>
      <c r="L26" s="384">
        <f t="shared" si="1"/>
        <v>0</v>
      </c>
      <c r="M26" s="384">
        <f t="shared" si="1"/>
        <v>100</v>
      </c>
      <c r="N26" s="421">
        <f t="shared" si="2"/>
        <v>100</v>
      </c>
      <c r="O26" s="383"/>
      <c r="P26" s="384"/>
      <c r="Q26" s="384">
        <v>57.8</v>
      </c>
      <c r="R26" s="385">
        <f t="shared" si="3"/>
        <v>57.8</v>
      </c>
      <c r="S26" s="334">
        <v>1</v>
      </c>
      <c r="T26" s="357"/>
      <c r="V26" s="343" t="s">
        <v>464</v>
      </c>
      <c r="W26" s="334" t="s">
        <v>20</v>
      </c>
      <c r="X26" s="334" t="s">
        <v>12</v>
      </c>
      <c r="Y26" s="344">
        <v>57.8</v>
      </c>
      <c r="AD26" s="343"/>
      <c r="AG26" s="344"/>
      <c r="AL26" s="343"/>
      <c r="AO26" s="344"/>
      <c r="AP26" s="343"/>
      <c r="AS26" s="344"/>
      <c r="AW26" s="344"/>
      <c r="BA26" s="345"/>
    </row>
    <row r="27" spans="1:53" s="334" customFormat="1" x14ac:dyDescent="0.15">
      <c r="A27" s="386">
        <v>1968.5428571428599</v>
      </c>
      <c r="B27" s="355"/>
      <c r="C27" s="812" t="s">
        <v>797</v>
      </c>
      <c r="D27" s="812"/>
      <c r="E27" s="334">
        <v>365</v>
      </c>
      <c r="G27" s="419"/>
      <c r="I27" s="334">
        <v>23</v>
      </c>
      <c r="J27" s="435">
        <v>23</v>
      </c>
      <c r="K27" s="384">
        <f t="shared" si="1"/>
        <v>0</v>
      </c>
      <c r="L27" s="384">
        <f t="shared" si="1"/>
        <v>0</v>
      </c>
      <c r="M27" s="384">
        <f t="shared" si="1"/>
        <v>100</v>
      </c>
      <c r="N27" s="421">
        <f t="shared" si="2"/>
        <v>100</v>
      </c>
      <c r="O27" s="383"/>
      <c r="P27" s="384"/>
      <c r="Q27" s="384">
        <v>57.8</v>
      </c>
      <c r="R27" s="385">
        <f t="shared" si="3"/>
        <v>57.8</v>
      </c>
      <c r="S27" s="334">
        <v>1</v>
      </c>
      <c r="T27" s="357"/>
      <c r="V27" s="343" t="s">
        <v>464</v>
      </c>
      <c r="W27" s="334" t="s">
        <v>20</v>
      </c>
      <c r="X27" s="334" t="s">
        <v>12</v>
      </c>
      <c r="Y27" s="344">
        <v>57.8</v>
      </c>
      <c r="AD27" s="343"/>
      <c r="AG27" s="344"/>
      <c r="AL27" s="343"/>
      <c r="AO27" s="344"/>
      <c r="AP27" s="343"/>
      <c r="AS27" s="344"/>
      <c r="AW27" s="344"/>
      <c r="BA27" s="345"/>
    </row>
    <row r="28" spans="1:53" s="334" customFormat="1" x14ac:dyDescent="0.15">
      <c r="A28" s="386">
        <v>1970</v>
      </c>
      <c r="B28" s="355"/>
      <c r="C28" s="812" t="s">
        <v>797</v>
      </c>
      <c r="D28" s="812"/>
      <c r="E28" s="334">
        <v>170</v>
      </c>
      <c r="G28" s="419"/>
      <c r="I28" s="334">
        <v>23</v>
      </c>
      <c r="J28" s="435">
        <v>23</v>
      </c>
      <c r="K28" s="384">
        <f t="shared" si="1"/>
        <v>0</v>
      </c>
      <c r="L28" s="384">
        <f t="shared" si="1"/>
        <v>0</v>
      </c>
      <c r="M28" s="384">
        <f t="shared" si="1"/>
        <v>100</v>
      </c>
      <c r="N28" s="421">
        <f t="shared" si="2"/>
        <v>100</v>
      </c>
      <c r="O28" s="383"/>
      <c r="P28" s="384"/>
      <c r="Q28" s="384">
        <v>57.8</v>
      </c>
      <c r="R28" s="385">
        <f t="shared" si="3"/>
        <v>57.8</v>
      </c>
      <c r="S28" s="334">
        <v>1</v>
      </c>
      <c r="T28" s="357"/>
      <c r="V28" s="343" t="s">
        <v>464</v>
      </c>
      <c r="W28" s="334" t="s">
        <v>20</v>
      </c>
      <c r="X28" s="334" t="s">
        <v>12</v>
      </c>
      <c r="Y28" s="344">
        <v>57.8</v>
      </c>
      <c r="AD28" s="343"/>
      <c r="AG28" s="344"/>
      <c r="AL28" s="343"/>
      <c r="AO28" s="344"/>
      <c r="AP28" s="343"/>
      <c r="AS28" s="344"/>
      <c r="AW28" s="344"/>
      <c r="BA28" s="345"/>
    </row>
    <row r="29" spans="1:53" s="208" customFormat="1" x14ac:dyDescent="0.15">
      <c r="A29" s="102">
        <v>1970</v>
      </c>
      <c r="B29" s="207">
        <v>25739</v>
      </c>
      <c r="C29" s="811" t="s">
        <v>807</v>
      </c>
      <c r="D29" s="811"/>
      <c r="E29" s="208">
        <f xml:space="preserve"> 365-E28</f>
        <v>195</v>
      </c>
      <c r="F29" s="208">
        <v>1</v>
      </c>
      <c r="G29" s="123">
        <v>18</v>
      </c>
      <c r="J29" s="134">
        <v>18</v>
      </c>
      <c r="K29" s="92">
        <f t="shared" si="1"/>
        <v>100</v>
      </c>
      <c r="L29" s="92">
        <f t="shared" si="1"/>
        <v>0</v>
      </c>
      <c r="M29" s="92">
        <f t="shared" si="1"/>
        <v>0</v>
      </c>
      <c r="N29" s="125">
        <f t="shared" si="2"/>
        <v>100</v>
      </c>
      <c r="O29" s="91">
        <v>52.4</v>
      </c>
      <c r="P29" s="92"/>
      <c r="Q29" s="92"/>
      <c r="R29" s="93">
        <f t="shared" si="3"/>
        <v>52.4</v>
      </c>
      <c r="S29" s="208">
        <v>1</v>
      </c>
      <c r="T29" s="95">
        <v>25737</v>
      </c>
      <c r="U29" s="207">
        <v>25739</v>
      </c>
      <c r="V29" s="82" t="s">
        <v>805</v>
      </c>
      <c r="W29" s="208" t="s">
        <v>74</v>
      </c>
      <c r="X29" s="208" t="s">
        <v>11</v>
      </c>
      <c r="Y29" s="83">
        <v>52.4</v>
      </c>
      <c r="AD29" s="82"/>
      <c r="AG29" s="83"/>
      <c r="AL29" s="82"/>
      <c r="AO29" s="83"/>
      <c r="AP29" s="82"/>
      <c r="AS29" s="83"/>
      <c r="AW29" s="83"/>
      <c r="BA29" s="84"/>
    </row>
    <row r="30" spans="1:53" s="208" customFormat="1" x14ac:dyDescent="0.15">
      <c r="A30" s="102">
        <v>1971</v>
      </c>
      <c r="B30" s="207"/>
      <c r="C30" s="811" t="s">
        <v>807</v>
      </c>
      <c r="D30" s="811"/>
      <c r="E30" s="208">
        <v>0</v>
      </c>
      <c r="G30" s="123">
        <v>18</v>
      </c>
      <c r="J30" s="134">
        <v>18</v>
      </c>
      <c r="K30" s="92">
        <f t="shared" si="1"/>
        <v>100</v>
      </c>
      <c r="L30" s="92">
        <f t="shared" si="1"/>
        <v>0</v>
      </c>
      <c r="M30" s="92">
        <f t="shared" si="1"/>
        <v>0</v>
      </c>
      <c r="N30" s="125">
        <f t="shared" si="2"/>
        <v>100</v>
      </c>
      <c r="O30" s="91">
        <v>52.4</v>
      </c>
      <c r="P30" s="92"/>
      <c r="Q30" s="92"/>
      <c r="R30" s="93">
        <f t="shared" si="3"/>
        <v>52.4</v>
      </c>
      <c r="S30" s="208">
        <v>1</v>
      </c>
      <c r="T30" s="81"/>
      <c r="V30" s="82" t="s">
        <v>805</v>
      </c>
      <c r="W30" s="208" t="s">
        <v>74</v>
      </c>
      <c r="X30" s="208" t="s">
        <v>11</v>
      </c>
      <c r="Y30" s="83">
        <v>52.4</v>
      </c>
      <c r="AD30" s="82"/>
      <c r="AG30" s="83"/>
      <c r="AL30" s="82"/>
      <c r="AO30" s="83"/>
      <c r="AP30" s="82"/>
      <c r="AS30" s="83"/>
      <c r="AW30" s="83"/>
      <c r="BA30" s="84"/>
    </row>
    <row r="31" spans="1:53" s="208" customFormat="1" x14ac:dyDescent="0.15">
      <c r="A31" s="102">
        <v>1971</v>
      </c>
      <c r="B31" s="207"/>
      <c r="C31" s="811" t="s">
        <v>807</v>
      </c>
      <c r="D31" s="811"/>
      <c r="E31" s="208">
        <v>365</v>
      </c>
      <c r="G31" s="123">
        <v>18</v>
      </c>
      <c r="J31" s="134">
        <v>18</v>
      </c>
      <c r="K31" s="92">
        <f t="shared" si="1"/>
        <v>100</v>
      </c>
      <c r="L31" s="92">
        <f t="shared" si="1"/>
        <v>0</v>
      </c>
      <c r="M31" s="92">
        <f t="shared" si="1"/>
        <v>0</v>
      </c>
      <c r="N31" s="125">
        <f t="shared" si="2"/>
        <v>100</v>
      </c>
      <c r="O31" s="91">
        <v>52.4</v>
      </c>
      <c r="P31" s="92"/>
      <c r="Q31" s="92"/>
      <c r="R31" s="93">
        <f t="shared" si="3"/>
        <v>52.4</v>
      </c>
      <c r="S31" s="208">
        <v>1</v>
      </c>
      <c r="T31" s="81"/>
      <c r="V31" s="82" t="s">
        <v>805</v>
      </c>
      <c r="W31" s="208" t="s">
        <v>74</v>
      </c>
      <c r="X31" s="208" t="s">
        <v>11</v>
      </c>
      <c r="Y31" s="83">
        <v>52.4</v>
      </c>
      <c r="AD31" s="82"/>
      <c r="AG31" s="83"/>
      <c r="AL31" s="82"/>
      <c r="AO31" s="83"/>
      <c r="AP31" s="82"/>
      <c r="AS31" s="83"/>
      <c r="AW31" s="83"/>
      <c r="BA31" s="84"/>
    </row>
    <row r="32" spans="1:53" s="208" customFormat="1" x14ac:dyDescent="0.15">
      <c r="A32" s="102">
        <v>1972</v>
      </c>
      <c r="B32" s="207"/>
      <c r="C32" s="811" t="s">
        <v>807</v>
      </c>
      <c r="D32" s="811"/>
      <c r="E32" s="208">
        <v>0</v>
      </c>
      <c r="G32" s="123">
        <v>18</v>
      </c>
      <c r="J32" s="134">
        <v>18</v>
      </c>
      <c r="K32" s="92">
        <f t="shared" si="1"/>
        <v>100</v>
      </c>
      <c r="L32" s="92">
        <f t="shared" si="1"/>
        <v>0</v>
      </c>
      <c r="M32" s="92">
        <f t="shared" si="1"/>
        <v>0</v>
      </c>
      <c r="N32" s="125">
        <f t="shared" si="2"/>
        <v>100</v>
      </c>
      <c r="O32" s="91">
        <v>52.4</v>
      </c>
      <c r="P32" s="92"/>
      <c r="Q32" s="92"/>
      <c r="R32" s="93">
        <f t="shared" si="3"/>
        <v>52.4</v>
      </c>
      <c r="S32" s="208">
        <v>1</v>
      </c>
      <c r="T32" s="81"/>
      <c r="V32" s="82" t="s">
        <v>805</v>
      </c>
      <c r="W32" s="208" t="s">
        <v>74</v>
      </c>
      <c r="X32" s="208" t="s">
        <v>11</v>
      </c>
      <c r="Y32" s="83">
        <v>52.4</v>
      </c>
      <c r="AD32" s="82"/>
      <c r="AG32" s="83"/>
      <c r="AL32" s="82"/>
      <c r="AO32" s="83"/>
      <c r="AP32" s="82"/>
      <c r="AS32" s="83"/>
      <c r="AW32" s="83"/>
      <c r="BA32" s="84"/>
    </row>
    <row r="33" spans="1:53" s="208" customFormat="1" x14ac:dyDescent="0.15">
      <c r="A33" s="102">
        <v>1972</v>
      </c>
      <c r="B33" s="207"/>
      <c r="C33" s="811" t="s">
        <v>807</v>
      </c>
      <c r="D33" s="811"/>
      <c r="E33" s="208">
        <v>366</v>
      </c>
      <c r="G33" s="123">
        <v>18</v>
      </c>
      <c r="J33" s="134">
        <v>18</v>
      </c>
      <c r="K33" s="92">
        <f t="shared" si="1"/>
        <v>100</v>
      </c>
      <c r="L33" s="92">
        <f t="shared" si="1"/>
        <v>0</v>
      </c>
      <c r="M33" s="92">
        <f t="shared" si="1"/>
        <v>0</v>
      </c>
      <c r="N33" s="125">
        <f t="shared" si="2"/>
        <v>100</v>
      </c>
      <c r="O33" s="91">
        <v>52.4</v>
      </c>
      <c r="P33" s="92"/>
      <c r="Q33" s="92"/>
      <c r="R33" s="93">
        <f t="shared" si="3"/>
        <v>52.4</v>
      </c>
      <c r="S33" s="208">
        <v>1</v>
      </c>
      <c r="T33" s="81"/>
      <c r="V33" s="82" t="s">
        <v>805</v>
      </c>
      <c r="W33" s="208" t="s">
        <v>74</v>
      </c>
      <c r="X33" s="208" t="s">
        <v>11</v>
      </c>
      <c r="Y33" s="83">
        <v>52.4</v>
      </c>
      <c r="AD33" s="82"/>
      <c r="AG33" s="83"/>
      <c r="AL33" s="82"/>
      <c r="AO33" s="83"/>
      <c r="AP33" s="82"/>
      <c r="AS33" s="83"/>
      <c r="AW33" s="83"/>
      <c r="BA33" s="84"/>
    </row>
    <row r="34" spans="1:53" s="208" customFormat="1" x14ac:dyDescent="0.15">
      <c r="A34" s="102">
        <v>1973</v>
      </c>
      <c r="B34" s="207"/>
      <c r="C34" s="811" t="s">
        <v>807</v>
      </c>
      <c r="D34" s="811"/>
      <c r="E34" s="208">
        <v>0</v>
      </c>
      <c r="G34" s="123">
        <v>18</v>
      </c>
      <c r="J34" s="134">
        <v>18</v>
      </c>
      <c r="K34" s="92">
        <f t="shared" si="1"/>
        <v>100</v>
      </c>
      <c r="L34" s="92">
        <f t="shared" si="1"/>
        <v>0</v>
      </c>
      <c r="M34" s="92">
        <f t="shared" si="1"/>
        <v>0</v>
      </c>
      <c r="N34" s="125">
        <f t="shared" si="2"/>
        <v>100</v>
      </c>
      <c r="O34" s="91">
        <v>52.4</v>
      </c>
      <c r="P34" s="92"/>
      <c r="Q34" s="92"/>
      <c r="R34" s="93">
        <f t="shared" si="3"/>
        <v>52.4</v>
      </c>
      <c r="S34" s="208">
        <v>1</v>
      </c>
      <c r="T34" s="81"/>
      <c r="V34" s="82" t="s">
        <v>805</v>
      </c>
      <c r="W34" s="208" t="s">
        <v>74</v>
      </c>
      <c r="X34" s="208" t="s">
        <v>11</v>
      </c>
      <c r="Y34" s="83">
        <v>52.4</v>
      </c>
      <c r="AD34" s="82"/>
      <c r="AG34" s="83"/>
      <c r="AL34" s="82"/>
      <c r="AO34" s="83"/>
      <c r="AP34" s="82"/>
      <c r="AS34" s="83"/>
      <c r="AW34" s="83"/>
      <c r="BA34" s="84"/>
    </row>
    <row r="35" spans="1:53" s="208" customFormat="1" x14ac:dyDescent="0.15">
      <c r="A35" s="102">
        <v>1973</v>
      </c>
      <c r="B35" s="207"/>
      <c r="C35" s="811" t="s">
        <v>807</v>
      </c>
      <c r="D35" s="811"/>
      <c r="E35" s="208">
        <v>365</v>
      </c>
      <c r="G35" s="123">
        <v>18</v>
      </c>
      <c r="J35" s="134">
        <v>18</v>
      </c>
      <c r="K35" s="92">
        <f t="shared" si="1"/>
        <v>100</v>
      </c>
      <c r="L35" s="92">
        <f t="shared" si="1"/>
        <v>0</v>
      </c>
      <c r="M35" s="92">
        <f t="shared" si="1"/>
        <v>0</v>
      </c>
      <c r="N35" s="125">
        <f t="shared" si="2"/>
        <v>100</v>
      </c>
      <c r="O35" s="91">
        <v>52.4</v>
      </c>
      <c r="P35" s="92"/>
      <c r="Q35" s="92"/>
      <c r="R35" s="93">
        <f t="shared" si="3"/>
        <v>52.4</v>
      </c>
      <c r="S35" s="208">
        <v>1</v>
      </c>
      <c r="T35" s="81"/>
      <c r="V35" s="82" t="s">
        <v>805</v>
      </c>
      <c r="W35" s="208" t="s">
        <v>74</v>
      </c>
      <c r="X35" s="208" t="s">
        <v>11</v>
      </c>
      <c r="Y35" s="83">
        <v>52.4</v>
      </c>
      <c r="AD35" s="82"/>
      <c r="AG35" s="83"/>
      <c r="AL35" s="82"/>
      <c r="AO35" s="83"/>
      <c r="AP35" s="82"/>
      <c r="AS35" s="83"/>
      <c r="AW35" s="83"/>
      <c r="BA35" s="84"/>
    </row>
    <row r="36" spans="1:53" s="208" customFormat="1" x14ac:dyDescent="0.15">
      <c r="A36" s="102">
        <v>1974</v>
      </c>
      <c r="B36" s="207"/>
      <c r="C36" s="811" t="s">
        <v>807</v>
      </c>
      <c r="D36" s="811"/>
      <c r="E36" s="208">
        <v>63</v>
      </c>
      <c r="G36" s="123">
        <v>18</v>
      </c>
      <c r="J36" s="134">
        <v>18</v>
      </c>
      <c r="K36" s="92">
        <f t="shared" si="1"/>
        <v>100</v>
      </c>
      <c r="L36" s="92">
        <f t="shared" si="1"/>
        <v>0</v>
      </c>
      <c r="M36" s="92">
        <f t="shared" si="1"/>
        <v>0</v>
      </c>
      <c r="N36" s="125">
        <f t="shared" si="2"/>
        <v>100</v>
      </c>
      <c r="O36" s="91">
        <v>52.4</v>
      </c>
      <c r="P36" s="92"/>
      <c r="Q36" s="92"/>
      <c r="R36" s="93">
        <f t="shared" si="3"/>
        <v>52.4</v>
      </c>
      <c r="S36" s="208">
        <v>1</v>
      </c>
      <c r="T36" s="81"/>
      <c r="V36" s="82" t="s">
        <v>805</v>
      </c>
      <c r="W36" s="208" t="s">
        <v>74</v>
      </c>
      <c r="X36" s="208" t="s">
        <v>11</v>
      </c>
      <c r="Y36" s="83">
        <v>52.4</v>
      </c>
      <c r="AD36" s="82"/>
      <c r="AG36" s="83"/>
      <c r="AL36" s="82"/>
      <c r="AO36" s="83"/>
      <c r="AP36" s="82"/>
      <c r="AS36" s="83"/>
      <c r="AW36" s="83"/>
      <c r="BA36" s="84"/>
    </row>
    <row r="37" spans="1:53" s="334" customFormat="1" x14ac:dyDescent="0.15">
      <c r="A37" s="386">
        <v>1974</v>
      </c>
      <c r="B37" s="355">
        <v>27093</v>
      </c>
      <c r="C37" s="812" t="s">
        <v>798</v>
      </c>
      <c r="D37" s="812"/>
      <c r="E37" s="334">
        <v>227</v>
      </c>
      <c r="F37" s="334">
        <v>1</v>
      </c>
      <c r="G37" s="419"/>
      <c r="I37" s="334">
        <v>20</v>
      </c>
      <c r="J37" s="435">
        <v>20</v>
      </c>
      <c r="K37" s="384">
        <f t="shared" si="1"/>
        <v>0</v>
      </c>
      <c r="L37" s="384">
        <f t="shared" si="1"/>
        <v>0</v>
      </c>
      <c r="M37" s="384">
        <f t="shared" si="1"/>
        <v>100</v>
      </c>
      <c r="N37" s="421">
        <f t="shared" si="2"/>
        <v>100</v>
      </c>
      <c r="O37" s="383"/>
      <c r="P37" s="384"/>
      <c r="Q37" s="384">
        <v>45.7</v>
      </c>
      <c r="R37" s="385">
        <f t="shared" si="3"/>
        <v>45.7</v>
      </c>
      <c r="S37" s="334">
        <v>4</v>
      </c>
      <c r="T37" s="357"/>
      <c r="U37" s="355">
        <v>27093</v>
      </c>
      <c r="V37" s="343" t="s">
        <v>464</v>
      </c>
      <c r="W37" s="334" t="s">
        <v>20</v>
      </c>
      <c r="X37" s="334" t="s">
        <v>12</v>
      </c>
      <c r="Y37" s="344">
        <v>45.7</v>
      </c>
      <c r="AD37" s="343"/>
      <c r="AG37" s="344"/>
      <c r="AL37" s="343"/>
      <c r="AO37" s="344"/>
      <c r="AP37" s="343"/>
      <c r="AS37" s="344"/>
      <c r="AW37" s="344"/>
      <c r="BA37" s="345"/>
    </row>
    <row r="38" spans="1:53" s="208" customFormat="1" x14ac:dyDescent="0.15">
      <c r="A38" s="102">
        <v>1974</v>
      </c>
      <c r="B38" s="207">
        <v>27320</v>
      </c>
      <c r="C38" s="811" t="s">
        <v>799</v>
      </c>
      <c r="D38" s="811"/>
      <c r="E38" s="208">
        <f xml:space="preserve"> 365-E37-E36</f>
        <v>75</v>
      </c>
      <c r="F38" s="208">
        <v>1</v>
      </c>
      <c r="G38" s="123"/>
      <c r="I38" s="208">
        <v>23</v>
      </c>
      <c r="J38" s="134">
        <v>23</v>
      </c>
      <c r="K38" s="92">
        <f t="shared" si="1"/>
        <v>0</v>
      </c>
      <c r="L38" s="92">
        <f t="shared" si="1"/>
        <v>0</v>
      </c>
      <c r="M38" s="92">
        <f t="shared" si="1"/>
        <v>100</v>
      </c>
      <c r="N38" s="125">
        <f t="shared" si="2"/>
        <v>100</v>
      </c>
      <c r="O38" s="91"/>
      <c r="P38" s="92"/>
      <c r="Q38" s="92">
        <v>50.2</v>
      </c>
      <c r="R38" s="93">
        <f t="shared" si="3"/>
        <v>50.2</v>
      </c>
      <c r="S38" s="208">
        <v>1</v>
      </c>
      <c r="T38" s="95">
        <v>27312</v>
      </c>
      <c r="U38" s="207">
        <v>27320</v>
      </c>
      <c r="V38" s="82" t="s">
        <v>464</v>
      </c>
      <c r="W38" s="208" t="s">
        <v>20</v>
      </c>
      <c r="X38" s="208" t="s">
        <v>12</v>
      </c>
      <c r="Y38" s="83">
        <v>50.2</v>
      </c>
      <c r="AD38" s="82"/>
      <c r="AG38" s="83"/>
      <c r="AL38" s="82"/>
      <c r="AO38" s="83"/>
      <c r="AP38" s="82"/>
      <c r="AS38" s="83"/>
      <c r="AW38" s="83"/>
      <c r="BA38" s="84"/>
    </row>
    <row r="39" spans="1:53" s="208" customFormat="1" x14ac:dyDescent="0.15">
      <c r="A39" s="102">
        <v>1975</v>
      </c>
      <c r="B39" s="207"/>
      <c r="C39" s="811" t="s">
        <v>799</v>
      </c>
      <c r="D39" s="811"/>
      <c r="E39" s="208">
        <v>0</v>
      </c>
      <c r="G39" s="123"/>
      <c r="I39" s="208">
        <v>23</v>
      </c>
      <c r="J39" s="134">
        <v>23</v>
      </c>
      <c r="K39" s="92">
        <f t="shared" si="1"/>
        <v>0</v>
      </c>
      <c r="L39" s="92">
        <f t="shared" si="1"/>
        <v>0</v>
      </c>
      <c r="M39" s="92">
        <f t="shared" si="1"/>
        <v>100</v>
      </c>
      <c r="N39" s="125">
        <f t="shared" si="2"/>
        <v>100</v>
      </c>
      <c r="O39" s="91"/>
      <c r="P39" s="92"/>
      <c r="Q39" s="92">
        <v>50.2</v>
      </c>
      <c r="R39" s="93">
        <f t="shared" si="3"/>
        <v>50.2</v>
      </c>
      <c r="S39" s="208">
        <v>1</v>
      </c>
      <c r="T39" s="81"/>
      <c r="V39" s="82" t="s">
        <v>464</v>
      </c>
      <c r="W39" s="208" t="s">
        <v>20</v>
      </c>
      <c r="X39" s="208" t="s">
        <v>12</v>
      </c>
      <c r="Y39" s="83">
        <v>50.2</v>
      </c>
      <c r="AD39" s="82"/>
      <c r="AG39" s="83"/>
      <c r="AL39" s="82"/>
      <c r="AO39" s="83"/>
      <c r="AP39" s="82"/>
      <c r="AS39" s="83"/>
      <c r="AW39" s="83"/>
      <c r="BA39" s="84"/>
    </row>
    <row r="40" spans="1:53" s="208" customFormat="1" x14ac:dyDescent="0.15">
      <c r="A40" s="102">
        <v>1975</v>
      </c>
      <c r="B40" s="207"/>
      <c r="C40" s="811" t="s">
        <v>799</v>
      </c>
      <c r="D40" s="811"/>
      <c r="E40" s="208">
        <v>365</v>
      </c>
      <c r="G40" s="123"/>
      <c r="I40" s="208">
        <v>23</v>
      </c>
      <c r="J40" s="134">
        <v>23</v>
      </c>
      <c r="K40" s="92">
        <f t="shared" si="1"/>
        <v>0</v>
      </c>
      <c r="L40" s="92">
        <f t="shared" si="1"/>
        <v>0</v>
      </c>
      <c r="M40" s="92">
        <f t="shared" si="1"/>
        <v>100</v>
      </c>
      <c r="N40" s="125">
        <f t="shared" si="2"/>
        <v>100</v>
      </c>
      <c r="O40" s="91"/>
      <c r="P40" s="92"/>
      <c r="Q40" s="92">
        <v>50.2</v>
      </c>
      <c r="R40" s="93">
        <f t="shared" si="3"/>
        <v>50.2</v>
      </c>
      <c r="S40" s="208">
        <v>1</v>
      </c>
      <c r="T40" s="81"/>
      <c r="V40" s="82" t="s">
        <v>464</v>
      </c>
      <c r="W40" s="208" t="s">
        <v>20</v>
      </c>
      <c r="X40" s="208" t="s">
        <v>12</v>
      </c>
      <c r="Y40" s="83">
        <v>50.2</v>
      </c>
      <c r="AD40" s="82"/>
      <c r="AG40" s="83"/>
      <c r="AL40" s="82"/>
      <c r="AO40" s="83"/>
      <c r="AP40" s="82"/>
      <c r="AS40" s="83"/>
      <c r="AW40" s="83"/>
      <c r="BA40" s="84"/>
    </row>
    <row r="41" spans="1:53" s="208" customFormat="1" x14ac:dyDescent="0.15">
      <c r="A41" s="102">
        <v>1976</v>
      </c>
      <c r="B41" s="207"/>
      <c r="C41" s="811" t="s">
        <v>799</v>
      </c>
      <c r="D41" s="811"/>
      <c r="E41" s="208">
        <v>96</v>
      </c>
      <c r="G41" s="123"/>
      <c r="I41" s="208">
        <v>23</v>
      </c>
      <c r="J41" s="134">
        <v>23</v>
      </c>
      <c r="K41" s="92">
        <f t="shared" si="1"/>
        <v>0</v>
      </c>
      <c r="L41" s="92">
        <f t="shared" si="1"/>
        <v>0</v>
      </c>
      <c r="M41" s="92">
        <f t="shared" si="1"/>
        <v>100</v>
      </c>
      <c r="N41" s="125">
        <f t="shared" si="2"/>
        <v>100</v>
      </c>
      <c r="O41" s="91"/>
      <c r="P41" s="92"/>
      <c r="Q41" s="92">
        <v>50.2</v>
      </c>
      <c r="R41" s="93">
        <f t="shared" si="3"/>
        <v>50.2</v>
      </c>
      <c r="S41" s="208">
        <v>1</v>
      </c>
      <c r="T41" s="81"/>
      <c r="V41" s="82" t="s">
        <v>464</v>
      </c>
      <c r="W41" s="208" t="s">
        <v>20</v>
      </c>
      <c r="X41" s="208" t="s">
        <v>12</v>
      </c>
      <c r="Y41" s="83">
        <v>50.2</v>
      </c>
      <c r="AD41" s="82"/>
      <c r="AG41" s="83"/>
      <c r="AL41" s="82"/>
      <c r="AO41" s="83"/>
      <c r="AP41" s="82"/>
      <c r="AS41" s="83"/>
      <c r="AW41" s="83"/>
      <c r="BA41" s="84"/>
    </row>
    <row r="42" spans="1:53" s="334" customFormat="1" x14ac:dyDescent="0.15">
      <c r="A42" s="386">
        <v>1976</v>
      </c>
      <c r="B42" s="355">
        <v>27856</v>
      </c>
      <c r="C42" s="812" t="s">
        <v>800</v>
      </c>
      <c r="D42" s="812"/>
      <c r="E42" s="334">
        <f>366-E41</f>
        <v>270</v>
      </c>
      <c r="F42" s="334">
        <v>2</v>
      </c>
      <c r="G42" s="419"/>
      <c r="I42" s="334">
        <v>16</v>
      </c>
      <c r="J42" s="435">
        <v>16</v>
      </c>
      <c r="K42" s="384">
        <f t="shared" si="1"/>
        <v>0</v>
      </c>
      <c r="L42" s="384">
        <f t="shared" si="1"/>
        <v>0</v>
      </c>
      <c r="M42" s="384">
        <f t="shared" si="1"/>
        <v>100</v>
      </c>
      <c r="N42" s="421">
        <f t="shared" si="2"/>
        <v>100</v>
      </c>
      <c r="O42" s="383"/>
      <c r="P42" s="384"/>
      <c r="Q42" s="384">
        <v>50.2</v>
      </c>
      <c r="R42" s="385">
        <f t="shared" si="3"/>
        <v>50.2</v>
      </c>
      <c r="S42" s="334">
        <v>1</v>
      </c>
      <c r="T42" s="357"/>
      <c r="U42" s="355">
        <v>27856</v>
      </c>
      <c r="V42" s="343" t="s">
        <v>464</v>
      </c>
      <c r="W42" s="334" t="s">
        <v>20</v>
      </c>
      <c r="X42" s="334" t="s">
        <v>12</v>
      </c>
      <c r="Y42" s="344">
        <v>50.2</v>
      </c>
      <c r="AD42" s="343"/>
      <c r="AG42" s="344"/>
      <c r="AL42" s="343"/>
      <c r="AO42" s="344"/>
      <c r="AP42" s="343"/>
      <c r="AS42" s="344"/>
      <c r="AW42" s="344"/>
      <c r="BA42" s="345"/>
    </row>
    <row r="43" spans="1:53" s="334" customFormat="1" x14ac:dyDescent="0.15">
      <c r="A43" s="386">
        <v>1977</v>
      </c>
      <c r="B43" s="355"/>
      <c r="C43" s="812" t="s">
        <v>800</v>
      </c>
      <c r="D43" s="812"/>
      <c r="E43" s="334">
        <v>0</v>
      </c>
      <c r="G43" s="419"/>
      <c r="I43" s="334">
        <v>16</v>
      </c>
      <c r="J43" s="435">
        <v>16</v>
      </c>
      <c r="K43" s="384">
        <f t="shared" si="1"/>
        <v>0</v>
      </c>
      <c r="L43" s="384">
        <f t="shared" si="1"/>
        <v>0</v>
      </c>
      <c r="M43" s="384">
        <f t="shared" si="1"/>
        <v>100</v>
      </c>
      <c r="N43" s="421">
        <f t="shared" si="2"/>
        <v>100</v>
      </c>
      <c r="O43" s="383"/>
      <c r="P43" s="384"/>
      <c r="Q43" s="384">
        <v>50.2</v>
      </c>
      <c r="R43" s="385">
        <f t="shared" si="3"/>
        <v>50.2</v>
      </c>
      <c r="S43" s="334">
        <v>1</v>
      </c>
      <c r="T43" s="357"/>
      <c r="V43" s="343" t="s">
        <v>464</v>
      </c>
      <c r="W43" s="334" t="s">
        <v>20</v>
      </c>
      <c r="X43" s="334" t="s">
        <v>12</v>
      </c>
      <c r="Y43" s="344">
        <v>50.2</v>
      </c>
      <c r="AD43" s="343"/>
      <c r="AG43" s="344"/>
      <c r="AL43" s="343"/>
      <c r="AO43" s="344"/>
      <c r="AP43" s="343"/>
      <c r="AS43" s="344"/>
      <c r="AW43" s="344"/>
      <c r="BA43" s="345"/>
    </row>
    <row r="44" spans="1:53" s="334" customFormat="1" x14ac:dyDescent="0.15">
      <c r="A44" s="386">
        <v>1977</v>
      </c>
      <c r="B44" s="355"/>
      <c r="C44" s="812" t="s">
        <v>800</v>
      </c>
      <c r="D44" s="812"/>
      <c r="E44" s="334">
        <v>365</v>
      </c>
      <c r="G44" s="419"/>
      <c r="I44" s="334">
        <v>16</v>
      </c>
      <c r="J44" s="435">
        <v>16</v>
      </c>
      <c r="K44" s="384">
        <f t="shared" si="1"/>
        <v>0</v>
      </c>
      <c r="L44" s="384">
        <f t="shared" si="1"/>
        <v>0</v>
      </c>
      <c r="M44" s="384">
        <f t="shared" si="1"/>
        <v>100</v>
      </c>
      <c r="N44" s="421">
        <f t="shared" si="2"/>
        <v>100</v>
      </c>
      <c r="O44" s="383"/>
      <c r="P44" s="384"/>
      <c r="Q44" s="384">
        <v>50.2</v>
      </c>
      <c r="R44" s="385">
        <f t="shared" si="3"/>
        <v>50.2</v>
      </c>
      <c r="S44" s="334">
        <v>1</v>
      </c>
      <c r="T44" s="357"/>
      <c r="V44" s="343" t="s">
        <v>464</v>
      </c>
      <c r="W44" s="334" t="s">
        <v>20</v>
      </c>
      <c r="X44" s="334" t="s">
        <v>12</v>
      </c>
      <c r="Y44" s="344">
        <v>50.2</v>
      </c>
      <c r="AD44" s="343"/>
      <c r="AG44" s="344"/>
      <c r="AL44" s="343"/>
      <c r="AO44" s="344"/>
      <c r="AP44" s="343"/>
      <c r="AS44" s="344"/>
      <c r="AW44" s="344"/>
      <c r="BA44" s="345"/>
    </row>
    <row r="45" spans="1:53" s="334" customFormat="1" x14ac:dyDescent="0.15">
      <c r="A45" s="386">
        <v>1978</v>
      </c>
      <c r="B45" s="355"/>
      <c r="C45" s="812" t="s">
        <v>800</v>
      </c>
      <c r="D45" s="812"/>
      <c r="E45" s="334">
        <v>0</v>
      </c>
      <c r="G45" s="419"/>
      <c r="I45" s="334">
        <v>16</v>
      </c>
      <c r="J45" s="435">
        <v>16</v>
      </c>
      <c r="K45" s="384">
        <f t="shared" si="1"/>
        <v>0</v>
      </c>
      <c r="L45" s="384">
        <f t="shared" si="1"/>
        <v>0</v>
      </c>
      <c r="M45" s="384">
        <f t="shared" si="1"/>
        <v>100</v>
      </c>
      <c r="N45" s="421">
        <f t="shared" si="2"/>
        <v>100</v>
      </c>
      <c r="O45" s="383"/>
      <c r="P45" s="384"/>
      <c r="Q45" s="384">
        <v>50.2</v>
      </c>
      <c r="R45" s="385">
        <f t="shared" si="3"/>
        <v>50.2</v>
      </c>
      <c r="S45" s="334">
        <v>1</v>
      </c>
      <c r="T45" s="357"/>
      <c r="V45" s="343" t="s">
        <v>464</v>
      </c>
      <c r="W45" s="334" t="s">
        <v>20</v>
      </c>
      <c r="X45" s="334" t="s">
        <v>12</v>
      </c>
      <c r="Y45" s="344">
        <v>50.2</v>
      </c>
      <c r="AD45" s="343"/>
      <c r="AG45" s="344"/>
      <c r="AL45" s="343"/>
      <c r="AO45" s="344"/>
      <c r="AP45" s="343"/>
      <c r="AS45" s="344"/>
      <c r="AW45" s="344"/>
      <c r="BA45" s="345"/>
    </row>
    <row r="46" spans="1:53" s="334" customFormat="1" x14ac:dyDescent="0.15">
      <c r="A46" s="386">
        <v>1978</v>
      </c>
      <c r="B46" s="355"/>
      <c r="C46" s="812" t="s">
        <v>800</v>
      </c>
      <c r="D46" s="812"/>
      <c r="E46" s="334">
        <v>365</v>
      </c>
      <c r="G46" s="419"/>
      <c r="I46" s="334">
        <v>16</v>
      </c>
      <c r="J46" s="435">
        <v>16</v>
      </c>
      <c r="K46" s="384">
        <f t="shared" si="1"/>
        <v>0</v>
      </c>
      <c r="L46" s="384">
        <f t="shared" si="1"/>
        <v>0</v>
      </c>
      <c r="M46" s="384">
        <f t="shared" si="1"/>
        <v>100</v>
      </c>
      <c r="N46" s="421">
        <f t="shared" si="2"/>
        <v>100</v>
      </c>
      <c r="O46" s="383"/>
      <c r="P46" s="384"/>
      <c r="Q46" s="384">
        <v>50.2</v>
      </c>
      <c r="R46" s="385">
        <f t="shared" si="3"/>
        <v>50.2</v>
      </c>
      <c r="S46" s="334">
        <v>1</v>
      </c>
      <c r="T46" s="357"/>
      <c r="V46" s="343" t="s">
        <v>464</v>
      </c>
      <c r="W46" s="334" t="s">
        <v>20</v>
      </c>
      <c r="X46" s="334" t="s">
        <v>12</v>
      </c>
      <c r="Y46" s="344">
        <v>50.2</v>
      </c>
      <c r="AD46" s="343"/>
      <c r="AG46" s="344"/>
      <c r="AL46" s="343"/>
      <c r="AO46" s="344"/>
      <c r="AP46" s="343"/>
      <c r="AS46" s="344"/>
      <c r="AW46" s="344"/>
      <c r="BA46" s="345"/>
    </row>
    <row r="47" spans="1:53" s="334" customFormat="1" x14ac:dyDescent="0.15">
      <c r="A47" s="386">
        <v>1979</v>
      </c>
      <c r="B47" s="355"/>
      <c r="C47" s="812" t="s">
        <v>800</v>
      </c>
      <c r="D47" s="812"/>
      <c r="E47" s="334">
        <v>124</v>
      </c>
      <c r="G47" s="419"/>
      <c r="I47" s="334">
        <v>16</v>
      </c>
      <c r="J47" s="435">
        <v>16</v>
      </c>
      <c r="K47" s="384">
        <f t="shared" si="1"/>
        <v>0</v>
      </c>
      <c r="L47" s="384">
        <f t="shared" si="1"/>
        <v>0</v>
      </c>
      <c r="M47" s="384">
        <f t="shared" si="1"/>
        <v>100</v>
      </c>
      <c r="N47" s="421">
        <f t="shared" si="2"/>
        <v>100</v>
      </c>
      <c r="O47" s="383"/>
      <c r="P47" s="384"/>
      <c r="Q47" s="384">
        <v>50.2</v>
      </c>
      <c r="R47" s="385">
        <f t="shared" si="3"/>
        <v>50.2</v>
      </c>
      <c r="S47" s="334">
        <v>1</v>
      </c>
      <c r="T47" s="357"/>
      <c r="V47" s="343" t="s">
        <v>464</v>
      </c>
      <c r="W47" s="334" t="s">
        <v>20</v>
      </c>
      <c r="X47" s="334" t="s">
        <v>12</v>
      </c>
      <c r="Y47" s="344">
        <v>50.2</v>
      </c>
      <c r="AD47" s="343"/>
      <c r="AG47" s="344"/>
      <c r="AL47" s="343"/>
      <c r="AO47" s="344"/>
      <c r="AP47" s="343"/>
      <c r="AS47" s="344"/>
      <c r="AW47" s="344"/>
      <c r="BA47" s="345"/>
    </row>
    <row r="48" spans="1:53" s="208" customFormat="1" x14ac:dyDescent="0.15">
      <c r="A48" s="102">
        <v>1979</v>
      </c>
      <c r="B48" s="207">
        <v>28980</v>
      </c>
      <c r="C48" s="811" t="s">
        <v>808</v>
      </c>
      <c r="D48" s="811"/>
      <c r="E48" s="208">
        <f>365-E47</f>
        <v>241</v>
      </c>
      <c r="F48" s="208">
        <v>1</v>
      </c>
      <c r="G48" s="123">
        <v>22</v>
      </c>
      <c r="J48" s="134">
        <v>22</v>
      </c>
      <c r="K48" s="92">
        <f t="shared" si="1"/>
        <v>100</v>
      </c>
      <c r="L48" s="92">
        <f t="shared" si="1"/>
        <v>0</v>
      </c>
      <c r="M48" s="92">
        <f t="shared" si="1"/>
        <v>0</v>
      </c>
      <c r="N48" s="125">
        <f t="shared" si="2"/>
        <v>100</v>
      </c>
      <c r="O48" s="91">
        <v>53.4</v>
      </c>
      <c r="P48" s="92"/>
      <c r="Q48" s="92"/>
      <c r="R48" s="93">
        <f t="shared" si="3"/>
        <v>53.4</v>
      </c>
      <c r="S48" s="208">
        <v>1</v>
      </c>
      <c r="T48" s="95">
        <v>28978</v>
      </c>
      <c r="U48" s="207">
        <v>28980</v>
      </c>
      <c r="V48" s="82" t="s">
        <v>805</v>
      </c>
      <c r="W48" s="208" t="s">
        <v>74</v>
      </c>
      <c r="X48" s="208" t="s">
        <v>11</v>
      </c>
      <c r="Y48" s="83">
        <v>53.4</v>
      </c>
      <c r="AD48" s="82"/>
      <c r="AG48" s="83"/>
      <c r="AL48" s="82"/>
      <c r="AO48" s="83"/>
      <c r="AP48" s="82"/>
      <c r="AS48" s="83"/>
      <c r="AW48" s="83"/>
      <c r="BA48" s="84"/>
    </row>
    <row r="49" spans="1:53" s="208" customFormat="1" x14ac:dyDescent="0.15">
      <c r="A49" s="102">
        <v>1980</v>
      </c>
      <c r="B49" s="207"/>
      <c r="C49" s="811" t="s">
        <v>808</v>
      </c>
      <c r="D49" s="811"/>
      <c r="E49" s="208">
        <v>0</v>
      </c>
      <c r="G49" s="123">
        <v>22</v>
      </c>
      <c r="J49" s="134">
        <v>22</v>
      </c>
      <c r="K49" s="92">
        <f t="shared" si="1"/>
        <v>100</v>
      </c>
      <c r="L49" s="92">
        <f t="shared" si="1"/>
        <v>0</v>
      </c>
      <c r="M49" s="92">
        <f t="shared" si="1"/>
        <v>0</v>
      </c>
      <c r="N49" s="125">
        <f t="shared" si="2"/>
        <v>100</v>
      </c>
      <c r="O49" s="91">
        <v>53.4</v>
      </c>
      <c r="P49" s="92"/>
      <c r="Q49" s="92"/>
      <c r="R49" s="93">
        <f t="shared" si="3"/>
        <v>53.4</v>
      </c>
      <c r="S49" s="208">
        <v>1</v>
      </c>
      <c r="T49" s="81"/>
      <c r="V49" s="82" t="s">
        <v>805</v>
      </c>
      <c r="W49" s="208" t="s">
        <v>74</v>
      </c>
      <c r="X49" s="208" t="s">
        <v>11</v>
      </c>
      <c r="Y49" s="83">
        <v>53.4</v>
      </c>
      <c r="AD49" s="82"/>
      <c r="AG49" s="83"/>
      <c r="AL49" s="82"/>
      <c r="AO49" s="83"/>
      <c r="AP49" s="82"/>
      <c r="AS49" s="83"/>
      <c r="AW49" s="83"/>
      <c r="BA49" s="84"/>
    </row>
    <row r="50" spans="1:53" s="208" customFormat="1" x14ac:dyDescent="0.15">
      <c r="A50" s="102">
        <v>1980</v>
      </c>
      <c r="B50" s="207"/>
      <c r="C50" s="811" t="s">
        <v>808</v>
      </c>
      <c r="D50" s="811"/>
      <c r="E50" s="208">
        <v>366</v>
      </c>
      <c r="G50" s="123">
        <v>22</v>
      </c>
      <c r="J50" s="134">
        <v>22</v>
      </c>
      <c r="K50" s="92">
        <f t="shared" si="1"/>
        <v>100</v>
      </c>
      <c r="L50" s="92">
        <f t="shared" si="1"/>
        <v>0</v>
      </c>
      <c r="M50" s="92">
        <f t="shared" si="1"/>
        <v>0</v>
      </c>
      <c r="N50" s="125">
        <f t="shared" si="2"/>
        <v>100</v>
      </c>
      <c r="O50" s="91">
        <v>53.4</v>
      </c>
      <c r="P50" s="92"/>
      <c r="Q50" s="92"/>
      <c r="R50" s="93">
        <f t="shared" si="3"/>
        <v>53.4</v>
      </c>
      <c r="S50" s="208">
        <v>1</v>
      </c>
      <c r="T50" s="81"/>
      <c r="V50" s="82" t="s">
        <v>805</v>
      </c>
      <c r="W50" s="208" t="s">
        <v>74</v>
      </c>
      <c r="X50" s="208" t="s">
        <v>11</v>
      </c>
      <c r="Y50" s="83">
        <v>53.4</v>
      </c>
      <c r="AD50" s="82"/>
      <c r="AG50" s="83"/>
      <c r="AL50" s="82"/>
      <c r="AO50" s="83"/>
      <c r="AP50" s="82"/>
      <c r="AS50" s="83"/>
      <c r="AW50" s="83"/>
      <c r="BA50" s="84"/>
    </row>
    <row r="51" spans="1:53" s="208" customFormat="1" x14ac:dyDescent="0.15">
      <c r="A51" s="102">
        <v>1981</v>
      </c>
      <c r="B51" s="207"/>
      <c r="C51" s="811" t="s">
        <v>808</v>
      </c>
      <c r="D51" s="811"/>
      <c r="E51" s="208">
        <v>0</v>
      </c>
      <c r="G51" s="123">
        <v>22</v>
      </c>
      <c r="J51" s="134">
        <v>22</v>
      </c>
      <c r="K51" s="92">
        <f t="shared" si="1"/>
        <v>100</v>
      </c>
      <c r="L51" s="92">
        <f t="shared" si="1"/>
        <v>0</v>
      </c>
      <c r="M51" s="92">
        <f t="shared" si="1"/>
        <v>0</v>
      </c>
      <c r="N51" s="125">
        <f t="shared" si="2"/>
        <v>100</v>
      </c>
      <c r="O51" s="91">
        <v>53.4</v>
      </c>
      <c r="P51" s="92"/>
      <c r="Q51" s="92"/>
      <c r="R51" s="93">
        <f t="shared" si="3"/>
        <v>53.4</v>
      </c>
      <c r="S51" s="208">
        <v>1</v>
      </c>
      <c r="T51" s="81"/>
      <c r="V51" s="82" t="s">
        <v>805</v>
      </c>
      <c r="W51" s="208" t="s">
        <v>74</v>
      </c>
      <c r="X51" s="208" t="s">
        <v>11</v>
      </c>
      <c r="Y51" s="83">
        <v>53.4</v>
      </c>
      <c r="AD51" s="82"/>
      <c r="AG51" s="83"/>
      <c r="AL51" s="82"/>
      <c r="AO51" s="83"/>
      <c r="AP51" s="82"/>
      <c r="AS51" s="83"/>
      <c r="AW51" s="83"/>
      <c r="BA51" s="84"/>
    </row>
    <row r="52" spans="1:53" s="208" customFormat="1" x14ac:dyDescent="0.15">
      <c r="A52" s="102">
        <v>1981</v>
      </c>
      <c r="B52" s="207"/>
      <c r="C52" s="811" t="s">
        <v>808</v>
      </c>
      <c r="D52" s="811"/>
      <c r="E52" s="208">
        <v>365</v>
      </c>
      <c r="G52" s="123">
        <v>22</v>
      </c>
      <c r="J52" s="134">
        <v>22</v>
      </c>
      <c r="K52" s="92">
        <f t="shared" si="1"/>
        <v>100</v>
      </c>
      <c r="L52" s="92">
        <f t="shared" si="1"/>
        <v>0</v>
      </c>
      <c r="M52" s="92">
        <f t="shared" si="1"/>
        <v>0</v>
      </c>
      <c r="N52" s="125">
        <f t="shared" si="2"/>
        <v>100</v>
      </c>
      <c r="O52" s="91">
        <v>53.4</v>
      </c>
      <c r="P52" s="92"/>
      <c r="Q52" s="92"/>
      <c r="R52" s="93">
        <f t="shared" si="3"/>
        <v>53.4</v>
      </c>
      <c r="S52" s="208">
        <v>1</v>
      </c>
      <c r="T52" s="81"/>
      <c r="V52" s="82" t="s">
        <v>805</v>
      </c>
      <c r="W52" s="208" t="s">
        <v>74</v>
      </c>
      <c r="X52" s="208" t="s">
        <v>11</v>
      </c>
      <c r="Y52" s="83">
        <v>53.4</v>
      </c>
      <c r="AD52" s="82"/>
      <c r="AG52" s="83"/>
      <c r="AL52" s="82"/>
      <c r="AO52" s="83"/>
      <c r="AP52" s="82"/>
      <c r="AS52" s="83"/>
      <c r="AW52" s="83"/>
      <c r="BA52" s="84"/>
    </row>
    <row r="53" spans="1:53" s="208" customFormat="1" x14ac:dyDescent="0.15">
      <c r="A53" s="102">
        <v>1982</v>
      </c>
      <c r="B53" s="207"/>
      <c r="C53" s="811" t="s">
        <v>808</v>
      </c>
      <c r="D53" s="811"/>
      <c r="E53" s="208">
        <v>0</v>
      </c>
      <c r="G53" s="123">
        <v>22</v>
      </c>
      <c r="J53" s="134">
        <v>22</v>
      </c>
      <c r="K53" s="92">
        <f t="shared" si="1"/>
        <v>100</v>
      </c>
      <c r="L53" s="92">
        <f t="shared" si="1"/>
        <v>0</v>
      </c>
      <c r="M53" s="92">
        <f t="shared" si="1"/>
        <v>0</v>
      </c>
      <c r="N53" s="125">
        <f t="shared" si="2"/>
        <v>100</v>
      </c>
      <c r="O53" s="91">
        <v>53.4</v>
      </c>
      <c r="P53" s="92"/>
      <c r="Q53" s="92"/>
      <c r="R53" s="93">
        <f t="shared" si="3"/>
        <v>53.4</v>
      </c>
      <c r="S53" s="208">
        <v>1</v>
      </c>
      <c r="T53" s="81"/>
      <c r="V53" s="82" t="s">
        <v>805</v>
      </c>
      <c r="W53" s="208" t="s">
        <v>74</v>
      </c>
      <c r="X53" s="208" t="s">
        <v>11</v>
      </c>
      <c r="Y53" s="83">
        <v>53.4</v>
      </c>
      <c r="AD53" s="82"/>
      <c r="AG53" s="83"/>
      <c r="AL53" s="82"/>
      <c r="AO53" s="83"/>
      <c r="AP53" s="82"/>
      <c r="AS53" s="83"/>
      <c r="AW53" s="83"/>
      <c r="BA53" s="84"/>
    </row>
    <row r="54" spans="1:53" s="208" customFormat="1" x14ac:dyDescent="0.15">
      <c r="A54" s="102">
        <v>1982</v>
      </c>
      <c r="B54" s="207"/>
      <c r="C54" s="811" t="s">
        <v>808</v>
      </c>
      <c r="D54" s="811"/>
      <c r="E54" s="208">
        <v>365</v>
      </c>
      <c r="G54" s="123">
        <v>22</v>
      </c>
      <c r="J54" s="134">
        <v>22</v>
      </c>
      <c r="K54" s="92">
        <f t="shared" si="1"/>
        <v>100</v>
      </c>
      <c r="L54" s="92">
        <f t="shared" si="1"/>
        <v>0</v>
      </c>
      <c r="M54" s="92">
        <f t="shared" si="1"/>
        <v>0</v>
      </c>
      <c r="N54" s="125">
        <f t="shared" si="2"/>
        <v>100</v>
      </c>
      <c r="O54" s="91">
        <v>53.4</v>
      </c>
      <c r="P54" s="92"/>
      <c r="Q54" s="92"/>
      <c r="R54" s="93">
        <f t="shared" si="3"/>
        <v>53.4</v>
      </c>
      <c r="S54" s="208">
        <v>1</v>
      </c>
      <c r="T54" s="81"/>
      <c r="V54" s="82" t="s">
        <v>805</v>
      </c>
      <c r="W54" s="208" t="s">
        <v>74</v>
      </c>
      <c r="X54" s="208" t="s">
        <v>11</v>
      </c>
      <c r="Y54" s="83">
        <v>53.4</v>
      </c>
      <c r="AD54" s="82"/>
      <c r="AG54" s="83"/>
      <c r="AL54" s="82"/>
      <c r="AO54" s="83"/>
      <c r="AP54" s="82"/>
      <c r="AS54" s="83"/>
      <c r="AW54" s="83"/>
      <c r="BA54" s="84"/>
    </row>
    <row r="55" spans="1:53" s="208" customFormat="1" x14ac:dyDescent="0.15">
      <c r="A55" s="102">
        <v>1983</v>
      </c>
      <c r="B55" s="207"/>
      <c r="C55" s="811" t="s">
        <v>808</v>
      </c>
      <c r="D55" s="811"/>
      <c r="E55" s="208">
        <v>162</v>
      </c>
      <c r="G55" s="123">
        <v>22</v>
      </c>
      <c r="J55" s="134">
        <v>22</v>
      </c>
      <c r="K55" s="92">
        <f t="shared" si="1"/>
        <v>100</v>
      </c>
      <c r="L55" s="92">
        <f t="shared" si="1"/>
        <v>0</v>
      </c>
      <c r="M55" s="92">
        <f t="shared" si="1"/>
        <v>0</v>
      </c>
      <c r="N55" s="125">
        <f t="shared" si="2"/>
        <v>100</v>
      </c>
      <c r="O55" s="91">
        <v>53.4</v>
      </c>
      <c r="P55" s="92"/>
      <c r="Q55" s="92"/>
      <c r="R55" s="93">
        <f t="shared" si="3"/>
        <v>53.4</v>
      </c>
      <c r="S55" s="208">
        <v>1</v>
      </c>
      <c r="T55" s="81"/>
      <c r="V55" s="82" t="s">
        <v>805</v>
      </c>
      <c r="W55" s="208" t="s">
        <v>74</v>
      </c>
      <c r="X55" s="208" t="s">
        <v>11</v>
      </c>
      <c r="Y55" s="83">
        <v>53.4</v>
      </c>
      <c r="AD55" s="82"/>
      <c r="AG55" s="83"/>
      <c r="AL55" s="82"/>
      <c r="AO55" s="83"/>
      <c r="AP55" s="82"/>
      <c r="AS55" s="83"/>
      <c r="AW55" s="83"/>
      <c r="BA55" s="84"/>
    </row>
    <row r="56" spans="1:53" s="334" customFormat="1" x14ac:dyDescent="0.15">
      <c r="A56" s="386">
        <v>1983</v>
      </c>
      <c r="B56" s="355">
        <v>30479</v>
      </c>
      <c r="C56" s="812" t="s">
        <v>809</v>
      </c>
      <c r="D56" s="812"/>
      <c r="E56" s="334">
        <f>365-E55</f>
        <v>203</v>
      </c>
      <c r="F56" s="334">
        <v>1</v>
      </c>
      <c r="G56" s="419">
        <v>21</v>
      </c>
      <c r="J56" s="435">
        <v>21</v>
      </c>
      <c r="K56" s="384">
        <f t="shared" si="1"/>
        <v>100</v>
      </c>
      <c r="L56" s="384">
        <f t="shared" si="1"/>
        <v>0</v>
      </c>
      <c r="M56" s="384">
        <f t="shared" si="1"/>
        <v>0</v>
      </c>
      <c r="N56" s="421">
        <f t="shared" si="2"/>
        <v>100</v>
      </c>
      <c r="O56" s="383">
        <v>61.1</v>
      </c>
      <c r="P56" s="384"/>
      <c r="Q56" s="384"/>
      <c r="R56" s="385">
        <f t="shared" si="3"/>
        <v>61.1</v>
      </c>
      <c r="S56" s="334">
        <v>1</v>
      </c>
      <c r="T56" s="342">
        <v>30476</v>
      </c>
      <c r="U56" s="355">
        <v>30479</v>
      </c>
      <c r="V56" s="343" t="s">
        <v>805</v>
      </c>
      <c r="W56" s="334" t="s">
        <v>74</v>
      </c>
      <c r="X56" s="334" t="s">
        <v>11</v>
      </c>
      <c r="Y56" s="344">
        <v>61.1</v>
      </c>
      <c r="AD56" s="343"/>
      <c r="AG56" s="344"/>
      <c r="AL56" s="343"/>
      <c r="AO56" s="344"/>
      <c r="AP56" s="343"/>
      <c r="AS56" s="344"/>
      <c r="AW56" s="344"/>
      <c r="BA56" s="345"/>
    </row>
    <row r="57" spans="1:53" s="334" customFormat="1" x14ac:dyDescent="0.15">
      <c r="A57" s="386">
        <v>1984</v>
      </c>
      <c r="B57" s="355"/>
      <c r="C57" s="812" t="s">
        <v>809</v>
      </c>
      <c r="D57" s="812"/>
      <c r="E57" s="334">
        <v>0</v>
      </c>
      <c r="G57" s="419">
        <v>21</v>
      </c>
      <c r="J57" s="435">
        <v>21</v>
      </c>
      <c r="K57" s="384">
        <f t="shared" si="1"/>
        <v>100</v>
      </c>
      <c r="L57" s="384">
        <f t="shared" si="1"/>
        <v>0</v>
      </c>
      <c r="M57" s="384">
        <f t="shared" si="1"/>
        <v>0</v>
      </c>
      <c r="N57" s="421">
        <f t="shared" si="2"/>
        <v>100</v>
      </c>
      <c r="O57" s="383">
        <v>61.1</v>
      </c>
      <c r="P57" s="384"/>
      <c r="Q57" s="384"/>
      <c r="R57" s="385">
        <f t="shared" si="3"/>
        <v>61.1</v>
      </c>
      <c r="S57" s="334">
        <v>1</v>
      </c>
      <c r="T57" s="357"/>
      <c r="V57" s="343" t="s">
        <v>805</v>
      </c>
      <c r="W57" s="334" t="s">
        <v>74</v>
      </c>
      <c r="X57" s="334" t="s">
        <v>11</v>
      </c>
      <c r="Y57" s="344">
        <v>61.1</v>
      </c>
      <c r="AD57" s="343"/>
      <c r="AG57" s="344"/>
      <c r="AL57" s="343"/>
      <c r="AO57" s="344"/>
      <c r="AP57" s="343"/>
      <c r="AS57" s="344"/>
      <c r="AW57" s="344"/>
      <c r="BA57" s="345"/>
    </row>
    <row r="58" spans="1:53" s="334" customFormat="1" x14ac:dyDescent="0.15">
      <c r="A58" s="386">
        <v>1984</v>
      </c>
      <c r="B58" s="355"/>
      <c r="C58" s="812" t="s">
        <v>809</v>
      </c>
      <c r="D58" s="812"/>
      <c r="E58" s="334">
        <v>366</v>
      </c>
      <c r="G58" s="419">
        <v>21</v>
      </c>
      <c r="J58" s="435">
        <v>21</v>
      </c>
      <c r="K58" s="384">
        <f t="shared" si="1"/>
        <v>100</v>
      </c>
      <c r="L58" s="384">
        <f t="shared" si="1"/>
        <v>0</v>
      </c>
      <c r="M58" s="384">
        <f t="shared" si="1"/>
        <v>0</v>
      </c>
      <c r="N58" s="421">
        <f t="shared" si="2"/>
        <v>100</v>
      </c>
      <c r="O58" s="383">
        <v>61.1</v>
      </c>
      <c r="P58" s="384"/>
      <c r="Q58" s="384"/>
      <c r="R58" s="385">
        <f t="shared" si="3"/>
        <v>61.1</v>
      </c>
      <c r="S58" s="334">
        <v>1</v>
      </c>
      <c r="T58" s="357"/>
      <c r="V58" s="343" t="s">
        <v>805</v>
      </c>
      <c r="W58" s="334" t="s">
        <v>74</v>
      </c>
      <c r="X58" s="334" t="s">
        <v>11</v>
      </c>
      <c r="Y58" s="344">
        <v>61.1</v>
      </c>
      <c r="AD58" s="343"/>
      <c r="AG58" s="344"/>
      <c r="AL58" s="343"/>
      <c r="AO58" s="344"/>
      <c r="AP58" s="343"/>
      <c r="AS58" s="344"/>
      <c r="AW58" s="344"/>
      <c r="BA58" s="345"/>
    </row>
    <row r="59" spans="1:53" s="334" customFormat="1" x14ac:dyDescent="0.15">
      <c r="A59" s="386">
        <v>1985</v>
      </c>
      <c r="B59" s="355"/>
      <c r="C59" s="812" t="s">
        <v>809</v>
      </c>
      <c r="D59" s="812"/>
      <c r="E59" s="334">
        <v>0</v>
      </c>
      <c r="G59" s="419">
        <v>21</v>
      </c>
      <c r="J59" s="435">
        <v>21</v>
      </c>
      <c r="K59" s="384">
        <f t="shared" si="1"/>
        <v>100</v>
      </c>
      <c r="L59" s="384">
        <f t="shared" si="1"/>
        <v>0</v>
      </c>
      <c r="M59" s="384">
        <f t="shared" si="1"/>
        <v>0</v>
      </c>
      <c r="N59" s="421">
        <f t="shared" si="2"/>
        <v>100</v>
      </c>
      <c r="O59" s="383">
        <v>61.1</v>
      </c>
      <c r="P59" s="384"/>
      <c r="Q59" s="384"/>
      <c r="R59" s="385">
        <f t="shared" si="3"/>
        <v>61.1</v>
      </c>
      <c r="S59" s="334">
        <v>1</v>
      </c>
      <c r="T59" s="357"/>
      <c r="V59" s="343" t="s">
        <v>805</v>
      </c>
      <c r="W59" s="334" t="s">
        <v>74</v>
      </c>
      <c r="X59" s="334" t="s">
        <v>11</v>
      </c>
      <c r="Y59" s="344">
        <v>61.1</v>
      </c>
      <c r="AD59" s="343"/>
      <c r="AG59" s="344"/>
      <c r="AL59" s="343"/>
      <c r="AO59" s="344"/>
      <c r="AP59" s="343"/>
      <c r="AS59" s="344"/>
      <c r="AW59" s="344"/>
      <c r="BA59" s="345"/>
    </row>
    <row r="60" spans="1:53" s="334" customFormat="1" x14ac:dyDescent="0.15">
      <c r="A60" s="386">
        <v>1985</v>
      </c>
      <c r="B60" s="355"/>
      <c r="C60" s="812" t="s">
        <v>809</v>
      </c>
      <c r="D60" s="812"/>
      <c r="E60" s="334">
        <v>365</v>
      </c>
      <c r="G60" s="419">
        <v>21</v>
      </c>
      <c r="J60" s="435">
        <v>21</v>
      </c>
      <c r="K60" s="384">
        <f t="shared" si="1"/>
        <v>100</v>
      </c>
      <c r="L60" s="384">
        <f t="shared" si="1"/>
        <v>0</v>
      </c>
      <c r="M60" s="384">
        <f t="shared" si="1"/>
        <v>0</v>
      </c>
      <c r="N60" s="421">
        <f t="shared" si="2"/>
        <v>100</v>
      </c>
      <c r="O60" s="383">
        <v>61.1</v>
      </c>
      <c r="P60" s="384"/>
      <c r="Q60" s="384"/>
      <c r="R60" s="385">
        <f t="shared" si="3"/>
        <v>61.1</v>
      </c>
      <c r="S60" s="334">
        <v>1</v>
      </c>
      <c r="T60" s="357"/>
      <c r="V60" s="343" t="s">
        <v>805</v>
      </c>
      <c r="W60" s="334" t="s">
        <v>74</v>
      </c>
      <c r="X60" s="334" t="s">
        <v>11</v>
      </c>
      <c r="Y60" s="344">
        <v>61.1</v>
      </c>
      <c r="AD60" s="343"/>
      <c r="AG60" s="344"/>
      <c r="AL60" s="343"/>
      <c r="AO60" s="344"/>
      <c r="AP60" s="343"/>
      <c r="AS60" s="344"/>
      <c r="AW60" s="344"/>
      <c r="BA60" s="345"/>
    </row>
    <row r="61" spans="1:53" s="334" customFormat="1" x14ac:dyDescent="0.15">
      <c r="A61" s="386">
        <v>1986</v>
      </c>
      <c r="B61" s="355"/>
      <c r="C61" s="812" t="s">
        <v>809</v>
      </c>
      <c r="D61" s="812"/>
      <c r="E61" s="334">
        <v>0</v>
      </c>
      <c r="G61" s="419">
        <v>21</v>
      </c>
      <c r="J61" s="435">
        <v>21</v>
      </c>
      <c r="K61" s="384">
        <f t="shared" si="1"/>
        <v>100</v>
      </c>
      <c r="L61" s="384">
        <f t="shared" si="1"/>
        <v>0</v>
      </c>
      <c r="M61" s="384">
        <f t="shared" si="1"/>
        <v>0</v>
      </c>
      <c r="N61" s="421">
        <f t="shared" si="2"/>
        <v>100</v>
      </c>
      <c r="O61" s="383">
        <v>61.1</v>
      </c>
      <c r="P61" s="384"/>
      <c r="Q61" s="384"/>
      <c r="R61" s="385">
        <f t="shared" si="3"/>
        <v>61.1</v>
      </c>
      <c r="S61" s="334">
        <v>1</v>
      </c>
      <c r="T61" s="357"/>
      <c r="V61" s="343" t="s">
        <v>805</v>
      </c>
      <c r="W61" s="334" t="s">
        <v>74</v>
      </c>
      <c r="X61" s="334" t="s">
        <v>11</v>
      </c>
      <c r="Y61" s="344">
        <v>61.1</v>
      </c>
      <c r="AD61" s="343"/>
      <c r="AG61" s="344"/>
      <c r="AL61" s="343"/>
      <c r="AO61" s="344"/>
      <c r="AP61" s="343"/>
      <c r="AS61" s="344"/>
      <c r="AW61" s="344"/>
      <c r="BA61" s="345"/>
    </row>
    <row r="62" spans="1:53" s="334" customFormat="1" x14ac:dyDescent="0.15">
      <c r="A62" s="386">
        <v>1986</v>
      </c>
      <c r="B62" s="355"/>
      <c r="C62" s="812" t="s">
        <v>809</v>
      </c>
      <c r="D62" s="812"/>
      <c r="E62" s="334">
        <v>365</v>
      </c>
      <c r="G62" s="419">
        <v>21</v>
      </c>
      <c r="J62" s="435">
        <v>21</v>
      </c>
      <c r="K62" s="384">
        <f t="shared" si="1"/>
        <v>100</v>
      </c>
      <c r="L62" s="384">
        <f t="shared" si="1"/>
        <v>0</v>
      </c>
      <c r="M62" s="384">
        <f t="shared" si="1"/>
        <v>0</v>
      </c>
      <c r="N62" s="421">
        <f t="shared" si="2"/>
        <v>100</v>
      </c>
      <c r="O62" s="383">
        <v>61.1</v>
      </c>
      <c r="P62" s="384"/>
      <c r="Q62" s="384"/>
      <c r="R62" s="385">
        <f t="shared" si="3"/>
        <v>61.1</v>
      </c>
      <c r="S62" s="334">
        <v>1</v>
      </c>
      <c r="T62" s="357"/>
      <c r="V62" s="343" t="s">
        <v>805</v>
      </c>
      <c r="W62" s="334" t="s">
        <v>74</v>
      </c>
      <c r="X62" s="334" t="s">
        <v>11</v>
      </c>
      <c r="Y62" s="344">
        <v>61.1</v>
      </c>
      <c r="AD62" s="343"/>
      <c r="AG62" s="344"/>
      <c r="AL62" s="343"/>
      <c r="AO62" s="344"/>
      <c r="AP62" s="343"/>
      <c r="AS62" s="344"/>
      <c r="AW62" s="344"/>
      <c r="BA62" s="345"/>
    </row>
    <row r="63" spans="1:53" s="334" customFormat="1" x14ac:dyDescent="0.15">
      <c r="A63" s="386">
        <v>1987</v>
      </c>
      <c r="B63" s="355"/>
      <c r="C63" s="812" t="s">
        <v>809</v>
      </c>
      <c r="D63" s="812"/>
      <c r="E63" s="334">
        <v>163</v>
      </c>
      <c r="G63" s="419">
        <v>21</v>
      </c>
      <c r="J63" s="435">
        <v>21</v>
      </c>
      <c r="K63" s="384">
        <f t="shared" si="1"/>
        <v>100</v>
      </c>
      <c r="L63" s="384">
        <f t="shared" si="1"/>
        <v>0</v>
      </c>
      <c r="M63" s="384">
        <f t="shared" si="1"/>
        <v>0</v>
      </c>
      <c r="N63" s="421">
        <f t="shared" si="2"/>
        <v>100</v>
      </c>
      <c r="O63" s="383">
        <v>61.1</v>
      </c>
      <c r="P63" s="384"/>
      <c r="Q63" s="384"/>
      <c r="R63" s="385">
        <f t="shared" si="3"/>
        <v>61.1</v>
      </c>
      <c r="S63" s="334">
        <v>1</v>
      </c>
      <c r="T63" s="357"/>
      <c r="V63" s="343" t="s">
        <v>805</v>
      </c>
      <c r="W63" s="334" t="s">
        <v>74</v>
      </c>
      <c r="X63" s="334" t="s">
        <v>11</v>
      </c>
      <c r="Y63" s="344">
        <v>61.1</v>
      </c>
      <c r="AD63" s="343"/>
      <c r="AG63" s="344"/>
      <c r="AL63" s="343"/>
      <c r="AO63" s="344"/>
      <c r="AP63" s="343"/>
      <c r="AS63" s="344"/>
      <c r="AW63" s="344"/>
      <c r="BA63" s="345"/>
    </row>
    <row r="64" spans="1:53" s="208" customFormat="1" x14ac:dyDescent="0.15">
      <c r="A64" s="102">
        <v>1987</v>
      </c>
      <c r="B64" s="207">
        <v>31941</v>
      </c>
      <c r="C64" s="811" t="s">
        <v>810</v>
      </c>
      <c r="D64" s="811"/>
      <c r="E64" s="208">
        <f>365-E63</f>
        <v>202</v>
      </c>
      <c r="F64" s="208">
        <v>1</v>
      </c>
      <c r="G64" s="123">
        <v>21</v>
      </c>
      <c r="J64" s="134">
        <v>21</v>
      </c>
      <c r="K64" s="92">
        <f t="shared" si="1"/>
        <v>100</v>
      </c>
      <c r="L64" s="92">
        <f t="shared" si="1"/>
        <v>0</v>
      </c>
      <c r="M64" s="92">
        <f t="shared" si="1"/>
        <v>0</v>
      </c>
      <c r="N64" s="125">
        <f t="shared" si="2"/>
        <v>100</v>
      </c>
      <c r="O64" s="91">
        <v>57.8</v>
      </c>
      <c r="P64" s="92"/>
      <c r="Q64" s="92"/>
      <c r="R64" s="93">
        <f t="shared" si="3"/>
        <v>57.8</v>
      </c>
      <c r="S64" s="208">
        <v>1</v>
      </c>
      <c r="T64" s="95">
        <v>31939</v>
      </c>
      <c r="U64" s="207">
        <v>31941</v>
      </c>
      <c r="V64" s="82" t="s">
        <v>805</v>
      </c>
      <c r="W64" s="208" t="s">
        <v>74</v>
      </c>
      <c r="X64" s="208" t="s">
        <v>11</v>
      </c>
      <c r="Y64" s="83">
        <v>57.8</v>
      </c>
      <c r="AD64" s="82"/>
      <c r="AG64" s="83"/>
      <c r="AL64" s="82"/>
      <c r="AO64" s="83"/>
      <c r="AP64" s="82"/>
      <c r="AS64" s="83"/>
      <c r="AW64" s="83"/>
      <c r="BA64" s="84"/>
    </row>
    <row r="65" spans="1:53" s="208" customFormat="1" x14ac:dyDescent="0.15">
      <c r="A65" s="102">
        <v>1988</v>
      </c>
      <c r="B65" s="207"/>
      <c r="C65" s="811" t="s">
        <v>810</v>
      </c>
      <c r="D65" s="811"/>
      <c r="E65" s="208">
        <v>0</v>
      </c>
      <c r="G65" s="123">
        <v>21</v>
      </c>
      <c r="J65" s="134">
        <v>21</v>
      </c>
      <c r="K65" s="92">
        <f t="shared" si="1"/>
        <v>100</v>
      </c>
      <c r="L65" s="92">
        <f t="shared" si="1"/>
        <v>0</v>
      </c>
      <c r="M65" s="92">
        <f t="shared" si="1"/>
        <v>0</v>
      </c>
      <c r="N65" s="125">
        <f t="shared" si="2"/>
        <v>100</v>
      </c>
      <c r="O65" s="91">
        <v>57.8</v>
      </c>
      <c r="P65" s="92"/>
      <c r="Q65" s="92"/>
      <c r="R65" s="93">
        <f t="shared" si="3"/>
        <v>57.8</v>
      </c>
      <c r="S65" s="208">
        <v>1</v>
      </c>
      <c r="T65" s="81"/>
      <c r="V65" s="82" t="s">
        <v>805</v>
      </c>
      <c r="W65" s="208" t="s">
        <v>74</v>
      </c>
      <c r="X65" s="208" t="s">
        <v>11</v>
      </c>
      <c r="Y65" s="83">
        <v>57.8</v>
      </c>
      <c r="AD65" s="82"/>
      <c r="AG65" s="83"/>
      <c r="AL65" s="82"/>
      <c r="AO65" s="83"/>
      <c r="AP65" s="82"/>
      <c r="AS65" s="83"/>
      <c r="AW65" s="83"/>
      <c r="BA65" s="84"/>
    </row>
    <row r="66" spans="1:53" s="208" customFormat="1" x14ac:dyDescent="0.15">
      <c r="A66" s="102">
        <v>1988</v>
      </c>
      <c r="B66" s="207"/>
      <c r="C66" s="811" t="s">
        <v>810</v>
      </c>
      <c r="D66" s="811"/>
      <c r="E66" s="208">
        <v>366</v>
      </c>
      <c r="G66" s="123">
        <v>21</v>
      </c>
      <c r="J66" s="134">
        <v>21</v>
      </c>
      <c r="K66" s="92">
        <f t="shared" si="1"/>
        <v>100</v>
      </c>
      <c r="L66" s="92">
        <f t="shared" si="1"/>
        <v>0</v>
      </c>
      <c r="M66" s="92">
        <f t="shared" si="1"/>
        <v>0</v>
      </c>
      <c r="N66" s="125">
        <f t="shared" si="2"/>
        <v>100</v>
      </c>
      <c r="O66" s="91">
        <v>57.8</v>
      </c>
      <c r="P66" s="92"/>
      <c r="Q66" s="92"/>
      <c r="R66" s="93">
        <f t="shared" si="3"/>
        <v>57.8</v>
      </c>
      <c r="S66" s="208">
        <v>1</v>
      </c>
      <c r="T66" s="81"/>
      <c r="V66" s="82" t="s">
        <v>805</v>
      </c>
      <c r="W66" s="208" t="s">
        <v>74</v>
      </c>
      <c r="X66" s="208" t="s">
        <v>11</v>
      </c>
      <c r="Y66" s="83">
        <v>57.8</v>
      </c>
      <c r="AD66" s="82"/>
      <c r="AG66" s="83"/>
      <c r="AL66" s="82"/>
      <c r="AO66" s="83"/>
      <c r="AP66" s="82"/>
      <c r="AS66" s="83"/>
      <c r="AW66" s="83"/>
      <c r="BA66" s="84"/>
    </row>
    <row r="67" spans="1:53" s="208" customFormat="1" x14ac:dyDescent="0.15">
      <c r="A67" s="102">
        <v>1989</v>
      </c>
      <c r="B67" s="207"/>
      <c r="C67" s="811" t="s">
        <v>810</v>
      </c>
      <c r="D67" s="811"/>
      <c r="E67" s="208">
        <v>0</v>
      </c>
      <c r="G67" s="123">
        <v>21</v>
      </c>
      <c r="J67" s="134">
        <v>21</v>
      </c>
      <c r="K67" s="92">
        <f t="shared" si="1"/>
        <v>100</v>
      </c>
      <c r="L67" s="92">
        <f t="shared" si="1"/>
        <v>0</v>
      </c>
      <c r="M67" s="92">
        <f t="shared" si="1"/>
        <v>0</v>
      </c>
      <c r="N67" s="125">
        <f t="shared" si="2"/>
        <v>100</v>
      </c>
      <c r="O67" s="91">
        <v>57.8</v>
      </c>
      <c r="P67" s="92"/>
      <c r="Q67" s="92"/>
      <c r="R67" s="93">
        <f>O67+P67+Q67</f>
        <v>57.8</v>
      </c>
      <c r="S67" s="208">
        <v>1</v>
      </c>
      <c r="T67" s="81"/>
      <c r="V67" s="82" t="s">
        <v>805</v>
      </c>
      <c r="W67" s="208" t="s">
        <v>74</v>
      </c>
      <c r="X67" s="208" t="s">
        <v>11</v>
      </c>
      <c r="Y67" s="83">
        <v>57.8</v>
      </c>
      <c r="AD67" s="82"/>
      <c r="AG67" s="83"/>
      <c r="AL67" s="82"/>
      <c r="AO67" s="83"/>
      <c r="AP67" s="82"/>
      <c r="AS67" s="83"/>
      <c r="AW67" s="83"/>
      <c r="BA67" s="84"/>
    </row>
    <row r="68" spans="1:53" s="212" customFormat="1" x14ac:dyDescent="0.15">
      <c r="A68" s="162">
        <v>1989</v>
      </c>
      <c r="B68" s="210"/>
      <c r="C68" s="845" t="s">
        <v>810</v>
      </c>
      <c r="D68" s="845"/>
      <c r="E68" s="212">
        <f>365-E67</f>
        <v>365</v>
      </c>
      <c r="G68" s="138">
        <v>21</v>
      </c>
      <c r="J68" s="139">
        <v>21</v>
      </c>
      <c r="K68" s="140">
        <f t="shared" si="1"/>
        <v>100</v>
      </c>
      <c r="L68" s="140">
        <f t="shared" si="1"/>
        <v>0</v>
      </c>
      <c r="M68" s="140">
        <f t="shared" si="1"/>
        <v>0</v>
      </c>
      <c r="N68" s="143">
        <f t="shared" si="2"/>
        <v>100</v>
      </c>
      <c r="O68" s="141">
        <v>57.8</v>
      </c>
      <c r="P68" s="140"/>
      <c r="Q68" s="140"/>
      <c r="R68" s="143">
        <f t="shared" si="3"/>
        <v>57.8</v>
      </c>
      <c r="S68" s="221">
        <v>1</v>
      </c>
      <c r="T68" s="221"/>
      <c r="V68" s="146" t="s">
        <v>805</v>
      </c>
      <c r="W68" s="212" t="s">
        <v>74</v>
      </c>
      <c r="X68" s="212" t="s">
        <v>11</v>
      </c>
      <c r="Y68" s="147">
        <v>57.8</v>
      </c>
      <c r="AD68" s="146"/>
      <c r="AG68" s="147"/>
      <c r="AL68" s="146"/>
      <c r="AO68" s="147"/>
      <c r="AP68" s="146"/>
      <c r="AS68" s="147"/>
      <c r="AW68" s="147"/>
      <c r="BA68" s="148"/>
    </row>
    <row r="69" spans="1:53" s="208" customFormat="1" x14ac:dyDescent="0.15">
      <c r="A69" s="208">
        <v>1990</v>
      </c>
      <c r="C69" s="811" t="s">
        <v>810</v>
      </c>
      <c r="D69" s="811"/>
      <c r="E69" s="208">
        <v>332</v>
      </c>
      <c r="G69" s="123">
        <v>21</v>
      </c>
      <c r="J69" s="134">
        <v>21</v>
      </c>
      <c r="K69" s="92">
        <f t="shared" si="1"/>
        <v>100</v>
      </c>
      <c r="L69" s="92">
        <f t="shared" si="1"/>
        <v>0</v>
      </c>
      <c r="M69" s="92">
        <f t="shared" si="1"/>
        <v>0</v>
      </c>
      <c r="N69" s="125">
        <f t="shared" si="2"/>
        <v>100</v>
      </c>
      <c r="O69" s="91">
        <v>57.8</v>
      </c>
      <c r="P69" s="92"/>
      <c r="Q69" s="92"/>
      <c r="R69" s="93">
        <f t="shared" si="3"/>
        <v>57.8</v>
      </c>
      <c r="S69" s="208">
        <v>1</v>
      </c>
      <c r="T69" s="81"/>
      <c r="V69" s="82" t="s">
        <v>805</v>
      </c>
      <c r="W69" s="208" t="s">
        <v>74</v>
      </c>
      <c r="X69" s="208" t="s">
        <v>11</v>
      </c>
      <c r="Y69" s="83">
        <v>57.8</v>
      </c>
      <c r="AD69" s="82"/>
      <c r="AG69" s="83"/>
      <c r="AL69" s="82"/>
      <c r="AO69" s="83"/>
      <c r="AP69" s="82"/>
      <c r="AS69" s="83"/>
      <c r="AW69" s="83"/>
      <c r="BA69" s="84"/>
    </row>
    <row r="70" spans="1:53" s="334" customFormat="1" x14ac:dyDescent="0.15">
      <c r="A70" s="334">
        <v>1990</v>
      </c>
      <c r="B70" s="355">
        <v>33206</v>
      </c>
      <c r="C70" s="812" t="s">
        <v>811</v>
      </c>
      <c r="D70" s="812"/>
      <c r="E70" s="334">
        <f>365-E69</f>
        <v>33</v>
      </c>
      <c r="F70" s="334">
        <v>2</v>
      </c>
      <c r="G70" s="419">
        <v>22</v>
      </c>
      <c r="J70" s="435">
        <v>22</v>
      </c>
      <c r="K70" s="384">
        <f t="shared" si="1"/>
        <v>100</v>
      </c>
      <c r="L70" s="384">
        <f t="shared" si="1"/>
        <v>0</v>
      </c>
      <c r="M70" s="384">
        <f t="shared" si="1"/>
        <v>0</v>
      </c>
      <c r="N70" s="421">
        <f t="shared" si="2"/>
        <v>100</v>
      </c>
      <c r="O70" s="383">
        <v>57.8</v>
      </c>
      <c r="P70" s="384"/>
      <c r="Q70" s="384"/>
      <c r="R70" s="385">
        <f t="shared" si="3"/>
        <v>57.8</v>
      </c>
      <c r="S70" s="334">
        <v>1</v>
      </c>
      <c r="T70" s="357"/>
      <c r="U70" s="355">
        <v>33206</v>
      </c>
      <c r="V70" s="343" t="s">
        <v>805</v>
      </c>
      <c r="W70" s="334" t="s">
        <v>74</v>
      </c>
      <c r="X70" s="334" t="s">
        <v>11</v>
      </c>
      <c r="Y70" s="344">
        <v>57.8</v>
      </c>
      <c r="AD70" s="343"/>
      <c r="AG70" s="344"/>
      <c r="AL70" s="343"/>
      <c r="AO70" s="344"/>
      <c r="AP70" s="343"/>
      <c r="AS70" s="344"/>
      <c r="AW70" s="344"/>
      <c r="BA70" s="345"/>
    </row>
    <row r="71" spans="1:53" s="334" customFormat="1" x14ac:dyDescent="0.15">
      <c r="A71" s="334">
        <v>1991</v>
      </c>
      <c r="C71" s="812" t="s">
        <v>811</v>
      </c>
      <c r="D71" s="812"/>
      <c r="E71" s="334">
        <v>0</v>
      </c>
      <c r="G71" s="419">
        <v>22</v>
      </c>
      <c r="J71" s="435">
        <v>22</v>
      </c>
      <c r="K71" s="384">
        <f t="shared" si="1"/>
        <v>100</v>
      </c>
      <c r="L71" s="384">
        <f t="shared" si="1"/>
        <v>0</v>
      </c>
      <c r="M71" s="384">
        <f t="shared" si="1"/>
        <v>0</v>
      </c>
      <c r="N71" s="421">
        <f t="shared" si="2"/>
        <v>100</v>
      </c>
      <c r="O71" s="383">
        <v>57.8</v>
      </c>
      <c r="P71" s="384"/>
      <c r="Q71" s="384"/>
      <c r="R71" s="385">
        <f t="shared" si="3"/>
        <v>57.8</v>
      </c>
      <c r="S71" s="334">
        <v>1</v>
      </c>
      <c r="T71" s="357"/>
      <c r="V71" s="343" t="s">
        <v>805</v>
      </c>
      <c r="W71" s="334" t="s">
        <v>74</v>
      </c>
      <c r="X71" s="334" t="s">
        <v>11</v>
      </c>
      <c r="Y71" s="344">
        <v>57.8</v>
      </c>
      <c r="AD71" s="343"/>
      <c r="AG71" s="344"/>
      <c r="AL71" s="343"/>
      <c r="AO71" s="344"/>
      <c r="AP71" s="343"/>
      <c r="AS71" s="344"/>
      <c r="AW71" s="344"/>
      <c r="BA71" s="345"/>
    </row>
    <row r="72" spans="1:53" s="334" customFormat="1" x14ac:dyDescent="0.15">
      <c r="A72" s="334">
        <v>1991</v>
      </c>
      <c r="C72" s="812" t="s">
        <v>811</v>
      </c>
      <c r="D72" s="812"/>
      <c r="E72" s="334">
        <f>365-E71</f>
        <v>365</v>
      </c>
      <c r="G72" s="419">
        <v>22</v>
      </c>
      <c r="J72" s="435">
        <v>22</v>
      </c>
      <c r="K72" s="384">
        <f t="shared" si="1"/>
        <v>100</v>
      </c>
      <c r="L72" s="384">
        <f t="shared" si="1"/>
        <v>0</v>
      </c>
      <c r="M72" s="384">
        <f t="shared" si="1"/>
        <v>0</v>
      </c>
      <c r="N72" s="421">
        <f t="shared" si="2"/>
        <v>100</v>
      </c>
      <c r="O72" s="383">
        <v>57.8</v>
      </c>
      <c r="P72" s="384"/>
      <c r="Q72" s="384"/>
      <c r="R72" s="385">
        <f t="shared" si="3"/>
        <v>57.8</v>
      </c>
      <c r="S72" s="334">
        <v>1</v>
      </c>
      <c r="T72" s="357"/>
      <c r="V72" s="343" t="s">
        <v>805</v>
      </c>
      <c r="W72" s="334" t="s">
        <v>74</v>
      </c>
      <c r="X72" s="334" t="s">
        <v>11</v>
      </c>
      <c r="Y72" s="344">
        <v>57.8</v>
      </c>
      <c r="AD72" s="343"/>
      <c r="AG72" s="344"/>
      <c r="AL72" s="343"/>
      <c r="AO72" s="344"/>
      <c r="AP72" s="343"/>
      <c r="AS72" s="344"/>
      <c r="AW72" s="344"/>
      <c r="BA72" s="345"/>
    </row>
    <row r="73" spans="1:53" s="334" customFormat="1" x14ac:dyDescent="0.15">
      <c r="A73" s="334">
        <v>1992</v>
      </c>
      <c r="C73" s="812" t="s">
        <v>811</v>
      </c>
      <c r="D73" s="812"/>
      <c r="E73" s="334">
        <v>101</v>
      </c>
      <c r="G73" s="419">
        <v>22</v>
      </c>
      <c r="J73" s="435">
        <v>22</v>
      </c>
      <c r="K73" s="384">
        <f t="shared" ref="K73:M101" si="4">G73/$J73*100</f>
        <v>100</v>
      </c>
      <c r="L73" s="384">
        <f t="shared" si="4"/>
        <v>0</v>
      </c>
      <c r="M73" s="384">
        <f t="shared" si="4"/>
        <v>0</v>
      </c>
      <c r="N73" s="421">
        <f t="shared" ref="N73:N101" si="5">K73+L73+M73</f>
        <v>100</v>
      </c>
      <c r="O73" s="383">
        <v>57.8</v>
      </c>
      <c r="P73" s="384"/>
      <c r="Q73" s="384"/>
      <c r="R73" s="385">
        <f t="shared" ref="R73:R83" si="6">O73+P73+Q73</f>
        <v>57.8</v>
      </c>
      <c r="S73" s="334">
        <v>1</v>
      </c>
      <c r="T73" s="357"/>
      <c r="V73" s="343" t="s">
        <v>805</v>
      </c>
      <c r="W73" s="334" t="s">
        <v>74</v>
      </c>
      <c r="X73" s="334" t="s">
        <v>11</v>
      </c>
      <c r="Y73" s="344">
        <v>57.8</v>
      </c>
      <c r="AD73" s="343"/>
      <c r="AG73" s="344"/>
      <c r="AL73" s="343"/>
      <c r="AO73" s="344"/>
      <c r="AP73" s="343"/>
      <c r="AS73" s="344"/>
      <c r="AW73" s="344"/>
      <c r="BA73" s="345"/>
    </row>
    <row r="74" spans="1:53" s="208" customFormat="1" x14ac:dyDescent="0.15">
      <c r="A74" s="208">
        <v>1992</v>
      </c>
      <c r="B74" s="207">
        <v>33705</v>
      </c>
      <c r="C74" s="811" t="s">
        <v>812</v>
      </c>
      <c r="D74" s="811"/>
      <c r="E74" s="208">
        <f>366-E73</f>
        <v>265</v>
      </c>
      <c r="F74" s="208">
        <v>1</v>
      </c>
      <c r="G74" s="123">
        <v>22</v>
      </c>
      <c r="J74" s="134">
        <v>22</v>
      </c>
      <c r="K74" s="92">
        <f t="shared" si="4"/>
        <v>100</v>
      </c>
      <c r="L74" s="92">
        <f t="shared" si="4"/>
        <v>0</v>
      </c>
      <c r="M74" s="92">
        <f t="shared" si="4"/>
        <v>0</v>
      </c>
      <c r="N74" s="125">
        <f t="shared" si="5"/>
        <v>100</v>
      </c>
      <c r="O74" s="91">
        <v>51.6</v>
      </c>
      <c r="P74" s="92"/>
      <c r="Q74" s="92"/>
      <c r="R74" s="93">
        <f t="shared" si="6"/>
        <v>51.6</v>
      </c>
      <c r="S74" s="208">
        <v>1</v>
      </c>
      <c r="T74" s="95">
        <v>33703</v>
      </c>
      <c r="U74" s="207">
        <v>33705</v>
      </c>
      <c r="V74" s="82" t="s">
        <v>805</v>
      </c>
      <c r="W74" s="208" t="s">
        <v>74</v>
      </c>
      <c r="X74" s="208" t="s">
        <v>11</v>
      </c>
      <c r="Y74" s="83">
        <v>51.6</v>
      </c>
      <c r="AD74" s="82"/>
      <c r="AG74" s="83"/>
      <c r="AL74" s="82"/>
      <c r="AO74" s="83"/>
      <c r="AP74" s="82"/>
      <c r="AS74" s="83"/>
      <c r="AW74" s="83"/>
      <c r="BA74" s="84"/>
    </row>
    <row r="75" spans="1:53" s="208" customFormat="1" x14ac:dyDescent="0.15">
      <c r="A75" s="208">
        <v>1993</v>
      </c>
      <c r="C75" s="811" t="s">
        <v>812</v>
      </c>
      <c r="D75" s="811"/>
      <c r="E75" s="208">
        <v>0</v>
      </c>
      <c r="G75" s="123">
        <v>22</v>
      </c>
      <c r="J75" s="134">
        <v>22</v>
      </c>
      <c r="K75" s="92">
        <f t="shared" si="4"/>
        <v>100</v>
      </c>
      <c r="L75" s="92">
        <f t="shared" si="4"/>
        <v>0</v>
      </c>
      <c r="M75" s="92">
        <f t="shared" si="4"/>
        <v>0</v>
      </c>
      <c r="N75" s="125">
        <f t="shared" si="5"/>
        <v>100</v>
      </c>
      <c r="O75" s="91">
        <v>51.6</v>
      </c>
      <c r="P75" s="92"/>
      <c r="Q75" s="92"/>
      <c r="R75" s="93">
        <f t="shared" si="6"/>
        <v>51.6</v>
      </c>
      <c r="S75" s="208">
        <v>1</v>
      </c>
      <c r="T75" s="81"/>
      <c r="V75" s="82" t="s">
        <v>805</v>
      </c>
      <c r="W75" s="208" t="s">
        <v>74</v>
      </c>
      <c r="X75" s="208" t="s">
        <v>11</v>
      </c>
      <c r="Y75" s="83">
        <v>51.6</v>
      </c>
      <c r="AD75" s="82"/>
      <c r="AG75" s="83"/>
      <c r="AL75" s="82"/>
      <c r="AO75" s="83"/>
      <c r="AP75" s="82"/>
      <c r="AS75" s="83"/>
      <c r="AW75" s="83"/>
      <c r="BA75" s="84"/>
    </row>
    <row r="76" spans="1:53" s="208" customFormat="1" x14ac:dyDescent="0.15">
      <c r="A76" s="208">
        <v>1993</v>
      </c>
      <c r="C76" s="811" t="s">
        <v>812</v>
      </c>
      <c r="D76" s="811"/>
      <c r="E76" s="208">
        <f>365-E75</f>
        <v>365</v>
      </c>
      <c r="G76" s="123">
        <v>22</v>
      </c>
      <c r="J76" s="134">
        <v>22</v>
      </c>
      <c r="K76" s="92">
        <f t="shared" si="4"/>
        <v>100</v>
      </c>
      <c r="L76" s="92">
        <f t="shared" si="4"/>
        <v>0</v>
      </c>
      <c r="M76" s="92">
        <f t="shared" si="4"/>
        <v>0</v>
      </c>
      <c r="N76" s="125">
        <f t="shared" si="5"/>
        <v>100</v>
      </c>
      <c r="O76" s="91">
        <v>51.6</v>
      </c>
      <c r="P76" s="92"/>
      <c r="Q76" s="92"/>
      <c r="R76" s="93">
        <f t="shared" si="6"/>
        <v>51.6</v>
      </c>
      <c r="S76" s="208">
        <v>1</v>
      </c>
      <c r="T76" s="81"/>
      <c r="V76" s="82" t="s">
        <v>805</v>
      </c>
      <c r="W76" s="208" t="s">
        <v>74</v>
      </c>
      <c r="X76" s="208" t="s">
        <v>11</v>
      </c>
      <c r="Y76" s="83">
        <v>51.6</v>
      </c>
      <c r="AD76" s="82"/>
      <c r="AG76" s="83"/>
      <c r="AL76" s="82"/>
      <c r="AO76" s="83"/>
      <c r="AP76" s="82"/>
      <c r="AS76" s="83"/>
      <c r="AW76" s="83"/>
      <c r="BA76" s="84"/>
    </row>
    <row r="77" spans="1:53" s="208" customFormat="1" x14ac:dyDescent="0.15">
      <c r="A77" s="208">
        <v>1994</v>
      </c>
      <c r="C77" s="811" t="s">
        <v>812</v>
      </c>
      <c r="D77" s="811"/>
      <c r="E77" s="208">
        <v>0</v>
      </c>
      <c r="G77" s="123">
        <v>22</v>
      </c>
      <c r="J77" s="134">
        <v>22</v>
      </c>
      <c r="K77" s="92">
        <f t="shared" si="4"/>
        <v>100</v>
      </c>
      <c r="L77" s="92">
        <f t="shared" si="4"/>
        <v>0</v>
      </c>
      <c r="M77" s="92">
        <f t="shared" si="4"/>
        <v>0</v>
      </c>
      <c r="N77" s="125">
        <f t="shared" si="5"/>
        <v>100</v>
      </c>
      <c r="O77" s="91">
        <v>51.6</v>
      </c>
      <c r="P77" s="92"/>
      <c r="Q77" s="92"/>
      <c r="R77" s="93">
        <f t="shared" si="6"/>
        <v>51.6</v>
      </c>
      <c r="S77" s="208">
        <v>1</v>
      </c>
      <c r="T77" s="81"/>
      <c r="V77" s="82" t="s">
        <v>805</v>
      </c>
      <c r="W77" s="208" t="s">
        <v>74</v>
      </c>
      <c r="X77" s="208" t="s">
        <v>11</v>
      </c>
      <c r="Y77" s="83">
        <v>51.6</v>
      </c>
      <c r="AD77" s="82"/>
      <c r="AG77" s="83"/>
      <c r="AL77" s="82"/>
      <c r="AO77" s="83"/>
      <c r="AP77" s="82"/>
      <c r="AS77" s="83"/>
      <c r="AW77" s="83"/>
      <c r="BA77" s="84"/>
    </row>
    <row r="78" spans="1:53" s="208" customFormat="1" x14ac:dyDescent="0.15">
      <c r="A78" s="208">
        <v>1994</v>
      </c>
      <c r="C78" s="811" t="s">
        <v>812</v>
      </c>
      <c r="D78" s="811"/>
      <c r="E78" s="208">
        <f>365-E77</f>
        <v>365</v>
      </c>
      <c r="G78" s="123">
        <v>22</v>
      </c>
      <c r="J78" s="134">
        <v>22</v>
      </c>
      <c r="K78" s="92">
        <f t="shared" si="4"/>
        <v>100</v>
      </c>
      <c r="L78" s="92">
        <f t="shared" si="4"/>
        <v>0</v>
      </c>
      <c r="M78" s="92">
        <f t="shared" si="4"/>
        <v>0</v>
      </c>
      <c r="N78" s="125">
        <f t="shared" si="5"/>
        <v>100</v>
      </c>
      <c r="O78" s="91">
        <v>51.6</v>
      </c>
      <c r="P78" s="92"/>
      <c r="Q78" s="92"/>
      <c r="R78" s="93">
        <f t="shared" si="6"/>
        <v>51.6</v>
      </c>
      <c r="S78" s="208">
        <v>1</v>
      </c>
      <c r="T78" s="81"/>
      <c r="V78" s="82" t="s">
        <v>805</v>
      </c>
      <c r="W78" s="208" t="s">
        <v>74</v>
      </c>
      <c r="X78" s="208" t="s">
        <v>11</v>
      </c>
      <c r="Y78" s="83">
        <v>51.6</v>
      </c>
      <c r="AD78" s="82"/>
      <c r="AG78" s="83"/>
      <c r="AL78" s="82"/>
      <c r="AO78" s="83"/>
      <c r="AP78" s="82"/>
      <c r="AS78" s="83"/>
      <c r="AW78" s="83"/>
      <c r="BA78" s="84"/>
    </row>
    <row r="79" spans="1:53" s="208" customFormat="1" x14ac:dyDescent="0.15">
      <c r="A79" s="208">
        <v>1995</v>
      </c>
      <c r="C79" s="811" t="s">
        <v>812</v>
      </c>
      <c r="D79" s="811"/>
      <c r="E79" s="208">
        <v>0</v>
      </c>
      <c r="G79" s="123">
        <v>22</v>
      </c>
      <c r="J79" s="134">
        <v>22</v>
      </c>
      <c r="K79" s="92">
        <f t="shared" si="4"/>
        <v>100</v>
      </c>
      <c r="L79" s="92">
        <f t="shared" si="4"/>
        <v>0</v>
      </c>
      <c r="M79" s="92">
        <f t="shared" si="4"/>
        <v>0</v>
      </c>
      <c r="N79" s="125">
        <f t="shared" si="5"/>
        <v>100</v>
      </c>
      <c r="O79" s="91">
        <v>51.6</v>
      </c>
      <c r="P79" s="92"/>
      <c r="Q79" s="92"/>
      <c r="R79" s="93">
        <f t="shared" si="6"/>
        <v>51.6</v>
      </c>
      <c r="S79" s="208">
        <v>1</v>
      </c>
      <c r="T79" s="81"/>
      <c r="V79" s="82" t="s">
        <v>805</v>
      </c>
      <c r="W79" s="208" t="s">
        <v>74</v>
      </c>
      <c r="X79" s="208" t="s">
        <v>11</v>
      </c>
      <c r="Y79" s="83">
        <v>51.6</v>
      </c>
      <c r="AD79" s="82"/>
      <c r="AG79" s="83"/>
      <c r="AL79" s="82"/>
      <c r="AO79" s="83"/>
      <c r="AP79" s="82"/>
      <c r="AS79" s="83"/>
      <c r="AW79" s="83"/>
      <c r="BA79" s="84"/>
    </row>
    <row r="80" spans="1:53" s="208" customFormat="1" x14ac:dyDescent="0.15">
      <c r="A80" s="208">
        <v>1995</v>
      </c>
      <c r="C80" s="811" t="s">
        <v>812</v>
      </c>
      <c r="D80" s="811"/>
      <c r="E80" s="208">
        <f>365-E79</f>
        <v>365</v>
      </c>
      <c r="G80" s="123">
        <v>22</v>
      </c>
      <c r="J80" s="134">
        <v>22</v>
      </c>
      <c r="K80" s="92">
        <f t="shared" si="4"/>
        <v>100</v>
      </c>
      <c r="L80" s="92">
        <f t="shared" si="4"/>
        <v>0</v>
      </c>
      <c r="M80" s="92">
        <f t="shared" si="4"/>
        <v>0</v>
      </c>
      <c r="N80" s="125">
        <f t="shared" si="5"/>
        <v>100</v>
      </c>
      <c r="O80" s="91">
        <v>51.6</v>
      </c>
      <c r="P80" s="92"/>
      <c r="Q80" s="92"/>
      <c r="R80" s="93">
        <f t="shared" si="6"/>
        <v>51.6</v>
      </c>
      <c r="S80" s="208">
        <v>1</v>
      </c>
      <c r="T80" s="81"/>
      <c r="V80" s="82" t="s">
        <v>805</v>
      </c>
      <c r="W80" s="208" t="s">
        <v>74</v>
      </c>
      <c r="X80" s="208" t="s">
        <v>11</v>
      </c>
      <c r="Y80" s="83">
        <v>51.6</v>
      </c>
      <c r="AD80" s="82"/>
      <c r="AG80" s="83"/>
      <c r="AL80" s="82"/>
      <c r="AO80" s="83"/>
      <c r="AP80" s="82"/>
      <c r="AS80" s="83"/>
      <c r="AW80" s="83"/>
      <c r="BA80" s="84"/>
    </row>
    <row r="81" spans="1:53" s="208" customFormat="1" x14ac:dyDescent="0.15">
      <c r="A81" s="208">
        <v>1996</v>
      </c>
      <c r="C81" s="811" t="s">
        <v>812</v>
      </c>
      <c r="D81" s="811"/>
      <c r="E81" s="208">
        <v>0</v>
      </c>
      <c r="G81" s="123">
        <v>23</v>
      </c>
      <c r="J81" s="134">
        <v>23</v>
      </c>
      <c r="K81" s="92">
        <f t="shared" si="4"/>
        <v>100</v>
      </c>
      <c r="L81" s="92">
        <f t="shared" si="4"/>
        <v>0</v>
      </c>
      <c r="M81" s="92">
        <f t="shared" si="4"/>
        <v>0</v>
      </c>
      <c r="N81" s="125">
        <f t="shared" si="5"/>
        <v>100</v>
      </c>
      <c r="O81" s="91">
        <v>51.6</v>
      </c>
      <c r="P81" s="92"/>
      <c r="Q81" s="92"/>
      <c r="R81" s="93">
        <f t="shared" si="6"/>
        <v>51.6</v>
      </c>
      <c r="S81" s="208">
        <v>1</v>
      </c>
      <c r="T81" s="81"/>
      <c r="V81" s="82" t="s">
        <v>805</v>
      </c>
      <c r="W81" s="208" t="s">
        <v>74</v>
      </c>
      <c r="X81" s="208" t="s">
        <v>11</v>
      </c>
      <c r="Y81" s="83">
        <v>51.6</v>
      </c>
      <c r="AD81" s="82"/>
      <c r="AG81" s="83"/>
      <c r="AL81" s="82"/>
      <c r="AO81" s="83"/>
      <c r="AP81" s="82"/>
      <c r="AS81" s="83"/>
      <c r="AW81" s="83"/>
      <c r="BA81" s="84"/>
    </row>
    <row r="82" spans="1:53" s="208" customFormat="1" x14ac:dyDescent="0.15">
      <c r="A82" s="208">
        <v>1996</v>
      </c>
      <c r="C82" s="811" t="s">
        <v>812</v>
      </c>
      <c r="D82" s="811"/>
      <c r="E82" s="208">
        <f>366-E81</f>
        <v>366</v>
      </c>
      <c r="G82" s="123">
        <v>23</v>
      </c>
      <c r="J82" s="134">
        <v>23</v>
      </c>
      <c r="K82" s="92">
        <f t="shared" si="4"/>
        <v>100</v>
      </c>
      <c r="L82" s="92">
        <f t="shared" si="4"/>
        <v>0</v>
      </c>
      <c r="M82" s="92">
        <f t="shared" si="4"/>
        <v>0</v>
      </c>
      <c r="N82" s="125">
        <f t="shared" si="5"/>
        <v>100</v>
      </c>
      <c r="O82" s="91">
        <v>51.6</v>
      </c>
      <c r="P82" s="92"/>
      <c r="Q82" s="92"/>
      <c r="R82" s="93">
        <f t="shared" si="6"/>
        <v>51.6</v>
      </c>
      <c r="S82" s="208">
        <v>1</v>
      </c>
      <c r="T82" s="81"/>
      <c r="V82" s="82" t="s">
        <v>805</v>
      </c>
      <c r="W82" s="208" t="s">
        <v>74</v>
      </c>
      <c r="X82" s="208" t="s">
        <v>11</v>
      </c>
      <c r="Y82" s="83">
        <v>51.6</v>
      </c>
      <c r="AD82" s="82"/>
      <c r="AG82" s="83"/>
      <c r="AL82" s="82"/>
      <c r="AO82" s="83"/>
      <c r="AP82" s="82"/>
      <c r="AS82" s="83"/>
      <c r="AW82" s="83"/>
      <c r="BA82" s="84"/>
    </row>
    <row r="83" spans="1:53" s="208" customFormat="1" x14ac:dyDescent="0.15">
      <c r="A83" s="208">
        <v>1997</v>
      </c>
      <c r="C83" s="811" t="s">
        <v>812</v>
      </c>
      <c r="D83" s="811"/>
      <c r="E83" s="208">
        <v>121</v>
      </c>
      <c r="G83" s="123">
        <v>23</v>
      </c>
      <c r="J83" s="134">
        <v>23</v>
      </c>
      <c r="K83" s="92">
        <f t="shared" si="4"/>
        <v>100</v>
      </c>
      <c r="L83" s="92">
        <f t="shared" si="4"/>
        <v>0</v>
      </c>
      <c r="M83" s="92">
        <f t="shared" si="4"/>
        <v>0</v>
      </c>
      <c r="N83" s="125">
        <f t="shared" si="5"/>
        <v>100</v>
      </c>
      <c r="O83" s="91">
        <v>51.6</v>
      </c>
      <c r="P83" s="92"/>
      <c r="Q83" s="92"/>
      <c r="R83" s="93">
        <f t="shared" si="6"/>
        <v>51.6</v>
      </c>
      <c r="S83" s="208">
        <v>1</v>
      </c>
      <c r="T83" s="81"/>
      <c r="V83" s="82" t="s">
        <v>805</v>
      </c>
      <c r="W83" s="208" t="s">
        <v>74</v>
      </c>
      <c r="X83" s="208" t="s">
        <v>11</v>
      </c>
      <c r="Y83" s="83">
        <v>51.6</v>
      </c>
      <c r="AD83" s="82"/>
      <c r="AG83" s="83"/>
      <c r="AL83" s="82"/>
      <c r="AO83" s="83"/>
      <c r="AP83" s="82"/>
      <c r="AS83" s="83"/>
      <c r="AW83" s="83"/>
      <c r="BA83" s="84"/>
    </row>
    <row r="84" spans="1:53" s="334" customFormat="1" x14ac:dyDescent="0.15">
      <c r="A84" s="334">
        <v>1997</v>
      </c>
      <c r="B84" s="355">
        <v>35552</v>
      </c>
      <c r="C84" s="812" t="s">
        <v>801</v>
      </c>
      <c r="D84" s="812"/>
      <c r="E84" s="334">
        <f>365-E83</f>
        <v>244</v>
      </c>
      <c r="F84" s="334">
        <v>1</v>
      </c>
      <c r="G84" s="419"/>
      <c r="I84" s="334">
        <v>22</v>
      </c>
      <c r="J84" s="435">
        <v>22</v>
      </c>
      <c r="K84" s="384">
        <f t="shared" si="4"/>
        <v>0</v>
      </c>
      <c r="L84" s="384">
        <f t="shared" si="4"/>
        <v>0</v>
      </c>
      <c r="M84" s="384">
        <f t="shared" si="4"/>
        <v>100</v>
      </c>
      <c r="N84" s="421">
        <f t="shared" si="5"/>
        <v>100</v>
      </c>
      <c r="O84" s="383"/>
      <c r="P84" s="384"/>
      <c r="Q84" s="384">
        <v>63.6</v>
      </c>
      <c r="R84" s="385">
        <f>O84+P84+Q84</f>
        <v>63.6</v>
      </c>
      <c r="S84" s="334">
        <v>1</v>
      </c>
      <c r="T84" s="342">
        <v>35551</v>
      </c>
      <c r="U84" s="355">
        <v>35552</v>
      </c>
      <c r="V84" s="343" t="s">
        <v>464</v>
      </c>
      <c r="W84" s="334" t="s">
        <v>20</v>
      </c>
      <c r="X84" s="334" t="s">
        <v>12</v>
      </c>
      <c r="Y84" s="344">
        <v>63.6</v>
      </c>
      <c r="AD84" s="343"/>
      <c r="AG84" s="344"/>
      <c r="AL84" s="343"/>
      <c r="AO84" s="344"/>
      <c r="AP84" s="343"/>
      <c r="AS84" s="344"/>
      <c r="AW84" s="344"/>
      <c r="BA84" s="345"/>
    </row>
    <row r="85" spans="1:53" s="334" customFormat="1" x14ac:dyDescent="0.15">
      <c r="A85" s="334">
        <v>1998</v>
      </c>
      <c r="C85" s="812" t="s">
        <v>801</v>
      </c>
      <c r="D85" s="812"/>
      <c r="E85" s="334">
        <v>0</v>
      </c>
      <c r="G85" s="419"/>
      <c r="I85" s="334">
        <v>22</v>
      </c>
      <c r="J85" s="435">
        <v>22</v>
      </c>
      <c r="K85" s="384">
        <f t="shared" si="4"/>
        <v>0</v>
      </c>
      <c r="L85" s="384">
        <f t="shared" si="4"/>
        <v>0</v>
      </c>
      <c r="M85" s="384">
        <f t="shared" si="4"/>
        <v>100</v>
      </c>
      <c r="N85" s="421">
        <f t="shared" si="5"/>
        <v>100</v>
      </c>
      <c r="O85" s="383"/>
      <c r="P85" s="384"/>
      <c r="Q85" s="384">
        <v>63.6</v>
      </c>
      <c r="R85" s="385">
        <f t="shared" ref="R85:R101" si="7">O85+P85+Q85</f>
        <v>63.6</v>
      </c>
      <c r="S85" s="334">
        <v>1</v>
      </c>
      <c r="T85" s="357"/>
      <c r="V85" s="343" t="s">
        <v>464</v>
      </c>
      <c r="W85" s="334" t="s">
        <v>20</v>
      </c>
      <c r="X85" s="334" t="s">
        <v>12</v>
      </c>
      <c r="Y85" s="344">
        <v>63.6</v>
      </c>
      <c r="AD85" s="343"/>
      <c r="AG85" s="344"/>
      <c r="AL85" s="343"/>
      <c r="AO85" s="344"/>
      <c r="AP85" s="343"/>
      <c r="AS85" s="344"/>
      <c r="AW85" s="344"/>
      <c r="BA85" s="345"/>
    </row>
    <row r="86" spans="1:53" s="334" customFormat="1" x14ac:dyDescent="0.15">
      <c r="A86" s="334">
        <v>1998</v>
      </c>
      <c r="C86" s="812" t="s">
        <v>801</v>
      </c>
      <c r="D86" s="812"/>
      <c r="E86" s="334">
        <f>365-E85</f>
        <v>365</v>
      </c>
      <c r="G86" s="419"/>
      <c r="I86" s="334">
        <v>22</v>
      </c>
      <c r="J86" s="435">
        <v>22</v>
      </c>
      <c r="K86" s="384">
        <f t="shared" si="4"/>
        <v>0</v>
      </c>
      <c r="L86" s="384">
        <f t="shared" si="4"/>
        <v>0</v>
      </c>
      <c r="M86" s="384">
        <f t="shared" si="4"/>
        <v>100</v>
      </c>
      <c r="N86" s="421">
        <f t="shared" si="5"/>
        <v>100</v>
      </c>
      <c r="O86" s="383"/>
      <c r="P86" s="384"/>
      <c r="Q86" s="384">
        <v>63.6</v>
      </c>
      <c r="R86" s="385">
        <f t="shared" si="7"/>
        <v>63.6</v>
      </c>
      <c r="S86" s="334">
        <v>1</v>
      </c>
      <c r="T86" s="357"/>
      <c r="V86" s="343" t="s">
        <v>464</v>
      </c>
      <c r="W86" s="334" t="s">
        <v>20</v>
      </c>
      <c r="X86" s="334" t="s">
        <v>12</v>
      </c>
      <c r="Y86" s="344">
        <v>63.6</v>
      </c>
      <c r="AD86" s="343"/>
      <c r="AG86" s="344"/>
      <c r="AL86" s="343"/>
      <c r="AO86" s="344"/>
      <c r="AP86" s="343"/>
      <c r="AS86" s="344"/>
      <c r="AW86" s="344"/>
      <c r="BA86" s="345"/>
    </row>
    <row r="87" spans="1:53" s="334" customFormat="1" x14ac:dyDescent="0.15">
      <c r="A87" s="334">
        <v>1999</v>
      </c>
      <c r="C87" s="812" t="s">
        <v>801</v>
      </c>
      <c r="D87" s="812"/>
      <c r="E87" s="334">
        <v>0</v>
      </c>
      <c r="G87" s="419"/>
      <c r="I87" s="334">
        <v>22</v>
      </c>
      <c r="J87" s="435">
        <v>22</v>
      </c>
      <c r="K87" s="384">
        <f t="shared" si="4"/>
        <v>0</v>
      </c>
      <c r="L87" s="384">
        <f t="shared" si="4"/>
        <v>0</v>
      </c>
      <c r="M87" s="384">
        <f t="shared" si="4"/>
        <v>100</v>
      </c>
      <c r="N87" s="421">
        <f t="shared" si="5"/>
        <v>100</v>
      </c>
      <c r="O87" s="383"/>
      <c r="P87" s="384"/>
      <c r="Q87" s="384">
        <v>63.6</v>
      </c>
      <c r="R87" s="385">
        <f t="shared" si="7"/>
        <v>63.6</v>
      </c>
      <c r="S87" s="334">
        <v>1</v>
      </c>
      <c r="T87" s="357"/>
      <c r="V87" s="343" t="s">
        <v>464</v>
      </c>
      <c r="W87" s="334" t="s">
        <v>20</v>
      </c>
      <c r="X87" s="334" t="s">
        <v>12</v>
      </c>
      <c r="Y87" s="344">
        <v>63.6</v>
      </c>
      <c r="AD87" s="343"/>
      <c r="AG87" s="344"/>
      <c r="AL87" s="343"/>
      <c r="AO87" s="344"/>
      <c r="AP87" s="343"/>
      <c r="AS87" s="344"/>
      <c r="AW87" s="344"/>
      <c r="BA87" s="345"/>
    </row>
    <row r="88" spans="1:53" s="334" customFormat="1" x14ac:dyDescent="0.15">
      <c r="A88" s="334">
        <v>1999</v>
      </c>
      <c r="C88" s="812" t="s">
        <v>801</v>
      </c>
      <c r="D88" s="812"/>
      <c r="E88" s="334">
        <f>365-E87</f>
        <v>365</v>
      </c>
      <c r="G88" s="419"/>
      <c r="I88" s="334">
        <v>22</v>
      </c>
      <c r="J88" s="435">
        <v>22</v>
      </c>
      <c r="K88" s="384">
        <f t="shared" si="4"/>
        <v>0</v>
      </c>
      <c r="L88" s="384">
        <f t="shared" si="4"/>
        <v>0</v>
      </c>
      <c r="M88" s="384">
        <f t="shared" si="4"/>
        <v>100</v>
      </c>
      <c r="N88" s="421">
        <f t="shared" si="5"/>
        <v>100</v>
      </c>
      <c r="O88" s="383"/>
      <c r="P88" s="384"/>
      <c r="Q88" s="384">
        <v>63.6</v>
      </c>
      <c r="R88" s="385">
        <f t="shared" si="7"/>
        <v>63.6</v>
      </c>
      <c r="S88" s="334">
        <v>1</v>
      </c>
      <c r="T88" s="357"/>
      <c r="V88" s="343" t="s">
        <v>464</v>
      </c>
      <c r="W88" s="334" t="s">
        <v>20</v>
      </c>
      <c r="X88" s="334" t="s">
        <v>12</v>
      </c>
      <c r="Y88" s="344">
        <v>63.6</v>
      </c>
      <c r="AD88" s="343"/>
      <c r="AG88" s="344"/>
      <c r="AL88" s="343"/>
      <c r="AO88" s="344"/>
      <c r="AP88" s="343"/>
      <c r="AS88" s="344"/>
      <c r="AW88" s="344"/>
      <c r="BA88" s="345"/>
    </row>
    <row r="89" spans="1:53" s="334" customFormat="1" x14ac:dyDescent="0.15">
      <c r="A89" s="334">
        <v>2000</v>
      </c>
      <c r="C89" s="812" t="s">
        <v>801</v>
      </c>
      <c r="D89" s="812"/>
      <c r="E89" s="334">
        <v>0</v>
      </c>
      <c r="G89" s="419"/>
      <c r="I89" s="334">
        <v>22</v>
      </c>
      <c r="J89" s="435">
        <v>22</v>
      </c>
      <c r="K89" s="384">
        <f t="shared" si="4"/>
        <v>0</v>
      </c>
      <c r="L89" s="384">
        <f t="shared" si="4"/>
        <v>0</v>
      </c>
      <c r="M89" s="384">
        <f t="shared" si="4"/>
        <v>100</v>
      </c>
      <c r="N89" s="421">
        <f t="shared" si="5"/>
        <v>100</v>
      </c>
      <c r="O89" s="383"/>
      <c r="P89" s="384"/>
      <c r="Q89" s="384">
        <v>63.6</v>
      </c>
      <c r="R89" s="385">
        <f t="shared" si="7"/>
        <v>63.6</v>
      </c>
      <c r="S89" s="334">
        <v>1</v>
      </c>
      <c r="T89" s="357"/>
      <c r="V89" s="343" t="s">
        <v>464</v>
      </c>
      <c r="W89" s="334" t="s">
        <v>20</v>
      </c>
      <c r="X89" s="334" t="s">
        <v>12</v>
      </c>
      <c r="Y89" s="344">
        <v>63.6</v>
      </c>
      <c r="AD89" s="343"/>
      <c r="AG89" s="344"/>
      <c r="AL89" s="343"/>
      <c r="AO89" s="344"/>
      <c r="AP89" s="343"/>
      <c r="AS89" s="344"/>
      <c r="AW89" s="344"/>
      <c r="BA89" s="345"/>
    </row>
    <row r="90" spans="1:53" s="334" customFormat="1" x14ac:dyDescent="0.15">
      <c r="A90" s="334">
        <v>2000</v>
      </c>
      <c r="C90" s="812" t="s">
        <v>801</v>
      </c>
      <c r="D90" s="812"/>
      <c r="E90" s="334">
        <f>366-E89</f>
        <v>366</v>
      </c>
      <c r="G90" s="419"/>
      <c r="I90" s="334">
        <v>22</v>
      </c>
      <c r="J90" s="435">
        <v>22</v>
      </c>
      <c r="K90" s="384">
        <f t="shared" si="4"/>
        <v>0</v>
      </c>
      <c r="L90" s="384">
        <f t="shared" si="4"/>
        <v>0</v>
      </c>
      <c r="M90" s="384">
        <f t="shared" si="4"/>
        <v>100</v>
      </c>
      <c r="N90" s="421">
        <f t="shared" si="5"/>
        <v>100</v>
      </c>
      <c r="O90" s="383"/>
      <c r="P90" s="384"/>
      <c r="Q90" s="384">
        <v>63.6</v>
      </c>
      <c r="R90" s="385">
        <f t="shared" si="7"/>
        <v>63.6</v>
      </c>
      <c r="S90" s="334">
        <v>1</v>
      </c>
      <c r="T90" s="357"/>
      <c r="V90" s="343" t="s">
        <v>464</v>
      </c>
      <c r="W90" s="334" t="s">
        <v>20</v>
      </c>
      <c r="X90" s="334" t="s">
        <v>12</v>
      </c>
      <c r="Y90" s="344">
        <v>63.6</v>
      </c>
      <c r="AD90" s="343"/>
      <c r="AG90" s="344"/>
      <c r="AL90" s="343"/>
      <c r="AO90" s="344"/>
      <c r="AP90" s="343"/>
      <c r="AS90" s="344"/>
      <c r="AW90" s="344"/>
      <c r="BA90" s="345"/>
    </row>
    <row r="91" spans="1:53" s="334" customFormat="1" x14ac:dyDescent="0.15">
      <c r="A91" s="334">
        <v>2001</v>
      </c>
      <c r="C91" s="812" t="s">
        <v>801</v>
      </c>
      <c r="D91" s="812"/>
      <c r="E91" s="334">
        <v>158</v>
      </c>
      <c r="G91" s="419"/>
      <c r="I91" s="334">
        <v>22</v>
      </c>
      <c r="J91" s="435">
        <v>22</v>
      </c>
      <c r="K91" s="384">
        <f t="shared" si="4"/>
        <v>0</v>
      </c>
      <c r="L91" s="384">
        <f t="shared" si="4"/>
        <v>0</v>
      </c>
      <c r="M91" s="384">
        <f t="shared" si="4"/>
        <v>100</v>
      </c>
      <c r="N91" s="421">
        <f t="shared" si="5"/>
        <v>100</v>
      </c>
      <c r="O91" s="383"/>
      <c r="P91" s="384"/>
      <c r="Q91" s="384">
        <v>63.6</v>
      </c>
      <c r="R91" s="385">
        <f t="shared" si="7"/>
        <v>63.6</v>
      </c>
      <c r="S91" s="334">
        <v>1</v>
      </c>
      <c r="T91" s="357"/>
      <c r="V91" s="343" t="s">
        <v>464</v>
      </c>
      <c r="W91" s="334" t="s">
        <v>20</v>
      </c>
      <c r="X91" s="334" t="s">
        <v>12</v>
      </c>
      <c r="Y91" s="344">
        <v>63.6</v>
      </c>
      <c r="AD91" s="343"/>
      <c r="AG91" s="344"/>
      <c r="AL91" s="343"/>
      <c r="AO91" s="344"/>
      <c r="AP91" s="343"/>
      <c r="AS91" s="344"/>
      <c r="AW91" s="344"/>
      <c r="BA91" s="345"/>
    </row>
    <row r="92" spans="1:53" s="208" customFormat="1" x14ac:dyDescent="0.15">
      <c r="A92" s="208">
        <v>2001</v>
      </c>
      <c r="B92" s="207">
        <v>37050</v>
      </c>
      <c r="C92" s="811" t="s">
        <v>802</v>
      </c>
      <c r="D92" s="811"/>
      <c r="E92" s="208">
        <f>365-E91</f>
        <v>207</v>
      </c>
      <c r="F92" s="208">
        <v>1</v>
      </c>
      <c r="G92" s="123"/>
      <c r="I92" s="208">
        <v>23</v>
      </c>
      <c r="J92" s="134">
        <v>23</v>
      </c>
      <c r="K92" s="92">
        <f t="shared" si="4"/>
        <v>0</v>
      </c>
      <c r="L92" s="92">
        <f t="shared" si="4"/>
        <v>0</v>
      </c>
      <c r="M92" s="92">
        <f t="shared" si="4"/>
        <v>100</v>
      </c>
      <c r="N92" s="125">
        <f t="shared" si="5"/>
        <v>100</v>
      </c>
      <c r="O92" s="91"/>
      <c r="P92" s="92"/>
      <c r="Q92" s="92">
        <v>62.5</v>
      </c>
      <c r="R92" s="93">
        <f t="shared" si="7"/>
        <v>62.5</v>
      </c>
      <c r="S92" s="208">
        <v>1</v>
      </c>
      <c r="T92" s="95">
        <v>37049</v>
      </c>
      <c r="U92" s="207">
        <v>37050</v>
      </c>
      <c r="V92" s="82" t="s">
        <v>464</v>
      </c>
      <c r="W92" s="208" t="s">
        <v>20</v>
      </c>
      <c r="X92" s="208" t="s">
        <v>12</v>
      </c>
      <c r="Y92" s="83">
        <v>62.5</v>
      </c>
      <c r="AD92" s="82"/>
      <c r="AG92" s="83"/>
      <c r="AL92" s="82"/>
      <c r="AO92" s="83"/>
      <c r="AP92" s="82"/>
      <c r="AS92" s="83"/>
      <c r="AW92" s="83"/>
      <c r="BA92" s="84"/>
    </row>
    <row r="93" spans="1:53" s="208" customFormat="1" x14ac:dyDescent="0.15">
      <c r="A93" s="208">
        <v>2002</v>
      </c>
      <c r="C93" s="811" t="s">
        <v>802</v>
      </c>
      <c r="D93" s="811"/>
      <c r="E93" s="208">
        <v>0</v>
      </c>
      <c r="G93" s="123"/>
      <c r="I93" s="208">
        <v>23</v>
      </c>
      <c r="J93" s="134">
        <v>23</v>
      </c>
      <c r="K93" s="92">
        <f t="shared" si="4"/>
        <v>0</v>
      </c>
      <c r="L93" s="92">
        <f t="shared" si="4"/>
        <v>0</v>
      </c>
      <c r="M93" s="92">
        <f t="shared" si="4"/>
        <v>100</v>
      </c>
      <c r="N93" s="125">
        <f t="shared" si="5"/>
        <v>100</v>
      </c>
      <c r="O93" s="91"/>
      <c r="P93" s="92"/>
      <c r="Q93" s="92">
        <v>62.5</v>
      </c>
      <c r="R93" s="93">
        <f t="shared" si="7"/>
        <v>62.5</v>
      </c>
      <c r="S93" s="208">
        <v>1</v>
      </c>
      <c r="T93" s="81"/>
      <c r="V93" s="82" t="s">
        <v>464</v>
      </c>
      <c r="W93" s="208" t="s">
        <v>20</v>
      </c>
      <c r="X93" s="208" t="s">
        <v>12</v>
      </c>
      <c r="Y93" s="83">
        <v>62.5</v>
      </c>
      <c r="AD93" s="82"/>
      <c r="AG93" s="83"/>
      <c r="AL93" s="82"/>
      <c r="AO93" s="83"/>
      <c r="AP93" s="82"/>
      <c r="AS93" s="83"/>
      <c r="AW93" s="83"/>
      <c r="BA93" s="84"/>
    </row>
    <row r="94" spans="1:53" s="208" customFormat="1" x14ac:dyDescent="0.15">
      <c r="A94" s="208">
        <v>2002</v>
      </c>
      <c r="C94" s="811" t="s">
        <v>802</v>
      </c>
      <c r="D94" s="811"/>
      <c r="E94" s="208">
        <f>365-E93</f>
        <v>365</v>
      </c>
      <c r="G94" s="123"/>
      <c r="I94" s="208">
        <v>23</v>
      </c>
      <c r="J94" s="134">
        <v>23</v>
      </c>
      <c r="K94" s="92">
        <f t="shared" si="4"/>
        <v>0</v>
      </c>
      <c r="L94" s="92">
        <f t="shared" si="4"/>
        <v>0</v>
      </c>
      <c r="M94" s="92">
        <f t="shared" si="4"/>
        <v>100</v>
      </c>
      <c r="N94" s="125">
        <f t="shared" si="5"/>
        <v>100</v>
      </c>
      <c r="O94" s="91"/>
      <c r="P94" s="92"/>
      <c r="Q94" s="92">
        <v>62.5</v>
      </c>
      <c r="R94" s="93">
        <f t="shared" si="7"/>
        <v>62.5</v>
      </c>
      <c r="S94" s="208">
        <v>1</v>
      </c>
      <c r="T94" s="81"/>
      <c r="V94" s="82" t="s">
        <v>464</v>
      </c>
      <c r="W94" s="208" t="s">
        <v>20</v>
      </c>
      <c r="X94" s="208" t="s">
        <v>12</v>
      </c>
      <c r="Y94" s="83">
        <v>62.5</v>
      </c>
      <c r="AD94" s="82"/>
      <c r="AG94" s="83"/>
      <c r="AL94" s="82"/>
      <c r="AO94" s="83"/>
      <c r="AP94" s="82"/>
      <c r="AS94" s="83"/>
      <c r="AW94" s="83"/>
      <c r="BA94" s="84"/>
    </row>
    <row r="95" spans="1:53" s="208" customFormat="1" x14ac:dyDescent="0.15">
      <c r="A95" s="208">
        <v>2003</v>
      </c>
      <c r="C95" s="811" t="s">
        <v>802</v>
      </c>
      <c r="D95" s="811"/>
      <c r="E95" s="208">
        <v>0</v>
      </c>
      <c r="G95" s="123"/>
      <c r="I95" s="208">
        <v>23</v>
      </c>
      <c r="J95" s="134">
        <v>23</v>
      </c>
      <c r="K95" s="92">
        <f t="shared" si="4"/>
        <v>0</v>
      </c>
      <c r="L95" s="92">
        <f t="shared" si="4"/>
        <v>0</v>
      </c>
      <c r="M95" s="92">
        <f t="shared" si="4"/>
        <v>100</v>
      </c>
      <c r="N95" s="125">
        <f t="shared" si="5"/>
        <v>100</v>
      </c>
      <c r="O95" s="91"/>
      <c r="P95" s="92"/>
      <c r="Q95" s="92">
        <v>62.5</v>
      </c>
      <c r="R95" s="93">
        <f t="shared" si="7"/>
        <v>62.5</v>
      </c>
      <c r="S95" s="208">
        <v>1</v>
      </c>
      <c r="T95" s="81"/>
      <c r="V95" s="82" t="s">
        <v>464</v>
      </c>
      <c r="W95" s="208" t="s">
        <v>20</v>
      </c>
      <c r="X95" s="208" t="s">
        <v>12</v>
      </c>
      <c r="Y95" s="83">
        <v>62.5</v>
      </c>
      <c r="AD95" s="82"/>
      <c r="AG95" s="83"/>
      <c r="AL95" s="82"/>
      <c r="AO95" s="83"/>
      <c r="AP95" s="82"/>
      <c r="AS95" s="83"/>
      <c r="AW95" s="83"/>
      <c r="BA95" s="84"/>
    </row>
    <row r="96" spans="1:53" s="208" customFormat="1" x14ac:dyDescent="0.15">
      <c r="A96" s="208">
        <v>2003</v>
      </c>
      <c r="C96" s="811" t="s">
        <v>802</v>
      </c>
      <c r="D96" s="811"/>
      <c r="E96" s="208">
        <f>365-E95</f>
        <v>365</v>
      </c>
      <c r="G96" s="123"/>
      <c r="I96" s="208">
        <v>23</v>
      </c>
      <c r="J96" s="134">
        <v>23</v>
      </c>
      <c r="K96" s="92">
        <f t="shared" si="4"/>
        <v>0</v>
      </c>
      <c r="L96" s="92">
        <f t="shared" si="4"/>
        <v>0</v>
      </c>
      <c r="M96" s="92">
        <f t="shared" si="4"/>
        <v>100</v>
      </c>
      <c r="N96" s="125">
        <f t="shared" si="5"/>
        <v>100</v>
      </c>
      <c r="O96" s="91"/>
      <c r="P96" s="92"/>
      <c r="Q96" s="92">
        <v>62.5</v>
      </c>
      <c r="R96" s="93">
        <f t="shared" si="7"/>
        <v>62.5</v>
      </c>
      <c r="S96" s="208">
        <v>1</v>
      </c>
      <c r="T96" s="81"/>
      <c r="V96" s="82" t="s">
        <v>464</v>
      </c>
      <c r="W96" s="208" t="s">
        <v>20</v>
      </c>
      <c r="X96" s="208" t="s">
        <v>12</v>
      </c>
      <c r="Y96" s="83">
        <v>62.5</v>
      </c>
      <c r="AD96" s="82"/>
      <c r="AG96" s="83"/>
      <c r="AL96" s="82"/>
      <c r="AO96" s="83"/>
      <c r="AP96" s="82"/>
      <c r="AS96" s="83"/>
      <c r="AW96" s="83"/>
      <c r="BA96" s="84"/>
    </row>
    <row r="97" spans="1:53" s="208" customFormat="1" x14ac:dyDescent="0.15">
      <c r="A97" s="208">
        <v>2004</v>
      </c>
      <c r="C97" s="811" t="s">
        <v>802</v>
      </c>
      <c r="D97" s="811"/>
      <c r="E97" s="208">
        <v>0</v>
      </c>
      <c r="G97" s="123"/>
      <c r="I97" s="208">
        <v>23</v>
      </c>
      <c r="J97" s="134">
        <v>23</v>
      </c>
      <c r="K97" s="92">
        <f t="shared" si="4"/>
        <v>0</v>
      </c>
      <c r="L97" s="92">
        <f t="shared" si="4"/>
        <v>0</v>
      </c>
      <c r="M97" s="92">
        <f t="shared" si="4"/>
        <v>100</v>
      </c>
      <c r="N97" s="125">
        <f t="shared" si="5"/>
        <v>100</v>
      </c>
      <c r="O97" s="91"/>
      <c r="P97" s="92"/>
      <c r="Q97" s="92">
        <v>62.5</v>
      </c>
      <c r="R97" s="93">
        <f t="shared" si="7"/>
        <v>62.5</v>
      </c>
      <c r="S97" s="208">
        <v>1</v>
      </c>
      <c r="T97" s="81"/>
      <c r="V97" s="82" t="s">
        <v>464</v>
      </c>
      <c r="W97" s="208" t="s">
        <v>20</v>
      </c>
      <c r="X97" s="208" t="s">
        <v>12</v>
      </c>
      <c r="Y97" s="83">
        <v>62.5</v>
      </c>
      <c r="AD97" s="82"/>
      <c r="AG97" s="83"/>
      <c r="AL97" s="82"/>
      <c r="AO97" s="83"/>
      <c r="AP97" s="82"/>
      <c r="AS97" s="83"/>
      <c r="AW97" s="83"/>
      <c r="BA97" s="84"/>
    </row>
    <row r="98" spans="1:53" s="208" customFormat="1" x14ac:dyDescent="0.15">
      <c r="A98" s="208">
        <v>2004</v>
      </c>
      <c r="C98" s="811" t="s">
        <v>802</v>
      </c>
      <c r="D98" s="811"/>
      <c r="E98" s="208">
        <f>366-E97</f>
        <v>366</v>
      </c>
      <c r="G98" s="123"/>
      <c r="I98" s="208">
        <v>23</v>
      </c>
      <c r="J98" s="134">
        <v>23</v>
      </c>
      <c r="K98" s="92">
        <f t="shared" si="4"/>
        <v>0</v>
      </c>
      <c r="L98" s="92">
        <f t="shared" si="4"/>
        <v>0</v>
      </c>
      <c r="M98" s="92">
        <f t="shared" si="4"/>
        <v>100</v>
      </c>
      <c r="N98" s="125">
        <f t="shared" si="5"/>
        <v>100</v>
      </c>
      <c r="O98" s="91"/>
      <c r="P98" s="92"/>
      <c r="Q98" s="92">
        <v>62.5</v>
      </c>
      <c r="R98" s="93">
        <f t="shared" si="7"/>
        <v>62.5</v>
      </c>
      <c r="S98" s="208">
        <v>1</v>
      </c>
      <c r="T98" s="81"/>
      <c r="V98" s="82" t="s">
        <v>464</v>
      </c>
      <c r="W98" s="208" t="s">
        <v>20</v>
      </c>
      <c r="X98" s="208" t="s">
        <v>12</v>
      </c>
      <c r="Y98" s="83">
        <v>62.5</v>
      </c>
      <c r="AD98" s="82"/>
      <c r="AG98" s="83"/>
      <c r="AL98" s="82"/>
      <c r="AO98" s="83"/>
      <c r="AP98" s="82"/>
      <c r="AS98" s="83"/>
      <c r="AW98" s="83"/>
      <c r="BA98" s="84"/>
    </row>
    <row r="99" spans="1:53" s="208" customFormat="1" x14ac:dyDescent="0.15">
      <c r="A99" s="208">
        <v>2005</v>
      </c>
      <c r="C99" s="811" t="s">
        <v>802</v>
      </c>
      <c r="D99" s="811"/>
      <c r="E99" s="208">
        <v>125</v>
      </c>
      <c r="G99" s="123"/>
      <c r="I99" s="208">
        <v>23</v>
      </c>
      <c r="J99" s="134">
        <v>23</v>
      </c>
      <c r="K99" s="92">
        <f t="shared" si="4"/>
        <v>0</v>
      </c>
      <c r="L99" s="92">
        <f t="shared" si="4"/>
        <v>0</v>
      </c>
      <c r="M99" s="92">
        <f t="shared" si="4"/>
        <v>100</v>
      </c>
      <c r="N99" s="125">
        <f t="shared" si="5"/>
        <v>100</v>
      </c>
      <c r="O99" s="91"/>
      <c r="P99" s="92"/>
      <c r="Q99" s="92">
        <v>62.5</v>
      </c>
      <c r="R99" s="93">
        <f t="shared" si="7"/>
        <v>62.5</v>
      </c>
      <c r="S99" s="208">
        <v>1</v>
      </c>
      <c r="T99" s="81"/>
      <c r="V99" s="82" t="s">
        <v>464</v>
      </c>
      <c r="W99" s="208" t="s">
        <v>20</v>
      </c>
      <c r="X99" s="208" t="s">
        <v>12</v>
      </c>
      <c r="Y99" s="83">
        <v>62.5</v>
      </c>
      <c r="AD99" s="82"/>
      <c r="AG99" s="83"/>
      <c r="AL99" s="82"/>
      <c r="AO99" s="83"/>
      <c r="AP99" s="82"/>
      <c r="AS99" s="83"/>
      <c r="AW99" s="83"/>
      <c r="BA99" s="84"/>
    </row>
    <row r="100" spans="1:53" s="334" customFormat="1" x14ac:dyDescent="0.15">
      <c r="A100" s="334">
        <v>2005</v>
      </c>
      <c r="B100" s="355">
        <v>38478</v>
      </c>
      <c r="C100" s="812" t="s">
        <v>803</v>
      </c>
      <c r="D100" s="812"/>
      <c r="E100" s="334">
        <f>365-E99</f>
        <v>240</v>
      </c>
      <c r="F100" s="334">
        <v>1</v>
      </c>
      <c r="G100" s="419"/>
      <c r="I100" s="334">
        <v>23</v>
      </c>
      <c r="J100" s="435">
        <v>23</v>
      </c>
      <c r="K100" s="384">
        <f t="shared" si="4"/>
        <v>0</v>
      </c>
      <c r="L100" s="384">
        <f t="shared" si="4"/>
        <v>0</v>
      </c>
      <c r="M100" s="384">
        <f t="shared" si="4"/>
        <v>100</v>
      </c>
      <c r="N100" s="421">
        <f t="shared" si="5"/>
        <v>100</v>
      </c>
      <c r="O100" s="383"/>
      <c r="P100" s="384"/>
      <c r="Q100" s="384">
        <v>55</v>
      </c>
      <c r="R100" s="385">
        <f t="shared" si="7"/>
        <v>55</v>
      </c>
      <c r="S100" s="334">
        <v>1</v>
      </c>
      <c r="T100" s="342">
        <v>38477</v>
      </c>
      <c r="U100" s="355">
        <v>38478</v>
      </c>
      <c r="V100" s="343" t="s">
        <v>464</v>
      </c>
      <c r="W100" s="334" t="s">
        <v>20</v>
      </c>
      <c r="X100" s="334" t="s">
        <v>12</v>
      </c>
      <c r="Y100" s="344">
        <v>55</v>
      </c>
      <c r="AD100" s="343"/>
      <c r="AG100" s="344"/>
      <c r="AL100" s="343"/>
      <c r="AO100" s="344"/>
      <c r="AP100" s="343"/>
      <c r="AS100" s="344"/>
      <c r="AW100" s="344"/>
      <c r="BA100" s="345"/>
    </row>
    <row r="101" spans="1:53" s="334" customFormat="1" x14ac:dyDescent="0.15">
      <c r="A101" s="334">
        <v>2006</v>
      </c>
      <c r="C101" s="812" t="s">
        <v>803</v>
      </c>
      <c r="D101" s="812"/>
      <c r="E101" s="334">
        <v>0</v>
      </c>
      <c r="G101" s="419"/>
      <c r="I101" s="334">
        <v>23</v>
      </c>
      <c r="J101" s="435">
        <v>23</v>
      </c>
      <c r="K101" s="384">
        <f t="shared" si="4"/>
        <v>0</v>
      </c>
      <c r="L101" s="384">
        <f t="shared" si="4"/>
        <v>0</v>
      </c>
      <c r="M101" s="384">
        <f t="shared" si="4"/>
        <v>100</v>
      </c>
      <c r="N101" s="421">
        <f t="shared" si="5"/>
        <v>100</v>
      </c>
      <c r="O101" s="383"/>
      <c r="P101" s="384"/>
      <c r="Q101" s="384">
        <v>55</v>
      </c>
      <c r="R101" s="385">
        <f t="shared" si="7"/>
        <v>55</v>
      </c>
      <c r="S101" s="334">
        <v>1</v>
      </c>
      <c r="T101" s="357"/>
      <c r="V101" s="343" t="s">
        <v>464</v>
      </c>
      <c r="W101" s="334" t="s">
        <v>20</v>
      </c>
      <c r="X101" s="334" t="s">
        <v>12</v>
      </c>
      <c r="Y101" s="344">
        <v>55</v>
      </c>
      <c r="AD101" s="343"/>
      <c r="AG101" s="344"/>
      <c r="AL101" s="343"/>
      <c r="AO101" s="344"/>
      <c r="AP101" s="343"/>
      <c r="AS101" s="344"/>
      <c r="AW101" s="344"/>
      <c r="BA101" s="345"/>
    </row>
    <row r="102" spans="1:53" s="334" customFormat="1" x14ac:dyDescent="0.15">
      <c r="A102" s="334">
        <v>2006</v>
      </c>
      <c r="C102" s="812" t="s">
        <v>803</v>
      </c>
      <c r="D102" s="812"/>
      <c r="E102" s="334">
        <v>365</v>
      </c>
      <c r="G102" s="419"/>
      <c r="I102" s="334">
        <v>23</v>
      </c>
      <c r="J102" s="435">
        <v>23</v>
      </c>
      <c r="K102" s="384">
        <f>G102/$J102*100</f>
        <v>0</v>
      </c>
      <c r="L102" s="384">
        <f>H102/$J102*100</f>
        <v>0</v>
      </c>
      <c r="M102" s="384">
        <f>I102/$J102*100</f>
        <v>100</v>
      </c>
      <c r="N102" s="421">
        <f>K102+L102+M102</f>
        <v>100</v>
      </c>
      <c r="O102" s="383"/>
      <c r="P102" s="384"/>
      <c r="Q102" s="384">
        <v>55</v>
      </c>
      <c r="R102" s="385">
        <f>O102+P102+Q102</f>
        <v>55</v>
      </c>
      <c r="S102" s="334">
        <v>1</v>
      </c>
      <c r="T102" s="357"/>
      <c r="V102" s="343" t="s">
        <v>464</v>
      </c>
      <c r="W102" s="334" t="s">
        <v>20</v>
      </c>
      <c r="X102" s="334" t="s">
        <v>12</v>
      </c>
      <c r="Y102" s="344">
        <v>55</v>
      </c>
      <c r="AD102" s="343"/>
      <c r="AG102" s="344"/>
      <c r="AL102" s="343"/>
      <c r="AO102" s="344"/>
      <c r="AP102" s="343"/>
      <c r="AS102" s="344"/>
      <c r="AW102" s="344"/>
      <c r="BA102" s="345"/>
    </row>
    <row r="103" spans="1:53" s="334" customFormat="1" x14ac:dyDescent="0.15">
      <c r="A103" s="334">
        <v>2007</v>
      </c>
      <c r="C103" s="812" t="s">
        <v>803</v>
      </c>
      <c r="D103" s="812"/>
      <c r="E103" s="334">
        <v>177</v>
      </c>
      <c r="G103" s="419"/>
      <c r="I103" s="334">
        <v>23</v>
      </c>
      <c r="J103" s="435">
        <v>23</v>
      </c>
      <c r="K103" s="384">
        <f t="shared" ref="K103:K116" si="8">G103/$J103*100</f>
        <v>0</v>
      </c>
      <c r="L103" s="384">
        <f t="shared" ref="L103:L116" si="9">H103/$J103*100</f>
        <v>0</v>
      </c>
      <c r="M103" s="384">
        <f t="shared" ref="M103:M116" si="10">I103/$J103*100</f>
        <v>100</v>
      </c>
      <c r="N103" s="421">
        <f t="shared" ref="N103:N116" si="11">K103+L103+M103</f>
        <v>100</v>
      </c>
      <c r="O103" s="383"/>
      <c r="P103" s="384"/>
      <c r="Q103" s="384">
        <v>55</v>
      </c>
      <c r="R103" s="385">
        <f t="shared" ref="R103:R114" si="12">O103+P103+Q103</f>
        <v>55</v>
      </c>
      <c r="S103" s="334">
        <v>1</v>
      </c>
      <c r="T103" s="357"/>
      <c r="V103" s="343" t="s">
        <v>464</v>
      </c>
      <c r="W103" s="334" t="s">
        <v>20</v>
      </c>
      <c r="X103" s="334" t="s">
        <v>12</v>
      </c>
      <c r="Y103" s="344">
        <v>55</v>
      </c>
      <c r="AD103" s="343"/>
      <c r="AG103" s="344"/>
      <c r="AL103" s="343"/>
      <c r="AO103" s="344"/>
      <c r="AP103" s="343"/>
      <c r="AS103" s="344"/>
      <c r="AW103" s="344"/>
      <c r="BA103" s="345"/>
    </row>
    <row r="104" spans="1:53" s="208" customFormat="1" x14ac:dyDescent="0.15">
      <c r="A104" s="208">
        <v>2007</v>
      </c>
      <c r="B104" s="207">
        <v>39260</v>
      </c>
      <c r="C104" s="811" t="s">
        <v>804</v>
      </c>
      <c r="D104" s="811"/>
      <c r="E104" s="208">
        <f>365-E103</f>
        <v>188</v>
      </c>
      <c r="F104" s="208">
        <v>2</v>
      </c>
      <c r="G104" s="123"/>
      <c r="I104" s="208">
        <v>22</v>
      </c>
      <c r="J104" s="134">
        <v>22</v>
      </c>
      <c r="K104" s="92">
        <f t="shared" si="8"/>
        <v>0</v>
      </c>
      <c r="L104" s="92">
        <f t="shared" si="9"/>
        <v>0</v>
      </c>
      <c r="M104" s="92">
        <f t="shared" si="10"/>
        <v>100</v>
      </c>
      <c r="N104" s="125">
        <f t="shared" si="11"/>
        <v>100</v>
      </c>
      <c r="O104" s="91"/>
      <c r="P104" s="92"/>
      <c r="Q104" s="92">
        <v>55</v>
      </c>
      <c r="R104" s="93">
        <f t="shared" si="12"/>
        <v>55</v>
      </c>
      <c r="S104" s="208">
        <v>1</v>
      </c>
      <c r="T104" s="81"/>
      <c r="U104" s="207">
        <v>39260</v>
      </c>
      <c r="V104" s="82" t="s">
        <v>464</v>
      </c>
      <c r="W104" s="208" t="s">
        <v>20</v>
      </c>
      <c r="X104" s="208" t="s">
        <v>12</v>
      </c>
      <c r="Y104" s="83">
        <v>55</v>
      </c>
      <c r="AD104" s="82"/>
      <c r="AG104" s="83"/>
      <c r="AL104" s="82"/>
      <c r="AO104" s="83"/>
      <c r="AP104" s="82"/>
      <c r="AS104" s="83"/>
      <c r="AW104" s="83"/>
      <c r="BA104" s="84"/>
    </row>
    <row r="105" spans="1:53" s="208" customFormat="1" x14ac:dyDescent="0.15">
      <c r="A105" s="208">
        <v>2008</v>
      </c>
      <c r="C105" s="811" t="s">
        <v>804</v>
      </c>
      <c r="D105" s="811"/>
      <c r="E105" s="208">
        <v>0</v>
      </c>
      <c r="G105" s="123"/>
      <c r="I105" s="208">
        <v>22</v>
      </c>
      <c r="J105" s="134">
        <v>22</v>
      </c>
      <c r="K105" s="92">
        <f t="shared" si="8"/>
        <v>0</v>
      </c>
      <c r="L105" s="92">
        <f t="shared" si="9"/>
        <v>0</v>
      </c>
      <c r="M105" s="92">
        <f t="shared" si="10"/>
        <v>100</v>
      </c>
      <c r="N105" s="125">
        <f t="shared" si="11"/>
        <v>100</v>
      </c>
      <c r="O105" s="91"/>
      <c r="P105" s="92"/>
      <c r="Q105" s="92">
        <v>55</v>
      </c>
      <c r="R105" s="93">
        <f t="shared" si="12"/>
        <v>55</v>
      </c>
      <c r="S105" s="208">
        <v>1</v>
      </c>
      <c r="T105" s="81"/>
      <c r="V105" s="82" t="s">
        <v>464</v>
      </c>
      <c r="W105" s="208" t="s">
        <v>20</v>
      </c>
      <c r="X105" s="208" t="s">
        <v>12</v>
      </c>
      <c r="Y105" s="83">
        <v>55</v>
      </c>
      <c r="AD105" s="82"/>
      <c r="AG105" s="83"/>
      <c r="AL105" s="82"/>
      <c r="AO105" s="83"/>
      <c r="AP105" s="82"/>
      <c r="AS105" s="83"/>
      <c r="AW105" s="83"/>
      <c r="BA105" s="84"/>
    </row>
    <row r="106" spans="1:53" s="208" customFormat="1" x14ac:dyDescent="0.15">
      <c r="A106" s="208">
        <v>2008</v>
      </c>
      <c r="C106" s="811" t="s">
        <v>804</v>
      </c>
      <c r="D106" s="811"/>
      <c r="E106" s="208">
        <v>366</v>
      </c>
      <c r="G106" s="123"/>
      <c r="I106" s="208">
        <v>22</v>
      </c>
      <c r="J106" s="134">
        <v>22</v>
      </c>
      <c r="K106" s="92">
        <f t="shared" si="8"/>
        <v>0</v>
      </c>
      <c r="L106" s="92">
        <f t="shared" si="9"/>
        <v>0</v>
      </c>
      <c r="M106" s="92">
        <f t="shared" si="10"/>
        <v>100</v>
      </c>
      <c r="N106" s="125">
        <f t="shared" si="11"/>
        <v>100</v>
      </c>
      <c r="O106" s="91"/>
      <c r="P106" s="92"/>
      <c r="Q106" s="92">
        <v>55</v>
      </c>
      <c r="R106" s="93">
        <f t="shared" si="12"/>
        <v>55</v>
      </c>
      <c r="S106" s="208">
        <v>1</v>
      </c>
      <c r="T106" s="81"/>
      <c r="V106" s="82" t="s">
        <v>464</v>
      </c>
      <c r="W106" s="208" t="s">
        <v>20</v>
      </c>
      <c r="X106" s="208" t="s">
        <v>12</v>
      </c>
      <c r="Y106" s="83">
        <v>55</v>
      </c>
      <c r="AD106" s="82"/>
      <c r="AG106" s="83"/>
      <c r="AL106" s="82"/>
      <c r="AO106" s="83"/>
      <c r="AP106" s="82"/>
      <c r="AS106" s="83"/>
      <c r="AW106" s="83"/>
      <c r="BA106" s="84"/>
    </row>
    <row r="107" spans="1:53" s="208" customFormat="1" x14ac:dyDescent="0.15">
      <c r="A107" s="208">
        <v>2009</v>
      </c>
      <c r="C107" s="811" t="s">
        <v>804</v>
      </c>
      <c r="D107" s="811"/>
      <c r="E107" s="208">
        <v>0</v>
      </c>
      <c r="G107" s="123"/>
      <c r="I107" s="208">
        <v>22</v>
      </c>
      <c r="J107" s="134">
        <v>22</v>
      </c>
      <c r="K107" s="92">
        <f t="shared" si="8"/>
        <v>0</v>
      </c>
      <c r="L107" s="92">
        <f t="shared" si="9"/>
        <v>0</v>
      </c>
      <c r="M107" s="92">
        <f t="shared" si="10"/>
        <v>100</v>
      </c>
      <c r="N107" s="125">
        <f t="shared" si="11"/>
        <v>100</v>
      </c>
      <c r="O107" s="91"/>
      <c r="P107" s="92"/>
      <c r="Q107" s="92">
        <v>55</v>
      </c>
      <c r="R107" s="93">
        <f t="shared" si="12"/>
        <v>55</v>
      </c>
      <c r="S107" s="208">
        <v>1</v>
      </c>
      <c r="T107" s="81"/>
      <c r="V107" s="82" t="s">
        <v>464</v>
      </c>
      <c r="W107" s="208" t="s">
        <v>20</v>
      </c>
      <c r="X107" s="208" t="s">
        <v>12</v>
      </c>
      <c r="Y107" s="83">
        <v>55</v>
      </c>
      <c r="AD107" s="82"/>
      <c r="AG107" s="83"/>
      <c r="AL107" s="82"/>
      <c r="AO107" s="83"/>
      <c r="AP107" s="82"/>
      <c r="AS107" s="83"/>
      <c r="AW107" s="83"/>
      <c r="BA107" s="84"/>
    </row>
    <row r="108" spans="1:53" s="208" customFormat="1" x14ac:dyDescent="0.15">
      <c r="A108" s="208">
        <v>2009</v>
      </c>
      <c r="C108" s="811" t="s">
        <v>804</v>
      </c>
      <c r="D108" s="811"/>
      <c r="E108" s="208">
        <v>365</v>
      </c>
      <c r="G108" s="123"/>
      <c r="I108" s="208">
        <v>22</v>
      </c>
      <c r="J108" s="134">
        <v>22</v>
      </c>
      <c r="K108" s="92">
        <f t="shared" si="8"/>
        <v>0</v>
      </c>
      <c r="L108" s="92">
        <f t="shared" si="9"/>
        <v>0</v>
      </c>
      <c r="M108" s="92">
        <f t="shared" si="10"/>
        <v>100</v>
      </c>
      <c r="N108" s="125">
        <f t="shared" si="11"/>
        <v>100</v>
      </c>
      <c r="O108" s="91"/>
      <c r="P108" s="92"/>
      <c r="Q108" s="92">
        <v>55</v>
      </c>
      <c r="R108" s="93">
        <f t="shared" si="12"/>
        <v>55</v>
      </c>
      <c r="S108" s="208">
        <v>1</v>
      </c>
      <c r="T108" s="81"/>
      <c r="V108" s="82" t="s">
        <v>464</v>
      </c>
      <c r="W108" s="208" t="s">
        <v>20</v>
      </c>
      <c r="X108" s="208" t="s">
        <v>12</v>
      </c>
      <c r="Y108" s="83">
        <v>55</v>
      </c>
      <c r="AD108" s="82"/>
      <c r="AG108" s="83"/>
      <c r="AL108" s="82"/>
      <c r="AO108" s="83"/>
      <c r="AP108" s="82"/>
      <c r="AS108" s="83"/>
      <c r="AW108" s="83"/>
      <c r="BA108" s="84"/>
    </row>
    <row r="109" spans="1:53" s="208" customFormat="1" x14ac:dyDescent="0.15">
      <c r="A109" s="208">
        <v>2010</v>
      </c>
      <c r="C109" s="811" t="s">
        <v>804</v>
      </c>
      <c r="D109" s="811"/>
      <c r="E109" s="208">
        <v>138</v>
      </c>
      <c r="G109" s="123"/>
      <c r="I109" s="208">
        <v>22</v>
      </c>
      <c r="J109" s="134">
        <v>22</v>
      </c>
      <c r="K109" s="92">
        <f t="shared" si="8"/>
        <v>0</v>
      </c>
      <c r="L109" s="92">
        <f t="shared" si="9"/>
        <v>0</v>
      </c>
      <c r="M109" s="92">
        <f t="shared" si="10"/>
        <v>100</v>
      </c>
      <c r="N109" s="125">
        <f t="shared" si="11"/>
        <v>100</v>
      </c>
      <c r="O109" s="91"/>
      <c r="P109" s="92"/>
      <c r="Q109" s="92">
        <v>55</v>
      </c>
      <c r="R109" s="93">
        <f t="shared" si="12"/>
        <v>55</v>
      </c>
      <c r="S109" s="208">
        <v>1</v>
      </c>
      <c r="T109" s="81"/>
      <c r="V109" s="82" t="s">
        <v>464</v>
      </c>
      <c r="W109" s="208" t="s">
        <v>20</v>
      </c>
      <c r="X109" s="208" t="s">
        <v>12</v>
      </c>
      <c r="Y109" s="83">
        <v>55</v>
      </c>
      <c r="AD109" s="82"/>
      <c r="AG109" s="83"/>
      <c r="AL109" s="82"/>
      <c r="AO109" s="83"/>
      <c r="AP109" s="82"/>
      <c r="AS109" s="83"/>
      <c r="AW109" s="83"/>
      <c r="BA109" s="84"/>
    </row>
    <row r="110" spans="1:53" s="334" customFormat="1" x14ac:dyDescent="0.15">
      <c r="A110" s="334">
        <v>2010</v>
      </c>
      <c r="B110" s="355">
        <v>40317</v>
      </c>
      <c r="C110" s="812" t="s">
        <v>813</v>
      </c>
      <c r="D110" s="812"/>
      <c r="E110" s="334">
        <f>365-E109</f>
        <v>227</v>
      </c>
      <c r="F110" s="334">
        <v>1</v>
      </c>
      <c r="G110" s="419">
        <v>23</v>
      </c>
      <c r="J110" s="435">
        <v>23</v>
      </c>
      <c r="K110" s="384">
        <f t="shared" si="8"/>
        <v>100</v>
      </c>
      <c r="L110" s="384">
        <f t="shared" si="9"/>
        <v>0</v>
      </c>
      <c r="M110" s="384">
        <f t="shared" si="10"/>
        <v>0</v>
      </c>
      <c r="N110" s="421">
        <f t="shared" si="11"/>
        <v>100</v>
      </c>
      <c r="O110" s="383">
        <v>55.9</v>
      </c>
      <c r="P110" s="384"/>
      <c r="Q110" s="384"/>
      <c r="R110" s="385">
        <f t="shared" si="12"/>
        <v>55.9</v>
      </c>
      <c r="S110" s="334">
        <v>2</v>
      </c>
      <c r="T110" s="342">
        <v>40304</v>
      </c>
      <c r="U110" s="355">
        <v>40317</v>
      </c>
      <c r="V110" s="343" t="s">
        <v>805</v>
      </c>
      <c r="W110" s="334" t="s">
        <v>74</v>
      </c>
      <c r="X110" s="334" t="s">
        <v>11</v>
      </c>
      <c r="Y110" s="344">
        <v>47.1</v>
      </c>
      <c r="Z110" s="334" t="s">
        <v>72</v>
      </c>
      <c r="AA110" s="334" t="s">
        <v>88</v>
      </c>
      <c r="AB110" s="334" t="s">
        <v>11</v>
      </c>
      <c r="AC110" s="334">
        <v>8.8000000000000007</v>
      </c>
      <c r="AD110" s="343"/>
      <c r="AG110" s="344"/>
      <c r="AL110" s="343"/>
      <c r="AO110" s="344"/>
      <c r="AP110" s="343"/>
      <c r="AS110" s="344"/>
      <c r="AW110" s="344"/>
      <c r="BA110" s="345"/>
    </row>
    <row r="111" spans="1:53" s="334" customFormat="1" x14ac:dyDescent="0.15">
      <c r="A111" s="334">
        <v>2011</v>
      </c>
      <c r="C111" s="812" t="s">
        <v>813</v>
      </c>
      <c r="D111" s="812"/>
      <c r="E111" s="334">
        <v>0</v>
      </c>
      <c r="G111" s="419">
        <v>23</v>
      </c>
      <c r="J111" s="435">
        <v>23</v>
      </c>
      <c r="K111" s="384">
        <f t="shared" si="8"/>
        <v>100</v>
      </c>
      <c r="L111" s="384">
        <f t="shared" si="9"/>
        <v>0</v>
      </c>
      <c r="M111" s="384">
        <f t="shared" si="10"/>
        <v>0</v>
      </c>
      <c r="N111" s="421">
        <f t="shared" si="11"/>
        <v>100</v>
      </c>
      <c r="O111" s="383">
        <v>55.9</v>
      </c>
      <c r="P111" s="384"/>
      <c r="Q111" s="384"/>
      <c r="R111" s="385">
        <f t="shared" si="12"/>
        <v>55.9</v>
      </c>
      <c r="S111" s="334">
        <v>2</v>
      </c>
      <c r="T111" s="357"/>
      <c r="V111" s="343" t="s">
        <v>805</v>
      </c>
      <c r="W111" s="334" t="s">
        <v>74</v>
      </c>
      <c r="X111" s="334" t="s">
        <v>11</v>
      </c>
      <c r="Y111" s="344">
        <v>47.1</v>
      </c>
      <c r="Z111" s="334" t="s">
        <v>72</v>
      </c>
      <c r="AA111" s="334" t="s">
        <v>88</v>
      </c>
      <c r="AB111" s="334" t="s">
        <v>11</v>
      </c>
      <c r="AC111" s="334">
        <v>8.8000000000000007</v>
      </c>
      <c r="AD111" s="343"/>
      <c r="AG111" s="344"/>
      <c r="AL111" s="343"/>
      <c r="AO111" s="344"/>
      <c r="AP111" s="343"/>
      <c r="AS111" s="344"/>
      <c r="AW111" s="344"/>
      <c r="BA111" s="345"/>
    </row>
    <row r="112" spans="1:53" s="334" customFormat="1" x14ac:dyDescent="0.15">
      <c r="A112" s="334">
        <v>2011</v>
      </c>
      <c r="C112" s="812" t="s">
        <v>813</v>
      </c>
      <c r="D112" s="812"/>
      <c r="E112" s="334">
        <v>365</v>
      </c>
      <c r="G112" s="419">
        <v>23</v>
      </c>
      <c r="J112" s="435">
        <v>23</v>
      </c>
      <c r="K112" s="384">
        <f t="shared" si="8"/>
        <v>100</v>
      </c>
      <c r="L112" s="384">
        <f t="shared" si="9"/>
        <v>0</v>
      </c>
      <c r="M112" s="384">
        <f t="shared" si="10"/>
        <v>0</v>
      </c>
      <c r="N112" s="421">
        <f t="shared" si="11"/>
        <v>100</v>
      </c>
      <c r="O112" s="383">
        <v>55.9</v>
      </c>
      <c r="P112" s="384"/>
      <c r="Q112" s="384"/>
      <c r="R112" s="385">
        <f t="shared" si="12"/>
        <v>55.9</v>
      </c>
      <c r="S112" s="334">
        <v>2</v>
      </c>
      <c r="T112" s="357"/>
      <c r="V112" s="343" t="s">
        <v>805</v>
      </c>
      <c r="W112" s="334" t="s">
        <v>74</v>
      </c>
      <c r="X112" s="334" t="s">
        <v>11</v>
      </c>
      <c r="Y112" s="344">
        <v>47.1</v>
      </c>
      <c r="Z112" s="334" t="s">
        <v>72</v>
      </c>
      <c r="AA112" s="334" t="s">
        <v>88</v>
      </c>
      <c r="AB112" s="334" t="s">
        <v>11</v>
      </c>
      <c r="AC112" s="334">
        <v>8.8000000000000007</v>
      </c>
      <c r="AD112" s="343"/>
      <c r="AG112" s="344"/>
      <c r="AL112" s="343"/>
      <c r="AO112" s="344"/>
      <c r="AP112" s="343"/>
      <c r="AS112" s="344"/>
      <c r="AW112" s="344"/>
      <c r="BA112" s="345"/>
    </row>
    <row r="113" spans="1:53" s="334" customFormat="1" x14ac:dyDescent="0.15">
      <c r="A113" s="334">
        <v>2012</v>
      </c>
      <c r="C113" s="812" t="s">
        <v>813</v>
      </c>
      <c r="D113" s="812"/>
      <c r="E113" s="334">
        <v>0</v>
      </c>
      <c r="G113" s="419">
        <v>23</v>
      </c>
      <c r="J113" s="435">
        <v>23</v>
      </c>
      <c r="K113" s="384">
        <f t="shared" si="8"/>
        <v>100</v>
      </c>
      <c r="L113" s="384">
        <f t="shared" si="9"/>
        <v>0</v>
      </c>
      <c r="M113" s="384">
        <f t="shared" si="10"/>
        <v>0</v>
      </c>
      <c r="N113" s="421">
        <f t="shared" si="11"/>
        <v>100</v>
      </c>
      <c r="O113" s="383">
        <v>55.9</v>
      </c>
      <c r="P113" s="384"/>
      <c r="Q113" s="384"/>
      <c r="R113" s="385">
        <f t="shared" si="12"/>
        <v>55.9</v>
      </c>
      <c r="S113" s="334">
        <v>2</v>
      </c>
      <c r="T113" s="357"/>
      <c r="V113" s="343" t="s">
        <v>805</v>
      </c>
      <c r="W113" s="334" t="s">
        <v>74</v>
      </c>
      <c r="X113" s="334" t="s">
        <v>11</v>
      </c>
      <c r="Y113" s="344">
        <v>47.1</v>
      </c>
      <c r="Z113" s="334" t="s">
        <v>72</v>
      </c>
      <c r="AA113" s="334" t="s">
        <v>88</v>
      </c>
      <c r="AB113" s="334" t="s">
        <v>11</v>
      </c>
      <c r="AC113" s="334">
        <v>8.8000000000000007</v>
      </c>
      <c r="AD113" s="343"/>
      <c r="AG113" s="344"/>
      <c r="AL113" s="343"/>
      <c r="AO113" s="344"/>
      <c r="AP113" s="343"/>
      <c r="AS113" s="344"/>
      <c r="AW113" s="344"/>
      <c r="BA113" s="345"/>
    </row>
    <row r="114" spans="1:53" s="334" customFormat="1" x14ac:dyDescent="0.15">
      <c r="A114" s="334">
        <v>2012</v>
      </c>
      <c r="C114" s="812" t="s">
        <v>813</v>
      </c>
      <c r="D114" s="812"/>
      <c r="E114" s="334">
        <v>366</v>
      </c>
      <c r="G114" s="419">
        <v>23</v>
      </c>
      <c r="J114" s="435">
        <v>23</v>
      </c>
      <c r="K114" s="384">
        <f t="shared" si="8"/>
        <v>100</v>
      </c>
      <c r="L114" s="384">
        <f t="shared" si="9"/>
        <v>0</v>
      </c>
      <c r="M114" s="384">
        <f t="shared" si="10"/>
        <v>0</v>
      </c>
      <c r="N114" s="421">
        <f t="shared" si="11"/>
        <v>100</v>
      </c>
      <c r="O114" s="383">
        <v>55.9</v>
      </c>
      <c r="P114" s="384"/>
      <c r="Q114" s="384"/>
      <c r="R114" s="385">
        <f t="shared" si="12"/>
        <v>55.9</v>
      </c>
      <c r="S114" s="334">
        <v>2</v>
      </c>
      <c r="T114" s="357"/>
      <c r="V114" s="343" t="s">
        <v>805</v>
      </c>
      <c r="W114" s="334" t="s">
        <v>74</v>
      </c>
      <c r="X114" s="334" t="s">
        <v>11</v>
      </c>
      <c r="Y114" s="344">
        <v>47.1</v>
      </c>
      <c r="Z114" s="334" t="s">
        <v>72</v>
      </c>
      <c r="AA114" s="334" t="s">
        <v>88</v>
      </c>
      <c r="AB114" s="334" t="s">
        <v>11</v>
      </c>
      <c r="AC114" s="334">
        <v>8.8000000000000007</v>
      </c>
      <c r="AD114" s="343"/>
      <c r="AG114" s="344"/>
      <c r="AL114" s="343"/>
      <c r="AO114" s="344"/>
      <c r="AP114" s="343"/>
      <c r="AS114" s="344"/>
      <c r="AW114" s="344"/>
      <c r="BA114" s="345"/>
    </row>
    <row r="115" spans="1:53" s="334" customFormat="1" x14ac:dyDescent="0.15">
      <c r="A115" s="334">
        <v>2013</v>
      </c>
      <c r="C115" s="812" t="s">
        <v>813</v>
      </c>
      <c r="D115" s="812"/>
      <c r="E115" s="334">
        <v>0</v>
      </c>
      <c r="G115" s="419">
        <v>23</v>
      </c>
      <c r="J115" s="435">
        <v>23</v>
      </c>
      <c r="K115" s="647">
        <f t="shared" ref="K115:K120" si="13">G115/$J115*100</f>
        <v>100</v>
      </c>
      <c r="L115" s="647">
        <f t="shared" ref="L115:L120" si="14">H115/$J115*100</f>
        <v>0</v>
      </c>
      <c r="M115" s="647">
        <f t="shared" ref="M115:M120" si="15">I115/$J115*100</f>
        <v>0</v>
      </c>
      <c r="N115" s="650">
        <f t="shared" ref="N115:N120" si="16">K115+L115+M115</f>
        <v>100</v>
      </c>
      <c r="O115" s="383">
        <v>55.9</v>
      </c>
      <c r="P115" s="384"/>
      <c r="Q115" s="384"/>
      <c r="R115" s="385">
        <f>O115+P115+Q115</f>
        <v>55.9</v>
      </c>
      <c r="S115" s="334">
        <v>2</v>
      </c>
      <c r="T115" s="357"/>
      <c r="V115" s="343" t="s">
        <v>805</v>
      </c>
      <c r="W115" s="334" t="s">
        <v>74</v>
      </c>
      <c r="X115" s="334" t="s">
        <v>11</v>
      </c>
      <c r="Y115" s="344">
        <v>47.1</v>
      </c>
      <c r="Z115" s="334" t="s">
        <v>72</v>
      </c>
      <c r="AA115" s="334" t="s">
        <v>88</v>
      </c>
      <c r="AB115" s="334" t="s">
        <v>11</v>
      </c>
      <c r="AC115" s="334">
        <v>8.8000000000000007</v>
      </c>
      <c r="AD115" s="343"/>
      <c r="AG115" s="344"/>
      <c r="AL115" s="343"/>
      <c r="AO115" s="344"/>
      <c r="AP115" s="343"/>
      <c r="AS115" s="344"/>
      <c r="AW115" s="344"/>
      <c r="BA115" s="345"/>
    </row>
    <row r="116" spans="1:53" s="334" customFormat="1" x14ac:dyDescent="0.15">
      <c r="A116" s="334">
        <v>2013</v>
      </c>
      <c r="C116" s="812" t="s">
        <v>813</v>
      </c>
      <c r="D116" s="812"/>
      <c r="E116" s="334">
        <v>365</v>
      </c>
      <c r="G116" s="419">
        <v>23</v>
      </c>
      <c r="J116" s="435">
        <v>23</v>
      </c>
      <c r="K116" s="647">
        <f t="shared" si="13"/>
        <v>100</v>
      </c>
      <c r="L116" s="647">
        <f t="shared" si="14"/>
        <v>0</v>
      </c>
      <c r="M116" s="647">
        <f t="shared" si="15"/>
        <v>0</v>
      </c>
      <c r="N116" s="650">
        <f t="shared" si="16"/>
        <v>100</v>
      </c>
      <c r="O116" s="383">
        <v>55.9</v>
      </c>
      <c r="P116" s="384"/>
      <c r="Q116" s="384"/>
      <c r="R116" s="385">
        <f>O116+P116+Q116</f>
        <v>55.9</v>
      </c>
      <c r="S116" s="334">
        <v>2</v>
      </c>
      <c r="T116" s="357"/>
      <c r="V116" s="343" t="s">
        <v>805</v>
      </c>
      <c r="W116" s="334" t="s">
        <v>74</v>
      </c>
      <c r="X116" s="334" t="s">
        <v>11</v>
      </c>
      <c r="Y116" s="344">
        <v>47.1</v>
      </c>
      <c r="Z116" s="334" t="s">
        <v>72</v>
      </c>
      <c r="AA116" s="334" t="s">
        <v>88</v>
      </c>
      <c r="AB116" s="334" t="s">
        <v>11</v>
      </c>
      <c r="AC116" s="334">
        <v>8.8000000000000007</v>
      </c>
      <c r="AD116" s="343"/>
      <c r="AG116" s="344"/>
      <c r="AL116" s="343"/>
      <c r="AO116" s="344"/>
      <c r="AP116" s="343"/>
      <c r="AS116" s="344"/>
      <c r="AW116" s="344"/>
      <c r="BA116" s="345"/>
    </row>
    <row r="117" spans="1:53" s="605" customFormat="1" x14ac:dyDescent="0.15">
      <c r="A117" s="606">
        <v>2014</v>
      </c>
      <c r="B117" s="606"/>
      <c r="C117" s="812" t="s">
        <v>813</v>
      </c>
      <c r="D117" s="812"/>
      <c r="E117" s="606">
        <v>0</v>
      </c>
      <c r="F117" s="606"/>
      <c r="G117" s="614">
        <v>23</v>
      </c>
      <c r="H117" s="606"/>
      <c r="I117" s="606"/>
      <c r="J117" s="615">
        <v>23</v>
      </c>
      <c r="K117" s="647">
        <f t="shared" si="13"/>
        <v>100</v>
      </c>
      <c r="L117" s="647">
        <f t="shared" si="14"/>
        <v>0</v>
      </c>
      <c r="M117" s="647">
        <f t="shared" si="15"/>
        <v>0</v>
      </c>
      <c r="N117" s="650">
        <f t="shared" si="16"/>
        <v>100</v>
      </c>
      <c r="O117" s="611">
        <v>55.9</v>
      </c>
      <c r="P117" s="612"/>
      <c r="Q117" s="612"/>
      <c r="R117" s="613">
        <v>55.9</v>
      </c>
      <c r="S117" s="606">
        <v>2</v>
      </c>
      <c r="T117" s="610"/>
      <c r="U117" s="606"/>
      <c r="V117" s="607" t="s">
        <v>805</v>
      </c>
      <c r="W117" s="606" t="s">
        <v>74</v>
      </c>
      <c r="X117" s="606" t="s">
        <v>11</v>
      </c>
      <c r="Y117" s="608">
        <v>47.1</v>
      </c>
      <c r="Z117" s="606" t="s">
        <v>72</v>
      </c>
      <c r="AA117" s="606" t="s">
        <v>88</v>
      </c>
      <c r="AB117" s="606" t="s">
        <v>11</v>
      </c>
      <c r="AC117" s="606">
        <v>8.8000000000000007</v>
      </c>
      <c r="AD117" s="607"/>
      <c r="AE117" s="606"/>
      <c r="AF117" s="606"/>
      <c r="AG117" s="608"/>
      <c r="AH117" s="606"/>
      <c r="AI117" s="606"/>
      <c r="AJ117" s="606"/>
      <c r="AK117" s="606"/>
      <c r="AL117" s="607"/>
      <c r="AM117" s="606"/>
      <c r="AN117" s="606"/>
      <c r="AO117" s="608"/>
      <c r="AP117" s="607"/>
      <c r="AQ117" s="606"/>
      <c r="AR117" s="606"/>
      <c r="AS117" s="608"/>
      <c r="AT117" s="606"/>
      <c r="AU117" s="606"/>
      <c r="AV117" s="606"/>
      <c r="AW117" s="608"/>
      <c r="AX117" s="606"/>
      <c r="AY117" s="606"/>
      <c r="AZ117" s="606"/>
      <c r="BA117" s="609"/>
    </row>
    <row r="118" spans="1:53" s="606" customFormat="1" x14ac:dyDescent="0.15">
      <c r="A118" s="617">
        <v>2014</v>
      </c>
      <c r="B118" s="617"/>
      <c r="C118" s="812" t="s">
        <v>813</v>
      </c>
      <c r="D118" s="812"/>
      <c r="E118" s="617">
        <v>365</v>
      </c>
      <c r="F118" s="617"/>
      <c r="G118" s="625">
        <v>23</v>
      </c>
      <c r="H118" s="617"/>
      <c r="I118" s="617"/>
      <c r="J118" s="626">
        <v>23</v>
      </c>
      <c r="K118" s="647">
        <f t="shared" si="13"/>
        <v>100</v>
      </c>
      <c r="L118" s="647">
        <f t="shared" si="14"/>
        <v>0</v>
      </c>
      <c r="M118" s="647">
        <f t="shared" si="15"/>
        <v>0</v>
      </c>
      <c r="N118" s="650">
        <f t="shared" si="16"/>
        <v>100</v>
      </c>
      <c r="O118" s="622">
        <v>55.9</v>
      </c>
      <c r="P118" s="623"/>
      <c r="Q118" s="623"/>
      <c r="R118" s="624">
        <v>55.9</v>
      </c>
      <c r="S118" s="617">
        <v>2</v>
      </c>
      <c r="T118" s="621"/>
      <c r="U118" s="617"/>
      <c r="V118" s="618" t="s">
        <v>805</v>
      </c>
      <c r="W118" s="617" t="s">
        <v>74</v>
      </c>
      <c r="X118" s="617" t="s">
        <v>11</v>
      </c>
      <c r="Y118" s="619">
        <v>47.1</v>
      </c>
      <c r="Z118" s="617" t="s">
        <v>72</v>
      </c>
      <c r="AA118" s="617" t="s">
        <v>88</v>
      </c>
      <c r="AB118" s="617" t="s">
        <v>11</v>
      </c>
      <c r="AC118" s="617">
        <v>8.8000000000000007</v>
      </c>
      <c r="AD118" s="618"/>
      <c r="AE118" s="617"/>
      <c r="AF118" s="617"/>
      <c r="AG118" s="619"/>
      <c r="AH118" s="617"/>
      <c r="AI118" s="617"/>
      <c r="AJ118" s="617"/>
      <c r="AK118" s="617"/>
      <c r="AL118" s="618"/>
      <c r="AM118" s="617"/>
      <c r="AN118" s="617"/>
      <c r="AO118" s="619"/>
      <c r="AP118" s="618"/>
      <c r="AQ118" s="617"/>
      <c r="AR118" s="617"/>
      <c r="AS118" s="619"/>
      <c r="AT118" s="617"/>
      <c r="AU118" s="617"/>
      <c r="AV118" s="617"/>
      <c r="AW118" s="619"/>
      <c r="AX118" s="617"/>
      <c r="AY118" s="617"/>
      <c r="AZ118" s="617"/>
      <c r="BA118" s="620"/>
    </row>
    <row r="119" spans="1:53" s="770" customFormat="1" x14ac:dyDescent="0.15">
      <c r="A119" s="770">
        <v>2015</v>
      </c>
      <c r="C119" s="812" t="s">
        <v>813</v>
      </c>
      <c r="D119" s="812"/>
      <c r="E119" s="770">
        <v>127</v>
      </c>
      <c r="G119" s="649">
        <v>23</v>
      </c>
      <c r="J119" s="651">
        <v>23</v>
      </c>
      <c r="K119" s="647">
        <f t="shared" si="13"/>
        <v>100</v>
      </c>
      <c r="L119" s="647">
        <f t="shared" si="14"/>
        <v>0</v>
      </c>
      <c r="M119" s="647">
        <f t="shared" si="15"/>
        <v>0</v>
      </c>
      <c r="N119" s="650">
        <f t="shared" si="16"/>
        <v>100</v>
      </c>
      <c r="O119" s="646">
        <v>55.9</v>
      </c>
      <c r="P119" s="647"/>
      <c r="Q119" s="647"/>
      <c r="R119" s="648">
        <v>55.9</v>
      </c>
      <c r="S119" s="770">
        <v>2</v>
      </c>
      <c r="T119" s="645"/>
      <c r="V119" s="641" t="s">
        <v>805</v>
      </c>
      <c r="W119" s="770" t="s">
        <v>74</v>
      </c>
      <c r="X119" s="770" t="s">
        <v>11</v>
      </c>
      <c r="Y119" s="642">
        <v>47.1</v>
      </c>
      <c r="Z119" s="770" t="s">
        <v>72</v>
      </c>
      <c r="AA119" s="770" t="s">
        <v>88</v>
      </c>
      <c r="AB119" s="770" t="s">
        <v>11</v>
      </c>
      <c r="AC119" s="770">
        <v>8.8000000000000007</v>
      </c>
      <c r="AD119" s="641"/>
      <c r="AG119" s="642"/>
      <c r="AL119" s="641"/>
      <c r="AO119" s="642"/>
      <c r="AP119" s="641"/>
      <c r="AS119" s="642"/>
      <c r="AW119" s="642"/>
      <c r="BA119" s="643"/>
    </row>
    <row r="120" spans="1:53" s="769" customFormat="1" x14ac:dyDescent="0.15">
      <c r="A120" s="769">
        <v>2015</v>
      </c>
      <c r="B120" s="765">
        <v>42132</v>
      </c>
      <c r="C120" s="811" t="s">
        <v>1354</v>
      </c>
      <c r="D120" s="811"/>
      <c r="E120" s="769">
        <v>238</v>
      </c>
      <c r="F120" s="769">
        <v>1</v>
      </c>
      <c r="G120" s="600">
        <v>22</v>
      </c>
      <c r="J120" s="602">
        <v>22</v>
      </c>
      <c r="K120" s="597">
        <f t="shared" si="13"/>
        <v>100</v>
      </c>
      <c r="L120" s="597">
        <f t="shared" si="14"/>
        <v>0</v>
      </c>
      <c r="M120" s="597">
        <f t="shared" si="15"/>
        <v>0</v>
      </c>
      <c r="N120" s="601">
        <f t="shared" si="16"/>
        <v>100</v>
      </c>
      <c r="O120" s="596">
        <v>50.9</v>
      </c>
      <c r="P120" s="597"/>
      <c r="Q120" s="597"/>
      <c r="R120" s="598">
        <v>50.9</v>
      </c>
      <c r="S120" s="769">
        <v>1</v>
      </c>
      <c r="T120" s="599">
        <v>42131</v>
      </c>
      <c r="U120" s="765">
        <v>42132</v>
      </c>
      <c r="V120" s="592" t="s">
        <v>805</v>
      </c>
      <c r="W120" s="769" t="s">
        <v>74</v>
      </c>
      <c r="X120" s="769" t="s">
        <v>11</v>
      </c>
      <c r="Y120" s="593">
        <v>50.9</v>
      </c>
      <c r="AD120" s="592"/>
      <c r="AG120" s="593"/>
      <c r="AL120" s="592"/>
      <c r="AO120" s="593"/>
      <c r="AP120" s="592"/>
      <c r="AS120" s="593"/>
      <c r="AW120" s="593"/>
      <c r="BA120" s="594"/>
    </row>
    <row r="121" spans="1:53" x14ac:dyDescent="0.15">
      <c r="Y121" s="23"/>
    </row>
    <row r="123" spans="1:53" s="2" customFormat="1" ht="18" customHeight="1" x14ac:dyDescent="0.2">
      <c r="B123" s="22" t="s">
        <v>1284</v>
      </c>
      <c r="H123" s="6"/>
    </row>
    <row r="124" spans="1:53" s="2" customFormat="1" ht="9" customHeight="1" x14ac:dyDescent="0.15">
      <c r="H124" s="6"/>
    </row>
    <row r="125" spans="1:53" s="364" customFormat="1" ht="9" customHeight="1" x14ac:dyDescent="0.15">
      <c r="A125" s="362"/>
      <c r="B125" s="363" t="s">
        <v>1235</v>
      </c>
      <c r="C125" s="363"/>
      <c r="D125" s="363"/>
      <c r="E125" s="363"/>
      <c r="F125" s="363"/>
      <c r="G125" s="363" t="s">
        <v>1236</v>
      </c>
      <c r="H125" s="363"/>
      <c r="I125" s="363"/>
      <c r="J125" s="363"/>
      <c r="K125" s="363"/>
      <c r="L125" s="363"/>
      <c r="M125" s="363"/>
      <c r="N125" s="363"/>
      <c r="R125" s="802" t="s">
        <v>1237</v>
      </c>
      <c r="S125" s="802"/>
      <c r="T125" s="802"/>
      <c r="U125" s="802"/>
      <c r="V125" s="802"/>
      <c r="W125" s="802"/>
      <c r="X125" s="365"/>
      <c r="Y125" s="365"/>
      <c r="AA125" s="365"/>
      <c r="AB125" s="365"/>
      <c r="AC125" s="365"/>
      <c r="AD125" s="365"/>
    </row>
    <row r="126" spans="1:53" s="369" customFormat="1" ht="9" customHeight="1" x14ac:dyDescent="0.15">
      <c r="A126" s="366"/>
      <c r="B126" s="367" t="s">
        <v>1239</v>
      </c>
      <c r="C126" s="368"/>
      <c r="D126" s="368"/>
      <c r="E126" s="368"/>
      <c r="F126" s="368"/>
      <c r="G126" s="367" t="s">
        <v>1238</v>
      </c>
      <c r="H126" s="368"/>
      <c r="I126" s="368"/>
      <c r="J126" s="368"/>
      <c r="K126" s="368"/>
      <c r="L126" s="368"/>
      <c r="M126" s="368"/>
      <c r="N126" s="368"/>
      <c r="R126" s="370" t="s">
        <v>1240</v>
      </c>
      <c r="S126" s="371"/>
      <c r="T126" s="372"/>
      <c r="U126" s="372"/>
      <c r="V126" s="372"/>
      <c r="W126" s="370" t="s">
        <v>1241</v>
      </c>
      <c r="X126" s="372"/>
      <c r="Y126" s="372"/>
      <c r="AA126" s="372"/>
      <c r="AB126" s="372"/>
      <c r="AC126" s="372"/>
      <c r="AD126" s="372"/>
    </row>
    <row r="127" spans="1:53" s="351" customFormat="1" ht="12" customHeight="1" x14ac:dyDescent="0.15">
      <c r="A127" s="373" t="s">
        <v>3</v>
      </c>
      <c r="B127" s="374" t="s">
        <v>8</v>
      </c>
      <c r="C127" s="374" t="s">
        <v>9</v>
      </c>
      <c r="D127" s="374" t="s">
        <v>10</v>
      </c>
      <c r="E127" s="375" t="s">
        <v>1215</v>
      </c>
      <c r="F127" s="374"/>
      <c r="G127" s="351" t="s">
        <v>3</v>
      </c>
      <c r="H127" s="803" t="s">
        <v>0</v>
      </c>
      <c r="I127" s="803"/>
      <c r="J127" s="803" t="s">
        <v>1</v>
      </c>
      <c r="K127" s="803"/>
      <c r="L127" s="803" t="s">
        <v>2</v>
      </c>
      <c r="M127" s="803"/>
      <c r="N127" s="804" t="s">
        <v>1215</v>
      </c>
      <c r="O127" s="804"/>
      <c r="P127" s="376"/>
      <c r="Q127" s="376"/>
      <c r="R127" s="377" t="s">
        <v>3</v>
      </c>
      <c r="S127" s="378" t="s">
        <v>136</v>
      </c>
      <c r="T127" s="376" t="s">
        <v>134</v>
      </c>
      <c r="U127" s="374" t="s">
        <v>135</v>
      </c>
      <c r="V127" s="376"/>
      <c r="W127" s="379" t="s">
        <v>26</v>
      </c>
    </row>
    <row r="128" spans="1:53" s="273" customFormat="1" x14ac:dyDescent="0.15">
      <c r="A128" s="273">
        <v>1959</v>
      </c>
      <c r="B128" s="260">
        <f>(K6*($E6/365)) + (K7*($E7/365))</f>
        <v>100</v>
      </c>
      <c r="C128" s="260">
        <f>(L6*($E6/365)) + (L7*($E7/365))</f>
        <v>0</v>
      </c>
      <c r="D128" s="260">
        <f>(M6*($E6/365)) + (M7*($E7/365))</f>
        <v>0</v>
      </c>
      <c r="E128" s="261">
        <f>B128+C128+D128</f>
        <v>100</v>
      </c>
      <c r="G128" s="273">
        <v>1959</v>
      </c>
      <c r="H128" s="819">
        <f>(O6/$R6*100*($E6/365))+(O7/$R7*100*($E7/365))</f>
        <v>100</v>
      </c>
      <c r="I128" s="819"/>
      <c r="J128" s="819">
        <f>(P6/$R6*100*($E6/365))+(P7/$R7*100*($E7/365))</f>
        <v>0</v>
      </c>
      <c r="K128" s="819"/>
      <c r="L128" s="819">
        <f>(Q6/$R6*100*($E6/365))+(Q7/$R7*100*($E7/365))</f>
        <v>0</v>
      </c>
      <c r="M128" s="819"/>
      <c r="N128" s="813">
        <f>H128+J128+L128</f>
        <v>100</v>
      </c>
      <c r="O128" s="813"/>
      <c r="R128" s="273">
        <v>1959</v>
      </c>
      <c r="S128" s="260">
        <f>(O6*($E6/365)) + (O7*($E7/365))</f>
        <v>52.789041095890411</v>
      </c>
      <c r="T128" s="260">
        <f>(P6*($E6/365)) + (P7*($E7/365))</f>
        <v>0</v>
      </c>
      <c r="U128" s="260">
        <f>(Q6*($E6/365)) + (Q7*($E7/365))</f>
        <v>0</v>
      </c>
      <c r="V128" s="274"/>
      <c r="W128" s="274">
        <f>S128+T128+U128</f>
        <v>52.789041095890411</v>
      </c>
    </row>
    <row r="129" spans="1:23" x14ac:dyDescent="0.15">
      <c r="A129" s="1">
        <v>1960</v>
      </c>
      <c r="B129" s="8">
        <f>(K8*($E8/366))+(K9*($E9/366))</f>
        <v>100</v>
      </c>
      <c r="C129" s="8">
        <f>(L8*($E8/366))+(L9*($E9/366))</f>
        <v>0</v>
      </c>
      <c r="D129" s="8">
        <f>(M8*($E8/366))+(M9*($E9/366))</f>
        <v>0</v>
      </c>
      <c r="E129" s="50">
        <f>B129+C129+D129</f>
        <v>100</v>
      </c>
      <c r="G129" s="1">
        <v>1960</v>
      </c>
      <c r="H129" s="809">
        <f>(O8/$R8*100*($E8/366))+(O9/$R9*100*($E9/366))</f>
        <v>100</v>
      </c>
      <c r="I129" s="809"/>
      <c r="J129" s="809">
        <f>(P8/$R8*100*($E8/366))+(P9/$R9*100*($E9/366))</f>
        <v>0</v>
      </c>
      <c r="K129" s="809"/>
      <c r="L129" s="809">
        <f>(Q8/$R8*100*($E8/366))+(Q9/$R9*100*($E9/366))</f>
        <v>0</v>
      </c>
      <c r="M129" s="809"/>
      <c r="N129" s="810">
        <f t="shared" ref="N129:N160" si="17">H129+J129+L129</f>
        <v>100</v>
      </c>
      <c r="O129" s="810"/>
      <c r="R129" s="1">
        <v>1960</v>
      </c>
      <c r="S129" s="8">
        <f>(O8*($E8/366))+(O9*($E9/366))</f>
        <v>57.9</v>
      </c>
      <c r="T129" s="8">
        <f>(P8*($E8/366))+(P9*($E9/366))</f>
        <v>0</v>
      </c>
      <c r="U129" s="8">
        <f>(Q8*($E8/366))+(Q9*($E9/366))</f>
        <v>0</v>
      </c>
      <c r="V129" s="7"/>
      <c r="W129" s="7">
        <f>S129+T129+U129</f>
        <v>57.9</v>
      </c>
    </row>
    <row r="130" spans="1:23" x14ac:dyDescent="0.15">
      <c r="A130" s="1">
        <v>1961</v>
      </c>
      <c r="B130" s="8">
        <f>(K10*($E10/365))+(K11*($E11/365))</f>
        <v>100</v>
      </c>
      <c r="C130" s="8">
        <f>(L10*($E10/365))+(L11*($E11/365))</f>
        <v>0</v>
      </c>
      <c r="D130" s="8">
        <f>(M10*($E10/365))+(M11*($E11/365))</f>
        <v>0</v>
      </c>
      <c r="E130" s="50">
        <f t="shared" ref="E130:E182" si="18">B130+C130+D130</f>
        <v>100</v>
      </c>
      <c r="G130" s="1">
        <v>1961</v>
      </c>
      <c r="H130" s="809">
        <f>(O10/$R10*100*($E10/365))+(O11/$R11*100*($E11/365))</f>
        <v>100</v>
      </c>
      <c r="I130" s="809"/>
      <c r="J130" s="809">
        <f>(P10/$R10*100*($E10/365))+(P11/$R11*100*($E11/365))</f>
        <v>0</v>
      </c>
      <c r="K130" s="809"/>
      <c r="L130" s="809">
        <f>(Q10/$R10*100*($E10/365))+(Q11/$R11*100*($E11/365))</f>
        <v>0</v>
      </c>
      <c r="M130" s="809"/>
      <c r="N130" s="781">
        <f t="shared" si="17"/>
        <v>100</v>
      </c>
      <c r="O130" s="781"/>
      <c r="R130" s="1">
        <v>1961</v>
      </c>
      <c r="S130" s="8">
        <f>(O10*($E10/365))+(O11*($E11/365))</f>
        <v>57.9</v>
      </c>
      <c r="T130" s="8">
        <f>(P10*($E10/365))+(P11*($E11/365))</f>
        <v>0</v>
      </c>
      <c r="U130" s="8">
        <f>(Q10*($E10/365))+(Q11*($E11/365))</f>
        <v>0</v>
      </c>
      <c r="V130" s="7"/>
      <c r="W130" s="7">
        <f t="shared" ref="W130:W182" si="19">S130+T130+U130</f>
        <v>57.9</v>
      </c>
    </row>
    <row r="131" spans="1:23" x14ac:dyDescent="0.15">
      <c r="A131" s="1">
        <v>1962</v>
      </c>
      <c r="B131" s="8">
        <f>(K12*($E12/365))+(K13*($E13/365))</f>
        <v>100</v>
      </c>
      <c r="C131" s="8">
        <f>(L12*($E12/365))+(L13*($E13/365))</f>
        <v>0</v>
      </c>
      <c r="D131" s="8">
        <f>(M12*($E12/365))+(M13*($E13/365))</f>
        <v>0</v>
      </c>
      <c r="E131" s="50">
        <f t="shared" si="18"/>
        <v>100</v>
      </c>
      <c r="G131" s="1">
        <v>1962</v>
      </c>
      <c r="H131" s="809">
        <f>(O12/$R12*100*($E12/365))+(O13/$R13*100*($E13/365))</f>
        <v>100</v>
      </c>
      <c r="I131" s="809"/>
      <c r="J131" s="809">
        <f>(P12/$R12*100*($E12/365))+(P13/$R13*100*($E13/365))</f>
        <v>0</v>
      </c>
      <c r="K131" s="809"/>
      <c r="L131" s="809">
        <f>(Q12/$R12*100*($E12/365))+(Q13/$R13*100*($E13/365))</f>
        <v>0</v>
      </c>
      <c r="M131" s="809"/>
      <c r="N131" s="781">
        <f t="shared" si="17"/>
        <v>100</v>
      </c>
      <c r="O131" s="781"/>
      <c r="R131" s="1">
        <v>1962</v>
      </c>
      <c r="S131" s="8">
        <f>(O12*($E12/365))+(O13*($E13/365))</f>
        <v>57.9</v>
      </c>
      <c r="T131" s="8">
        <f>(P12*($E12/365))+(P13*($E13/365))</f>
        <v>0</v>
      </c>
      <c r="U131" s="8">
        <f>(Q12*($E12/365))+(Q13*($E13/365))</f>
        <v>0</v>
      </c>
      <c r="V131" s="7"/>
      <c r="W131" s="7">
        <f t="shared" si="19"/>
        <v>57.9</v>
      </c>
    </row>
    <row r="132" spans="1:23" x14ac:dyDescent="0.15">
      <c r="A132" s="1">
        <v>1963</v>
      </c>
      <c r="B132" s="8">
        <f>(K14*($E14/365))+(K15*($E15/365))</f>
        <v>100</v>
      </c>
      <c r="C132" s="8">
        <f>(L14*($E14/365))+(L15*($E15/365))</f>
        <v>0</v>
      </c>
      <c r="D132" s="8">
        <f>(M14*($E14/365))+(M15*($E15/365))</f>
        <v>0</v>
      </c>
      <c r="E132" s="50">
        <f t="shared" si="18"/>
        <v>100</v>
      </c>
      <c r="G132" s="1">
        <v>1963</v>
      </c>
      <c r="H132" s="809">
        <f>(O14/$R14*100*($E14/365))+(O15/$R15*100*($E15/365))</f>
        <v>100</v>
      </c>
      <c r="I132" s="809"/>
      <c r="J132" s="809">
        <f>(P14/$R14*100*($E14/365))+(P15/$R15*100*($E15/365))</f>
        <v>0</v>
      </c>
      <c r="K132" s="809"/>
      <c r="L132" s="809">
        <f>(Q14/$R14*100*($E14/365))+(Q15/$R15*100*($E15/365))</f>
        <v>0</v>
      </c>
      <c r="M132" s="809"/>
      <c r="N132" s="781">
        <f t="shared" si="17"/>
        <v>100</v>
      </c>
      <c r="O132" s="781"/>
      <c r="R132" s="1">
        <v>1963</v>
      </c>
      <c r="S132" s="8">
        <f>(O14*($E14/365))+(O15*($E15/365))</f>
        <v>57.9</v>
      </c>
      <c r="T132" s="8">
        <f>(P14*($E14/365))+(P15*($E15/365))</f>
        <v>0</v>
      </c>
      <c r="U132" s="8">
        <f>(Q14*($E14/365))+(Q15*($E15/365))</f>
        <v>0</v>
      </c>
      <c r="V132" s="7"/>
      <c r="W132" s="7">
        <f t="shared" si="19"/>
        <v>57.9</v>
      </c>
    </row>
    <row r="133" spans="1:23" x14ac:dyDescent="0.15">
      <c r="A133" s="1">
        <v>1964</v>
      </c>
      <c r="B133" s="8">
        <f>(K16*($E16/366))+(K17*($E17/366))</f>
        <v>79.234972677595621</v>
      </c>
      <c r="C133" s="8">
        <f>(L16*($E16/366))+(L17*($E17/366))</f>
        <v>0</v>
      </c>
      <c r="D133" s="8">
        <f>(M16*($E16/366))+(M17*($E17/366))</f>
        <v>20.765027322404372</v>
      </c>
      <c r="E133" s="50">
        <f t="shared" si="18"/>
        <v>100</v>
      </c>
      <c r="G133" s="1">
        <v>1964</v>
      </c>
      <c r="H133" s="809">
        <f>(O16/$R16*100*($E16/366))+(O17/$R17*100*($E17/366))</f>
        <v>79.234972677595621</v>
      </c>
      <c r="I133" s="809"/>
      <c r="J133" s="809">
        <f>(P16/$R16*100*($E16/366))+(P17/$R17*100*($E17/366))</f>
        <v>0</v>
      </c>
      <c r="K133" s="809"/>
      <c r="L133" s="809">
        <f>(Q16/$R16*100*($E16/366))+(Q17/$R17*100*($E17/366))</f>
        <v>20.765027322404372</v>
      </c>
      <c r="M133" s="809"/>
      <c r="N133" s="781">
        <f t="shared" si="17"/>
        <v>100</v>
      </c>
      <c r="O133" s="781"/>
      <c r="R133" s="1">
        <v>1964</v>
      </c>
      <c r="S133" s="8">
        <f>(O16*($E16/366))+(O17*($E17/366))</f>
        <v>45.877049180327866</v>
      </c>
      <c r="T133" s="8">
        <f>(P16*($E16/366))+(P17*($E17/366))</f>
        <v>0</v>
      </c>
      <c r="U133" s="8">
        <f>(Q16*($E16/366))+(Q17*($E17/366))</f>
        <v>10.444808743169398</v>
      </c>
      <c r="V133" s="7"/>
      <c r="W133" s="7">
        <f t="shared" si="19"/>
        <v>56.321857923497262</v>
      </c>
    </row>
    <row r="134" spans="1:23" x14ac:dyDescent="0.15">
      <c r="A134" s="1">
        <v>1965</v>
      </c>
      <c r="B134" s="8">
        <f>(K18*($E18/365))+(K19*($E19/365))</f>
        <v>0</v>
      </c>
      <c r="C134" s="8">
        <f>(L18*($E18/365))+(L19*($E19/365))</f>
        <v>0</v>
      </c>
      <c r="D134" s="8">
        <f>(M18*($E18/365))+(M19*($E19/365))</f>
        <v>100</v>
      </c>
      <c r="E134" s="50">
        <f t="shared" si="18"/>
        <v>100</v>
      </c>
      <c r="G134" s="1">
        <v>1965</v>
      </c>
      <c r="H134" s="809">
        <f>(O18/$R18*100*($E18/365))+(O19/$R19*100*($E19/365))</f>
        <v>0</v>
      </c>
      <c r="I134" s="809"/>
      <c r="J134" s="809">
        <f>(P18/$R18*100*($E18/365))+(P19/$R19*100*($E19/365))</f>
        <v>0</v>
      </c>
      <c r="K134" s="809"/>
      <c r="L134" s="809">
        <f>(Q18/$R18*100*($E18/365))+(Q19/$R19*100*($E19/365))</f>
        <v>100</v>
      </c>
      <c r="M134" s="809"/>
      <c r="N134" s="781">
        <f t="shared" si="17"/>
        <v>100</v>
      </c>
      <c r="O134" s="781"/>
      <c r="R134" s="1">
        <v>1965</v>
      </c>
      <c r="S134" s="8">
        <f>(O18*($E18/365))+(O19*($E19/365))</f>
        <v>0</v>
      </c>
      <c r="T134" s="8">
        <f>(P18*($E18/365))+(P19*($E19/365))</f>
        <v>0</v>
      </c>
      <c r="U134" s="8">
        <f>(Q18*($E18/365))+(Q19*($E19/365))</f>
        <v>50.3</v>
      </c>
      <c r="V134" s="7"/>
      <c r="W134" s="7">
        <f t="shared" si="19"/>
        <v>50.3</v>
      </c>
    </row>
    <row r="135" spans="1:23" x14ac:dyDescent="0.15">
      <c r="A135" s="1">
        <v>1966</v>
      </c>
      <c r="B135" s="8">
        <f>(K20*($E20/365))+(K21*($E21/365))</f>
        <v>0</v>
      </c>
      <c r="C135" s="8">
        <f>(L20*($E20/365))+(L21*($E21/365))</f>
        <v>0</v>
      </c>
      <c r="D135" s="8">
        <f>(M20*($E20/365))+(M21*($E21/365))</f>
        <v>100</v>
      </c>
      <c r="E135" s="50">
        <f t="shared" si="18"/>
        <v>100</v>
      </c>
      <c r="G135" s="1">
        <v>1966</v>
      </c>
      <c r="H135" s="809">
        <f>(O20/$R20*100*($E20/365))+(O21/$R21*100*($E21/365))</f>
        <v>0</v>
      </c>
      <c r="I135" s="809"/>
      <c r="J135" s="809">
        <f>(P20/$R20*100*($E20/365))+(P21/$R21*100*($E21/365))</f>
        <v>0</v>
      </c>
      <c r="K135" s="809"/>
      <c r="L135" s="809">
        <f>(Q20/$R20*100*($E20/365))+(Q21/$R21*100*($E21/365))</f>
        <v>100</v>
      </c>
      <c r="M135" s="809"/>
      <c r="N135" s="781">
        <f t="shared" si="17"/>
        <v>100</v>
      </c>
      <c r="O135" s="781"/>
      <c r="R135" s="1">
        <v>1966</v>
      </c>
      <c r="S135" s="8">
        <f>(O20*($E20/365))+(O21*($E21/365))</f>
        <v>0</v>
      </c>
      <c r="T135" s="8">
        <f>(P20*($E20/365))+(P21*($E21/365))</f>
        <v>0</v>
      </c>
      <c r="U135" s="8">
        <f>(Q20*($E20/365))+(Q21*($E21/365))</f>
        <v>55.847945205479448</v>
      </c>
      <c r="V135" s="7"/>
      <c r="W135" s="7">
        <f t="shared" si="19"/>
        <v>55.847945205479448</v>
      </c>
    </row>
    <row r="136" spans="1:23" x14ac:dyDescent="0.15">
      <c r="A136" s="1">
        <v>1967</v>
      </c>
      <c r="B136" s="8">
        <f>(K22*($E22/365))+(K23*($E23/365))</f>
        <v>0</v>
      </c>
      <c r="C136" s="8">
        <f>(L22*($E22/365))+(L23*($E23/365))</f>
        <v>0</v>
      </c>
      <c r="D136" s="8">
        <f>(M22*($E22/365))+(M23*($E23/365))</f>
        <v>100</v>
      </c>
      <c r="E136" s="50">
        <f t="shared" si="18"/>
        <v>100</v>
      </c>
      <c r="G136" s="1">
        <v>1967</v>
      </c>
      <c r="H136" s="809">
        <f>(O22/$R22*100*($E22/365))+(O23/$R23*100*($E23/365))</f>
        <v>0</v>
      </c>
      <c r="I136" s="809"/>
      <c r="J136" s="809">
        <f>(P22/$R22*100*($E22/365))+(P23/$R23*100*($E23/365))</f>
        <v>0</v>
      </c>
      <c r="K136" s="809"/>
      <c r="L136" s="809">
        <f>(Q22/$R22*100*($E22/365))+(Q23/$R23*100*($E23/365))</f>
        <v>100</v>
      </c>
      <c r="M136" s="809"/>
      <c r="N136" s="781">
        <f t="shared" si="17"/>
        <v>100</v>
      </c>
      <c r="O136" s="781"/>
      <c r="R136" s="1">
        <v>1967</v>
      </c>
      <c r="S136" s="8">
        <f>(O22*($E22/365))+(O23*($E23/365))</f>
        <v>0</v>
      </c>
      <c r="T136" s="8">
        <f>(P22*($E22/365))+(P23*($E23/365))</f>
        <v>0</v>
      </c>
      <c r="U136" s="8">
        <f>(Q22*($E22/365))+(Q23*($E23/365))</f>
        <v>57.8</v>
      </c>
      <c r="V136" s="7"/>
      <c r="W136" s="7">
        <f t="shared" si="19"/>
        <v>57.8</v>
      </c>
    </row>
    <row r="137" spans="1:23" x14ac:dyDescent="0.15">
      <c r="A137" s="1">
        <v>1968</v>
      </c>
      <c r="B137" s="8">
        <f>(K24*($E24/366))+(K25*($E25/366))</f>
        <v>0</v>
      </c>
      <c r="C137" s="8">
        <f>(L24*($E24/366))+(L25*($E25/366))</f>
        <v>0</v>
      </c>
      <c r="D137" s="8">
        <f>(M24*($E24/366))+(M25*($E25/366))</f>
        <v>100</v>
      </c>
      <c r="E137" s="50">
        <f t="shared" si="18"/>
        <v>100</v>
      </c>
      <c r="G137" s="1">
        <v>1968</v>
      </c>
      <c r="H137" s="809">
        <f>(O24/$R24*100*($E24/366))+(O25/$R25*100*($E25/366))</f>
        <v>0</v>
      </c>
      <c r="I137" s="809"/>
      <c r="J137" s="809">
        <f>(P24/$R24*100*($E24/366))+(P25/$R25*100*($E25/366))</f>
        <v>0</v>
      </c>
      <c r="K137" s="809"/>
      <c r="L137" s="809">
        <f>(Q24/$R24*100*($E24/366))+(Q25/$R25*100*($E25/366))</f>
        <v>100</v>
      </c>
      <c r="M137" s="809"/>
      <c r="N137" s="781">
        <f t="shared" si="17"/>
        <v>100</v>
      </c>
      <c r="O137" s="781"/>
      <c r="R137" s="1">
        <v>1968</v>
      </c>
      <c r="S137" s="8">
        <f>(O24*($E24/366))+(O25*($E25/366))</f>
        <v>0</v>
      </c>
      <c r="T137" s="8">
        <f>(P24*($E24/366))+(P25*($E25/366))</f>
        <v>0</v>
      </c>
      <c r="U137" s="8">
        <f>(Q24*($E24/366))+(Q25*($E25/366))</f>
        <v>57.8</v>
      </c>
      <c r="V137" s="7"/>
      <c r="W137" s="7">
        <f t="shared" si="19"/>
        <v>57.8</v>
      </c>
    </row>
    <row r="138" spans="1:23" x14ac:dyDescent="0.15">
      <c r="A138" s="1">
        <v>1969</v>
      </c>
      <c r="B138" s="8">
        <f>(K26*($E26/365))+(K27*($E27/365))</f>
        <v>0</v>
      </c>
      <c r="C138" s="8">
        <f>(L26*($E26/365))+(L27*($E27/365))</f>
        <v>0</v>
      </c>
      <c r="D138" s="8">
        <f>(M26*($E26/365))+(M27*($E27/365))</f>
        <v>100</v>
      </c>
      <c r="E138" s="50">
        <f t="shared" si="18"/>
        <v>100</v>
      </c>
      <c r="G138" s="1">
        <v>1969</v>
      </c>
      <c r="H138" s="809">
        <f>(O26/$R26*100*($E26/365))+(O27/$R27*100*($E27/365))</f>
        <v>0</v>
      </c>
      <c r="I138" s="809"/>
      <c r="J138" s="809">
        <f>(P26/$R26*100*($E26/365))+(P27/$R27*100*($E27/365))</f>
        <v>0</v>
      </c>
      <c r="K138" s="809"/>
      <c r="L138" s="809">
        <f>(Q26/$R26*100*($E26/365))+(Q27/$R27*100*($E27/365))</f>
        <v>100</v>
      </c>
      <c r="M138" s="809"/>
      <c r="N138" s="781">
        <f t="shared" si="17"/>
        <v>100</v>
      </c>
      <c r="O138" s="781"/>
      <c r="R138" s="1">
        <v>1969</v>
      </c>
      <c r="S138" s="8">
        <f>(O26*($E26/365))+(O27*($E27/365))</f>
        <v>0</v>
      </c>
      <c r="T138" s="8">
        <f>(P26*($E26/365))+(P27*($E27/365))</f>
        <v>0</v>
      </c>
      <c r="U138" s="8">
        <f>(Q26*($E26/365))+(Q27*($E27/365))</f>
        <v>57.8</v>
      </c>
      <c r="V138" s="7"/>
      <c r="W138" s="7">
        <f t="shared" si="19"/>
        <v>57.8</v>
      </c>
    </row>
    <row r="139" spans="1:23" x14ac:dyDescent="0.15">
      <c r="A139" s="1">
        <v>1970</v>
      </c>
      <c r="B139" s="8">
        <f>(K28*($E28/365))+(K29*($E29/365))</f>
        <v>53.424657534246577</v>
      </c>
      <c r="C139" s="8">
        <f>(L28*($E28/365))+(L29*($E29/365))</f>
        <v>0</v>
      </c>
      <c r="D139" s="8">
        <f>(M28*($E28/365))+(M29*($E29/365))</f>
        <v>46.575342465753423</v>
      </c>
      <c r="E139" s="50">
        <f t="shared" si="18"/>
        <v>100</v>
      </c>
      <c r="G139" s="1">
        <v>1970</v>
      </c>
      <c r="H139" s="809">
        <f>(O28/$R28*100*($E28/365))+(O29/$R29*100*($E29/365))</f>
        <v>53.424657534246577</v>
      </c>
      <c r="I139" s="809"/>
      <c r="J139" s="809">
        <f>(P28/$R28*100*($E28/365))+(P29/$R29*100*($E29/365))</f>
        <v>0</v>
      </c>
      <c r="K139" s="809"/>
      <c r="L139" s="809">
        <f>(Q28/$R28*100*($E28/365))+(Q29/$R29*100*($E29/365))</f>
        <v>46.575342465753423</v>
      </c>
      <c r="M139" s="809"/>
      <c r="N139" s="781">
        <f t="shared" si="17"/>
        <v>100</v>
      </c>
      <c r="O139" s="781"/>
      <c r="R139" s="1">
        <v>1970</v>
      </c>
      <c r="S139" s="8">
        <f>(O28*($E28/365))+(O29*($E29/365))</f>
        <v>27.994520547945207</v>
      </c>
      <c r="T139" s="8">
        <f>(P28*($E28/365))+(P29*($E29/365))</f>
        <v>0</v>
      </c>
      <c r="U139" s="8">
        <f>(Q28*($E28/365))+(Q29*($E29/365))</f>
        <v>26.920547945205477</v>
      </c>
      <c r="V139" s="7"/>
      <c r="W139" s="7">
        <f t="shared" si="19"/>
        <v>54.915068493150685</v>
      </c>
    </row>
    <row r="140" spans="1:23" x14ac:dyDescent="0.15">
      <c r="A140" s="1">
        <v>1971</v>
      </c>
      <c r="B140" s="8">
        <f>(K30*($E30/365))+(K31*($E31/365))</f>
        <v>100</v>
      </c>
      <c r="C140" s="8">
        <f>(L30*($E30/365))+(L31*($E31/365))</f>
        <v>0</v>
      </c>
      <c r="D140" s="8">
        <f>(M30*($E30/365))+(M31*($E31/365))</f>
        <v>0</v>
      </c>
      <c r="E140" s="50">
        <f t="shared" si="18"/>
        <v>100</v>
      </c>
      <c r="G140" s="1">
        <v>1971</v>
      </c>
      <c r="H140" s="809">
        <f>(O30/$R30*100*($E30/365))+(O31/$R31*100*($E31/365))</f>
        <v>100</v>
      </c>
      <c r="I140" s="809"/>
      <c r="J140" s="809">
        <f>(P30/$R30*100*($E30/365))+(P31/$R31*100*($E31/365))</f>
        <v>0</v>
      </c>
      <c r="K140" s="809"/>
      <c r="L140" s="809">
        <f>(Q30/$R30*100*($E30/365))+(Q31/$R31*100*($E31/365))</f>
        <v>0</v>
      </c>
      <c r="M140" s="809"/>
      <c r="N140" s="781">
        <f t="shared" si="17"/>
        <v>100</v>
      </c>
      <c r="O140" s="781"/>
      <c r="R140" s="1">
        <v>1971</v>
      </c>
      <c r="S140" s="8">
        <f>(O30*($E30/365))+(O31*($E31/365))</f>
        <v>52.4</v>
      </c>
      <c r="T140" s="8">
        <f>(P30*($E30/365))+(P31*($E31/365))</f>
        <v>0</v>
      </c>
      <c r="U140" s="8">
        <f>(Q30*($E30/365))+(Q31*($E31/365))</f>
        <v>0</v>
      </c>
      <c r="V140" s="7"/>
      <c r="W140" s="7">
        <f t="shared" si="19"/>
        <v>52.4</v>
      </c>
    </row>
    <row r="141" spans="1:23" x14ac:dyDescent="0.15">
      <c r="A141" s="1">
        <v>1972</v>
      </c>
      <c r="B141" s="8">
        <f>(K32*($E32/366))+(K33*($E33/366))</f>
        <v>100</v>
      </c>
      <c r="C141" s="8">
        <f>(L32*($E32/366))+(L33*($E33/366))</f>
        <v>0</v>
      </c>
      <c r="D141" s="8">
        <f>(M32*($E32/366))+(M33*($E33/366))</f>
        <v>0</v>
      </c>
      <c r="E141" s="50">
        <f t="shared" si="18"/>
        <v>100</v>
      </c>
      <c r="G141" s="1">
        <v>1972</v>
      </c>
      <c r="H141" s="809">
        <f>(O32/$R32*100*($E32/366))+(O33/$R33*100*($E33/366))</f>
        <v>100</v>
      </c>
      <c r="I141" s="809"/>
      <c r="J141" s="809">
        <f>(P32/$R32*100*($E32/366))+(P33/$R33*100*($E33/366))</f>
        <v>0</v>
      </c>
      <c r="K141" s="809"/>
      <c r="L141" s="809">
        <f>(Q32/$R32*100*($E32/366))+(Q33/$R33*100*($E33/366))</f>
        <v>0</v>
      </c>
      <c r="M141" s="809"/>
      <c r="N141" s="781">
        <f t="shared" si="17"/>
        <v>100</v>
      </c>
      <c r="O141" s="781"/>
      <c r="R141" s="1">
        <v>1972</v>
      </c>
      <c r="S141" s="8">
        <f>(O32*($E32/366))+(O33*($E33/366))</f>
        <v>52.4</v>
      </c>
      <c r="T141" s="8">
        <f>(P32*($E32/366))+(P33*($E33/366))</f>
        <v>0</v>
      </c>
      <c r="U141" s="8">
        <f>(Q32*($E32/366))+(Q33*($E33/366))</f>
        <v>0</v>
      </c>
      <c r="V141" s="7"/>
      <c r="W141" s="7">
        <f t="shared" si="19"/>
        <v>52.4</v>
      </c>
    </row>
    <row r="142" spans="1:23" x14ac:dyDescent="0.15">
      <c r="A142" s="1">
        <v>1973</v>
      </c>
      <c r="B142" s="8">
        <f>(K34*($E34/365))+(K35*($E35/365))</f>
        <v>100</v>
      </c>
      <c r="C142" s="8">
        <f>(L34*($E34/365))+(L35*($E35/365))</f>
        <v>0</v>
      </c>
      <c r="D142" s="8">
        <f>(M34*($E34/365))+(M35*($E35/365))</f>
        <v>0</v>
      </c>
      <c r="E142" s="50">
        <f t="shared" si="18"/>
        <v>100</v>
      </c>
      <c r="G142" s="1">
        <v>1973</v>
      </c>
      <c r="H142" s="809">
        <f>(O34/$R34*100*($E34/365))+(O35/$R35*100*($E35/365))</f>
        <v>100</v>
      </c>
      <c r="I142" s="809"/>
      <c r="J142" s="809">
        <f>(P34/$R34*100*($E34/365))+(P35/$R35*100*($E35/365))</f>
        <v>0</v>
      </c>
      <c r="K142" s="809"/>
      <c r="L142" s="809">
        <f>(Q34/$R34*100*($E34/365))+(Q35/$R35*100*($E35/365))</f>
        <v>0</v>
      </c>
      <c r="M142" s="809"/>
      <c r="N142" s="781">
        <f t="shared" si="17"/>
        <v>100</v>
      </c>
      <c r="O142" s="781"/>
      <c r="R142" s="1">
        <v>1973</v>
      </c>
      <c r="S142" s="8">
        <f>(O34*($E34/365))+(O35*($E35/365))</f>
        <v>52.4</v>
      </c>
      <c r="T142" s="8">
        <f>(P34*($E34/365))+(P35*($E35/365))</f>
        <v>0</v>
      </c>
      <c r="U142" s="8">
        <f>(Q34*($E34/365))+(Q35*($E35/365))</f>
        <v>0</v>
      </c>
      <c r="V142" s="7"/>
      <c r="W142" s="7">
        <f t="shared" si="19"/>
        <v>52.4</v>
      </c>
    </row>
    <row r="143" spans="1:23" x14ac:dyDescent="0.15">
      <c r="A143" s="1">
        <v>1974</v>
      </c>
      <c r="B143" s="8">
        <f>(K36*($E36/365))+(K37*($E37/365))+(K38*($E38/365))</f>
        <v>17.260273972602739</v>
      </c>
      <c r="C143" s="8">
        <f>(L36*($E36/365))+(L37*($E37/365))+(L38*($E38/365))</f>
        <v>0</v>
      </c>
      <c r="D143" s="8">
        <f>(M36*($E36/365))+(M37*($E37/365))+(M38*($E38/365))</f>
        <v>82.739726027397268</v>
      </c>
      <c r="E143" s="50">
        <f t="shared" si="18"/>
        <v>100</v>
      </c>
      <c r="G143" s="1">
        <v>1974</v>
      </c>
      <c r="H143" s="809">
        <f>(O36/$R36*100*($E36/365))+(O37/$R37*100*($E37/365))+(O38/$R38*100*($E38/365))</f>
        <v>17.260273972602739</v>
      </c>
      <c r="I143" s="809"/>
      <c r="J143" s="809">
        <f>(P36/$R36*100*($E36/365))+(P37/$R37*100*($E37/365))+(P38/$R38*100*($E38/365))</f>
        <v>0</v>
      </c>
      <c r="K143" s="809"/>
      <c r="L143" s="809">
        <f>(Q36/$R36*100*($E36/365))+(Q37/$R37*100*($E37/365))+(Q38/$R38*100*($E38/365))</f>
        <v>82.739726027397268</v>
      </c>
      <c r="M143" s="809"/>
      <c r="N143" s="781">
        <f t="shared" si="17"/>
        <v>100</v>
      </c>
      <c r="O143" s="781"/>
      <c r="R143" s="1">
        <v>1974</v>
      </c>
      <c r="S143" s="8">
        <f>(O36*($E36/365))+(O37*($E37/365))+(O38*($E38/365))</f>
        <v>9.0443835616438353</v>
      </c>
      <c r="T143" s="8">
        <f>(P36*($E36/365))+(P37*($E37/365))+(P38*($E38/365))</f>
        <v>0</v>
      </c>
      <c r="U143" s="8">
        <f>(Q36*($E36/365))+(Q37*($E37/365))+(Q38*($E38/365))</f>
        <v>38.736712328767126</v>
      </c>
      <c r="V143" s="7"/>
      <c r="W143" s="7">
        <f t="shared" si="19"/>
        <v>47.78109589041096</v>
      </c>
    </row>
    <row r="144" spans="1:23" x14ac:dyDescent="0.15">
      <c r="A144" s="1">
        <v>1975</v>
      </c>
      <c r="B144" s="8">
        <f>(K39*($E39/365))+(K40*($E40/365))</f>
        <v>0</v>
      </c>
      <c r="C144" s="8">
        <f>(L39*($E39/365))+(L40*($E40/365))</f>
        <v>0</v>
      </c>
      <c r="D144" s="8">
        <f>(M39*($E39/365))+(M40*($E40/365))</f>
        <v>100</v>
      </c>
      <c r="E144" s="50">
        <f t="shared" si="18"/>
        <v>100</v>
      </c>
      <c r="G144" s="1">
        <v>1975</v>
      </c>
      <c r="H144" s="809">
        <f>(O39/$R39*100*($E39/365))+(O40/$R40*100*($E40/365))</f>
        <v>0</v>
      </c>
      <c r="I144" s="809"/>
      <c r="J144" s="809">
        <f>(P39/$R39*100*($E39/365))+(P40/$R40*100*($E40/365))</f>
        <v>0</v>
      </c>
      <c r="K144" s="809"/>
      <c r="L144" s="809">
        <f>(Q39/$R39*100*($E39/365))+(Q40/$R40*100*($E40/365))</f>
        <v>100</v>
      </c>
      <c r="M144" s="809"/>
      <c r="N144" s="781">
        <f t="shared" si="17"/>
        <v>100</v>
      </c>
      <c r="O144" s="781"/>
      <c r="R144" s="1">
        <v>1975</v>
      </c>
      <c r="S144" s="8">
        <f>(O39*($E39/365))+(O40*($E40/365))</f>
        <v>0</v>
      </c>
      <c r="T144" s="8">
        <f>(P39*($E39/365))+(P40*($E40/365))</f>
        <v>0</v>
      </c>
      <c r="U144" s="8">
        <f>(Q39*($E39/365))+(Q40*($E40/365))</f>
        <v>50.2</v>
      </c>
      <c r="V144" s="7"/>
      <c r="W144" s="7">
        <f t="shared" si="19"/>
        <v>50.2</v>
      </c>
    </row>
    <row r="145" spans="1:23" x14ac:dyDescent="0.15">
      <c r="A145" s="1">
        <v>1976</v>
      </c>
      <c r="B145" s="8">
        <f>(K41*($E41/366))+(K42*($E42/366))</f>
        <v>0</v>
      </c>
      <c r="C145" s="8">
        <f>(L41*($E41/366))+(L42*($E42/366))</f>
        <v>0</v>
      </c>
      <c r="D145" s="8">
        <f>(M41*($E41/366))+(M42*($E42/366))</f>
        <v>100</v>
      </c>
      <c r="E145" s="50">
        <f t="shared" si="18"/>
        <v>100</v>
      </c>
      <c r="G145" s="1">
        <v>1976</v>
      </c>
      <c r="H145" s="809">
        <f>(O41/$R41*100*($E41/366))+(O42/$R42*100*($E42/366))</f>
        <v>0</v>
      </c>
      <c r="I145" s="809"/>
      <c r="J145" s="809">
        <f>(P41/$R41*100*($E41/366))+(P42/$R42*100*($E42/366))</f>
        <v>0</v>
      </c>
      <c r="K145" s="809"/>
      <c r="L145" s="809">
        <f>(Q41/$R41*100*($E41/366))+(Q42/$R42*100*($E42/366))</f>
        <v>100</v>
      </c>
      <c r="M145" s="809"/>
      <c r="N145" s="781">
        <f t="shared" si="17"/>
        <v>100</v>
      </c>
      <c r="O145" s="781"/>
      <c r="R145" s="1">
        <v>1976</v>
      </c>
      <c r="S145" s="8">
        <f>(O41*($E41/366))+(O42*($E42/366))</f>
        <v>0</v>
      </c>
      <c r="T145" s="8">
        <f>(P41*($E41/366))+(P42*($E42/366))</f>
        <v>0</v>
      </c>
      <c r="U145" s="8">
        <f>(Q41*($E41/366))+(Q42*($E42/366))</f>
        <v>50.2</v>
      </c>
      <c r="V145" s="7"/>
      <c r="W145" s="7">
        <f t="shared" si="19"/>
        <v>50.2</v>
      </c>
    </row>
    <row r="146" spans="1:23" x14ac:dyDescent="0.15">
      <c r="A146" s="1">
        <v>1977</v>
      </c>
      <c r="B146" s="8">
        <f>(K43*($E43/365))+(K44*($E44/365))</f>
        <v>0</v>
      </c>
      <c r="C146" s="8">
        <f>(L43*($E43/365))+(L44*($E44/365))</f>
        <v>0</v>
      </c>
      <c r="D146" s="8">
        <f>(M43*($E43/365))+(M44*($E44/365))</f>
        <v>100</v>
      </c>
      <c r="E146" s="50">
        <f t="shared" si="18"/>
        <v>100</v>
      </c>
      <c r="G146" s="1">
        <v>1977</v>
      </c>
      <c r="H146" s="809">
        <f>(O43/$R43*100*($E43/365))+(O44/$R44*100*($E44/365))</f>
        <v>0</v>
      </c>
      <c r="I146" s="809"/>
      <c r="J146" s="809">
        <f>(P43/$R43*100*($E43/365))+(P44/$R44*100*($E44/365))</f>
        <v>0</v>
      </c>
      <c r="K146" s="809"/>
      <c r="L146" s="809">
        <f>(Q43/$R43*100*($E43/365))+(Q44/$R44*100*($E44/365))</f>
        <v>100</v>
      </c>
      <c r="M146" s="809"/>
      <c r="N146" s="781">
        <f t="shared" si="17"/>
        <v>100</v>
      </c>
      <c r="O146" s="781"/>
      <c r="R146" s="1">
        <v>1977</v>
      </c>
      <c r="S146" s="8">
        <f>(O43*($E43/365))+(O44*($E44/365))</f>
        <v>0</v>
      </c>
      <c r="T146" s="8">
        <f>(P43*($E43/365))+(P44*($E44/365))</f>
        <v>0</v>
      </c>
      <c r="U146" s="8">
        <f>(Q43*($E43/365))+(Q44*($E44/365))</f>
        <v>50.2</v>
      </c>
      <c r="V146" s="7"/>
      <c r="W146" s="7">
        <f t="shared" si="19"/>
        <v>50.2</v>
      </c>
    </row>
    <row r="147" spans="1:23" x14ac:dyDescent="0.15">
      <c r="A147" s="1">
        <v>1978</v>
      </c>
      <c r="B147" s="8">
        <f>(K45*($E45/365))+(K46*($E46/365))</f>
        <v>0</v>
      </c>
      <c r="C147" s="8">
        <f>(L45*($E45/365))+(L46*($E46/365))</f>
        <v>0</v>
      </c>
      <c r="D147" s="8">
        <f>(M45*($E45/365))+(M46*($E46/365))</f>
        <v>100</v>
      </c>
      <c r="E147" s="50">
        <f t="shared" si="18"/>
        <v>100</v>
      </c>
      <c r="G147" s="1">
        <v>1978</v>
      </c>
      <c r="H147" s="809">
        <f>(O45/$R45*100*($E45/365))+(O46/$R46*100*($E46/365))</f>
        <v>0</v>
      </c>
      <c r="I147" s="809"/>
      <c r="J147" s="809">
        <f>(P45/$R45*100*($E45/365))+(P46/$R46*100*($E46/365))</f>
        <v>0</v>
      </c>
      <c r="K147" s="809"/>
      <c r="L147" s="809">
        <f>(Q45/$R45*100*($E45/365))+(Q46/$R46*100*($E46/365))</f>
        <v>100</v>
      </c>
      <c r="M147" s="809"/>
      <c r="N147" s="781">
        <f t="shared" si="17"/>
        <v>100</v>
      </c>
      <c r="O147" s="781"/>
      <c r="R147" s="1">
        <v>1978</v>
      </c>
      <c r="S147" s="8">
        <f>(O45*($E45/365))+(O46*($E46/365))</f>
        <v>0</v>
      </c>
      <c r="T147" s="8">
        <f>(P45*($E45/365))+(P46*($E46/365))</f>
        <v>0</v>
      </c>
      <c r="U147" s="8">
        <f>(Q45*($E45/365))+(Q46*($E46/365))</f>
        <v>50.2</v>
      </c>
      <c r="V147" s="7"/>
      <c r="W147" s="7">
        <f t="shared" si="19"/>
        <v>50.2</v>
      </c>
    </row>
    <row r="148" spans="1:23" x14ac:dyDescent="0.15">
      <c r="A148" s="1">
        <v>1979</v>
      </c>
      <c r="B148" s="8">
        <f>(K47*($E47/365))+(K48*($E48/365))</f>
        <v>66.027397260273972</v>
      </c>
      <c r="C148" s="8">
        <f>(L47*($E47/365))+(L48*($E48/365))</f>
        <v>0</v>
      </c>
      <c r="D148" s="8">
        <f>(M47*($E47/365))+(M48*($E48/365))</f>
        <v>33.972602739726028</v>
      </c>
      <c r="E148" s="50">
        <f t="shared" si="18"/>
        <v>100</v>
      </c>
      <c r="G148" s="1">
        <v>1979</v>
      </c>
      <c r="H148" s="809">
        <f>(O47/$R47*100*($E47/365))+(O48/$R48*100*($E48/365))</f>
        <v>66.027397260273972</v>
      </c>
      <c r="I148" s="809"/>
      <c r="J148" s="809">
        <f>(P47/$R47*100*($E47/365))+(P48/$R48*100*($E48/365))</f>
        <v>0</v>
      </c>
      <c r="K148" s="809"/>
      <c r="L148" s="809">
        <f>(Q47/$R47*100*($E47/365))+(Q48/$R48*100*($E48/365))</f>
        <v>33.972602739726028</v>
      </c>
      <c r="M148" s="809"/>
      <c r="N148" s="781">
        <f t="shared" si="17"/>
        <v>100</v>
      </c>
      <c r="O148" s="781"/>
      <c r="R148" s="1">
        <v>1979</v>
      </c>
      <c r="S148" s="8">
        <f>(O47*($E47/365))+(O48*($E48/365))</f>
        <v>35.258630136986298</v>
      </c>
      <c r="T148" s="8">
        <f>(P47*($E47/365))+(P48*($E48/365))</f>
        <v>0</v>
      </c>
      <c r="U148" s="8">
        <f>(Q47*($E47/365))+(Q48*($E48/365))</f>
        <v>17.054246575342468</v>
      </c>
      <c r="V148" s="7"/>
      <c r="W148" s="7">
        <f t="shared" si="19"/>
        <v>52.312876712328766</v>
      </c>
    </row>
    <row r="149" spans="1:23" x14ac:dyDescent="0.15">
      <c r="A149" s="1">
        <v>1980</v>
      </c>
      <c r="B149" s="8">
        <f>(K49*($E49/366))+(K50*($E50/366))</f>
        <v>100</v>
      </c>
      <c r="C149" s="8">
        <f>(L49*($E49/366))+(L50*($E50/366))</f>
        <v>0</v>
      </c>
      <c r="D149" s="8">
        <f>(M49*($E49/366))+(M50*($E50/366))</f>
        <v>0</v>
      </c>
      <c r="E149" s="50">
        <f t="shared" si="18"/>
        <v>100</v>
      </c>
      <c r="G149" s="1">
        <v>1980</v>
      </c>
      <c r="H149" s="809">
        <f>(O49/$R49*100*($E49/366))+(O50/$R50*100*($E50/366))</f>
        <v>100</v>
      </c>
      <c r="I149" s="809"/>
      <c r="J149" s="809">
        <f>(P49/$R49*100*($E49/366))+(P50/$R50*100*($E50/366))</f>
        <v>0</v>
      </c>
      <c r="K149" s="809"/>
      <c r="L149" s="809">
        <f>(Q49/$R49*100*($E49/366))+(Q50/$R50*100*($E50/366))</f>
        <v>0</v>
      </c>
      <c r="M149" s="809"/>
      <c r="N149" s="781">
        <f t="shared" si="17"/>
        <v>100</v>
      </c>
      <c r="O149" s="781"/>
      <c r="R149" s="1">
        <v>1980</v>
      </c>
      <c r="S149" s="8">
        <f>(O49*($E49/366))+(O50*($E50/366))</f>
        <v>53.4</v>
      </c>
      <c r="T149" s="8">
        <f>(P49*($E49/366))+(P50*($E50/366))</f>
        <v>0</v>
      </c>
      <c r="U149" s="8">
        <f>(Q49*($E49/366))+(Q50*($E50/366))</f>
        <v>0</v>
      </c>
      <c r="V149" s="7"/>
      <c r="W149" s="7">
        <f t="shared" si="19"/>
        <v>53.4</v>
      </c>
    </row>
    <row r="150" spans="1:23" x14ac:dyDescent="0.15">
      <c r="A150" s="1">
        <v>1981</v>
      </c>
      <c r="B150" s="8">
        <f>(K51*($E51/365))+(K52*($E52/365))</f>
        <v>100</v>
      </c>
      <c r="C150" s="8">
        <f>(L51*($E51/365))+(L52*($E52/365))</f>
        <v>0</v>
      </c>
      <c r="D150" s="8">
        <f>(M51*($E51/365))+(M52*($E52/365))</f>
        <v>0</v>
      </c>
      <c r="E150" s="50">
        <f t="shared" si="18"/>
        <v>100</v>
      </c>
      <c r="G150" s="1">
        <v>1981</v>
      </c>
      <c r="H150" s="809">
        <f>(O51/$R51*100*($E51/365))+(O52/$R52*100*($E52/365))</f>
        <v>100</v>
      </c>
      <c r="I150" s="809"/>
      <c r="J150" s="809">
        <f>(P51/$R51*100*($E51/365))+(P52/$R52*100*($E52/365))</f>
        <v>0</v>
      </c>
      <c r="K150" s="809"/>
      <c r="L150" s="809">
        <f>(Q51/$R51*100*($E51/365))+(Q52/$R52*100*($E52/365))</f>
        <v>0</v>
      </c>
      <c r="M150" s="809"/>
      <c r="N150" s="781">
        <f t="shared" si="17"/>
        <v>100</v>
      </c>
      <c r="O150" s="781"/>
      <c r="R150" s="1">
        <v>1981</v>
      </c>
      <c r="S150" s="8">
        <f>(O51*($E51/365))+(O52*($E52/365))</f>
        <v>53.4</v>
      </c>
      <c r="T150" s="8">
        <f>(P51*($E51/365))+(P52*($E52/365))</f>
        <v>0</v>
      </c>
      <c r="U150" s="8">
        <f>(Q51*($E51/365))+(Q52*($E52/365))</f>
        <v>0</v>
      </c>
      <c r="V150" s="7"/>
      <c r="W150" s="7">
        <f t="shared" si="19"/>
        <v>53.4</v>
      </c>
    </row>
    <row r="151" spans="1:23" x14ac:dyDescent="0.15">
      <c r="A151" s="1">
        <v>1982</v>
      </c>
      <c r="B151" s="8">
        <f>(K53*($E53/365))+(K54*($E54/365))</f>
        <v>100</v>
      </c>
      <c r="C151" s="8">
        <f>(L53*($E53/365))+(L54*($E54/365))</f>
        <v>0</v>
      </c>
      <c r="D151" s="8">
        <f>(M53*($E53/365))+(M54*($E54/365))</f>
        <v>0</v>
      </c>
      <c r="E151" s="50">
        <f t="shared" si="18"/>
        <v>100</v>
      </c>
      <c r="G151" s="1">
        <v>1982</v>
      </c>
      <c r="H151" s="809">
        <f>(O53/$R53*100*($E53/365))+(O54/$R54*100*($E54/365))</f>
        <v>100</v>
      </c>
      <c r="I151" s="809"/>
      <c r="J151" s="809">
        <f>(P53/$R53*100*($E53/365))+(P54/$R54*100*($E54/365))</f>
        <v>0</v>
      </c>
      <c r="K151" s="809"/>
      <c r="L151" s="809">
        <f>(Q53/$R53*100*($E53/365))+(Q54/$R54*100*($E54/365))</f>
        <v>0</v>
      </c>
      <c r="M151" s="809"/>
      <c r="N151" s="781">
        <f t="shared" si="17"/>
        <v>100</v>
      </c>
      <c r="O151" s="781"/>
      <c r="R151" s="1">
        <v>1982</v>
      </c>
      <c r="S151" s="8">
        <f>(O53*($E53/365))+(O54*($E54/365))</f>
        <v>53.4</v>
      </c>
      <c r="T151" s="8">
        <f>(P53*($E53/365))+(P54*($E54/365))</f>
        <v>0</v>
      </c>
      <c r="U151" s="8">
        <f>(Q53*($E53/365))+(Q54*($E54/365))</f>
        <v>0</v>
      </c>
      <c r="V151" s="7"/>
      <c r="W151" s="7">
        <f t="shared" si="19"/>
        <v>53.4</v>
      </c>
    </row>
    <row r="152" spans="1:23" x14ac:dyDescent="0.15">
      <c r="A152" s="1">
        <v>1983</v>
      </c>
      <c r="B152" s="8">
        <f>(K55*($E55/365))+(K56*($E56/365))</f>
        <v>100</v>
      </c>
      <c r="C152" s="8">
        <f>(L55*($E55/365))+(L56*($E56/365))</f>
        <v>0</v>
      </c>
      <c r="D152" s="8">
        <f>(M55*($E55/365))+(M56*($E56/365))</f>
        <v>0</v>
      </c>
      <c r="E152" s="50">
        <f t="shared" si="18"/>
        <v>100</v>
      </c>
      <c r="G152" s="1">
        <v>1983</v>
      </c>
      <c r="H152" s="809">
        <f>(O55/$R55*100*($E55/365))+(O56/$R56*100*($E56/365))</f>
        <v>100</v>
      </c>
      <c r="I152" s="809"/>
      <c r="J152" s="809">
        <f>(P55/$R55*100*($E55/365))+(P56/$R56*100*($E56/365))</f>
        <v>0</v>
      </c>
      <c r="K152" s="809"/>
      <c r="L152" s="809">
        <f>(Q55/$R55*100*($E55/365))+(Q56/$R56*100*($E56/365))</f>
        <v>0</v>
      </c>
      <c r="M152" s="809"/>
      <c r="N152" s="781">
        <f t="shared" si="17"/>
        <v>100</v>
      </c>
      <c r="O152" s="781"/>
      <c r="R152" s="1">
        <v>1983</v>
      </c>
      <c r="S152" s="8">
        <f>(O55*($E55/365))+(O56*($E56/365))</f>
        <v>57.682465753424665</v>
      </c>
      <c r="T152" s="8">
        <f>(P55*($E55/365))+(P56*($E56/365))</f>
        <v>0</v>
      </c>
      <c r="U152" s="8">
        <f>(Q55*($E55/365))+(Q56*($E56/365))</f>
        <v>0</v>
      </c>
      <c r="V152" s="7"/>
      <c r="W152" s="7">
        <f t="shared" si="19"/>
        <v>57.682465753424665</v>
      </c>
    </row>
    <row r="153" spans="1:23" x14ac:dyDescent="0.15">
      <c r="A153" s="1">
        <v>1984</v>
      </c>
      <c r="B153" s="8">
        <f>(K57*($E57/366))+(K58*($E58/366))</f>
        <v>100</v>
      </c>
      <c r="C153" s="8">
        <f>(L57*($E57/366))+(L58*($E58/366))</f>
        <v>0</v>
      </c>
      <c r="D153" s="8">
        <f>(M57*($E57/366))+(M58*($E58/366))</f>
        <v>0</v>
      </c>
      <c r="E153" s="50">
        <f t="shared" si="18"/>
        <v>100</v>
      </c>
      <c r="G153" s="1">
        <v>1984</v>
      </c>
      <c r="H153" s="809">
        <f>(O57/$R57*100*($E57/366))+(O58/$R58*100*($E58/366))</f>
        <v>100</v>
      </c>
      <c r="I153" s="809"/>
      <c r="J153" s="809">
        <f>(P57/$R57*100*($E57/366))+(P58/$R58*100*($E58/366))</f>
        <v>0</v>
      </c>
      <c r="K153" s="809"/>
      <c r="L153" s="809">
        <f>(Q57/$R57*100*($E57/366))+(Q58/$R58*100*($E58/366))</f>
        <v>0</v>
      </c>
      <c r="M153" s="809"/>
      <c r="N153" s="781">
        <f t="shared" si="17"/>
        <v>100</v>
      </c>
      <c r="O153" s="781"/>
      <c r="R153" s="1">
        <v>1984</v>
      </c>
      <c r="S153" s="8">
        <f>(O57*($E57/366))+(O58*($E58/366))</f>
        <v>61.1</v>
      </c>
      <c r="T153" s="8">
        <f>(P57*($E57/366))+(P58*($E58/366))</f>
        <v>0</v>
      </c>
      <c r="U153" s="8">
        <f>(Q57*($E57/366))+(Q58*($E58/366))</f>
        <v>0</v>
      </c>
      <c r="V153" s="7"/>
      <c r="W153" s="7">
        <f t="shared" si="19"/>
        <v>61.1</v>
      </c>
    </row>
    <row r="154" spans="1:23" x14ac:dyDescent="0.15">
      <c r="A154" s="1">
        <v>1985</v>
      </c>
      <c r="B154" s="8">
        <f>(K59*($E59/365))+(K60*($E60/365))</f>
        <v>100</v>
      </c>
      <c r="C154" s="8">
        <f>(L59*($E59/365))+(L60*($E60/365))</f>
        <v>0</v>
      </c>
      <c r="D154" s="8">
        <f>(M59*($E59/365))+(M60*($E60/365))</f>
        <v>0</v>
      </c>
      <c r="E154" s="50">
        <f t="shared" si="18"/>
        <v>100</v>
      </c>
      <c r="G154" s="1">
        <v>1985</v>
      </c>
      <c r="H154" s="809">
        <f>(O59/$R59*100*($E59/365))+(O60/$R60*100*($E60/365))</f>
        <v>100</v>
      </c>
      <c r="I154" s="809"/>
      <c r="J154" s="809">
        <f>(P59/$R59*100*($E59/365))+(P60/$R60*100*($E60/365))</f>
        <v>0</v>
      </c>
      <c r="K154" s="809"/>
      <c r="L154" s="809">
        <f>(Q59/$R59*100*($E59/365))+(Q60/$R60*100*($E60/365))</f>
        <v>0</v>
      </c>
      <c r="M154" s="809"/>
      <c r="N154" s="781">
        <f t="shared" si="17"/>
        <v>100</v>
      </c>
      <c r="O154" s="781"/>
      <c r="R154" s="1">
        <v>1985</v>
      </c>
      <c r="S154" s="8">
        <f>(O59*($E59/365))+(O60*($E60/365))</f>
        <v>61.1</v>
      </c>
      <c r="T154" s="8">
        <f>(P59*($E59/365))+(P60*($E60/365))</f>
        <v>0</v>
      </c>
      <c r="U154" s="8">
        <f>(Q59*($E59/365))+(Q60*($E60/365))</f>
        <v>0</v>
      </c>
      <c r="V154" s="7"/>
      <c r="W154" s="7">
        <f t="shared" si="19"/>
        <v>61.1</v>
      </c>
    </row>
    <row r="155" spans="1:23" x14ac:dyDescent="0.15">
      <c r="A155" s="1">
        <v>1986</v>
      </c>
      <c r="B155" s="8">
        <f>(K61*($E61/365))+(K62*($E62/365))</f>
        <v>100</v>
      </c>
      <c r="C155" s="8">
        <f>(L61*($E61/365))+(L62*($E62/365))</f>
        <v>0</v>
      </c>
      <c r="D155" s="8">
        <f>(M61*($E61/365))+(M62*($E62/365))</f>
        <v>0</v>
      </c>
      <c r="E155" s="50">
        <f t="shared" si="18"/>
        <v>100</v>
      </c>
      <c r="G155" s="1">
        <v>1986</v>
      </c>
      <c r="H155" s="809">
        <f>(O61/$R61*100*($E61/365))+(O62/$R62*100*($E62/365))</f>
        <v>100</v>
      </c>
      <c r="I155" s="809"/>
      <c r="J155" s="809">
        <f>(P61/$R61*100*($E61/365))+(P62/$R62*100*($E62/365))</f>
        <v>0</v>
      </c>
      <c r="K155" s="809"/>
      <c r="L155" s="809">
        <f>(Q61/$R61*100*($E61/365))+(Q62/$R62*100*($E62/365))</f>
        <v>0</v>
      </c>
      <c r="M155" s="809"/>
      <c r="N155" s="781">
        <f t="shared" si="17"/>
        <v>100</v>
      </c>
      <c r="O155" s="781"/>
      <c r="R155" s="1">
        <v>1986</v>
      </c>
      <c r="S155" s="8">
        <f>(O61*($E61/365))+(O62*($E62/365))</f>
        <v>61.1</v>
      </c>
      <c r="T155" s="8">
        <f>(P61*($E61/365))+(P62*($E62/365))</f>
        <v>0</v>
      </c>
      <c r="U155" s="8">
        <f>(Q61*($E61/365))+(Q62*($E62/365))</f>
        <v>0</v>
      </c>
      <c r="V155" s="7"/>
      <c r="W155" s="7">
        <f t="shared" si="19"/>
        <v>61.1</v>
      </c>
    </row>
    <row r="156" spans="1:23" x14ac:dyDescent="0.15">
      <c r="A156" s="1">
        <v>1987</v>
      </c>
      <c r="B156" s="8">
        <f>(K63*($E63/365))+(K64*($E64/365))</f>
        <v>100</v>
      </c>
      <c r="C156" s="8">
        <f>(L63*($E63/365))+(L64*($E64/365))</f>
        <v>0</v>
      </c>
      <c r="D156" s="8">
        <f>(M63*($E63/365))+(M64*($E64/365))</f>
        <v>0</v>
      </c>
      <c r="E156" s="50">
        <f t="shared" si="18"/>
        <v>100</v>
      </c>
      <c r="G156" s="1">
        <v>1987</v>
      </c>
      <c r="H156" s="809">
        <f>(O63/$R63*100*($E63/365))+(O64/$R64*100*($E64/365))</f>
        <v>100</v>
      </c>
      <c r="I156" s="809"/>
      <c r="J156" s="809">
        <f>(P63/$R63*100*($E63/365))+(P64/$R64*100*($E64/365))</f>
        <v>0</v>
      </c>
      <c r="K156" s="809"/>
      <c r="L156" s="809">
        <f>(Q63/$R63*100*($E63/365))+(Q64/$R64*100*($E64/365))</f>
        <v>0</v>
      </c>
      <c r="M156" s="809"/>
      <c r="N156" s="781">
        <f t="shared" si="17"/>
        <v>100</v>
      </c>
      <c r="O156" s="781"/>
      <c r="R156" s="1">
        <v>1987</v>
      </c>
      <c r="S156" s="8">
        <f>(O63*($E63/365))+(O64*($E64/365))</f>
        <v>59.273698630136984</v>
      </c>
      <c r="T156" s="8">
        <f>(P63*($E63/365))+(P64*($E64/365))</f>
        <v>0</v>
      </c>
      <c r="U156" s="8">
        <f>(Q63*($E63/365))+(Q64*($E64/365))</f>
        <v>0</v>
      </c>
      <c r="V156" s="7"/>
      <c r="W156" s="7">
        <f t="shared" si="19"/>
        <v>59.273698630136984</v>
      </c>
    </row>
    <row r="157" spans="1:23" x14ac:dyDescent="0.15">
      <c r="A157" s="1">
        <v>1988</v>
      </c>
      <c r="B157" s="8">
        <f>(K65*($E65/366))+(K66*($E66/366))</f>
        <v>100</v>
      </c>
      <c r="C157" s="8">
        <f>(L65*($E65/366))+(L66*($E66/366))</f>
        <v>0</v>
      </c>
      <c r="D157" s="8">
        <f>(M65*($E65/366))+(M66*($E66/366))</f>
        <v>0</v>
      </c>
      <c r="E157" s="50">
        <f t="shared" si="18"/>
        <v>100</v>
      </c>
      <c r="G157" s="1">
        <v>1988</v>
      </c>
      <c r="H157" s="809">
        <f>(O65/$R65*100*($E65/366))+(O66/$R66*100*($E66/366))</f>
        <v>100</v>
      </c>
      <c r="I157" s="809"/>
      <c r="J157" s="809">
        <f>(P65/$R65*100*($E65/366))+(P66/$R66*100*($E66/366))</f>
        <v>0</v>
      </c>
      <c r="K157" s="809"/>
      <c r="L157" s="809">
        <f>(Q65/$R65*100*($E65/366))+(Q66/$R66*100*($E66/366))</f>
        <v>0</v>
      </c>
      <c r="M157" s="809"/>
      <c r="N157" s="781">
        <f t="shared" si="17"/>
        <v>100</v>
      </c>
      <c r="O157" s="781"/>
      <c r="R157" s="1">
        <v>1988</v>
      </c>
      <c r="S157" s="8">
        <f>(O65*($E65/366))+(O66*($E66/366))</f>
        <v>57.8</v>
      </c>
      <c r="T157" s="8">
        <f>(P65*($E65/366))+(P66*($E66/366))</f>
        <v>0</v>
      </c>
      <c r="U157" s="8">
        <f>(Q65*($E65/366))+(Q66*($E66/366))</f>
        <v>0</v>
      </c>
      <c r="V157" s="7"/>
      <c r="W157" s="7">
        <f t="shared" si="19"/>
        <v>57.8</v>
      </c>
    </row>
    <row r="158" spans="1:23" x14ac:dyDescent="0.15">
      <c r="A158" s="1">
        <v>1989</v>
      </c>
      <c r="B158" s="8">
        <f>(K67*($E67/365))+(K68*($E68/365))</f>
        <v>100</v>
      </c>
      <c r="C158" s="8">
        <f>(L67*($E67/365))+(L68*($E68/365))</f>
        <v>0</v>
      </c>
      <c r="D158" s="8">
        <f>(M67*($E67/365))+(M68*($E68/365))</f>
        <v>0</v>
      </c>
      <c r="E158" s="50">
        <f t="shared" si="18"/>
        <v>100</v>
      </c>
      <c r="G158" s="1">
        <v>1989</v>
      </c>
      <c r="H158" s="809">
        <f>(O67/$R67*100*($E67/365))+(O68/$R68*100*($E68/365))</f>
        <v>100</v>
      </c>
      <c r="I158" s="809"/>
      <c r="J158" s="809">
        <f>(P67/$R67*100*($E67/365))+(P68/$R68*100*($E68/365))</f>
        <v>0</v>
      </c>
      <c r="K158" s="809"/>
      <c r="L158" s="809">
        <f>(Q67/$R67*100*($E67/365))+(Q68/$R68*100*($E68/365))</f>
        <v>0</v>
      </c>
      <c r="M158" s="809"/>
      <c r="N158" s="781">
        <f t="shared" si="17"/>
        <v>100</v>
      </c>
      <c r="O158" s="781"/>
      <c r="R158" s="1">
        <v>1989</v>
      </c>
      <c r="S158" s="8">
        <f>(O67*($E67/365))+(O68*($E68/365))</f>
        <v>57.8</v>
      </c>
      <c r="T158" s="8">
        <f>(P67*($E67/365))+(P68*($E68/365))</f>
        <v>0</v>
      </c>
      <c r="U158" s="8">
        <f>(Q67*($E67/365))+(Q68*($E68/365))</f>
        <v>0</v>
      </c>
      <c r="V158" s="7"/>
      <c r="W158" s="7">
        <f t="shared" si="19"/>
        <v>57.8</v>
      </c>
    </row>
    <row r="159" spans="1:23" x14ac:dyDescent="0.15">
      <c r="A159" s="1">
        <v>1990</v>
      </c>
      <c r="B159" s="8">
        <f>(K69*($E69/365))+(K70*($E70/365))</f>
        <v>100</v>
      </c>
      <c r="C159" s="8">
        <f>(L69*($E69/365))+(L70*($E70/365))</f>
        <v>0</v>
      </c>
      <c r="D159" s="8">
        <f>(M69*($E69/365))+(M70*($E70/365))</f>
        <v>0</v>
      </c>
      <c r="E159" s="50">
        <f t="shared" si="18"/>
        <v>100</v>
      </c>
      <c r="G159" s="1">
        <v>1990</v>
      </c>
      <c r="H159" s="809">
        <f>(O69/$R69*100*($E69/365))+(O70/$R70*100*($E70/365))</f>
        <v>100</v>
      </c>
      <c r="I159" s="809"/>
      <c r="J159" s="809">
        <f>(P69/$R69*100*($E69/365))+(P70/$R70*100*($E70/365))</f>
        <v>0</v>
      </c>
      <c r="K159" s="809"/>
      <c r="L159" s="809">
        <f>(Q69/$R69*100*($E69/365))+(Q70/$R70*100*($E70/365))</f>
        <v>0</v>
      </c>
      <c r="M159" s="809"/>
      <c r="N159" s="781">
        <f t="shared" si="17"/>
        <v>100</v>
      </c>
      <c r="O159" s="781"/>
      <c r="R159" s="1">
        <v>1990</v>
      </c>
      <c r="S159" s="8">
        <f>(O69*($E69/365))+(O70*($E70/365))</f>
        <v>57.8</v>
      </c>
      <c r="T159" s="8">
        <f>(P69*($E69/365))+(P70*($E70/365))</f>
        <v>0</v>
      </c>
      <c r="U159" s="8">
        <f>(Q69*($E69/365))+(Q70*($E70/365))</f>
        <v>0</v>
      </c>
      <c r="V159" s="7"/>
      <c r="W159" s="7">
        <f t="shared" si="19"/>
        <v>57.8</v>
      </c>
    </row>
    <row r="160" spans="1:23" x14ac:dyDescent="0.15">
      <c r="A160" s="1">
        <v>1991</v>
      </c>
      <c r="B160" s="8">
        <f>(K71*($E71/365))+(K72*($E72/365))</f>
        <v>100</v>
      </c>
      <c r="C160" s="8">
        <f>(L71*($E71/365))+(L72*($E72/365))</f>
        <v>0</v>
      </c>
      <c r="D160" s="8">
        <f>(M71*($E71/365))+(M72*($E72/365))</f>
        <v>0</v>
      </c>
      <c r="E160" s="50">
        <f t="shared" si="18"/>
        <v>100</v>
      </c>
      <c r="G160" s="1">
        <v>1991</v>
      </c>
      <c r="H160" s="809">
        <f>(O71/$R71*100*($E71/365))+(O72/$R72*100*($E72/365))</f>
        <v>100</v>
      </c>
      <c r="I160" s="809"/>
      <c r="J160" s="809">
        <f>(P71/$R71*100*($E71/365))+(P72/$R72*100*($E72/365))</f>
        <v>0</v>
      </c>
      <c r="K160" s="809"/>
      <c r="L160" s="809">
        <f>(Q71/$R71*100*($E71/365))+(Q72/$R72*100*($E72/365))</f>
        <v>0</v>
      </c>
      <c r="M160" s="809"/>
      <c r="N160" s="781">
        <f t="shared" si="17"/>
        <v>100</v>
      </c>
      <c r="O160" s="781"/>
      <c r="R160" s="1">
        <v>1991</v>
      </c>
      <c r="S160" s="8">
        <f>(O71*($E71/365))+(O72*($E72/365))</f>
        <v>57.8</v>
      </c>
      <c r="T160" s="8">
        <f>(P71*($E71/365))+(P72*($E72/365))</f>
        <v>0</v>
      </c>
      <c r="U160" s="8">
        <f>(Q71*($E71/365))+(Q72*($E72/365))</f>
        <v>0</v>
      </c>
      <c r="V160" s="7"/>
      <c r="W160" s="7">
        <f t="shared" si="19"/>
        <v>57.8</v>
      </c>
    </row>
    <row r="161" spans="1:23" x14ac:dyDescent="0.15">
      <c r="A161" s="1">
        <v>1992</v>
      </c>
      <c r="B161" s="8">
        <f>(K73*($E73/366))+(K74*($E74/366))</f>
        <v>100</v>
      </c>
      <c r="C161" s="8">
        <f>(L73*($E73/366))+(L74*($E74/366))</f>
        <v>0</v>
      </c>
      <c r="D161" s="8">
        <f>(M73*($E73/366))+(M74*($E74/366))</f>
        <v>0</v>
      </c>
      <c r="E161" s="50">
        <f t="shared" si="18"/>
        <v>100</v>
      </c>
      <c r="G161" s="1">
        <v>1992</v>
      </c>
      <c r="H161" s="809">
        <f>(O73/$R73*100*($E73/366))+(O74/$R74*100*($E74/366))</f>
        <v>100</v>
      </c>
      <c r="I161" s="809"/>
      <c r="J161" s="809">
        <f>(P73/$R73*100*($E73/366))+(P74/$R74*100*($E74/366))</f>
        <v>0</v>
      </c>
      <c r="K161" s="809"/>
      <c r="L161" s="809">
        <f>(Q73/$R73*100*($E73/366))+(Q74/$R74*100*($E74/366))</f>
        <v>0</v>
      </c>
      <c r="M161" s="809"/>
      <c r="N161" s="781">
        <f t="shared" ref="N161:N181" si="20">H161+J161+L161</f>
        <v>100</v>
      </c>
      <c r="O161" s="781"/>
      <c r="R161" s="1">
        <v>1992</v>
      </c>
      <c r="S161" s="8">
        <f>(O73*($E73/366))+(O74*($E74/366))</f>
        <v>53.31092896174863</v>
      </c>
      <c r="T161" s="8">
        <f>(P73*($E73/366))+(P74*($E74/366))</f>
        <v>0</v>
      </c>
      <c r="U161" s="8">
        <f>(Q73*($E73/366))+(Q74*($E74/366))</f>
        <v>0</v>
      </c>
      <c r="V161" s="7"/>
      <c r="W161" s="7">
        <f t="shared" si="19"/>
        <v>53.31092896174863</v>
      </c>
    </row>
    <row r="162" spans="1:23" x14ac:dyDescent="0.15">
      <c r="A162" s="1">
        <v>1993</v>
      </c>
      <c r="B162" s="8">
        <f>(K75*($E75/365))+(K76*($E76/365))</f>
        <v>100</v>
      </c>
      <c r="C162" s="8">
        <f>(L75*($E75/365))+(L76*($E76/365))</f>
        <v>0</v>
      </c>
      <c r="D162" s="8">
        <f>(M75*($E75/365))+(M76*($E76/365))</f>
        <v>0</v>
      </c>
      <c r="E162" s="50">
        <f t="shared" si="18"/>
        <v>100</v>
      </c>
      <c r="G162" s="1">
        <v>1993</v>
      </c>
      <c r="H162" s="809">
        <f>(O75/$R75*100*($E75/365))+(O76/$R76*100*($E76/365))</f>
        <v>100</v>
      </c>
      <c r="I162" s="809"/>
      <c r="J162" s="809">
        <f>(P75/$R75*100*($E75/365))+(P76/$R76*100*($E76/365))</f>
        <v>0</v>
      </c>
      <c r="K162" s="809"/>
      <c r="L162" s="809">
        <f>(Q75/$R75*100*($E75/365))+(Q76/$R76*100*($E76/365))</f>
        <v>0</v>
      </c>
      <c r="M162" s="809"/>
      <c r="N162" s="781">
        <f t="shared" si="20"/>
        <v>100</v>
      </c>
      <c r="O162" s="781"/>
      <c r="R162" s="1">
        <v>1993</v>
      </c>
      <c r="S162" s="8">
        <f>(O75*($E75/365))+(O76*($E76/365))</f>
        <v>51.6</v>
      </c>
      <c r="T162" s="8">
        <f>(P75*($E75/365))+(P76*($E76/365))</f>
        <v>0</v>
      </c>
      <c r="U162" s="8">
        <f>(Q75*($E75/365))+(Q76*($E76/365))</f>
        <v>0</v>
      </c>
      <c r="V162" s="7"/>
      <c r="W162" s="7">
        <f t="shared" si="19"/>
        <v>51.6</v>
      </c>
    </row>
    <row r="163" spans="1:23" x14ac:dyDescent="0.15">
      <c r="A163" s="1">
        <v>1994</v>
      </c>
      <c r="B163" s="8">
        <f>(K77*($E77/365))+(K78*($E78/365))</f>
        <v>100</v>
      </c>
      <c r="C163" s="8">
        <f>(L77*($E77/365))+(L78*($E78/365))</f>
        <v>0</v>
      </c>
      <c r="D163" s="8">
        <f>(M77*($E77/365))+(M78*($E78/365))</f>
        <v>0</v>
      </c>
      <c r="E163" s="50">
        <f t="shared" si="18"/>
        <v>100</v>
      </c>
      <c r="G163" s="1">
        <v>1994</v>
      </c>
      <c r="H163" s="809">
        <f>(O77/$R77*100*($E77/365))+(O78/$R78*100*($E78/365))</f>
        <v>100</v>
      </c>
      <c r="I163" s="809"/>
      <c r="J163" s="809">
        <f>(P77/$R77*100*($E77/365))+(P78/$R78*100*($E78/365))</f>
        <v>0</v>
      </c>
      <c r="K163" s="809"/>
      <c r="L163" s="809">
        <f>(Q77/$R77*100*($E77/365))+(Q78/$R78*100*($E78/365))</f>
        <v>0</v>
      </c>
      <c r="M163" s="809"/>
      <c r="N163" s="781">
        <f t="shared" si="20"/>
        <v>100</v>
      </c>
      <c r="O163" s="781"/>
      <c r="R163" s="1">
        <v>1994</v>
      </c>
      <c r="S163" s="8">
        <f>(O77*($E77/365))+(O78*($E78/365))</f>
        <v>51.6</v>
      </c>
      <c r="T163" s="8">
        <f>(P77*($E77/365))+(P78*($E78/365))</f>
        <v>0</v>
      </c>
      <c r="U163" s="8">
        <f>(Q77*($E77/365))+(Q78*($E78/365))</f>
        <v>0</v>
      </c>
      <c r="V163" s="7"/>
      <c r="W163" s="7">
        <f t="shared" si="19"/>
        <v>51.6</v>
      </c>
    </row>
    <row r="164" spans="1:23" x14ac:dyDescent="0.15">
      <c r="A164" s="1">
        <v>1995</v>
      </c>
      <c r="B164" s="8">
        <f>(K79*($E79/365))+(K80*($E80/365))</f>
        <v>100</v>
      </c>
      <c r="C164" s="8">
        <f>(L79*($E79/365))+(L80*($E80/365))</f>
        <v>0</v>
      </c>
      <c r="D164" s="8">
        <f>(M79*($E79/365))+(M80*($E80/365))</f>
        <v>0</v>
      </c>
      <c r="E164" s="50">
        <f t="shared" si="18"/>
        <v>100</v>
      </c>
      <c r="G164" s="1">
        <v>1995</v>
      </c>
      <c r="H164" s="809">
        <f>(O79/$R79*100*($E79/365))+(O80/$R80*100*($E80/365))</f>
        <v>100</v>
      </c>
      <c r="I164" s="809"/>
      <c r="J164" s="809">
        <f>(P79/$R79*100*($E79/365))+(P80/$R80*100*($E80/365))</f>
        <v>0</v>
      </c>
      <c r="K164" s="809"/>
      <c r="L164" s="809">
        <f>(Q79/$R79*100*($E79/365))+(Q80/$R80*100*($E80/365))</f>
        <v>0</v>
      </c>
      <c r="M164" s="809"/>
      <c r="N164" s="781">
        <f t="shared" si="20"/>
        <v>100</v>
      </c>
      <c r="O164" s="781"/>
      <c r="R164" s="1">
        <v>1995</v>
      </c>
      <c r="S164" s="8">
        <f>(O79*($E79/365))+(O80*($E80/365))</f>
        <v>51.6</v>
      </c>
      <c r="T164" s="8">
        <f>(P79*($E79/365))+(P80*($E80/365))</f>
        <v>0</v>
      </c>
      <c r="U164" s="8">
        <f>(Q79*($E79/365))+(Q80*($E80/365))</f>
        <v>0</v>
      </c>
      <c r="V164" s="7"/>
      <c r="W164" s="7">
        <f t="shared" si="19"/>
        <v>51.6</v>
      </c>
    </row>
    <row r="165" spans="1:23" x14ac:dyDescent="0.15">
      <c r="A165" s="1">
        <v>1996</v>
      </c>
      <c r="B165" s="8">
        <f>(K81*($E81/366))+(K82*($E82/366))</f>
        <v>100</v>
      </c>
      <c r="C165" s="8">
        <f>(L81*($E81/366))+(L82*($E82/366))</f>
        <v>0</v>
      </c>
      <c r="D165" s="8">
        <f>(M81*($E81/366))+(M82*($E82/366))</f>
        <v>0</v>
      </c>
      <c r="E165" s="50">
        <f t="shared" si="18"/>
        <v>100</v>
      </c>
      <c r="G165" s="1">
        <v>1996</v>
      </c>
      <c r="H165" s="809">
        <f>(O81/$R81*100*($E81/366))+(O82/$R82*100*($E82/366))</f>
        <v>100</v>
      </c>
      <c r="I165" s="809"/>
      <c r="J165" s="809">
        <f>(P81/$R81*100*($E81/366))+(P82/$R82*100*($E82/366))</f>
        <v>0</v>
      </c>
      <c r="K165" s="809"/>
      <c r="L165" s="809">
        <f>(Q81/$R81*100*($E81/366))+(Q82/$R82*100*($E82/366))</f>
        <v>0</v>
      </c>
      <c r="M165" s="809"/>
      <c r="N165" s="781">
        <f t="shared" si="20"/>
        <v>100</v>
      </c>
      <c r="O165" s="781"/>
      <c r="R165" s="1">
        <v>1996</v>
      </c>
      <c r="S165" s="8">
        <f>(O81*($E81/366))+(O82*($E82/366))</f>
        <v>51.6</v>
      </c>
      <c r="T165" s="8">
        <f>(P81*($E81/366))+(P82*($E82/366))</f>
        <v>0</v>
      </c>
      <c r="U165" s="8">
        <f>(Q81*($E81/366))+(Q82*($E82/366))</f>
        <v>0</v>
      </c>
      <c r="V165" s="7"/>
      <c r="W165" s="7">
        <f t="shared" si="19"/>
        <v>51.6</v>
      </c>
    </row>
    <row r="166" spans="1:23" x14ac:dyDescent="0.15">
      <c r="A166" s="1">
        <v>1997</v>
      </c>
      <c r="B166" s="8">
        <f>(K83*($E83/365))+(K84*($E84/365))</f>
        <v>33.150684931506852</v>
      </c>
      <c r="C166" s="8">
        <f>(L83*($E83/365))+(L84*($E84/365))</f>
        <v>0</v>
      </c>
      <c r="D166" s="8">
        <f>(M83*($E83/365))+(M84*($E84/365))</f>
        <v>66.849315068493155</v>
      </c>
      <c r="E166" s="50">
        <f t="shared" si="18"/>
        <v>100</v>
      </c>
      <c r="G166" s="1">
        <v>1997</v>
      </c>
      <c r="H166" s="809">
        <f>(O83/$R83*100*($E83/365))+(O84/$R84*100*($E84/365))</f>
        <v>33.150684931506852</v>
      </c>
      <c r="I166" s="809"/>
      <c r="J166" s="809">
        <f>(P83/$R83*100*($E83/365))+(P84/$R84*100*($E84/365))</f>
        <v>0</v>
      </c>
      <c r="K166" s="809"/>
      <c r="L166" s="809">
        <f>(Q83/$R83*100*($E83/365))+(Q84/$R84*100*($E84/365))</f>
        <v>66.849315068493155</v>
      </c>
      <c r="M166" s="809"/>
      <c r="N166" s="781">
        <f t="shared" si="20"/>
        <v>100</v>
      </c>
      <c r="O166" s="781"/>
      <c r="R166" s="1">
        <v>1997</v>
      </c>
      <c r="S166" s="8">
        <f>(O83*($E83/365))+(O84*($E84/365))</f>
        <v>17.105753424657536</v>
      </c>
      <c r="T166" s="8">
        <f>(P83*($E83/365))+(P84*($E84/365))</f>
        <v>0</v>
      </c>
      <c r="U166" s="8">
        <f>(Q83*($E83/365))+(Q84*($E84/365))</f>
        <v>42.516164383561645</v>
      </c>
      <c r="V166" s="7"/>
      <c r="W166" s="7">
        <f t="shared" si="19"/>
        <v>59.62191780821918</v>
      </c>
    </row>
    <row r="167" spans="1:23" x14ac:dyDescent="0.15">
      <c r="A167" s="1">
        <v>1998</v>
      </c>
      <c r="B167" s="8">
        <f>(K85*($E85/365))+(K86*($E86/365))</f>
        <v>0</v>
      </c>
      <c r="C167" s="8">
        <f>(L85*($E85/365))+(L86*($E86/365))</f>
        <v>0</v>
      </c>
      <c r="D167" s="8">
        <f>(M85*($E85/365))+(M86*($E86/365))</f>
        <v>100</v>
      </c>
      <c r="E167" s="50">
        <f t="shared" si="18"/>
        <v>100</v>
      </c>
      <c r="G167" s="1">
        <v>1998</v>
      </c>
      <c r="H167" s="809">
        <f>(O85/$R85*100*($E85/365))+(O86/$R86*100*($E86/365))</f>
        <v>0</v>
      </c>
      <c r="I167" s="809"/>
      <c r="J167" s="809">
        <f>(P85/$R85*100*($E85/365))+(P86/$R86*100*($E86/365))</f>
        <v>0</v>
      </c>
      <c r="K167" s="809"/>
      <c r="L167" s="809">
        <f>(Q85/$R85*100*($E85/365))+(Q86/$R86*100*($E86/365))</f>
        <v>100</v>
      </c>
      <c r="M167" s="809"/>
      <c r="N167" s="781">
        <f t="shared" si="20"/>
        <v>100</v>
      </c>
      <c r="O167" s="781"/>
      <c r="R167" s="1">
        <v>1998</v>
      </c>
      <c r="S167" s="8">
        <f>(O85*($E85/365))+(O86*($E86/365))</f>
        <v>0</v>
      </c>
      <c r="T167" s="8">
        <f>(P85*($E85/365))+(P86*($E86/365))</f>
        <v>0</v>
      </c>
      <c r="U167" s="8">
        <f>(Q85*($E85/365))+(Q86*($E86/365))</f>
        <v>63.6</v>
      </c>
      <c r="V167" s="7"/>
      <c r="W167" s="7">
        <f t="shared" si="19"/>
        <v>63.6</v>
      </c>
    </row>
    <row r="168" spans="1:23" x14ac:dyDescent="0.15">
      <c r="A168" s="1">
        <v>1999</v>
      </c>
      <c r="B168" s="8">
        <f>(K87*($E87/365))+(K88*($E88/365))</f>
        <v>0</v>
      </c>
      <c r="C168" s="8">
        <f>(L87*($E87/365))+(L88*($E88/365))</f>
        <v>0</v>
      </c>
      <c r="D168" s="8">
        <f>(M87*($E87/365))+(M88*($E88/365))</f>
        <v>100</v>
      </c>
      <c r="E168" s="50">
        <f t="shared" si="18"/>
        <v>100</v>
      </c>
      <c r="G168" s="1">
        <v>1999</v>
      </c>
      <c r="H168" s="809">
        <f>(O87/$R87*100*($E87/365))+(O88/$R88*100*($E88/365))</f>
        <v>0</v>
      </c>
      <c r="I168" s="809"/>
      <c r="J168" s="809">
        <f>(P87/$R87*100*($E87/365))+(P88/$R88*100*($E88/365))</f>
        <v>0</v>
      </c>
      <c r="K168" s="809"/>
      <c r="L168" s="809">
        <f>(Q87/$R87*100*($E87/365))+(Q88/$R88*100*($E88/365))</f>
        <v>100</v>
      </c>
      <c r="M168" s="809"/>
      <c r="N168" s="781">
        <f t="shared" si="20"/>
        <v>100</v>
      </c>
      <c r="O168" s="781"/>
      <c r="R168" s="1">
        <v>1999</v>
      </c>
      <c r="S168" s="8">
        <f>(O87*($E87/365))+(O88*($E88/365))</f>
        <v>0</v>
      </c>
      <c r="T168" s="8">
        <f>(P87*($E87/365))+(P88*($E88/365))</f>
        <v>0</v>
      </c>
      <c r="U168" s="8">
        <f>(Q87*($E87/365))+(Q88*($E88/365))</f>
        <v>63.6</v>
      </c>
      <c r="V168" s="7"/>
      <c r="W168" s="7">
        <f t="shared" si="19"/>
        <v>63.6</v>
      </c>
    </row>
    <row r="169" spans="1:23" x14ac:dyDescent="0.15">
      <c r="A169" s="1">
        <v>2000</v>
      </c>
      <c r="B169" s="8">
        <f>(K89*($E89/366))+(K90*($E90/366))</f>
        <v>0</v>
      </c>
      <c r="C169" s="8">
        <f>(L89*($E89/366))+(L90*($E90/366))</f>
        <v>0</v>
      </c>
      <c r="D169" s="8">
        <f>(M89*($E89/366))+(M90*($E90/366))</f>
        <v>100</v>
      </c>
      <c r="E169" s="50">
        <f t="shared" si="18"/>
        <v>100</v>
      </c>
      <c r="G169" s="1">
        <v>2000</v>
      </c>
      <c r="H169" s="809">
        <f>(O89/$R89*100*($E89/366))+(O90/$R90*100*($E90/366))</f>
        <v>0</v>
      </c>
      <c r="I169" s="809"/>
      <c r="J169" s="809">
        <f>(P89/$R89*100*($E89/366))+(P90/$R90*100*($E90/366))</f>
        <v>0</v>
      </c>
      <c r="K169" s="809"/>
      <c r="L169" s="809">
        <f>(Q89/$R89*100*($E89/366))+(Q90/$R90*100*($E90/366))</f>
        <v>100</v>
      </c>
      <c r="M169" s="809"/>
      <c r="N169" s="781">
        <f t="shared" si="20"/>
        <v>100</v>
      </c>
      <c r="O169" s="781"/>
      <c r="R169" s="1">
        <v>2000</v>
      </c>
      <c r="S169" s="8">
        <f>(O89*($E89/366))+(O90*($E90/366))</f>
        <v>0</v>
      </c>
      <c r="T169" s="8">
        <f>(P89*($E89/366))+(P90*($E90/366))</f>
        <v>0</v>
      </c>
      <c r="U169" s="8">
        <f>(Q89*($E89/366))+(Q90*($E90/366))</f>
        <v>63.6</v>
      </c>
      <c r="V169" s="7"/>
      <c r="W169" s="7">
        <f t="shared" si="19"/>
        <v>63.6</v>
      </c>
    </row>
    <row r="170" spans="1:23" x14ac:dyDescent="0.15">
      <c r="A170" s="1">
        <v>2001</v>
      </c>
      <c r="B170" s="8">
        <f>(K91*($E91/365))+(K92*($E92/365))</f>
        <v>0</v>
      </c>
      <c r="C170" s="8">
        <f>(L91*($E91/365))+(L92*($E92/365))</f>
        <v>0</v>
      </c>
      <c r="D170" s="8">
        <f>(M91*($E91/365))+(M92*($E92/365))</f>
        <v>100</v>
      </c>
      <c r="E170" s="50">
        <f t="shared" si="18"/>
        <v>100</v>
      </c>
      <c r="G170" s="1">
        <v>2001</v>
      </c>
      <c r="H170" s="809">
        <f>(O91/$R91*100*($E91/365))+(O92/$R92*100*($E92/365))</f>
        <v>0</v>
      </c>
      <c r="I170" s="809"/>
      <c r="J170" s="809">
        <f>(P91/$R91*100*($E91/365))+(P92/$R92*100*($E92/365))</f>
        <v>0</v>
      </c>
      <c r="K170" s="809"/>
      <c r="L170" s="809">
        <f>(Q91/$R91*100*($E91/365))+(Q92/$R92*100*($E92/365))</f>
        <v>100</v>
      </c>
      <c r="M170" s="809"/>
      <c r="N170" s="781">
        <f t="shared" si="20"/>
        <v>100</v>
      </c>
      <c r="O170" s="781"/>
      <c r="R170" s="1">
        <v>2001</v>
      </c>
      <c r="S170" s="8">
        <f>(O91*($E91/365))+(O92*($E92/365))</f>
        <v>0</v>
      </c>
      <c r="T170" s="8">
        <f>(P91*($E91/365))+(P92*($E92/365))</f>
        <v>0</v>
      </c>
      <c r="U170" s="8">
        <f>(Q91*($E91/365))+(Q92*($E92/365))</f>
        <v>62.976164383561645</v>
      </c>
      <c r="V170" s="7"/>
      <c r="W170" s="7">
        <f t="shared" si="19"/>
        <v>62.976164383561645</v>
      </c>
    </row>
    <row r="171" spans="1:23" x14ac:dyDescent="0.15">
      <c r="A171" s="1">
        <v>2002</v>
      </c>
      <c r="B171" s="8">
        <f>(K93*($E93/365))+(K94*($E94/365))</f>
        <v>0</v>
      </c>
      <c r="C171" s="8">
        <f>(L93*($E93/365))+(L94*($E94/365))</f>
        <v>0</v>
      </c>
      <c r="D171" s="8">
        <f>(M93*($E93/365))+(M94*($E94/365))</f>
        <v>100</v>
      </c>
      <c r="E171" s="50">
        <f t="shared" si="18"/>
        <v>100</v>
      </c>
      <c r="G171" s="1">
        <v>2002</v>
      </c>
      <c r="H171" s="809">
        <f>(O93/$R93*100*($E93/365))+(O94/$R94*100*($E94/365))</f>
        <v>0</v>
      </c>
      <c r="I171" s="809"/>
      <c r="J171" s="809">
        <f>(P93/$R93*100*($E93/365))+(P94/$R94*100*($E94/365))</f>
        <v>0</v>
      </c>
      <c r="K171" s="809"/>
      <c r="L171" s="809">
        <f>(Q93/$R93*100*($E93/365))+(Q94/$R94*100*($E94/365))</f>
        <v>100</v>
      </c>
      <c r="M171" s="809"/>
      <c r="N171" s="781">
        <f t="shared" si="20"/>
        <v>100</v>
      </c>
      <c r="O171" s="781"/>
      <c r="R171" s="1">
        <v>2002</v>
      </c>
      <c r="S171" s="8">
        <f>(O93*($E93/365))+(O94*($E94/365))</f>
        <v>0</v>
      </c>
      <c r="T171" s="8">
        <f>(P93*($E93/365))+(P94*($E94/365))</f>
        <v>0</v>
      </c>
      <c r="U171" s="8">
        <f>(Q93*($E93/365))+(Q94*($E94/365))</f>
        <v>62.5</v>
      </c>
      <c r="V171" s="7"/>
      <c r="W171" s="7">
        <f t="shared" si="19"/>
        <v>62.5</v>
      </c>
    </row>
    <row r="172" spans="1:23" x14ac:dyDescent="0.15">
      <c r="A172" s="1">
        <v>2003</v>
      </c>
      <c r="B172" s="8">
        <f>(K95*($E95/365))+(K96*($E96/365))</f>
        <v>0</v>
      </c>
      <c r="C172" s="8">
        <f>(L95*($E95/365))+(L96*($E96/365))</f>
        <v>0</v>
      </c>
      <c r="D172" s="8">
        <f>(M95*($E95/365))+(M96*($E96/365))</f>
        <v>100</v>
      </c>
      <c r="E172" s="50">
        <f t="shared" si="18"/>
        <v>100</v>
      </c>
      <c r="G172" s="1">
        <v>2003</v>
      </c>
      <c r="H172" s="809">
        <f>(O95/$R95*100*($E95/365))+(O96/$R96*100*($E96/365))</f>
        <v>0</v>
      </c>
      <c r="I172" s="809"/>
      <c r="J172" s="809">
        <f>(P95/$R95*100*($E95/365))+(P96/$R96*100*($E96/365))</f>
        <v>0</v>
      </c>
      <c r="K172" s="809"/>
      <c r="L172" s="809">
        <f>(Q95/$R95*100*($E95/365))+(Q96/$R96*100*($E96/365))</f>
        <v>100</v>
      </c>
      <c r="M172" s="809"/>
      <c r="N172" s="781">
        <f t="shared" si="20"/>
        <v>100</v>
      </c>
      <c r="O172" s="781"/>
      <c r="R172" s="1">
        <v>2003</v>
      </c>
      <c r="S172" s="8">
        <f>(O95*($E95/365))+(O96*($E96/365))</f>
        <v>0</v>
      </c>
      <c r="T172" s="8">
        <f>(P95*($E95/365))+(P96*($E96/365))</f>
        <v>0</v>
      </c>
      <c r="U172" s="8">
        <f>(Q95*($E95/365))+(Q96*($E96/365))</f>
        <v>62.5</v>
      </c>
      <c r="V172" s="7"/>
      <c r="W172" s="7">
        <f t="shared" si="19"/>
        <v>62.5</v>
      </c>
    </row>
    <row r="173" spans="1:23" x14ac:dyDescent="0.15">
      <c r="A173" s="1">
        <v>2004</v>
      </c>
      <c r="B173" s="8">
        <f>(K97*($E97/366))+(K98*($E98/366))</f>
        <v>0</v>
      </c>
      <c r="C173" s="8">
        <f>(L97*($E97/366))+(L98*($E98/366))</f>
        <v>0</v>
      </c>
      <c r="D173" s="8">
        <f>(M97*($E97/366))+(M98*($E98/366))</f>
        <v>100</v>
      </c>
      <c r="E173" s="50">
        <f t="shared" si="18"/>
        <v>100</v>
      </c>
      <c r="G173" s="1">
        <v>2004</v>
      </c>
      <c r="H173" s="809">
        <f>(O97/$R97*100*($E97/366))+(O98/$R98*100*($E98/366))</f>
        <v>0</v>
      </c>
      <c r="I173" s="809"/>
      <c r="J173" s="809">
        <f>(P97/$R97*100*($E97/366))+(P98/$R98*100*($E98/366))</f>
        <v>0</v>
      </c>
      <c r="K173" s="809"/>
      <c r="L173" s="809">
        <f>(Q97/$R97*100*($E97/366))+(Q98/$R98*100*($E98/366))</f>
        <v>100</v>
      </c>
      <c r="M173" s="809"/>
      <c r="N173" s="781">
        <f t="shared" si="20"/>
        <v>100</v>
      </c>
      <c r="O173" s="781"/>
      <c r="R173" s="1">
        <v>2004</v>
      </c>
      <c r="S173" s="8">
        <f>(O97*($E97/366))+(O98*($E98/366))</f>
        <v>0</v>
      </c>
      <c r="T173" s="8">
        <f>(P97*($E97/366))+(P98*($E98/366))</f>
        <v>0</v>
      </c>
      <c r="U173" s="8">
        <f>(Q97*($E97/366))+(Q98*($E98/366))</f>
        <v>62.5</v>
      </c>
      <c r="V173" s="7"/>
      <c r="W173" s="7">
        <f t="shared" si="19"/>
        <v>62.5</v>
      </c>
    </row>
    <row r="174" spans="1:23" x14ac:dyDescent="0.15">
      <c r="A174" s="1">
        <v>2005</v>
      </c>
      <c r="B174" s="8">
        <f>(K99*($E99/365))+(K100*($E100/365))</f>
        <v>0</v>
      </c>
      <c r="C174" s="8">
        <f>(L99*($E99/365))+(L100*($E100/365))</f>
        <v>0</v>
      </c>
      <c r="D174" s="8">
        <f>(M99*($E99/365))+(M100*($E100/365))</f>
        <v>100</v>
      </c>
      <c r="E174" s="50">
        <f t="shared" si="18"/>
        <v>100</v>
      </c>
      <c r="G174" s="1">
        <v>2005</v>
      </c>
      <c r="H174" s="809">
        <f>(O99/$R99*100*($E99/365))+(O100/$R100*100*($E100/365))</f>
        <v>0</v>
      </c>
      <c r="I174" s="809"/>
      <c r="J174" s="809">
        <f>(P99/$R99*100*($E99/365))+(P100/$R100*100*($E100/365))</f>
        <v>0</v>
      </c>
      <c r="K174" s="809"/>
      <c r="L174" s="809">
        <f>(Q99/$R99*100*($E99/365))+(Q100/$R100*100*($E100/365))</f>
        <v>100</v>
      </c>
      <c r="M174" s="809"/>
      <c r="N174" s="781">
        <f t="shared" si="20"/>
        <v>100</v>
      </c>
      <c r="O174" s="781"/>
      <c r="R174" s="1">
        <v>2005</v>
      </c>
      <c r="S174" s="8">
        <f>(O99*($E99/365))+(O100*($E100/365))</f>
        <v>0</v>
      </c>
      <c r="T174" s="8">
        <f>(P99*($E99/365))+(P100*($E100/365))</f>
        <v>0</v>
      </c>
      <c r="U174" s="8">
        <f>(Q99*($E99/365))+(Q100*($E100/365))</f>
        <v>57.56849315068493</v>
      </c>
      <c r="V174" s="7"/>
      <c r="W174" s="7">
        <f t="shared" si="19"/>
        <v>57.56849315068493</v>
      </c>
    </row>
    <row r="175" spans="1:23" x14ac:dyDescent="0.15">
      <c r="A175" s="1">
        <v>2006</v>
      </c>
      <c r="B175" s="8">
        <f>(K101*($E101/365))+(K102*($E102/365))</f>
        <v>0</v>
      </c>
      <c r="C175" s="8">
        <f>(L101*($E101/365))+(L102*($E102/365))</f>
        <v>0</v>
      </c>
      <c r="D175" s="8">
        <f>(M101*($E101/365))+(M102*($E102/365))</f>
        <v>100</v>
      </c>
      <c r="E175" s="50">
        <f t="shared" si="18"/>
        <v>100</v>
      </c>
      <c r="G175" s="1">
        <v>2006</v>
      </c>
      <c r="H175" s="809">
        <f>(O101/$R101*100*($E101/365))+(O102/$R102*100*($E102/365))</f>
        <v>0</v>
      </c>
      <c r="I175" s="809"/>
      <c r="J175" s="809">
        <f>(P101/$R101*100*($E101/365))+(P102/$R102*100*($E102/365))</f>
        <v>0</v>
      </c>
      <c r="K175" s="809"/>
      <c r="L175" s="809">
        <f>(Q101/$R101*100*($E101/365))+(Q102/$R102*100*($E102/365))</f>
        <v>100</v>
      </c>
      <c r="M175" s="809"/>
      <c r="N175" s="781">
        <f t="shared" si="20"/>
        <v>100</v>
      </c>
      <c r="O175" s="781"/>
      <c r="R175" s="1">
        <v>2006</v>
      </c>
      <c r="S175" s="8">
        <f>(O101*($E101/365))+(O102*($E102/365))</f>
        <v>0</v>
      </c>
      <c r="T175" s="8">
        <f>(P101*($E101/365))+(P102*($E102/365))</f>
        <v>0</v>
      </c>
      <c r="U175" s="8">
        <f>(Q101*($E101/365))+(Q102*($E102/365))</f>
        <v>55</v>
      </c>
      <c r="V175" s="7"/>
      <c r="W175" s="7">
        <f t="shared" si="19"/>
        <v>55</v>
      </c>
    </row>
    <row r="176" spans="1:23" x14ac:dyDescent="0.15">
      <c r="A176" s="1">
        <v>2007</v>
      </c>
      <c r="B176" s="8">
        <f>(K103*($E103/365))+(K104*($E104/365))</f>
        <v>0</v>
      </c>
      <c r="C176" s="8">
        <f>(L103*($E103/365))+(L104*($E104/365))</f>
        <v>0</v>
      </c>
      <c r="D176" s="8">
        <f>(M103*($E103/365))+(M104*($E104/365))</f>
        <v>100</v>
      </c>
      <c r="E176" s="50">
        <f t="shared" si="18"/>
        <v>100</v>
      </c>
      <c r="G176" s="1">
        <v>2007</v>
      </c>
      <c r="H176" s="809">
        <f>(O103/$R103*100*($E103/365))+(O104/$R104*100*($E104/365))</f>
        <v>0</v>
      </c>
      <c r="I176" s="809"/>
      <c r="J176" s="809">
        <f>(P103/$R103*100*($E103/365))+(P104/$R104*100*($E104/365))</f>
        <v>0</v>
      </c>
      <c r="K176" s="809"/>
      <c r="L176" s="809">
        <f>(Q103/$R103*100*($E103/365))+(Q104/$R104*100*($E104/365))</f>
        <v>100</v>
      </c>
      <c r="M176" s="809"/>
      <c r="N176" s="781">
        <f t="shared" si="20"/>
        <v>100</v>
      </c>
      <c r="O176" s="781"/>
      <c r="R176" s="1">
        <v>2007</v>
      </c>
      <c r="S176" s="8">
        <f>(O103*($E103/365))+(O104*($E104/365))</f>
        <v>0</v>
      </c>
      <c r="T176" s="8">
        <f>(P103*($E103/365))+(P104*($E104/365))</f>
        <v>0</v>
      </c>
      <c r="U176" s="8">
        <f>(Q103*($E103/365))+(Q104*($E104/365))</f>
        <v>55</v>
      </c>
      <c r="V176" s="7"/>
      <c r="W176" s="7">
        <f t="shared" si="19"/>
        <v>55</v>
      </c>
    </row>
    <row r="177" spans="1:23" x14ac:dyDescent="0.15">
      <c r="A177" s="1">
        <v>2008</v>
      </c>
      <c r="B177" s="8">
        <f>(K105*($E105/366))+(K106*($E106/366))</f>
        <v>0</v>
      </c>
      <c r="C177" s="8">
        <f>(L105*($E105/366))+(L106*($E106/366))</f>
        <v>0</v>
      </c>
      <c r="D177" s="8">
        <f>(M105*($E105/366))+(M106*($E106/366))</f>
        <v>100</v>
      </c>
      <c r="E177" s="50">
        <f t="shared" si="18"/>
        <v>100</v>
      </c>
      <c r="G177" s="1">
        <v>2008</v>
      </c>
      <c r="H177" s="809">
        <f>(O105/$R105*100*($E105/366))+(O106/$R106*100*($E106/366))</f>
        <v>0</v>
      </c>
      <c r="I177" s="809"/>
      <c r="J177" s="809">
        <f>(P105/$R105*100*($E105/366))+(P106/$R106*100*($E106/366))</f>
        <v>0</v>
      </c>
      <c r="K177" s="809"/>
      <c r="L177" s="809">
        <f>(Q105/$R105*100*($E105/366))+(Q106/$R106*100*($E106/366))</f>
        <v>100</v>
      </c>
      <c r="M177" s="809"/>
      <c r="N177" s="781">
        <f t="shared" si="20"/>
        <v>100</v>
      </c>
      <c r="O177" s="781"/>
      <c r="R177" s="1">
        <v>2008</v>
      </c>
      <c r="S177" s="8">
        <f>(O105*($E105/366))+(O106*($E106/366))</f>
        <v>0</v>
      </c>
      <c r="T177" s="8">
        <f>(P105*($E105/366))+(P106*($E106/366))</f>
        <v>0</v>
      </c>
      <c r="U177" s="8">
        <f>(Q105*($E105/366))+(Q106*($E106/366))</f>
        <v>55</v>
      </c>
      <c r="V177" s="7"/>
      <c r="W177" s="7">
        <f t="shared" si="19"/>
        <v>55</v>
      </c>
    </row>
    <row r="178" spans="1:23" x14ac:dyDescent="0.15">
      <c r="A178" s="1">
        <v>2009</v>
      </c>
      <c r="B178" s="8">
        <f>(K107*($E107/365))+(K108*($E108/365))</f>
        <v>0</v>
      </c>
      <c r="C178" s="8">
        <f>(L107*($E107/365))+(L108*($E108/365))</f>
        <v>0</v>
      </c>
      <c r="D178" s="8">
        <f>(M107*($E107/365))+(M108*($E108/365))</f>
        <v>100</v>
      </c>
      <c r="E178" s="50">
        <f t="shared" si="18"/>
        <v>100</v>
      </c>
      <c r="G178" s="1">
        <v>2009</v>
      </c>
      <c r="H178" s="809">
        <f>(O107/$R107*100*($E107/365))+(O108/$R108*100*($E108/365))</f>
        <v>0</v>
      </c>
      <c r="I178" s="809"/>
      <c r="J178" s="809">
        <f>(P107/$R107*100*($E107/365))+(P108/$R108*100*($E108/365))</f>
        <v>0</v>
      </c>
      <c r="K178" s="809"/>
      <c r="L178" s="809">
        <f>(Q107/$R107*100*($E107/365))+(Q108/$R108*100*($E108/365))</f>
        <v>100</v>
      </c>
      <c r="M178" s="809"/>
      <c r="N178" s="781">
        <f t="shared" si="20"/>
        <v>100</v>
      </c>
      <c r="O178" s="781"/>
      <c r="R178" s="1">
        <v>2009</v>
      </c>
      <c r="S178" s="8">
        <f>(O107*($E107/365))+(O108*($E108/365))</f>
        <v>0</v>
      </c>
      <c r="T178" s="8">
        <f>(P107*($E107/365))+(P108*($E108/365))</f>
        <v>0</v>
      </c>
      <c r="U178" s="8">
        <f>(Q107*($E107/365))+(Q108*($E108/365))</f>
        <v>55</v>
      </c>
      <c r="V178" s="7"/>
      <c r="W178" s="7">
        <f t="shared" si="19"/>
        <v>55</v>
      </c>
    </row>
    <row r="179" spans="1:23" x14ac:dyDescent="0.15">
      <c r="A179" s="1">
        <v>2010</v>
      </c>
      <c r="B179" s="8">
        <f>(K109*($E109/365))+(K110*($E110/365))</f>
        <v>62.19178082191781</v>
      </c>
      <c r="C179" s="8">
        <f>(L109*($E109/365))+(L110*($E110/365))</f>
        <v>0</v>
      </c>
      <c r="D179" s="8">
        <f>(M109*($E109/365))+(M110*($E110/365))</f>
        <v>37.80821917808219</v>
      </c>
      <c r="E179" s="50">
        <f t="shared" si="18"/>
        <v>100</v>
      </c>
      <c r="G179" s="1">
        <v>2010</v>
      </c>
      <c r="H179" s="809">
        <f>(O109/$R109*100*($E109/365))+(O110/$R110*100*($E110/365))</f>
        <v>62.19178082191781</v>
      </c>
      <c r="I179" s="809"/>
      <c r="J179" s="809">
        <f>(P109/$R109*100*($E109/365))+(P110/$R110*100*($E110/365))</f>
        <v>0</v>
      </c>
      <c r="K179" s="809"/>
      <c r="L179" s="809">
        <f>(Q109/$R109*100*($E109/365))+(Q110/$R110*100*($E110/365))</f>
        <v>37.80821917808219</v>
      </c>
      <c r="M179" s="809"/>
      <c r="N179" s="781">
        <f t="shared" si="20"/>
        <v>100</v>
      </c>
      <c r="O179" s="781"/>
      <c r="R179" s="1">
        <v>2010</v>
      </c>
      <c r="S179" s="8">
        <f>(O109*($E109/365))+(O110*($E110/365))</f>
        <v>34.765205479452057</v>
      </c>
      <c r="T179" s="8">
        <f>(P109*($E109/365))+(P110*($E110/365))</f>
        <v>0</v>
      </c>
      <c r="U179" s="8">
        <f>(Q109*($E109/365))+(Q110*($E110/365))</f>
        <v>20.794520547945204</v>
      </c>
      <c r="V179" s="7"/>
      <c r="W179" s="7">
        <f t="shared" si="19"/>
        <v>55.559726027397261</v>
      </c>
    </row>
    <row r="180" spans="1:23" x14ac:dyDescent="0.15">
      <c r="A180" s="1">
        <v>2011</v>
      </c>
      <c r="B180" s="8">
        <f>(K111*($E111/365))+(K112*($E112/365))</f>
        <v>100</v>
      </c>
      <c r="C180" s="8">
        <f>(L111*($E111/365))+(L112*($E112/365))</f>
        <v>0</v>
      </c>
      <c r="D180" s="8">
        <f>(M111*($E111/365))+(M112*($E112/365))</f>
        <v>0</v>
      </c>
      <c r="E180" s="50">
        <f t="shared" si="18"/>
        <v>100</v>
      </c>
      <c r="G180" s="1">
        <v>2011</v>
      </c>
      <c r="H180" s="809">
        <f>(O111/$R111*100*($E111/365))+(O112/$R112*100*($E112/365))</f>
        <v>100</v>
      </c>
      <c r="I180" s="809"/>
      <c r="J180" s="809">
        <f>(P111/$R111*100*($E111/365))+(P112/$R112*100*($E112/365))</f>
        <v>0</v>
      </c>
      <c r="K180" s="809"/>
      <c r="L180" s="809">
        <f>(Q111/$R111*100*($E111/365))+(Q112/$R112*100*($E112/365))</f>
        <v>0</v>
      </c>
      <c r="M180" s="809"/>
      <c r="N180" s="781">
        <f t="shared" si="20"/>
        <v>100</v>
      </c>
      <c r="O180" s="781"/>
      <c r="R180" s="1">
        <v>2011</v>
      </c>
      <c r="S180" s="8">
        <f>(O111*($E111/365))+(O112*($E112/365))</f>
        <v>55.9</v>
      </c>
      <c r="T180" s="8">
        <f>(P111*($E111/365))+(P112*($E112/365))</f>
        <v>0</v>
      </c>
      <c r="U180" s="8">
        <f>(Q111*($E111/365))+(Q112*($E112/365))</f>
        <v>0</v>
      </c>
      <c r="V180" s="7"/>
      <c r="W180" s="7">
        <f t="shared" si="19"/>
        <v>55.9</v>
      </c>
    </row>
    <row r="181" spans="1:23" x14ac:dyDescent="0.15">
      <c r="A181" s="1">
        <v>2012</v>
      </c>
      <c r="B181" s="8">
        <f>(K113*($E113/366))+(K114*($E114/366))</f>
        <v>100</v>
      </c>
      <c r="C181" s="8">
        <f>(L113*($E113/366))+(L114*($E114/366))</f>
        <v>0</v>
      </c>
      <c r="D181" s="8">
        <f>(M113*($E113/366))+(M114*($E114/366))</f>
        <v>0</v>
      </c>
      <c r="E181" s="50">
        <f t="shared" si="18"/>
        <v>100</v>
      </c>
      <c r="G181" s="1">
        <v>2012</v>
      </c>
      <c r="H181" s="809">
        <f>(O113/$R113*100*($E113/366))+(O114/$R114*100*($E114/366))</f>
        <v>100</v>
      </c>
      <c r="I181" s="809"/>
      <c r="J181" s="809">
        <f>(P113/$R113*100*($E113/366))+(P114/$R114*100*($E114/366))</f>
        <v>0</v>
      </c>
      <c r="K181" s="809"/>
      <c r="L181" s="809">
        <f>(Q113/$R113*100*($E113/366))+(Q114/$R114*100*($E114/366))</f>
        <v>0</v>
      </c>
      <c r="M181" s="809"/>
      <c r="N181" s="781">
        <f t="shared" si="20"/>
        <v>100</v>
      </c>
      <c r="O181" s="781"/>
      <c r="R181" s="1">
        <v>2012</v>
      </c>
      <c r="S181" s="8">
        <f>(O113*($E113/366))+(O114*($E114/366))</f>
        <v>55.9</v>
      </c>
      <c r="T181" s="8">
        <f>(P113*($E113/366))+(P114*($E114/366))</f>
        <v>0</v>
      </c>
      <c r="U181" s="8">
        <f>(Q113*($E113/366))+(Q114*($E114/366))</f>
        <v>0</v>
      </c>
      <c r="V181" s="7"/>
      <c r="W181" s="7">
        <f t="shared" si="19"/>
        <v>55.9</v>
      </c>
    </row>
    <row r="182" spans="1:23" x14ac:dyDescent="0.15">
      <c r="A182" s="1">
        <v>2013</v>
      </c>
      <c r="B182" s="8">
        <f>(K115*($E115/365))+(K116*($E116/365))</f>
        <v>100</v>
      </c>
      <c r="C182" s="8">
        <f>(L115*($E115/365))+(L116*($E116/365))</f>
        <v>0</v>
      </c>
      <c r="D182" s="8">
        <f>(M115*($E115/365))+(M116*($E116/365))</f>
        <v>0</v>
      </c>
      <c r="E182" s="309">
        <f t="shared" si="18"/>
        <v>100</v>
      </c>
      <c r="G182" s="1">
        <v>2013</v>
      </c>
      <c r="H182" s="809">
        <f>(O115/$R115*100*($E115/365))+(O116/$R116*100*($E116/365))</f>
        <v>100</v>
      </c>
      <c r="I182" s="809"/>
      <c r="J182" s="809">
        <f>(P115/$R115*100*($E115/365))+(P116/$R116*100*($E116/365))</f>
        <v>0</v>
      </c>
      <c r="K182" s="809"/>
      <c r="L182" s="809">
        <f>(Q115/$R115*100*($E115/365))+(Q116/$R116*100*($E116/365))</f>
        <v>0</v>
      </c>
      <c r="M182" s="809"/>
      <c r="N182" s="781">
        <f>H182+J182+L182</f>
        <v>100</v>
      </c>
      <c r="O182" s="781"/>
      <c r="R182" s="1">
        <v>2013</v>
      </c>
      <c r="S182" s="8">
        <f>(O115*($E115/365))+(O116*($E116/365))</f>
        <v>55.9</v>
      </c>
      <c r="T182" s="8">
        <f>(P115*($E115/365))+(P116*($E116/365))</f>
        <v>0</v>
      </c>
      <c r="U182" s="8">
        <f>(Q115*($E115/365))+(Q116*($E116/365))</f>
        <v>0</v>
      </c>
      <c r="W182" s="7">
        <f t="shared" si="19"/>
        <v>55.9</v>
      </c>
    </row>
    <row r="183" spans="1:23" x14ac:dyDescent="0.15">
      <c r="A183" s="1">
        <v>2014</v>
      </c>
      <c r="B183" s="8">
        <f>(K117*($E117/365))+(K118*($E118/365))</f>
        <v>100</v>
      </c>
      <c r="C183" s="8">
        <f>(L117*($E117/365))+(L118*($E118/365))</f>
        <v>0</v>
      </c>
      <c r="D183" s="8">
        <f>(M117*($E117/365))+(M118*($E118/365))</f>
        <v>0</v>
      </c>
      <c r="E183" s="616">
        <f>B183+C183+D183</f>
        <v>100</v>
      </c>
      <c r="G183" s="1">
        <v>2014</v>
      </c>
      <c r="H183" s="809">
        <f>(O117/$R117*100*($E117/365))+(O118/$R118*100*($E118/365))</f>
        <v>100</v>
      </c>
      <c r="I183" s="809"/>
      <c r="J183" s="809">
        <f>(P117/$R117*100*($E117/365))+(P118/$R118*100*($E118/365))</f>
        <v>0</v>
      </c>
      <c r="K183" s="809"/>
      <c r="L183" s="809">
        <f>(Q117/$R117*100*($E117/365))+(Q118/$R118*100*($E118/365))</f>
        <v>0</v>
      </c>
      <c r="M183" s="809"/>
      <c r="N183" s="781">
        <f>H183+J183+L183</f>
        <v>100</v>
      </c>
      <c r="O183" s="781"/>
      <c r="R183" s="1">
        <v>2014</v>
      </c>
      <c r="S183" s="8">
        <f>(O117*($E117/365))+(O118*($E118/365))</f>
        <v>55.9</v>
      </c>
      <c r="T183" s="8">
        <f>(P117*($E117/365))+(P118*($E118/365))</f>
        <v>0</v>
      </c>
      <c r="U183" s="8">
        <f>(Q117*($E117/365))+(Q118*($E118/365))</f>
        <v>0</v>
      </c>
      <c r="W183" s="7">
        <f>S183+T183+U183</f>
        <v>55.9</v>
      </c>
    </row>
    <row r="184" spans="1:23" s="772" customFormat="1" x14ac:dyDescent="0.15">
      <c r="A184" s="772">
        <v>2015</v>
      </c>
      <c r="B184" s="777">
        <f>(K119*($E119/365))+(K120*($E120/365))</f>
        <v>100</v>
      </c>
      <c r="C184" s="777">
        <f>(L119*($E119/365))+(L120*($E120/365))</f>
        <v>0</v>
      </c>
      <c r="D184" s="777">
        <f>(M119*($E119/365))+(M120*($E120/365))</f>
        <v>0</v>
      </c>
      <c r="E184" s="778">
        <f>B184+C184+D184</f>
        <v>100</v>
      </c>
      <c r="G184" s="772">
        <v>2015</v>
      </c>
      <c r="H184" s="809">
        <f>(O119/$R119*100*($E119/365))+(O120/$R120*100*($E120/365))</f>
        <v>100</v>
      </c>
      <c r="I184" s="809"/>
      <c r="J184" s="809">
        <f>(P119/$R119*100*($E119/365))+(P120/$R120*100*($E120/365))</f>
        <v>0</v>
      </c>
      <c r="K184" s="809"/>
      <c r="L184" s="809">
        <f>(Q119/$R119*100*($E119/365))+(Q120/$R120*100*($E120/365))</f>
        <v>0</v>
      </c>
      <c r="M184" s="809"/>
      <c r="N184" s="781">
        <f>H184+J184+L184</f>
        <v>100</v>
      </c>
      <c r="O184" s="781"/>
      <c r="R184" s="772">
        <v>2015</v>
      </c>
      <c r="S184" s="767">
        <f>(O119*($E119/365))+(O120*($E120/365))</f>
        <v>52.639726027397259</v>
      </c>
      <c r="T184" s="767">
        <f>(P119*($E119/365))+(P120*($E120/365))</f>
        <v>0</v>
      </c>
      <c r="U184" s="767">
        <f>(Q119*($E119/365))+(Q120*($E120/365))</f>
        <v>0</v>
      </c>
      <c r="W184" s="771">
        <f>S184+T184+U184</f>
        <v>52.639726027397259</v>
      </c>
    </row>
    <row r="185" spans="1:23" s="772" customFormat="1" x14ac:dyDescent="0.15">
      <c r="E185" s="778"/>
    </row>
  </sheetData>
  <mergeCells count="369">
    <mergeCell ref="C119:D119"/>
    <mergeCell ref="C120:D120"/>
    <mergeCell ref="H184:I184"/>
    <mergeCell ref="J184:K184"/>
    <mergeCell ref="L184:M184"/>
    <mergeCell ref="N184:O184"/>
    <mergeCell ref="H183:I183"/>
    <mergeCell ref="J183:K183"/>
    <mergeCell ref="L183:M183"/>
    <mergeCell ref="N183:O183"/>
    <mergeCell ref="L180:M180"/>
    <mergeCell ref="L181:M181"/>
    <mergeCell ref="L169:M169"/>
    <mergeCell ref="L170:M170"/>
    <mergeCell ref="J180:K180"/>
    <mergeCell ref="J165:K165"/>
    <mergeCell ref="J166:K166"/>
    <mergeCell ref="J167:K167"/>
    <mergeCell ref="J181:K181"/>
    <mergeCell ref="L157:M157"/>
    <mergeCell ref="L158:M158"/>
    <mergeCell ref="L159:M159"/>
    <mergeCell ref="L160:M160"/>
    <mergeCell ref="L161:M161"/>
    <mergeCell ref="C117:D117"/>
    <mergeCell ref="C118:D118"/>
    <mergeCell ref="N174:O174"/>
    <mergeCell ref="N175:O175"/>
    <mergeCell ref="N176:O176"/>
    <mergeCell ref="N177:O177"/>
    <mergeCell ref="L177:M177"/>
    <mergeCell ref="L178:M178"/>
    <mergeCell ref="L179:M179"/>
    <mergeCell ref="N157:O157"/>
    <mergeCell ref="N158:O158"/>
    <mergeCell ref="N159:O159"/>
    <mergeCell ref="N160:O160"/>
    <mergeCell ref="N161:O161"/>
    <mergeCell ref="L171:M171"/>
    <mergeCell ref="L172:M172"/>
    <mergeCell ref="L173:M173"/>
    <mergeCell ref="L174:M174"/>
    <mergeCell ref="L175:M175"/>
    <mergeCell ref="L176:M176"/>
    <mergeCell ref="L165:M165"/>
    <mergeCell ref="L166:M166"/>
    <mergeCell ref="L167:M167"/>
    <mergeCell ref="L168:M168"/>
    <mergeCell ref="AT4:AW4"/>
    <mergeCell ref="AX4:BA4"/>
    <mergeCell ref="N182:O182"/>
    <mergeCell ref="C115:D115"/>
    <mergeCell ref="C116:D116"/>
    <mergeCell ref="H182:I182"/>
    <mergeCell ref="J182:K182"/>
    <mergeCell ref="L182:M182"/>
    <mergeCell ref="N180:O180"/>
    <mergeCell ref="N181:O181"/>
    <mergeCell ref="N178:O178"/>
    <mergeCell ref="N179:O179"/>
    <mergeCell ref="N168:O168"/>
    <mergeCell ref="N169:O169"/>
    <mergeCell ref="N170:O170"/>
    <mergeCell ref="N171:O171"/>
    <mergeCell ref="N172:O172"/>
    <mergeCell ref="N173:O173"/>
    <mergeCell ref="N162:O162"/>
    <mergeCell ref="N163:O163"/>
    <mergeCell ref="N164:O164"/>
    <mergeCell ref="N165:O165"/>
    <mergeCell ref="N166:O166"/>
    <mergeCell ref="N167:O167"/>
    <mergeCell ref="J174:K174"/>
    <mergeCell ref="J175:K175"/>
    <mergeCell ref="J176:K176"/>
    <mergeCell ref="J177:K177"/>
    <mergeCell ref="J178:K178"/>
    <mergeCell ref="J179:K179"/>
    <mergeCell ref="J168:K168"/>
    <mergeCell ref="J169:K169"/>
    <mergeCell ref="J170:K170"/>
    <mergeCell ref="J171:K171"/>
    <mergeCell ref="J172:K172"/>
    <mergeCell ref="J173:K173"/>
    <mergeCell ref="H177:I177"/>
    <mergeCell ref="H178:I178"/>
    <mergeCell ref="H179:I179"/>
    <mergeCell ref="H180:I180"/>
    <mergeCell ref="H181:I181"/>
    <mergeCell ref="J157:K157"/>
    <mergeCell ref="J158:K158"/>
    <mergeCell ref="J159:K159"/>
    <mergeCell ref="J160:K160"/>
    <mergeCell ref="J161:K161"/>
    <mergeCell ref="H171:I171"/>
    <mergeCell ref="H172:I172"/>
    <mergeCell ref="H173:I173"/>
    <mergeCell ref="H174:I174"/>
    <mergeCell ref="H175:I175"/>
    <mergeCell ref="H176:I176"/>
    <mergeCell ref="H165:I165"/>
    <mergeCell ref="H166:I166"/>
    <mergeCell ref="H167:I167"/>
    <mergeCell ref="H168:I168"/>
    <mergeCell ref="H169:I169"/>
    <mergeCell ref="H170:I170"/>
    <mergeCell ref="H159:I159"/>
    <mergeCell ref="H160:I160"/>
    <mergeCell ref="H161:I161"/>
    <mergeCell ref="H162:I162"/>
    <mergeCell ref="H163:I163"/>
    <mergeCell ref="H164:I164"/>
    <mergeCell ref="H156:I156"/>
    <mergeCell ref="J156:K156"/>
    <mergeCell ref="L156:M156"/>
    <mergeCell ref="N156:O156"/>
    <mergeCell ref="H157:I157"/>
    <mergeCell ref="H158:I158"/>
    <mergeCell ref="L162:M162"/>
    <mergeCell ref="L163:M163"/>
    <mergeCell ref="L164:M164"/>
    <mergeCell ref="J162:K162"/>
    <mergeCell ref="J163:K163"/>
    <mergeCell ref="J164:K164"/>
    <mergeCell ref="H154:I154"/>
    <mergeCell ref="J154:K154"/>
    <mergeCell ref="L154:M154"/>
    <mergeCell ref="N154:O154"/>
    <mergeCell ref="H155:I155"/>
    <mergeCell ref="J155:K155"/>
    <mergeCell ref="L155:M155"/>
    <mergeCell ref="N155:O155"/>
    <mergeCell ref="H152:I152"/>
    <mergeCell ref="J152:K152"/>
    <mergeCell ref="L152:M152"/>
    <mergeCell ref="N152:O152"/>
    <mergeCell ref="H153:I153"/>
    <mergeCell ref="J153:K153"/>
    <mergeCell ref="L153:M153"/>
    <mergeCell ref="N153:O153"/>
    <mergeCell ref="H150:I150"/>
    <mergeCell ref="J150:K150"/>
    <mergeCell ref="L150:M150"/>
    <mergeCell ref="N150:O150"/>
    <mergeCell ref="H151:I151"/>
    <mergeCell ref="J151:K151"/>
    <mergeCell ref="L151:M151"/>
    <mergeCell ref="N151:O151"/>
    <mergeCell ref="H148:I148"/>
    <mergeCell ref="J148:K148"/>
    <mergeCell ref="L148:M148"/>
    <mergeCell ref="N148:O148"/>
    <mergeCell ref="H149:I149"/>
    <mergeCell ref="J149:K149"/>
    <mergeCell ref="L149:M149"/>
    <mergeCell ref="N149:O149"/>
    <mergeCell ref="H146:I146"/>
    <mergeCell ref="J146:K146"/>
    <mergeCell ref="L146:M146"/>
    <mergeCell ref="N146:O146"/>
    <mergeCell ref="H147:I147"/>
    <mergeCell ref="J147:K147"/>
    <mergeCell ref="L147:M147"/>
    <mergeCell ref="N147:O147"/>
    <mergeCell ref="H144:I144"/>
    <mergeCell ref="J144:K144"/>
    <mergeCell ref="L144:M144"/>
    <mergeCell ref="N144:O144"/>
    <mergeCell ref="H145:I145"/>
    <mergeCell ref="J145:K145"/>
    <mergeCell ref="L145:M145"/>
    <mergeCell ref="N145:O145"/>
    <mergeCell ref="H142:I142"/>
    <mergeCell ref="J142:K142"/>
    <mergeCell ref="L142:M142"/>
    <mergeCell ref="N142:O142"/>
    <mergeCell ref="H143:I143"/>
    <mergeCell ref="J143:K143"/>
    <mergeCell ref="L143:M143"/>
    <mergeCell ref="N143:O143"/>
    <mergeCell ref="H140:I140"/>
    <mergeCell ref="J140:K140"/>
    <mergeCell ref="L140:M140"/>
    <mergeCell ref="N140:O140"/>
    <mergeCell ref="H141:I141"/>
    <mergeCell ref="J141:K141"/>
    <mergeCell ref="L141:M141"/>
    <mergeCell ref="N141:O141"/>
    <mergeCell ref="H138:I138"/>
    <mergeCell ref="J138:K138"/>
    <mergeCell ref="L138:M138"/>
    <mergeCell ref="N138:O138"/>
    <mergeCell ref="H139:I139"/>
    <mergeCell ref="J139:K139"/>
    <mergeCell ref="L139:M139"/>
    <mergeCell ref="N139:O139"/>
    <mergeCell ref="H136:I136"/>
    <mergeCell ref="J136:K136"/>
    <mergeCell ref="L136:M136"/>
    <mergeCell ref="N136:O136"/>
    <mergeCell ref="H137:I137"/>
    <mergeCell ref="J137:K137"/>
    <mergeCell ref="L137:M137"/>
    <mergeCell ref="N137:O137"/>
    <mergeCell ref="H134:I134"/>
    <mergeCell ref="J134:K134"/>
    <mergeCell ref="L134:M134"/>
    <mergeCell ref="N134:O134"/>
    <mergeCell ref="H135:I135"/>
    <mergeCell ref="J135:K135"/>
    <mergeCell ref="L135:M135"/>
    <mergeCell ref="N135:O135"/>
    <mergeCell ref="H132:I132"/>
    <mergeCell ref="J132:K132"/>
    <mergeCell ref="L132:M132"/>
    <mergeCell ref="N132:O132"/>
    <mergeCell ref="H133:I133"/>
    <mergeCell ref="J133:K133"/>
    <mergeCell ref="L133:M133"/>
    <mergeCell ref="N133:O133"/>
    <mergeCell ref="H130:I130"/>
    <mergeCell ref="J130:K130"/>
    <mergeCell ref="L130:M130"/>
    <mergeCell ref="N130:O130"/>
    <mergeCell ref="H131:I131"/>
    <mergeCell ref="J131:K131"/>
    <mergeCell ref="L131:M131"/>
    <mergeCell ref="N131:O131"/>
    <mergeCell ref="R125:W125"/>
    <mergeCell ref="H127:I127"/>
    <mergeCell ref="J127:K127"/>
    <mergeCell ref="L127:M127"/>
    <mergeCell ref="N127:O127"/>
    <mergeCell ref="H129:I129"/>
    <mergeCell ref="J129:K129"/>
    <mergeCell ref="L129:M129"/>
    <mergeCell ref="N129:O129"/>
    <mergeCell ref="H128:I128"/>
    <mergeCell ref="J128:K128"/>
    <mergeCell ref="L128:M128"/>
    <mergeCell ref="N128:O128"/>
    <mergeCell ref="G3:M3"/>
    <mergeCell ref="O3:Q3"/>
    <mergeCell ref="C9:D9"/>
    <mergeCell ref="C10:D10"/>
    <mergeCell ref="A4:A5"/>
    <mergeCell ref="B4:B5"/>
    <mergeCell ref="C4:D5"/>
    <mergeCell ref="E4:E5"/>
    <mergeCell ref="F4:F5"/>
    <mergeCell ref="G4:J4"/>
    <mergeCell ref="C11:D11"/>
    <mergeCell ref="C12:D12"/>
    <mergeCell ref="Z4:AC4"/>
    <mergeCell ref="AD4:AG4"/>
    <mergeCell ref="AH4:AK4"/>
    <mergeCell ref="AL4:AO4"/>
    <mergeCell ref="U4:U5"/>
    <mergeCell ref="V4:Y4"/>
    <mergeCell ref="AP4:AS4"/>
    <mergeCell ref="C8:D8"/>
    <mergeCell ref="K4:N4"/>
    <mergeCell ref="O4:R4"/>
    <mergeCell ref="S4:S5"/>
    <mergeCell ref="T4:T5"/>
    <mergeCell ref="C7:D7"/>
    <mergeCell ref="C6:D6"/>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9:D39"/>
    <mergeCell ref="C40:D40"/>
    <mergeCell ref="C41:D41"/>
    <mergeCell ref="C42:D42"/>
    <mergeCell ref="C43:D43"/>
    <mergeCell ref="C38:D38"/>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111:D111"/>
    <mergeCell ref="C104:D104"/>
    <mergeCell ref="C105:D105"/>
    <mergeCell ref="C112:D112"/>
    <mergeCell ref="C113:D113"/>
    <mergeCell ref="C114:D114"/>
    <mergeCell ref="C106:D106"/>
    <mergeCell ref="C94:D94"/>
    <mergeCell ref="C95:D95"/>
    <mergeCell ref="C96:D96"/>
    <mergeCell ref="C97:D97"/>
    <mergeCell ref="C107:D107"/>
    <mergeCell ref="C108:D108"/>
    <mergeCell ref="C109:D109"/>
    <mergeCell ref="C110:D110"/>
    <mergeCell ref="C98:D98"/>
    <mergeCell ref="C99:D99"/>
    <mergeCell ref="C100:D100"/>
    <mergeCell ref="C101:D101"/>
    <mergeCell ref="C102:D102"/>
    <mergeCell ref="C103:D103"/>
  </mergeCells>
  <phoneticPr fontId="0" type="noConversion"/>
  <pageMargins left="0.78740157499999996" right="0.78740157499999996" top="0.984251969" bottom="0.984251969" header="0.4921259845" footer="0.4921259845"/>
  <pageSetup paperSize="9" orientation="portrait" r:id="rId1"/>
  <headerFooter alignWithMargins="0"/>
  <drawing r:id="rId2"/>
  <legacyDrawing r:id="rId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96"/>
  <sheetViews>
    <sheetView zoomScale="120" zoomScaleNormal="120" workbookViewId="0">
      <pane xSplit="1" ySplit="5" topLeftCell="B106" activePane="bottomRight" state="frozen"/>
      <selection pane="topRight" activeCell="B1" sqref="B1"/>
      <selection pane="bottomLeft" activeCell="A6" sqref="A6"/>
      <selection pane="bottomRight" activeCell="S126" sqref="S126"/>
    </sheetView>
  </sheetViews>
  <sheetFormatPr baseColWidth="10" defaultColWidth="10.7109375" defaultRowHeight="9" x14ac:dyDescent="0.15"/>
  <cols>
    <col min="1" max="1" width="5.85546875" style="1" customWidth="1"/>
    <col min="2" max="6" width="7.85546875" style="1" customWidth="1"/>
    <col min="7" max="18" width="4.42578125" style="1" customWidth="1"/>
    <col min="19" max="21" width="7.85546875" style="1" customWidth="1"/>
    <col min="22" max="53" width="5.7109375" style="1" customWidth="1"/>
    <col min="54" max="16384" width="10.7109375" style="1"/>
  </cols>
  <sheetData>
    <row r="1" spans="1:53" s="2" customFormat="1" ht="15" customHeight="1" x14ac:dyDescent="0.2">
      <c r="B1" s="22" t="s">
        <v>14</v>
      </c>
    </row>
    <row r="2" spans="1:53" s="2" customFormat="1" ht="15" customHeight="1" x14ac:dyDescent="0.2">
      <c r="B2" s="22" t="s">
        <v>71</v>
      </c>
    </row>
    <row r="3" spans="1:53" s="2" customFormat="1" x14ac:dyDescent="0.15">
      <c r="G3" s="814"/>
      <c r="H3" s="814"/>
      <c r="I3" s="814"/>
      <c r="J3" s="814"/>
      <c r="K3" s="814"/>
      <c r="L3" s="814"/>
      <c r="M3" s="814"/>
      <c r="O3" s="814"/>
      <c r="P3" s="814"/>
      <c r="Q3" s="814"/>
    </row>
    <row r="4" spans="1:53" s="346" customFormat="1" ht="12.75" customHeight="1" x14ac:dyDescent="0.15">
      <c r="A4" s="788" t="s">
        <v>3</v>
      </c>
      <c r="B4" s="794" t="s">
        <v>4</v>
      </c>
      <c r="C4" s="788" t="s">
        <v>1282</v>
      </c>
      <c r="D4" s="788"/>
      <c r="E4" s="794" t="s">
        <v>5</v>
      </c>
      <c r="F4" s="837" t="s">
        <v>7</v>
      </c>
      <c r="G4" s="790" t="s">
        <v>1218</v>
      </c>
      <c r="H4" s="788"/>
      <c r="I4" s="788"/>
      <c r="J4" s="791"/>
      <c r="K4" s="790" t="s">
        <v>1219</v>
      </c>
      <c r="L4" s="788"/>
      <c r="M4" s="788"/>
      <c r="N4" s="791"/>
      <c r="O4" s="790" t="s">
        <v>1216</v>
      </c>
      <c r="P4" s="788"/>
      <c r="Q4" s="788"/>
      <c r="R4" s="791"/>
      <c r="S4" s="792" t="s">
        <v>13</v>
      </c>
      <c r="T4" s="864" t="s">
        <v>794</v>
      </c>
      <c r="U4" s="796" t="s">
        <v>4</v>
      </c>
      <c r="V4" s="787" t="s">
        <v>1206</v>
      </c>
      <c r="W4" s="788"/>
      <c r="X4" s="788"/>
      <c r="Y4" s="789"/>
      <c r="Z4" s="787" t="s">
        <v>1207</v>
      </c>
      <c r="AA4" s="788"/>
      <c r="AB4" s="788"/>
      <c r="AC4" s="789"/>
      <c r="AD4" s="787" t="s">
        <v>1208</v>
      </c>
      <c r="AE4" s="788"/>
      <c r="AF4" s="788"/>
      <c r="AG4" s="789"/>
      <c r="AH4" s="787" t="s">
        <v>1209</v>
      </c>
      <c r="AI4" s="788"/>
      <c r="AJ4" s="788"/>
      <c r="AK4" s="789"/>
      <c r="AL4" s="787" t="s">
        <v>1210</v>
      </c>
      <c r="AM4" s="788"/>
      <c r="AN4" s="788"/>
      <c r="AO4" s="789"/>
      <c r="AP4" s="787" t="s">
        <v>1211</v>
      </c>
      <c r="AQ4" s="788"/>
      <c r="AR4" s="788"/>
      <c r="AS4" s="789"/>
      <c r="AT4" s="787" t="s">
        <v>1280</v>
      </c>
      <c r="AU4" s="788"/>
      <c r="AV4" s="788"/>
      <c r="AW4" s="789"/>
      <c r="AX4" s="787" t="s">
        <v>1281</v>
      </c>
      <c r="AY4" s="788"/>
      <c r="AZ4" s="788"/>
      <c r="BA4" s="791"/>
    </row>
    <row r="5" spans="1:53" s="351" customFormat="1" x14ac:dyDescent="0.15">
      <c r="A5" s="800"/>
      <c r="B5" s="795"/>
      <c r="C5" s="801"/>
      <c r="D5" s="801"/>
      <c r="E5" s="795"/>
      <c r="F5" s="838"/>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86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1" t="s">
        <v>23</v>
      </c>
      <c r="AU5" s="351" t="s">
        <v>24</v>
      </c>
      <c r="AV5" s="351" t="s">
        <v>25</v>
      </c>
      <c r="AW5" s="353" t="s">
        <v>1217</v>
      </c>
      <c r="AX5" s="351" t="s">
        <v>23</v>
      </c>
      <c r="AY5" s="351" t="s">
        <v>24</v>
      </c>
      <c r="AZ5" s="351" t="s">
        <v>25</v>
      </c>
      <c r="BA5" s="354" t="s">
        <v>1217</v>
      </c>
    </row>
    <row r="6" spans="1:53" s="257" customFormat="1" x14ac:dyDescent="0.15">
      <c r="A6" s="263">
        <v>1959</v>
      </c>
      <c r="B6" s="252"/>
      <c r="C6" s="815" t="s">
        <v>585</v>
      </c>
      <c r="D6" s="815"/>
      <c r="E6" s="257">
        <v>0</v>
      </c>
      <c r="G6" s="265">
        <v>12</v>
      </c>
      <c r="H6" s="257">
        <v>1</v>
      </c>
      <c r="J6" s="272">
        <v>13</v>
      </c>
      <c r="K6" s="248">
        <f t="shared" ref="K6:M8" si="0">G6/$J6*100</f>
        <v>92.307692307692307</v>
      </c>
      <c r="L6" s="248">
        <f t="shared" si="0"/>
        <v>7.6923076923076925</v>
      </c>
      <c r="M6" s="248">
        <f t="shared" si="0"/>
        <v>0</v>
      </c>
      <c r="N6" s="267">
        <f>K6+L6+M6</f>
        <v>100</v>
      </c>
      <c r="O6" s="247">
        <v>35</v>
      </c>
      <c r="P6" s="248"/>
      <c r="Q6" s="248"/>
      <c r="R6" s="249">
        <f>O6+P6+Q6</f>
        <v>35</v>
      </c>
      <c r="S6" s="257">
        <v>1</v>
      </c>
      <c r="T6" s="278"/>
      <c r="V6" s="256" t="s">
        <v>343</v>
      </c>
      <c r="W6" s="257" t="s">
        <v>74</v>
      </c>
      <c r="X6" s="257" t="s">
        <v>11</v>
      </c>
      <c r="Y6" s="258">
        <v>35</v>
      </c>
      <c r="Z6" s="257" t="s">
        <v>131</v>
      </c>
      <c r="AA6" s="257" t="s">
        <v>22</v>
      </c>
      <c r="AB6" s="257" t="s">
        <v>18</v>
      </c>
      <c r="AC6" s="257">
        <v>65</v>
      </c>
      <c r="AD6" s="256"/>
      <c r="AG6" s="258"/>
      <c r="AL6" s="256"/>
      <c r="AO6" s="258"/>
      <c r="AP6" s="256"/>
      <c r="AS6" s="258"/>
      <c r="AW6" s="258"/>
      <c r="BA6" s="259"/>
    </row>
    <row r="7" spans="1:53" s="257" customFormat="1" x14ac:dyDescent="0.15">
      <c r="A7" s="263">
        <v>1959</v>
      </c>
      <c r="B7" s="252"/>
      <c r="C7" s="815" t="s">
        <v>585</v>
      </c>
      <c r="D7" s="815"/>
      <c r="E7" s="257">
        <v>365</v>
      </c>
      <c r="G7" s="265">
        <v>12</v>
      </c>
      <c r="H7" s="257">
        <v>1</v>
      </c>
      <c r="J7" s="272">
        <v>13</v>
      </c>
      <c r="K7" s="248">
        <f t="shared" si="0"/>
        <v>92.307692307692307</v>
      </c>
      <c r="L7" s="248">
        <f t="shared" si="0"/>
        <v>7.6923076923076925</v>
      </c>
      <c r="M7" s="248">
        <f t="shared" si="0"/>
        <v>0</v>
      </c>
      <c r="N7" s="267">
        <f>K7+L7+M7</f>
        <v>100</v>
      </c>
      <c r="O7" s="247">
        <v>35</v>
      </c>
      <c r="P7" s="248"/>
      <c r="Q7" s="248"/>
      <c r="R7" s="249">
        <f>O7+P7+Q7</f>
        <v>35</v>
      </c>
      <c r="S7" s="257">
        <v>1</v>
      </c>
      <c r="T7" s="278"/>
      <c r="V7" s="256" t="s">
        <v>343</v>
      </c>
      <c r="W7" s="257" t="s">
        <v>74</v>
      </c>
      <c r="X7" s="257" t="s">
        <v>11</v>
      </c>
      <c r="Y7" s="258">
        <v>35</v>
      </c>
      <c r="Z7" s="257" t="s">
        <v>131</v>
      </c>
      <c r="AA7" s="257" t="s">
        <v>22</v>
      </c>
      <c r="AB7" s="257" t="s">
        <v>18</v>
      </c>
      <c r="AC7" s="257">
        <v>65</v>
      </c>
      <c r="AD7" s="256"/>
      <c r="AG7" s="258"/>
      <c r="AL7" s="256"/>
      <c r="AO7" s="258"/>
      <c r="AP7" s="256"/>
      <c r="AS7" s="258"/>
      <c r="AW7" s="258"/>
      <c r="BA7" s="259"/>
    </row>
    <row r="8" spans="1:53" s="208" customFormat="1" x14ac:dyDescent="0.15">
      <c r="A8" s="102">
        <v>1960</v>
      </c>
      <c r="B8" s="207"/>
      <c r="C8" s="811" t="s">
        <v>585</v>
      </c>
      <c r="D8" s="811"/>
      <c r="E8" s="208">
        <v>312</v>
      </c>
      <c r="G8" s="123">
        <v>12</v>
      </c>
      <c r="H8" s="208">
        <v>1</v>
      </c>
      <c r="J8" s="134">
        <v>13</v>
      </c>
      <c r="K8" s="92">
        <f t="shared" si="0"/>
        <v>92.307692307692307</v>
      </c>
      <c r="L8" s="92">
        <f t="shared" si="0"/>
        <v>7.6923076923076925</v>
      </c>
      <c r="M8" s="92">
        <f t="shared" si="0"/>
        <v>0</v>
      </c>
      <c r="N8" s="125">
        <f>K8+L8+M8</f>
        <v>100</v>
      </c>
      <c r="O8" s="91">
        <v>35</v>
      </c>
      <c r="P8" s="92"/>
      <c r="Q8" s="92"/>
      <c r="R8" s="93">
        <f>O8+P8+Q8</f>
        <v>35</v>
      </c>
      <c r="S8" s="208">
        <v>1</v>
      </c>
      <c r="T8" s="81"/>
      <c r="V8" s="82" t="s">
        <v>343</v>
      </c>
      <c r="W8" s="208" t="s">
        <v>74</v>
      </c>
      <c r="X8" s="208" t="s">
        <v>11</v>
      </c>
      <c r="Y8" s="83">
        <v>35</v>
      </c>
      <c r="Z8" s="150" t="s">
        <v>131</v>
      </c>
      <c r="AA8" s="150" t="s">
        <v>22</v>
      </c>
      <c r="AB8" s="150" t="s">
        <v>18</v>
      </c>
      <c r="AC8" s="150">
        <v>65</v>
      </c>
      <c r="AD8" s="82"/>
      <c r="AG8" s="83"/>
      <c r="AL8" s="82"/>
      <c r="AO8" s="83"/>
      <c r="AP8" s="82"/>
      <c r="AS8" s="83"/>
      <c r="AW8" s="83"/>
      <c r="BA8" s="84"/>
    </row>
    <row r="9" spans="1:53" s="208" customFormat="1" x14ac:dyDescent="0.15">
      <c r="A9" s="102">
        <v>1960</v>
      </c>
      <c r="B9" s="149">
        <v>22228</v>
      </c>
      <c r="C9" s="811" t="s">
        <v>585</v>
      </c>
      <c r="D9" s="811"/>
      <c r="E9" s="208">
        <v>54</v>
      </c>
      <c r="F9" s="150" t="s">
        <v>340</v>
      </c>
      <c r="G9" s="123">
        <v>12</v>
      </c>
      <c r="H9" s="208">
        <v>1</v>
      </c>
      <c r="J9" s="134">
        <v>13</v>
      </c>
      <c r="K9" s="92">
        <f t="shared" ref="K9:M69" si="1">G9/$J9*100</f>
        <v>92.307692307692307</v>
      </c>
      <c r="L9" s="92">
        <f t="shared" si="1"/>
        <v>7.6923076923076925</v>
      </c>
      <c r="M9" s="92">
        <f t="shared" si="1"/>
        <v>0</v>
      </c>
      <c r="N9" s="125">
        <f t="shared" ref="N9:N75" si="2">K9+L9+M9</f>
        <v>100</v>
      </c>
      <c r="O9" s="91">
        <v>40</v>
      </c>
      <c r="P9" s="92"/>
      <c r="Q9" s="92"/>
      <c r="R9" s="93">
        <f>O9+P9+Q9</f>
        <v>40</v>
      </c>
      <c r="S9" s="208">
        <v>1</v>
      </c>
      <c r="T9" s="95">
        <v>22228</v>
      </c>
      <c r="V9" s="82" t="s">
        <v>343</v>
      </c>
      <c r="W9" s="208" t="s">
        <v>74</v>
      </c>
      <c r="X9" s="208" t="s">
        <v>11</v>
      </c>
      <c r="Y9" s="83">
        <v>40</v>
      </c>
      <c r="Z9" s="150" t="s">
        <v>131</v>
      </c>
      <c r="AA9" s="150" t="s">
        <v>22</v>
      </c>
      <c r="AB9" s="150" t="s">
        <v>18</v>
      </c>
      <c r="AC9" s="150">
        <v>60</v>
      </c>
      <c r="AD9" s="82"/>
      <c r="AG9" s="83"/>
      <c r="AL9" s="82"/>
      <c r="AO9" s="83"/>
      <c r="AP9" s="82"/>
      <c r="AS9" s="83"/>
      <c r="AW9" s="83"/>
      <c r="BA9" s="84"/>
    </row>
    <row r="10" spans="1:53" s="208" customFormat="1" x14ac:dyDescent="0.15">
      <c r="A10" s="102">
        <v>1961</v>
      </c>
      <c r="B10" s="207"/>
      <c r="C10" s="811" t="s">
        <v>585</v>
      </c>
      <c r="D10" s="811"/>
      <c r="E10" s="208">
        <v>19</v>
      </c>
      <c r="G10" s="123">
        <v>12</v>
      </c>
      <c r="H10" s="208">
        <v>1</v>
      </c>
      <c r="J10" s="134">
        <v>13</v>
      </c>
      <c r="K10" s="92">
        <f t="shared" si="1"/>
        <v>92.307692307692307</v>
      </c>
      <c r="L10" s="92">
        <f t="shared" si="1"/>
        <v>7.6923076923076925</v>
      </c>
      <c r="M10" s="92">
        <f t="shared" si="1"/>
        <v>0</v>
      </c>
      <c r="N10" s="125">
        <f t="shared" si="2"/>
        <v>100</v>
      </c>
      <c r="O10" s="91">
        <v>40</v>
      </c>
      <c r="P10" s="92"/>
      <c r="Q10" s="92"/>
      <c r="R10" s="93">
        <f t="shared" ref="R10:R75" si="3">O10+P10+Q10</f>
        <v>40</v>
      </c>
      <c r="S10" s="208">
        <v>1</v>
      </c>
      <c r="T10" s="81"/>
      <c r="V10" s="82" t="s">
        <v>343</v>
      </c>
      <c r="W10" s="208" t="s">
        <v>74</v>
      </c>
      <c r="X10" s="208" t="s">
        <v>11</v>
      </c>
      <c r="Y10" s="83">
        <v>40</v>
      </c>
      <c r="Z10" s="150" t="s">
        <v>131</v>
      </c>
      <c r="AA10" s="150" t="s">
        <v>22</v>
      </c>
      <c r="AB10" s="150" t="s">
        <v>18</v>
      </c>
      <c r="AC10" s="150">
        <v>60</v>
      </c>
      <c r="AD10" s="82"/>
      <c r="AG10" s="83"/>
      <c r="AL10" s="82"/>
      <c r="AO10" s="83"/>
      <c r="AP10" s="82"/>
      <c r="AS10" s="83"/>
      <c r="AW10" s="83"/>
      <c r="BA10" s="84"/>
    </row>
    <row r="11" spans="1:53" s="334" customFormat="1" x14ac:dyDescent="0.15">
      <c r="A11" s="386">
        <v>1961</v>
      </c>
      <c r="B11" s="355">
        <v>22301</v>
      </c>
      <c r="C11" s="812" t="s">
        <v>586</v>
      </c>
      <c r="D11" s="812"/>
      <c r="E11" s="334">
        <f>365-E10</f>
        <v>346</v>
      </c>
      <c r="F11" s="334">
        <v>1</v>
      </c>
      <c r="G11" s="419">
        <v>1</v>
      </c>
      <c r="H11" s="334">
        <v>14</v>
      </c>
      <c r="J11" s="435">
        <v>15</v>
      </c>
      <c r="K11" s="384">
        <f t="shared" si="1"/>
        <v>6.666666666666667</v>
      </c>
      <c r="L11" s="384">
        <f t="shared" si="1"/>
        <v>93.333333333333329</v>
      </c>
      <c r="M11" s="384">
        <f t="shared" si="1"/>
        <v>0</v>
      </c>
      <c r="N11" s="421">
        <f t="shared" si="2"/>
        <v>100</v>
      </c>
      <c r="O11" s="383"/>
      <c r="P11" s="384">
        <v>60</v>
      </c>
      <c r="Q11" s="384"/>
      <c r="R11" s="385">
        <f t="shared" si="3"/>
        <v>60</v>
      </c>
      <c r="S11" s="334">
        <v>1</v>
      </c>
      <c r="T11" s="357"/>
      <c r="U11" s="355">
        <v>22301</v>
      </c>
      <c r="V11" s="343" t="s">
        <v>131</v>
      </c>
      <c r="W11" s="334" t="s">
        <v>22</v>
      </c>
      <c r="X11" s="334" t="s">
        <v>18</v>
      </c>
      <c r="Y11" s="344">
        <v>60</v>
      </c>
      <c r="Z11" s="441" t="s">
        <v>343</v>
      </c>
      <c r="AA11" s="441" t="s">
        <v>74</v>
      </c>
      <c r="AB11" s="441" t="s">
        <v>11</v>
      </c>
      <c r="AC11" s="441">
        <v>40</v>
      </c>
      <c r="AD11" s="343"/>
      <c r="AG11" s="344"/>
      <c r="AL11" s="343"/>
      <c r="AO11" s="344"/>
      <c r="AP11" s="343"/>
      <c r="AS11" s="344"/>
      <c r="AW11" s="344"/>
      <c r="BA11" s="345"/>
    </row>
    <row r="12" spans="1:53" s="334" customFormat="1" x14ac:dyDescent="0.15">
      <c r="A12" s="386">
        <v>1962</v>
      </c>
      <c r="B12" s="355"/>
      <c r="C12" s="812" t="s">
        <v>586</v>
      </c>
      <c r="D12" s="812"/>
      <c r="E12" s="334">
        <v>309</v>
      </c>
      <c r="G12" s="419">
        <v>1</v>
      </c>
      <c r="H12" s="334">
        <v>14</v>
      </c>
      <c r="J12" s="435">
        <v>15</v>
      </c>
      <c r="K12" s="384">
        <f t="shared" si="1"/>
        <v>6.666666666666667</v>
      </c>
      <c r="L12" s="384">
        <f t="shared" si="1"/>
        <v>93.333333333333329</v>
      </c>
      <c r="M12" s="384">
        <f t="shared" si="1"/>
        <v>0</v>
      </c>
      <c r="N12" s="421">
        <f t="shared" si="2"/>
        <v>100</v>
      </c>
      <c r="O12" s="383"/>
      <c r="P12" s="384">
        <v>60</v>
      </c>
      <c r="Q12" s="384"/>
      <c r="R12" s="385">
        <f t="shared" si="3"/>
        <v>60</v>
      </c>
      <c r="S12" s="334">
        <v>1</v>
      </c>
      <c r="T12" s="357"/>
      <c r="V12" s="343" t="s">
        <v>131</v>
      </c>
      <c r="W12" s="334" t="s">
        <v>22</v>
      </c>
      <c r="X12" s="334" t="s">
        <v>18</v>
      </c>
      <c r="Y12" s="344">
        <v>60</v>
      </c>
      <c r="Z12" s="441" t="s">
        <v>343</v>
      </c>
      <c r="AA12" s="441" t="s">
        <v>74</v>
      </c>
      <c r="AB12" s="441" t="s">
        <v>11</v>
      </c>
      <c r="AC12" s="441">
        <v>40</v>
      </c>
      <c r="AD12" s="343"/>
      <c r="AG12" s="344"/>
      <c r="AL12" s="343"/>
      <c r="AO12" s="344"/>
      <c r="AP12" s="343"/>
      <c r="AS12" s="344"/>
      <c r="AW12" s="344"/>
      <c r="BA12" s="345"/>
    </row>
    <row r="13" spans="1:53" s="334" customFormat="1" x14ac:dyDescent="0.15">
      <c r="A13" s="386">
        <v>1962</v>
      </c>
      <c r="B13" s="445">
        <v>22956</v>
      </c>
      <c r="C13" s="812" t="s">
        <v>586</v>
      </c>
      <c r="D13" s="812"/>
      <c r="E13" s="334">
        <v>56</v>
      </c>
      <c r="F13" s="441" t="s">
        <v>340</v>
      </c>
      <c r="G13" s="419">
        <v>1</v>
      </c>
      <c r="H13" s="334">
        <v>14</v>
      </c>
      <c r="J13" s="435">
        <v>15</v>
      </c>
      <c r="K13" s="384">
        <f t="shared" si="1"/>
        <v>6.666666666666667</v>
      </c>
      <c r="L13" s="384">
        <f t="shared" si="1"/>
        <v>93.333333333333329</v>
      </c>
      <c r="M13" s="384">
        <f t="shared" si="1"/>
        <v>0</v>
      </c>
      <c r="N13" s="421">
        <f t="shared" si="2"/>
        <v>100</v>
      </c>
      <c r="O13" s="383"/>
      <c r="P13" s="384">
        <v>59.5</v>
      </c>
      <c r="Q13" s="384"/>
      <c r="R13" s="385">
        <f t="shared" si="3"/>
        <v>59.5</v>
      </c>
      <c r="S13" s="334">
        <v>1</v>
      </c>
      <c r="T13" s="342">
        <v>22956</v>
      </c>
      <c r="V13" s="343" t="s">
        <v>131</v>
      </c>
      <c r="W13" s="334" t="s">
        <v>22</v>
      </c>
      <c r="X13" s="334" t="s">
        <v>18</v>
      </c>
      <c r="Y13" s="344">
        <v>59.5</v>
      </c>
      <c r="Z13" s="441" t="s">
        <v>343</v>
      </c>
      <c r="AA13" s="441" t="s">
        <v>74</v>
      </c>
      <c r="AB13" s="441" t="s">
        <v>11</v>
      </c>
      <c r="AC13" s="441">
        <v>40.5</v>
      </c>
      <c r="AD13" s="343"/>
      <c r="AG13" s="344"/>
      <c r="AL13" s="343"/>
      <c r="AO13" s="344"/>
      <c r="AP13" s="343"/>
      <c r="AS13" s="344"/>
      <c r="AW13" s="344"/>
      <c r="BA13" s="345"/>
    </row>
    <row r="14" spans="1:53" s="334" customFormat="1" x14ac:dyDescent="0.15">
      <c r="A14" s="386">
        <v>1962.6</v>
      </c>
      <c r="B14" s="355"/>
      <c r="C14" s="812" t="s">
        <v>586</v>
      </c>
      <c r="D14" s="812"/>
      <c r="E14" s="334">
        <v>305</v>
      </c>
      <c r="G14" s="419">
        <v>1</v>
      </c>
      <c r="H14" s="334">
        <v>14</v>
      </c>
      <c r="J14" s="435">
        <v>15</v>
      </c>
      <c r="K14" s="384">
        <f t="shared" si="1"/>
        <v>6.666666666666667</v>
      </c>
      <c r="L14" s="384">
        <f t="shared" si="1"/>
        <v>93.333333333333329</v>
      </c>
      <c r="M14" s="384">
        <f t="shared" si="1"/>
        <v>0</v>
      </c>
      <c r="N14" s="421">
        <f t="shared" si="2"/>
        <v>100</v>
      </c>
      <c r="O14" s="383"/>
      <c r="P14" s="384">
        <v>59.5</v>
      </c>
      <c r="Q14" s="384"/>
      <c r="R14" s="385">
        <f t="shared" si="3"/>
        <v>59.5</v>
      </c>
      <c r="S14" s="334">
        <v>1</v>
      </c>
      <c r="T14" s="357"/>
      <c r="V14" s="343" t="s">
        <v>131</v>
      </c>
      <c r="W14" s="334" t="s">
        <v>22</v>
      </c>
      <c r="X14" s="334" t="s">
        <v>18</v>
      </c>
      <c r="Y14" s="344">
        <v>59.5</v>
      </c>
      <c r="Z14" s="441" t="s">
        <v>343</v>
      </c>
      <c r="AA14" s="441" t="s">
        <v>74</v>
      </c>
      <c r="AB14" s="441" t="s">
        <v>11</v>
      </c>
      <c r="AC14" s="441">
        <v>40.5</v>
      </c>
      <c r="AD14" s="343"/>
      <c r="AG14" s="344"/>
      <c r="AL14" s="343"/>
      <c r="AO14" s="344"/>
      <c r="AP14" s="343"/>
      <c r="AS14" s="344"/>
      <c r="AW14" s="344"/>
      <c r="BA14" s="345"/>
    </row>
    <row r="15" spans="1:53" s="334" customFormat="1" x14ac:dyDescent="0.15">
      <c r="A15" s="386">
        <v>1963</v>
      </c>
      <c r="B15" s="445">
        <v>23317</v>
      </c>
      <c r="C15" s="812" t="s">
        <v>586</v>
      </c>
      <c r="D15" s="812"/>
      <c r="E15" s="334">
        <v>20</v>
      </c>
      <c r="F15" s="441">
        <v>0</v>
      </c>
      <c r="G15" s="419">
        <v>1</v>
      </c>
      <c r="H15" s="334">
        <v>13</v>
      </c>
      <c r="J15" s="435">
        <v>14</v>
      </c>
      <c r="K15" s="384">
        <f t="shared" si="1"/>
        <v>7.1428571428571423</v>
      </c>
      <c r="L15" s="384">
        <f t="shared" si="1"/>
        <v>92.857142857142861</v>
      </c>
      <c r="M15" s="384">
        <f t="shared" si="1"/>
        <v>0</v>
      </c>
      <c r="N15" s="421">
        <f t="shared" si="2"/>
        <v>100</v>
      </c>
      <c r="O15" s="383"/>
      <c r="P15" s="384">
        <v>59.5</v>
      </c>
      <c r="Q15" s="384"/>
      <c r="R15" s="385">
        <f t="shared" si="3"/>
        <v>59.5</v>
      </c>
      <c r="S15" s="334">
        <v>1</v>
      </c>
      <c r="T15" s="357"/>
      <c r="V15" s="343" t="s">
        <v>131</v>
      </c>
      <c r="W15" s="334" t="s">
        <v>22</v>
      </c>
      <c r="X15" s="334" t="s">
        <v>18</v>
      </c>
      <c r="Y15" s="344">
        <v>59.5</v>
      </c>
      <c r="Z15" s="441" t="s">
        <v>343</v>
      </c>
      <c r="AA15" s="441" t="s">
        <v>74</v>
      </c>
      <c r="AB15" s="441" t="s">
        <v>11</v>
      </c>
      <c r="AC15" s="441">
        <v>40.5</v>
      </c>
      <c r="AD15" s="343"/>
      <c r="AG15" s="344"/>
      <c r="AL15" s="343"/>
      <c r="AO15" s="344"/>
      <c r="AP15" s="343"/>
      <c r="AS15" s="344"/>
      <c r="AW15" s="344"/>
      <c r="BA15" s="345"/>
    </row>
    <row r="16" spans="1:53" s="208" customFormat="1" x14ac:dyDescent="0.15">
      <c r="A16" s="102">
        <v>1963.05714285714</v>
      </c>
      <c r="B16" s="207">
        <v>23337</v>
      </c>
      <c r="C16" s="811" t="s">
        <v>587</v>
      </c>
      <c r="D16" s="811"/>
      <c r="E16" s="208">
        <f>365-E15-E14</f>
        <v>40</v>
      </c>
      <c r="F16" s="208" t="s">
        <v>348</v>
      </c>
      <c r="G16" s="123">
        <v>1</v>
      </c>
      <c r="H16" s="208">
        <v>13</v>
      </c>
      <c r="J16" s="134">
        <v>14</v>
      </c>
      <c r="K16" s="92">
        <f t="shared" si="1"/>
        <v>7.1428571428571423</v>
      </c>
      <c r="L16" s="92">
        <f t="shared" si="1"/>
        <v>92.857142857142861</v>
      </c>
      <c r="M16" s="92">
        <f t="shared" si="1"/>
        <v>0</v>
      </c>
      <c r="N16" s="125">
        <f t="shared" si="2"/>
        <v>100</v>
      </c>
      <c r="O16" s="91"/>
      <c r="P16" s="92">
        <v>59.5</v>
      </c>
      <c r="Q16" s="92"/>
      <c r="R16" s="93">
        <f t="shared" si="3"/>
        <v>59.5</v>
      </c>
      <c r="S16" s="208">
        <v>1</v>
      </c>
      <c r="T16" s="81"/>
      <c r="U16" s="207">
        <v>23337</v>
      </c>
      <c r="V16" s="82" t="s">
        <v>131</v>
      </c>
      <c r="W16" s="208" t="s">
        <v>22</v>
      </c>
      <c r="X16" s="208" t="s">
        <v>18</v>
      </c>
      <c r="Y16" s="83">
        <v>59.5</v>
      </c>
      <c r="Z16" s="150" t="s">
        <v>343</v>
      </c>
      <c r="AA16" s="150" t="s">
        <v>74</v>
      </c>
      <c r="AB16" s="150" t="s">
        <v>11</v>
      </c>
      <c r="AC16" s="150">
        <v>40.5</v>
      </c>
      <c r="AD16" s="82"/>
      <c r="AG16" s="83"/>
      <c r="AL16" s="82"/>
      <c r="AO16" s="83"/>
      <c r="AP16" s="82"/>
      <c r="AS16" s="83"/>
      <c r="AW16" s="83"/>
      <c r="BA16" s="84"/>
    </row>
    <row r="17" spans="1:53" s="208" customFormat="1" x14ac:dyDescent="0.15">
      <c r="A17" s="102">
        <v>1963.5142857142901</v>
      </c>
      <c r="B17" s="207"/>
      <c r="C17" s="811" t="s">
        <v>587</v>
      </c>
      <c r="D17" s="811"/>
      <c r="E17" s="208">
        <v>307</v>
      </c>
      <c r="F17" s="150"/>
      <c r="G17" s="123">
        <v>1</v>
      </c>
      <c r="H17" s="208">
        <v>13</v>
      </c>
      <c r="J17" s="134">
        <v>14</v>
      </c>
      <c r="K17" s="92">
        <f t="shared" si="1"/>
        <v>7.1428571428571423</v>
      </c>
      <c r="L17" s="92">
        <f t="shared" si="1"/>
        <v>92.857142857142861</v>
      </c>
      <c r="M17" s="92">
        <f t="shared" si="1"/>
        <v>0</v>
      </c>
      <c r="N17" s="125">
        <f t="shared" si="2"/>
        <v>100</v>
      </c>
      <c r="O17" s="91"/>
      <c r="P17" s="92">
        <v>59.5</v>
      </c>
      <c r="Q17" s="92"/>
      <c r="R17" s="93">
        <f t="shared" si="3"/>
        <v>59.5</v>
      </c>
      <c r="S17" s="208">
        <v>1</v>
      </c>
      <c r="T17" s="81"/>
      <c r="V17" s="82" t="s">
        <v>131</v>
      </c>
      <c r="W17" s="208" t="s">
        <v>22</v>
      </c>
      <c r="X17" s="208" t="s">
        <v>18</v>
      </c>
      <c r="Y17" s="83">
        <v>59.5</v>
      </c>
      <c r="Z17" s="150" t="s">
        <v>343</v>
      </c>
      <c r="AA17" s="150" t="s">
        <v>74</v>
      </c>
      <c r="AB17" s="150" t="s">
        <v>11</v>
      </c>
      <c r="AC17" s="150">
        <v>40.5</v>
      </c>
      <c r="AD17" s="82"/>
      <c r="AG17" s="83"/>
      <c r="AL17" s="82"/>
      <c r="AO17" s="83"/>
      <c r="AP17" s="82"/>
      <c r="AS17" s="83"/>
      <c r="AW17" s="83"/>
      <c r="BA17" s="84"/>
    </row>
    <row r="18" spans="1:53" s="208" customFormat="1" x14ac:dyDescent="0.15">
      <c r="A18" s="102">
        <v>1963.9714285714299</v>
      </c>
      <c r="B18" s="149">
        <v>23684</v>
      </c>
      <c r="C18" s="811" t="s">
        <v>587</v>
      </c>
      <c r="D18" s="811"/>
      <c r="E18" s="208">
        <v>59</v>
      </c>
      <c r="F18" s="150" t="s">
        <v>340</v>
      </c>
      <c r="G18" s="123">
        <v>1</v>
      </c>
      <c r="H18" s="208">
        <v>13</v>
      </c>
      <c r="J18" s="134">
        <v>14</v>
      </c>
      <c r="K18" s="92">
        <f t="shared" si="1"/>
        <v>7.1428571428571423</v>
      </c>
      <c r="L18" s="92">
        <f t="shared" si="1"/>
        <v>92.857142857142861</v>
      </c>
      <c r="M18" s="92">
        <f t="shared" si="1"/>
        <v>0</v>
      </c>
      <c r="N18" s="125">
        <f t="shared" si="2"/>
        <v>100</v>
      </c>
      <c r="O18" s="91"/>
      <c r="P18" s="92">
        <v>67.8</v>
      </c>
      <c r="Q18" s="92"/>
      <c r="R18" s="93">
        <f t="shared" si="3"/>
        <v>67.8</v>
      </c>
      <c r="S18" s="208">
        <v>1</v>
      </c>
      <c r="T18" s="95">
        <v>23684</v>
      </c>
      <c r="V18" s="82" t="s">
        <v>131</v>
      </c>
      <c r="W18" s="208" t="s">
        <v>22</v>
      </c>
      <c r="X18" s="208" t="s">
        <v>18</v>
      </c>
      <c r="Y18" s="83">
        <v>67.8</v>
      </c>
      <c r="Z18" s="150" t="s">
        <v>343</v>
      </c>
      <c r="AA18" s="150" t="s">
        <v>74</v>
      </c>
      <c r="AB18" s="150" t="s">
        <v>11</v>
      </c>
      <c r="AC18" s="150">
        <v>32.200000000000003</v>
      </c>
      <c r="AD18" s="82"/>
      <c r="AG18" s="83"/>
      <c r="AL18" s="82"/>
      <c r="AO18" s="83"/>
      <c r="AP18" s="82"/>
      <c r="AS18" s="83"/>
      <c r="AW18" s="83"/>
      <c r="BA18" s="84"/>
    </row>
    <row r="19" spans="1:53" s="208" customFormat="1" x14ac:dyDescent="0.15">
      <c r="A19" s="102">
        <v>1965</v>
      </c>
      <c r="B19" s="207"/>
      <c r="C19" s="811" t="s">
        <v>587</v>
      </c>
      <c r="D19" s="811"/>
      <c r="E19" s="208">
        <v>19</v>
      </c>
      <c r="G19" s="123">
        <v>1</v>
      </c>
      <c r="H19" s="208">
        <v>13</v>
      </c>
      <c r="J19" s="134">
        <v>14</v>
      </c>
      <c r="K19" s="92">
        <f t="shared" si="1"/>
        <v>7.1428571428571423</v>
      </c>
      <c r="L19" s="92">
        <f t="shared" si="1"/>
        <v>92.857142857142861</v>
      </c>
      <c r="M19" s="92">
        <f t="shared" si="1"/>
        <v>0</v>
      </c>
      <c r="N19" s="125">
        <f t="shared" si="2"/>
        <v>100</v>
      </c>
      <c r="O19" s="91"/>
      <c r="P19" s="92">
        <v>67.8</v>
      </c>
      <c r="Q19" s="92"/>
      <c r="R19" s="93">
        <f t="shared" si="3"/>
        <v>67.8</v>
      </c>
      <c r="S19" s="208">
        <v>1</v>
      </c>
      <c r="T19" s="81"/>
      <c r="V19" s="82" t="s">
        <v>131</v>
      </c>
      <c r="W19" s="208" t="s">
        <v>22</v>
      </c>
      <c r="X19" s="208" t="s">
        <v>18</v>
      </c>
      <c r="Y19" s="83">
        <v>67.8</v>
      </c>
      <c r="Z19" s="150" t="s">
        <v>343</v>
      </c>
      <c r="AA19" s="150" t="s">
        <v>74</v>
      </c>
      <c r="AB19" s="150" t="s">
        <v>11</v>
      </c>
      <c r="AC19" s="150">
        <v>32.200000000000003</v>
      </c>
      <c r="AD19" s="82"/>
      <c r="AG19" s="83"/>
      <c r="AL19" s="82"/>
      <c r="AO19" s="83"/>
      <c r="AP19" s="82"/>
      <c r="AS19" s="83"/>
      <c r="AW19" s="83"/>
      <c r="BA19" s="84"/>
    </row>
    <row r="20" spans="1:53" s="334" customFormat="1" x14ac:dyDescent="0.15">
      <c r="A20" s="386">
        <v>1964.88571428572</v>
      </c>
      <c r="B20" s="355">
        <v>23762</v>
      </c>
      <c r="C20" s="812" t="s">
        <v>588</v>
      </c>
      <c r="D20" s="812"/>
      <c r="E20" s="334">
        <v>71</v>
      </c>
      <c r="F20" s="334">
        <v>1</v>
      </c>
      <c r="G20" s="419">
        <v>1</v>
      </c>
      <c r="H20" s="334">
        <v>14</v>
      </c>
      <c r="J20" s="435">
        <v>15</v>
      </c>
      <c r="K20" s="384">
        <f t="shared" si="1"/>
        <v>6.666666666666667</v>
      </c>
      <c r="L20" s="384">
        <f t="shared" si="1"/>
        <v>93.333333333333329</v>
      </c>
      <c r="M20" s="384">
        <f t="shared" si="1"/>
        <v>0</v>
      </c>
      <c r="N20" s="421">
        <f t="shared" si="2"/>
        <v>100</v>
      </c>
      <c r="O20" s="383"/>
      <c r="P20" s="384">
        <v>67.8</v>
      </c>
      <c r="Q20" s="384"/>
      <c r="R20" s="385">
        <f t="shared" si="3"/>
        <v>67.8</v>
      </c>
      <c r="S20" s="334">
        <v>1</v>
      </c>
      <c r="T20" s="357"/>
      <c r="U20" s="355">
        <v>23762</v>
      </c>
      <c r="V20" s="343" t="s">
        <v>131</v>
      </c>
      <c r="W20" s="334" t="s">
        <v>22</v>
      </c>
      <c r="X20" s="334" t="s">
        <v>18</v>
      </c>
      <c r="Y20" s="344">
        <v>67.8</v>
      </c>
      <c r="Z20" s="441" t="s">
        <v>343</v>
      </c>
      <c r="AA20" s="441" t="s">
        <v>74</v>
      </c>
      <c r="AB20" s="441" t="s">
        <v>11</v>
      </c>
      <c r="AC20" s="441">
        <v>32.200000000000003</v>
      </c>
      <c r="AD20" s="343"/>
      <c r="AG20" s="344"/>
      <c r="AL20" s="343"/>
      <c r="AO20" s="344"/>
      <c r="AP20" s="343"/>
      <c r="AS20" s="344"/>
      <c r="AW20" s="344"/>
      <c r="BA20" s="345"/>
    </row>
    <row r="21" spans="1:53" s="334" customFormat="1" x14ac:dyDescent="0.15">
      <c r="A21" s="386">
        <v>1965</v>
      </c>
      <c r="B21" s="445">
        <v>23833</v>
      </c>
      <c r="C21" s="812" t="s">
        <v>588</v>
      </c>
      <c r="D21" s="812"/>
      <c r="E21" s="334">
        <v>139</v>
      </c>
      <c r="F21" s="441">
        <v>0</v>
      </c>
      <c r="G21" s="419">
        <v>2</v>
      </c>
      <c r="H21" s="334">
        <v>13</v>
      </c>
      <c r="J21" s="435">
        <v>15</v>
      </c>
      <c r="K21" s="384">
        <f t="shared" si="1"/>
        <v>13.333333333333334</v>
      </c>
      <c r="L21" s="384">
        <f t="shared" si="1"/>
        <v>86.666666666666671</v>
      </c>
      <c r="M21" s="384">
        <f t="shared" si="1"/>
        <v>0</v>
      </c>
      <c r="N21" s="421">
        <f t="shared" si="2"/>
        <v>100</v>
      </c>
      <c r="O21" s="383"/>
      <c r="P21" s="384">
        <v>67.8</v>
      </c>
      <c r="Q21" s="384"/>
      <c r="R21" s="385">
        <f t="shared" si="3"/>
        <v>67.8</v>
      </c>
      <c r="S21" s="334">
        <v>1</v>
      </c>
      <c r="T21" s="357"/>
      <c r="V21" s="343" t="s">
        <v>131</v>
      </c>
      <c r="W21" s="334" t="s">
        <v>22</v>
      </c>
      <c r="X21" s="334" t="s">
        <v>18</v>
      </c>
      <c r="Y21" s="344">
        <v>67.8</v>
      </c>
      <c r="Z21" s="441" t="s">
        <v>343</v>
      </c>
      <c r="AA21" s="441" t="s">
        <v>74</v>
      </c>
      <c r="AB21" s="441" t="s">
        <v>11</v>
      </c>
      <c r="AC21" s="441">
        <v>32.200000000000003</v>
      </c>
      <c r="AD21" s="343"/>
      <c r="AG21" s="344"/>
      <c r="AL21" s="343"/>
      <c r="AO21" s="344"/>
      <c r="AP21" s="343"/>
      <c r="AS21" s="344"/>
      <c r="AW21" s="344"/>
      <c r="BA21" s="345"/>
    </row>
    <row r="22" spans="1:53" s="334" customFormat="1" x14ac:dyDescent="0.15">
      <c r="A22" s="386">
        <v>1965</v>
      </c>
      <c r="B22" s="445">
        <v>23972</v>
      </c>
      <c r="C22" s="812" t="s">
        <v>588</v>
      </c>
      <c r="D22" s="812"/>
      <c r="E22" s="334">
        <f xml:space="preserve"> 365-E21-E20-E19</f>
        <v>136</v>
      </c>
      <c r="F22" s="441">
        <v>0</v>
      </c>
      <c r="G22" s="419">
        <v>3</v>
      </c>
      <c r="H22" s="334">
        <v>12</v>
      </c>
      <c r="J22" s="435">
        <v>15</v>
      </c>
      <c r="K22" s="384">
        <f t="shared" si="1"/>
        <v>20</v>
      </c>
      <c r="L22" s="384">
        <f t="shared" si="1"/>
        <v>80</v>
      </c>
      <c r="M22" s="384">
        <f t="shared" si="1"/>
        <v>0</v>
      </c>
      <c r="N22" s="421">
        <f t="shared" si="2"/>
        <v>100</v>
      </c>
      <c r="O22" s="383"/>
      <c r="P22" s="384">
        <v>67.8</v>
      </c>
      <c r="Q22" s="384"/>
      <c r="R22" s="385">
        <f t="shared" si="3"/>
        <v>67.8</v>
      </c>
      <c r="S22" s="334">
        <v>1</v>
      </c>
      <c r="T22" s="357"/>
      <c r="V22" s="343" t="s">
        <v>131</v>
      </c>
      <c r="W22" s="334" t="s">
        <v>22</v>
      </c>
      <c r="X22" s="334" t="s">
        <v>18</v>
      </c>
      <c r="Y22" s="344">
        <v>67.8</v>
      </c>
      <c r="Z22" s="441" t="s">
        <v>343</v>
      </c>
      <c r="AA22" s="441" t="s">
        <v>74</v>
      </c>
      <c r="AB22" s="441" t="s">
        <v>11</v>
      </c>
      <c r="AC22" s="441">
        <v>32.200000000000003</v>
      </c>
      <c r="AD22" s="343"/>
      <c r="AG22" s="344"/>
      <c r="AL22" s="343"/>
      <c r="AO22" s="344"/>
      <c r="AP22" s="343"/>
      <c r="AS22" s="344"/>
      <c r="AW22" s="344"/>
      <c r="BA22" s="345"/>
    </row>
    <row r="23" spans="1:53" s="334" customFormat="1" x14ac:dyDescent="0.15">
      <c r="A23" s="386">
        <v>1966</v>
      </c>
      <c r="B23" s="445"/>
      <c r="C23" s="812" t="s">
        <v>588</v>
      </c>
      <c r="D23" s="812"/>
      <c r="E23" s="334">
        <v>17</v>
      </c>
      <c r="F23" s="441"/>
      <c r="G23" s="419">
        <v>3</v>
      </c>
      <c r="H23" s="334">
        <v>12</v>
      </c>
      <c r="J23" s="435">
        <v>15</v>
      </c>
      <c r="K23" s="384">
        <f t="shared" si="1"/>
        <v>20</v>
      </c>
      <c r="L23" s="384">
        <f t="shared" si="1"/>
        <v>80</v>
      </c>
      <c r="M23" s="384">
        <f t="shared" si="1"/>
        <v>0</v>
      </c>
      <c r="N23" s="421">
        <f t="shared" si="2"/>
        <v>100</v>
      </c>
      <c r="O23" s="383"/>
      <c r="P23" s="384">
        <v>67.8</v>
      </c>
      <c r="Q23" s="384"/>
      <c r="R23" s="385">
        <f t="shared" si="3"/>
        <v>67.8</v>
      </c>
      <c r="S23" s="334">
        <v>1</v>
      </c>
      <c r="T23" s="357"/>
      <c r="V23" s="343" t="s">
        <v>131</v>
      </c>
      <c r="W23" s="334" t="s">
        <v>22</v>
      </c>
      <c r="X23" s="334" t="s">
        <v>18</v>
      </c>
      <c r="Y23" s="344">
        <v>67.8</v>
      </c>
      <c r="Z23" s="441" t="s">
        <v>343</v>
      </c>
      <c r="AA23" s="441" t="s">
        <v>74</v>
      </c>
      <c r="AB23" s="441" t="s">
        <v>11</v>
      </c>
      <c r="AC23" s="441">
        <v>32.200000000000003</v>
      </c>
      <c r="AD23" s="343"/>
      <c r="AG23" s="344"/>
      <c r="AL23" s="343"/>
      <c r="AO23" s="344"/>
      <c r="AP23" s="343"/>
      <c r="AS23" s="344"/>
      <c r="AW23" s="344"/>
      <c r="BA23" s="345"/>
    </row>
    <row r="24" spans="1:53" s="334" customFormat="1" x14ac:dyDescent="0.15">
      <c r="A24" s="386">
        <v>1965.8</v>
      </c>
      <c r="B24" s="445">
        <v>24125</v>
      </c>
      <c r="C24" s="812" t="s">
        <v>588</v>
      </c>
      <c r="D24" s="812"/>
      <c r="E24" s="334">
        <v>294</v>
      </c>
      <c r="F24" s="441">
        <v>0</v>
      </c>
      <c r="G24" s="419">
        <v>3</v>
      </c>
      <c r="H24" s="334">
        <v>13</v>
      </c>
      <c r="J24" s="435">
        <v>16</v>
      </c>
      <c r="K24" s="384">
        <f>G24/$J24*100</f>
        <v>18.75</v>
      </c>
      <c r="L24" s="384">
        <f>H24/$J24*100</f>
        <v>81.25</v>
      </c>
      <c r="M24" s="384">
        <f>I24/$J24*100</f>
        <v>0</v>
      </c>
      <c r="N24" s="421">
        <f>K24+L24+M24</f>
        <v>100</v>
      </c>
      <c r="O24" s="383"/>
      <c r="P24" s="384">
        <v>67.8</v>
      </c>
      <c r="Q24" s="384"/>
      <c r="R24" s="385">
        <f>O24+P24+Q24</f>
        <v>67.8</v>
      </c>
      <c r="S24" s="334">
        <v>1</v>
      </c>
      <c r="T24" s="342"/>
      <c r="V24" s="343" t="s">
        <v>131</v>
      </c>
      <c r="W24" s="334" t="s">
        <v>22</v>
      </c>
      <c r="X24" s="334" t="s">
        <v>18</v>
      </c>
      <c r="Y24" s="344">
        <v>67.8</v>
      </c>
      <c r="Z24" s="441" t="s">
        <v>343</v>
      </c>
      <c r="AA24" s="441" t="s">
        <v>74</v>
      </c>
      <c r="AB24" s="441" t="s">
        <v>11</v>
      </c>
      <c r="AC24" s="441">
        <v>32.200000000000003</v>
      </c>
      <c r="AD24" s="343"/>
      <c r="AG24" s="344"/>
      <c r="AL24" s="343"/>
      <c r="AO24" s="344"/>
      <c r="AP24" s="343"/>
      <c r="AS24" s="344"/>
      <c r="AW24" s="344"/>
      <c r="BA24" s="345"/>
    </row>
    <row r="25" spans="1:53" s="334" customFormat="1" x14ac:dyDescent="0.15">
      <c r="A25" s="386">
        <v>1965.8</v>
      </c>
      <c r="B25" s="445">
        <v>24419</v>
      </c>
      <c r="C25" s="812" t="s">
        <v>588</v>
      </c>
      <c r="D25" s="812"/>
      <c r="E25" s="334">
        <v>54</v>
      </c>
      <c r="F25" s="441" t="s">
        <v>340</v>
      </c>
      <c r="G25" s="419">
        <v>3</v>
      </c>
      <c r="H25" s="334">
        <v>13</v>
      </c>
      <c r="J25" s="435">
        <v>16</v>
      </c>
      <c r="K25" s="384">
        <f t="shared" si="1"/>
        <v>18.75</v>
      </c>
      <c r="L25" s="384">
        <f t="shared" si="1"/>
        <v>81.25</v>
      </c>
      <c r="M25" s="384">
        <f t="shared" si="1"/>
        <v>0</v>
      </c>
      <c r="N25" s="421">
        <f t="shared" si="2"/>
        <v>100</v>
      </c>
      <c r="O25" s="383"/>
      <c r="P25" s="384">
        <v>57.2</v>
      </c>
      <c r="Q25" s="384"/>
      <c r="R25" s="385">
        <f t="shared" si="3"/>
        <v>57.2</v>
      </c>
      <c r="S25" s="334">
        <v>1</v>
      </c>
      <c r="T25" s="342">
        <v>24419</v>
      </c>
      <c r="V25" s="343" t="s">
        <v>131</v>
      </c>
      <c r="W25" s="334" t="s">
        <v>22</v>
      </c>
      <c r="X25" s="334" t="s">
        <v>18</v>
      </c>
      <c r="Y25" s="344">
        <v>57.2</v>
      </c>
      <c r="Z25" s="441" t="s">
        <v>343</v>
      </c>
      <c r="AA25" s="441" t="s">
        <v>74</v>
      </c>
      <c r="AB25" s="441" t="s">
        <v>11</v>
      </c>
      <c r="AC25" s="441">
        <v>42.8</v>
      </c>
      <c r="AD25" s="343"/>
      <c r="AG25" s="344"/>
      <c r="AL25" s="343"/>
      <c r="AO25" s="344"/>
      <c r="AP25" s="343"/>
      <c r="AS25" s="344"/>
      <c r="AW25" s="344"/>
      <c r="BA25" s="345"/>
    </row>
    <row r="26" spans="1:53" s="334" customFormat="1" x14ac:dyDescent="0.15">
      <c r="A26" s="386">
        <v>1967</v>
      </c>
      <c r="B26" s="445"/>
      <c r="C26" s="812" t="s">
        <v>588</v>
      </c>
      <c r="D26" s="812"/>
      <c r="E26" s="334">
        <v>0</v>
      </c>
      <c r="F26" s="441"/>
      <c r="G26" s="419">
        <v>3</v>
      </c>
      <c r="H26" s="334">
        <v>13</v>
      </c>
      <c r="J26" s="435">
        <v>16</v>
      </c>
      <c r="K26" s="384">
        <f t="shared" si="1"/>
        <v>18.75</v>
      </c>
      <c r="L26" s="384">
        <f t="shared" si="1"/>
        <v>81.25</v>
      </c>
      <c r="M26" s="384">
        <f t="shared" si="1"/>
        <v>0</v>
      </c>
      <c r="N26" s="421">
        <f t="shared" si="2"/>
        <v>100</v>
      </c>
      <c r="O26" s="383"/>
      <c r="P26" s="384">
        <v>57.2</v>
      </c>
      <c r="Q26" s="384"/>
      <c r="R26" s="385">
        <f t="shared" si="3"/>
        <v>57.2</v>
      </c>
      <c r="S26" s="334">
        <v>1</v>
      </c>
      <c r="T26" s="357"/>
      <c r="V26" s="343" t="s">
        <v>131</v>
      </c>
      <c r="W26" s="334" t="s">
        <v>22</v>
      </c>
      <c r="X26" s="334" t="s">
        <v>18</v>
      </c>
      <c r="Y26" s="344">
        <v>57.2</v>
      </c>
      <c r="Z26" s="441" t="s">
        <v>343</v>
      </c>
      <c r="AA26" s="441" t="s">
        <v>74</v>
      </c>
      <c r="AB26" s="441" t="s">
        <v>11</v>
      </c>
      <c r="AC26" s="441">
        <v>42.8</v>
      </c>
      <c r="AD26" s="343"/>
      <c r="AG26" s="344"/>
      <c r="AL26" s="343"/>
      <c r="AO26" s="344"/>
      <c r="AP26" s="343"/>
      <c r="AS26" s="344"/>
      <c r="AW26" s="344"/>
      <c r="BA26" s="345"/>
    </row>
    <row r="27" spans="1:53" s="334" customFormat="1" x14ac:dyDescent="0.15">
      <c r="A27" s="386">
        <v>1966.7142857142901</v>
      </c>
      <c r="B27" s="445"/>
      <c r="C27" s="812" t="s">
        <v>588</v>
      </c>
      <c r="D27" s="812"/>
      <c r="E27" s="334">
        <v>365</v>
      </c>
      <c r="F27" s="441"/>
      <c r="G27" s="419">
        <v>3</v>
      </c>
      <c r="H27" s="334">
        <v>13</v>
      </c>
      <c r="J27" s="435">
        <v>16</v>
      </c>
      <c r="K27" s="384">
        <f t="shared" si="1"/>
        <v>18.75</v>
      </c>
      <c r="L27" s="384">
        <f t="shared" si="1"/>
        <v>81.25</v>
      </c>
      <c r="M27" s="384">
        <f t="shared" si="1"/>
        <v>0</v>
      </c>
      <c r="N27" s="421">
        <f t="shared" si="2"/>
        <v>100</v>
      </c>
      <c r="O27" s="383"/>
      <c r="P27" s="384">
        <v>57.2</v>
      </c>
      <c r="Q27" s="384"/>
      <c r="R27" s="385">
        <f t="shared" si="3"/>
        <v>57.2</v>
      </c>
      <c r="S27" s="334">
        <v>1</v>
      </c>
      <c r="T27" s="357"/>
      <c r="V27" s="343" t="s">
        <v>131</v>
      </c>
      <c r="W27" s="334" t="s">
        <v>22</v>
      </c>
      <c r="X27" s="334" t="s">
        <v>18</v>
      </c>
      <c r="Y27" s="344">
        <v>57.2</v>
      </c>
      <c r="Z27" s="441" t="s">
        <v>343</v>
      </c>
      <c r="AA27" s="441" t="s">
        <v>74</v>
      </c>
      <c r="AB27" s="441" t="s">
        <v>11</v>
      </c>
      <c r="AC27" s="441">
        <v>42.8</v>
      </c>
      <c r="AD27" s="343"/>
      <c r="AG27" s="344"/>
      <c r="AL27" s="343"/>
      <c r="AO27" s="344"/>
      <c r="AP27" s="343"/>
      <c r="AS27" s="344"/>
      <c r="AW27" s="344"/>
      <c r="BA27" s="345"/>
    </row>
    <row r="28" spans="1:53" s="334" customFormat="1" x14ac:dyDescent="0.15">
      <c r="A28" s="386">
        <v>1968</v>
      </c>
      <c r="B28" s="445"/>
      <c r="C28" s="812" t="s">
        <v>588</v>
      </c>
      <c r="D28" s="812"/>
      <c r="E28" s="334">
        <v>60</v>
      </c>
      <c r="F28" s="441"/>
      <c r="G28" s="419">
        <v>3</v>
      </c>
      <c r="H28" s="334">
        <v>13</v>
      </c>
      <c r="J28" s="435">
        <v>16</v>
      </c>
      <c r="K28" s="384">
        <f t="shared" si="1"/>
        <v>18.75</v>
      </c>
      <c r="L28" s="384">
        <f t="shared" si="1"/>
        <v>81.25</v>
      </c>
      <c r="M28" s="384">
        <f t="shared" si="1"/>
        <v>0</v>
      </c>
      <c r="N28" s="421">
        <f t="shared" si="2"/>
        <v>100</v>
      </c>
      <c r="O28" s="383"/>
      <c r="P28" s="384">
        <v>57.2</v>
      </c>
      <c r="Q28" s="384"/>
      <c r="R28" s="385">
        <f t="shared" si="3"/>
        <v>57.2</v>
      </c>
      <c r="S28" s="334">
        <v>1</v>
      </c>
      <c r="T28" s="357"/>
      <c r="V28" s="343" t="s">
        <v>131</v>
      </c>
      <c r="W28" s="334" t="s">
        <v>22</v>
      </c>
      <c r="X28" s="334" t="s">
        <v>18</v>
      </c>
      <c r="Y28" s="344">
        <v>57.2</v>
      </c>
      <c r="Z28" s="441" t="s">
        <v>343</v>
      </c>
      <c r="AA28" s="441" t="s">
        <v>74</v>
      </c>
      <c r="AB28" s="441" t="s">
        <v>11</v>
      </c>
      <c r="AC28" s="441">
        <v>42.8</v>
      </c>
      <c r="AD28" s="343"/>
      <c r="AG28" s="344"/>
      <c r="AL28" s="343"/>
      <c r="AO28" s="344"/>
      <c r="AP28" s="343"/>
      <c r="AS28" s="344"/>
      <c r="AW28" s="344"/>
      <c r="BA28" s="345"/>
    </row>
    <row r="29" spans="1:53" s="334" customFormat="1" x14ac:dyDescent="0.15">
      <c r="A29" s="386">
        <v>1968</v>
      </c>
      <c r="B29" s="445">
        <v>24898</v>
      </c>
      <c r="C29" s="812" t="s">
        <v>588</v>
      </c>
      <c r="D29" s="812"/>
      <c r="E29" s="334">
        <v>249</v>
      </c>
      <c r="F29" s="441">
        <v>0</v>
      </c>
      <c r="G29" s="419">
        <v>1</v>
      </c>
      <c r="H29" s="334">
        <v>15</v>
      </c>
      <c r="J29" s="435">
        <v>16</v>
      </c>
      <c r="K29" s="384">
        <f t="shared" si="1"/>
        <v>6.25</v>
      </c>
      <c r="L29" s="384">
        <f t="shared" si="1"/>
        <v>93.75</v>
      </c>
      <c r="M29" s="384">
        <f t="shared" si="1"/>
        <v>0</v>
      </c>
      <c r="N29" s="421">
        <f t="shared" si="2"/>
        <v>100</v>
      </c>
      <c r="O29" s="383"/>
      <c r="P29" s="384">
        <v>57.2</v>
      </c>
      <c r="Q29" s="384"/>
      <c r="R29" s="385">
        <f t="shared" si="3"/>
        <v>57.2</v>
      </c>
      <c r="S29" s="334">
        <v>1</v>
      </c>
      <c r="T29" s="357"/>
      <c r="V29" s="343" t="s">
        <v>131</v>
      </c>
      <c r="W29" s="334" t="s">
        <v>22</v>
      </c>
      <c r="X29" s="334" t="s">
        <v>18</v>
      </c>
      <c r="Y29" s="344">
        <v>57.2</v>
      </c>
      <c r="Z29" s="441" t="s">
        <v>343</v>
      </c>
      <c r="AA29" s="441" t="s">
        <v>74</v>
      </c>
      <c r="AB29" s="441" t="s">
        <v>11</v>
      </c>
      <c r="AC29" s="441">
        <v>42.8</v>
      </c>
      <c r="AD29" s="343"/>
      <c r="AG29" s="344"/>
      <c r="AL29" s="343"/>
      <c r="AO29" s="344"/>
      <c r="AP29" s="343"/>
      <c r="AS29" s="344"/>
      <c r="AW29" s="344"/>
      <c r="BA29" s="345"/>
    </row>
    <row r="30" spans="1:53" s="334" customFormat="1" x14ac:dyDescent="0.15">
      <c r="A30" s="386">
        <v>1967.62857142857</v>
      </c>
      <c r="B30" s="445">
        <v>25147</v>
      </c>
      <c r="C30" s="812" t="s">
        <v>588</v>
      </c>
      <c r="D30" s="812"/>
      <c r="E30" s="334">
        <v>46</v>
      </c>
      <c r="F30" s="441" t="s">
        <v>340</v>
      </c>
      <c r="G30" s="419">
        <v>1</v>
      </c>
      <c r="H30" s="334">
        <v>15</v>
      </c>
      <c r="J30" s="435">
        <v>16</v>
      </c>
      <c r="K30" s="384">
        <f>G30/$J30*100</f>
        <v>6.25</v>
      </c>
      <c r="L30" s="384">
        <f>H30/$J30*100</f>
        <v>93.75</v>
      </c>
      <c r="M30" s="384">
        <f>I30/$J30*100</f>
        <v>0</v>
      </c>
      <c r="N30" s="421">
        <f>K30+L30+M30</f>
        <v>100</v>
      </c>
      <c r="O30" s="383"/>
      <c r="P30" s="384">
        <v>55.9</v>
      </c>
      <c r="Q30" s="384"/>
      <c r="R30" s="385">
        <f>O30+P30+Q30</f>
        <v>55.9</v>
      </c>
      <c r="S30" s="334">
        <v>1</v>
      </c>
      <c r="T30" s="342">
        <v>25147</v>
      </c>
      <c r="V30" s="343" t="s">
        <v>131</v>
      </c>
      <c r="W30" s="334" t="s">
        <v>22</v>
      </c>
      <c r="X30" s="334" t="s">
        <v>18</v>
      </c>
      <c r="Y30" s="344">
        <v>55.9</v>
      </c>
      <c r="Z30" s="441" t="s">
        <v>343</v>
      </c>
      <c r="AA30" s="441" t="s">
        <v>74</v>
      </c>
      <c r="AB30" s="441" t="s">
        <v>11</v>
      </c>
      <c r="AC30" s="441">
        <v>44.1</v>
      </c>
      <c r="AD30" s="343"/>
      <c r="AG30" s="344"/>
      <c r="AL30" s="343"/>
      <c r="AO30" s="344"/>
      <c r="AP30" s="343"/>
      <c r="AS30" s="344"/>
      <c r="AW30" s="344"/>
      <c r="BA30" s="345"/>
    </row>
    <row r="31" spans="1:53" s="334" customFormat="1" x14ac:dyDescent="0.15">
      <c r="A31" s="386">
        <v>1967.62857142857</v>
      </c>
      <c r="B31" s="445">
        <v>25193</v>
      </c>
      <c r="C31" s="812" t="s">
        <v>588</v>
      </c>
      <c r="D31" s="812"/>
      <c r="E31" s="334">
        <v>11</v>
      </c>
      <c r="F31" s="441">
        <v>0</v>
      </c>
      <c r="G31" s="419"/>
      <c r="H31" s="334">
        <v>16</v>
      </c>
      <c r="J31" s="435">
        <v>16</v>
      </c>
      <c r="K31" s="384">
        <f t="shared" si="1"/>
        <v>0</v>
      </c>
      <c r="L31" s="384">
        <f t="shared" si="1"/>
        <v>100</v>
      </c>
      <c r="M31" s="384">
        <f t="shared" si="1"/>
        <v>0</v>
      </c>
      <c r="N31" s="421">
        <f t="shared" si="2"/>
        <v>100</v>
      </c>
      <c r="O31" s="383"/>
      <c r="P31" s="384">
        <v>55.9</v>
      </c>
      <c r="Q31" s="384"/>
      <c r="R31" s="385">
        <f t="shared" si="3"/>
        <v>55.9</v>
      </c>
      <c r="S31" s="334">
        <v>1</v>
      </c>
      <c r="T31" s="342"/>
      <c r="V31" s="343" t="s">
        <v>131</v>
      </c>
      <c r="W31" s="334" t="s">
        <v>22</v>
      </c>
      <c r="X31" s="334" t="s">
        <v>18</v>
      </c>
      <c r="Y31" s="344">
        <v>55.9</v>
      </c>
      <c r="Z31" s="441" t="s">
        <v>343</v>
      </c>
      <c r="AA31" s="441" t="s">
        <v>74</v>
      </c>
      <c r="AB31" s="441" t="s">
        <v>11</v>
      </c>
      <c r="AC31" s="441">
        <v>44.1</v>
      </c>
      <c r="AD31" s="343"/>
      <c r="AG31" s="344"/>
      <c r="AL31" s="343"/>
      <c r="AO31" s="344"/>
      <c r="AP31" s="343"/>
      <c r="AS31" s="344"/>
      <c r="AW31" s="344"/>
      <c r="BA31" s="345"/>
    </row>
    <row r="32" spans="1:53" s="334" customFormat="1" x14ac:dyDescent="0.15">
      <c r="A32" s="386">
        <v>1969</v>
      </c>
      <c r="B32" s="355"/>
      <c r="C32" s="812" t="s">
        <v>588</v>
      </c>
      <c r="D32" s="812"/>
      <c r="E32" s="334">
        <v>19</v>
      </c>
      <c r="G32" s="419"/>
      <c r="H32" s="334">
        <v>16</v>
      </c>
      <c r="J32" s="435">
        <v>16</v>
      </c>
      <c r="K32" s="384">
        <f t="shared" si="1"/>
        <v>0</v>
      </c>
      <c r="L32" s="384">
        <f t="shared" si="1"/>
        <v>100</v>
      </c>
      <c r="M32" s="384">
        <f t="shared" si="1"/>
        <v>0</v>
      </c>
      <c r="N32" s="421">
        <f t="shared" si="2"/>
        <v>100</v>
      </c>
      <c r="O32" s="383"/>
      <c r="P32" s="384">
        <v>55.9</v>
      </c>
      <c r="Q32" s="384"/>
      <c r="R32" s="385">
        <f t="shared" si="3"/>
        <v>55.9</v>
      </c>
      <c r="S32" s="334">
        <v>1</v>
      </c>
      <c r="T32" s="357"/>
      <c r="V32" s="343" t="s">
        <v>131</v>
      </c>
      <c r="W32" s="334" t="s">
        <v>22</v>
      </c>
      <c r="X32" s="334" t="s">
        <v>18</v>
      </c>
      <c r="Y32" s="344">
        <v>55.9</v>
      </c>
      <c r="Z32" s="441" t="s">
        <v>343</v>
      </c>
      <c r="AA32" s="441" t="s">
        <v>74</v>
      </c>
      <c r="AB32" s="441" t="s">
        <v>11</v>
      </c>
      <c r="AC32" s="441">
        <v>44.1</v>
      </c>
      <c r="AD32" s="343"/>
      <c r="AG32" s="344"/>
      <c r="AL32" s="343"/>
      <c r="AO32" s="344"/>
      <c r="AP32" s="343"/>
      <c r="AS32" s="344"/>
      <c r="AW32" s="344"/>
      <c r="BA32" s="345"/>
    </row>
    <row r="33" spans="1:53" s="208" customFormat="1" x14ac:dyDescent="0.15">
      <c r="A33" s="102">
        <v>1968.5428571428599</v>
      </c>
      <c r="B33" s="207">
        <v>25223</v>
      </c>
      <c r="C33" s="811" t="s">
        <v>589</v>
      </c>
      <c r="D33" s="811"/>
      <c r="E33" s="208">
        <f xml:space="preserve"> 365-E32</f>
        <v>346</v>
      </c>
      <c r="F33" s="208">
        <v>1</v>
      </c>
      <c r="G33" s="123">
        <v>14</v>
      </c>
      <c r="J33" s="134">
        <v>14</v>
      </c>
      <c r="K33" s="92">
        <f t="shared" si="1"/>
        <v>100</v>
      </c>
      <c r="L33" s="92">
        <f t="shared" si="1"/>
        <v>0</v>
      </c>
      <c r="M33" s="92">
        <f t="shared" si="1"/>
        <v>0</v>
      </c>
      <c r="N33" s="125">
        <f t="shared" si="2"/>
        <v>100</v>
      </c>
      <c r="O33" s="91">
        <v>44.1</v>
      </c>
      <c r="P33" s="92"/>
      <c r="Q33" s="92"/>
      <c r="R33" s="93">
        <f t="shared" si="3"/>
        <v>44.1</v>
      </c>
      <c r="S33" s="208">
        <v>1</v>
      </c>
      <c r="T33" s="81"/>
      <c r="U33" s="207">
        <v>25223</v>
      </c>
      <c r="V33" s="82" t="s">
        <v>343</v>
      </c>
      <c r="W33" s="208" t="s">
        <v>74</v>
      </c>
      <c r="X33" s="208" t="s">
        <v>11</v>
      </c>
      <c r="Y33" s="83">
        <v>44.1</v>
      </c>
      <c r="AD33" s="82"/>
      <c r="AG33" s="83"/>
      <c r="AL33" s="82"/>
      <c r="AO33" s="83"/>
      <c r="AP33" s="82"/>
      <c r="AS33" s="83"/>
      <c r="AW33" s="83"/>
      <c r="BA33" s="84"/>
    </row>
    <row r="34" spans="1:53" s="208" customFormat="1" x14ac:dyDescent="0.15">
      <c r="A34" s="102">
        <v>1970</v>
      </c>
      <c r="B34" s="207"/>
      <c r="C34" s="811" t="s">
        <v>589</v>
      </c>
      <c r="D34" s="811"/>
      <c r="E34" s="208">
        <v>306</v>
      </c>
      <c r="G34" s="123">
        <v>14</v>
      </c>
      <c r="J34" s="134">
        <v>14</v>
      </c>
      <c r="K34" s="92">
        <f t="shared" si="1"/>
        <v>100</v>
      </c>
      <c r="L34" s="92">
        <f t="shared" si="1"/>
        <v>0</v>
      </c>
      <c r="M34" s="92">
        <f t="shared" si="1"/>
        <v>0</v>
      </c>
      <c r="N34" s="125">
        <f t="shared" si="2"/>
        <v>100</v>
      </c>
      <c r="O34" s="91">
        <v>44.1</v>
      </c>
      <c r="P34" s="92"/>
      <c r="Q34" s="92"/>
      <c r="R34" s="93">
        <f t="shared" si="3"/>
        <v>44.1</v>
      </c>
      <c r="S34" s="208">
        <v>1</v>
      </c>
      <c r="T34" s="81"/>
      <c r="V34" s="82" t="s">
        <v>343</v>
      </c>
      <c r="W34" s="208" t="s">
        <v>74</v>
      </c>
      <c r="X34" s="208" t="s">
        <v>11</v>
      </c>
      <c r="Y34" s="83">
        <v>44.1</v>
      </c>
      <c r="AD34" s="82"/>
      <c r="AG34" s="83"/>
      <c r="AL34" s="82"/>
      <c r="AO34" s="83"/>
      <c r="AP34" s="82"/>
      <c r="AS34" s="83"/>
      <c r="AW34" s="83"/>
      <c r="BA34" s="84"/>
    </row>
    <row r="35" spans="1:53" s="208" customFormat="1" x14ac:dyDescent="0.15">
      <c r="A35" s="102">
        <v>1970</v>
      </c>
      <c r="B35" s="149">
        <v>25875</v>
      </c>
      <c r="C35" s="811" t="s">
        <v>589</v>
      </c>
      <c r="D35" s="811"/>
      <c r="E35" s="208">
        <v>59</v>
      </c>
      <c r="F35" s="150" t="s">
        <v>340</v>
      </c>
      <c r="G35" s="123">
        <v>14</v>
      </c>
      <c r="J35" s="134">
        <v>14</v>
      </c>
      <c r="K35" s="92">
        <f t="shared" si="1"/>
        <v>100</v>
      </c>
      <c r="L35" s="92">
        <f t="shared" si="1"/>
        <v>0</v>
      </c>
      <c r="M35" s="92">
        <f t="shared" si="1"/>
        <v>0</v>
      </c>
      <c r="N35" s="125">
        <f t="shared" si="2"/>
        <v>100</v>
      </c>
      <c r="O35" s="91">
        <v>41.4</v>
      </c>
      <c r="P35" s="92"/>
      <c r="Q35" s="92"/>
      <c r="R35" s="93">
        <f t="shared" si="3"/>
        <v>41.4</v>
      </c>
      <c r="S35" s="208">
        <v>1</v>
      </c>
      <c r="T35" s="95">
        <v>25875</v>
      </c>
      <c r="V35" s="82" t="s">
        <v>343</v>
      </c>
      <c r="W35" s="208" t="s">
        <v>74</v>
      </c>
      <c r="X35" s="208" t="s">
        <v>11</v>
      </c>
      <c r="Y35" s="83">
        <v>41.4</v>
      </c>
      <c r="AD35" s="82"/>
      <c r="AG35" s="83"/>
      <c r="AL35" s="82"/>
      <c r="AO35" s="83"/>
      <c r="AP35" s="82"/>
      <c r="AS35" s="83"/>
      <c r="AW35" s="83"/>
      <c r="BA35" s="84"/>
    </row>
    <row r="36" spans="1:53" s="208" customFormat="1" x14ac:dyDescent="0.15">
      <c r="A36" s="102">
        <v>1971</v>
      </c>
      <c r="B36" s="207"/>
      <c r="C36" s="811" t="s">
        <v>589</v>
      </c>
      <c r="D36" s="811"/>
      <c r="E36" s="208">
        <v>0</v>
      </c>
      <c r="G36" s="123">
        <v>14</v>
      </c>
      <c r="J36" s="134">
        <v>14</v>
      </c>
      <c r="K36" s="92">
        <f t="shared" si="1"/>
        <v>100</v>
      </c>
      <c r="L36" s="92">
        <f t="shared" si="1"/>
        <v>0</v>
      </c>
      <c r="M36" s="92">
        <f t="shared" si="1"/>
        <v>0</v>
      </c>
      <c r="N36" s="125">
        <f t="shared" si="2"/>
        <v>100</v>
      </c>
      <c r="O36" s="91">
        <v>41.4</v>
      </c>
      <c r="P36" s="92"/>
      <c r="Q36" s="92"/>
      <c r="R36" s="93">
        <f t="shared" si="3"/>
        <v>41.4</v>
      </c>
      <c r="S36" s="208">
        <v>1</v>
      </c>
      <c r="T36" s="81"/>
      <c r="V36" s="82" t="s">
        <v>343</v>
      </c>
      <c r="W36" s="208" t="s">
        <v>74</v>
      </c>
      <c r="X36" s="208" t="s">
        <v>11</v>
      </c>
      <c r="Y36" s="83">
        <v>41.4</v>
      </c>
      <c r="AD36" s="82"/>
      <c r="AG36" s="83"/>
      <c r="AL36" s="82"/>
      <c r="AO36" s="83"/>
      <c r="AP36" s="82"/>
      <c r="AS36" s="83"/>
      <c r="AW36" s="83"/>
      <c r="BA36" s="84"/>
    </row>
    <row r="37" spans="1:53" s="208" customFormat="1" x14ac:dyDescent="0.15">
      <c r="A37" s="102">
        <v>1971</v>
      </c>
      <c r="B37" s="207"/>
      <c r="C37" s="811" t="s">
        <v>589</v>
      </c>
      <c r="D37" s="811"/>
      <c r="E37" s="208">
        <v>365</v>
      </c>
      <c r="G37" s="123">
        <v>14</v>
      </c>
      <c r="J37" s="134">
        <v>14</v>
      </c>
      <c r="K37" s="92">
        <f t="shared" si="1"/>
        <v>100</v>
      </c>
      <c r="L37" s="92">
        <f t="shared" si="1"/>
        <v>0</v>
      </c>
      <c r="M37" s="92">
        <f t="shared" si="1"/>
        <v>0</v>
      </c>
      <c r="N37" s="125">
        <f t="shared" si="2"/>
        <v>100</v>
      </c>
      <c r="O37" s="91">
        <v>41.4</v>
      </c>
      <c r="P37" s="92"/>
      <c r="Q37" s="92"/>
      <c r="R37" s="93">
        <f t="shared" si="3"/>
        <v>41.4</v>
      </c>
      <c r="S37" s="208">
        <v>1</v>
      </c>
      <c r="T37" s="81"/>
      <c r="V37" s="82" t="s">
        <v>343</v>
      </c>
      <c r="W37" s="208" t="s">
        <v>74</v>
      </c>
      <c r="X37" s="208" t="s">
        <v>11</v>
      </c>
      <c r="Y37" s="83">
        <v>41.4</v>
      </c>
      <c r="AD37" s="82"/>
      <c r="AG37" s="83"/>
      <c r="AL37" s="82"/>
      <c r="AO37" s="83"/>
      <c r="AP37" s="82"/>
      <c r="AS37" s="83"/>
      <c r="AW37" s="83"/>
      <c r="BA37" s="84"/>
    </row>
    <row r="38" spans="1:53" s="208" customFormat="1" x14ac:dyDescent="0.15">
      <c r="A38" s="102">
        <v>1972</v>
      </c>
      <c r="B38" s="207"/>
      <c r="C38" s="811" t="s">
        <v>589</v>
      </c>
      <c r="D38" s="811"/>
      <c r="E38" s="208">
        <v>311</v>
      </c>
      <c r="G38" s="123">
        <v>14</v>
      </c>
      <c r="J38" s="134">
        <v>14</v>
      </c>
      <c r="K38" s="92">
        <f t="shared" si="1"/>
        <v>100</v>
      </c>
      <c r="L38" s="92">
        <f t="shared" si="1"/>
        <v>0</v>
      </c>
      <c r="M38" s="92">
        <f t="shared" si="1"/>
        <v>0</v>
      </c>
      <c r="N38" s="125">
        <f t="shared" si="2"/>
        <v>100</v>
      </c>
      <c r="O38" s="91">
        <v>41.4</v>
      </c>
      <c r="P38" s="92"/>
      <c r="Q38" s="92"/>
      <c r="R38" s="93">
        <f t="shared" si="3"/>
        <v>41.4</v>
      </c>
      <c r="S38" s="208">
        <v>1</v>
      </c>
      <c r="T38" s="81"/>
      <c r="V38" s="82" t="s">
        <v>343</v>
      </c>
      <c r="W38" s="208" t="s">
        <v>74</v>
      </c>
      <c r="X38" s="208" t="s">
        <v>11</v>
      </c>
      <c r="Y38" s="83">
        <v>41.4</v>
      </c>
      <c r="AD38" s="82"/>
      <c r="AG38" s="83"/>
      <c r="AL38" s="82"/>
      <c r="AO38" s="83"/>
      <c r="AP38" s="82"/>
      <c r="AS38" s="83"/>
      <c r="AW38" s="83"/>
      <c r="BA38" s="84"/>
    </row>
    <row r="39" spans="1:53" s="208" customFormat="1" x14ac:dyDescent="0.15">
      <c r="A39" s="102">
        <v>1972</v>
      </c>
      <c r="B39" s="149">
        <v>26610</v>
      </c>
      <c r="C39" s="811" t="s">
        <v>589</v>
      </c>
      <c r="D39" s="811"/>
      <c r="E39" s="208">
        <v>55</v>
      </c>
      <c r="F39" s="150" t="s">
        <v>340</v>
      </c>
      <c r="G39" s="123">
        <v>14</v>
      </c>
      <c r="J39" s="134">
        <v>14</v>
      </c>
      <c r="K39" s="92">
        <f t="shared" si="1"/>
        <v>100</v>
      </c>
      <c r="L39" s="92">
        <f t="shared" si="1"/>
        <v>0</v>
      </c>
      <c r="M39" s="92">
        <f t="shared" si="1"/>
        <v>0</v>
      </c>
      <c r="N39" s="125">
        <f t="shared" si="2"/>
        <v>100</v>
      </c>
      <c r="O39" s="91">
        <v>44.1</v>
      </c>
      <c r="P39" s="92"/>
      <c r="Q39" s="92"/>
      <c r="R39" s="93">
        <f t="shared" si="3"/>
        <v>44.1</v>
      </c>
      <c r="S39" s="208">
        <v>1</v>
      </c>
      <c r="T39" s="95">
        <v>26610</v>
      </c>
      <c r="V39" s="82" t="s">
        <v>343</v>
      </c>
      <c r="W39" s="208" t="s">
        <v>74</v>
      </c>
      <c r="X39" s="208" t="s">
        <v>11</v>
      </c>
      <c r="Y39" s="83">
        <v>44.1</v>
      </c>
      <c r="AD39" s="82"/>
      <c r="AG39" s="83"/>
      <c r="AL39" s="82"/>
      <c r="AO39" s="83"/>
      <c r="AP39" s="82"/>
      <c r="AS39" s="83"/>
      <c r="AW39" s="83"/>
      <c r="BA39" s="84"/>
    </row>
    <row r="40" spans="1:53" s="208" customFormat="1" x14ac:dyDescent="0.15">
      <c r="A40" s="102">
        <v>1973</v>
      </c>
      <c r="B40" s="207"/>
      <c r="C40" s="811" t="s">
        <v>589</v>
      </c>
      <c r="D40" s="811"/>
      <c r="E40" s="208">
        <v>19</v>
      </c>
      <c r="G40" s="123">
        <v>14</v>
      </c>
      <c r="J40" s="134">
        <v>14</v>
      </c>
      <c r="K40" s="92">
        <f t="shared" si="1"/>
        <v>100</v>
      </c>
      <c r="L40" s="92">
        <f t="shared" si="1"/>
        <v>0</v>
      </c>
      <c r="M40" s="92">
        <f t="shared" si="1"/>
        <v>0</v>
      </c>
      <c r="N40" s="125">
        <f t="shared" si="2"/>
        <v>100</v>
      </c>
      <c r="O40" s="91">
        <v>44.1</v>
      </c>
      <c r="P40" s="92"/>
      <c r="Q40" s="92"/>
      <c r="R40" s="93">
        <f t="shared" si="3"/>
        <v>44.1</v>
      </c>
      <c r="S40" s="208">
        <v>1</v>
      </c>
      <c r="T40" s="81"/>
      <c r="V40" s="82" t="s">
        <v>343</v>
      </c>
      <c r="W40" s="208" t="s">
        <v>74</v>
      </c>
      <c r="X40" s="208" t="s">
        <v>11</v>
      </c>
      <c r="Y40" s="83">
        <v>44.1</v>
      </c>
      <c r="AD40" s="82"/>
      <c r="AG40" s="83"/>
      <c r="AL40" s="82"/>
      <c r="AO40" s="83"/>
      <c r="AP40" s="82"/>
      <c r="AS40" s="83"/>
      <c r="AW40" s="83"/>
      <c r="BA40" s="84"/>
    </row>
    <row r="41" spans="1:53" s="334" customFormat="1" x14ac:dyDescent="0.15">
      <c r="A41" s="386">
        <v>1973</v>
      </c>
      <c r="B41" s="355">
        <v>26684</v>
      </c>
      <c r="C41" s="812" t="s">
        <v>590</v>
      </c>
      <c r="D41" s="812"/>
      <c r="E41" s="334">
        <v>13</v>
      </c>
      <c r="F41" s="334">
        <v>1</v>
      </c>
      <c r="G41" s="419">
        <v>14</v>
      </c>
      <c r="J41" s="435">
        <v>14</v>
      </c>
      <c r="K41" s="384">
        <f t="shared" si="1"/>
        <v>100</v>
      </c>
      <c r="L41" s="384">
        <f t="shared" si="1"/>
        <v>0</v>
      </c>
      <c r="M41" s="384">
        <f t="shared" si="1"/>
        <v>0</v>
      </c>
      <c r="N41" s="421">
        <f t="shared" si="2"/>
        <v>100</v>
      </c>
      <c r="O41" s="383">
        <v>44.1</v>
      </c>
      <c r="P41" s="384"/>
      <c r="Q41" s="384"/>
      <c r="R41" s="385">
        <f t="shared" si="3"/>
        <v>44.1</v>
      </c>
      <c r="S41" s="334">
        <v>1</v>
      </c>
      <c r="T41" s="357"/>
      <c r="U41" s="355">
        <v>26684</v>
      </c>
      <c r="V41" s="343" t="s">
        <v>343</v>
      </c>
      <c r="W41" s="334" t="s">
        <v>74</v>
      </c>
      <c r="X41" s="334" t="s">
        <v>11</v>
      </c>
      <c r="Y41" s="344">
        <v>44.1</v>
      </c>
      <c r="AD41" s="343"/>
      <c r="AG41" s="344"/>
      <c r="AL41" s="343"/>
      <c r="AO41" s="344"/>
      <c r="AP41" s="343"/>
      <c r="AS41" s="344"/>
      <c r="AW41" s="344"/>
      <c r="BA41" s="345"/>
    </row>
    <row r="42" spans="1:53" s="334" customFormat="1" x14ac:dyDescent="0.15">
      <c r="A42" s="386">
        <v>1973</v>
      </c>
      <c r="B42" s="445">
        <v>26697</v>
      </c>
      <c r="C42" s="812" t="s">
        <v>590</v>
      </c>
      <c r="D42" s="812"/>
      <c r="E42" s="334">
        <f xml:space="preserve"> 365-E41-E40</f>
        <v>333</v>
      </c>
      <c r="F42" s="441">
        <v>0</v>
      </c>
      <c r="G42" s="419">
        <v>13</v>
      </c>
      <c r="H42" s="334">
        <v>1</v>
      </c>
      <c r="J42" s="435">
        <v>14</v>
      </c>
      <c r="K42" s="384">
        <f t="shared" si="1"/>
        <v>92.857142857142861</v>
      </c>
      <c r="L42" s="384">
        <f t="shared" si="1"/>
        <v>7.1428571428571423</v>
      </c>
      <c r="M42" s="384">
        <f t="shared" si="1"/>
        <v>0</v>
      </c>
      <c r="N42" s="421">
        <f t="shared" si="2"/>
        <v>100</v>
      </c>
      <c r="O42" s="383">
        <v>44.1</v>
      </c>
      <c r="P42" s="384"/>
      <c r="Q42" s="384"/>
      <c r="R42" s="385">
        <f t="shared" si="3"/>
        <v>44.1</v>
      </c>
      <c r="S42" s="334">
        <v>1</v>
      </c>
      <c r="T42" s="357"/>
      <c r="U42" s="355"/>
      <c r="V42" s="343" t="s">
        <v>343</v>
      </c>
      <c r="W42" s="334" t="s">
        <v>74</v>
      </c>
      <c r="X42" s="334" t="s">
        <v>11</v>
      </c>
      <c r="Y42" s="344">
        <v>44.1</v>
      </c>
      <c r="Z42" s="441" t="s">
        <v>131</v>
      </c>
      <c r="AA42" s="441" t="s">
        <v>22</v>
      </c>
      <c r="AB42" s="441" t="s">
        <v>18</v>
      </c>
      <c r="AC42" s="441">
        <v>55.9</v>
      </c>
      <c r="AD42" s="343"/>
      <c r="AG42" s="344"/>
      <c r="AL42" s="343"/>
      <c r="AO42" s="344"/>
      <c r="AP42" s="343"/>
      <c r="AS42" s="344"/>
      <c r="AW42" s="344"/>
      <c r="BA42" s="345"/>
    </row>
    <row r="43" spans="1:53" s="334" customFormat="1" x14ac:dyDescent="0.15">
      <c r="A43" s="386">
        <v>1974</v>
      </c>
      <c r="B43" s="355"/>
      <c r="C43" s="812" t="s">
        <v>590</v>
      </c>
      <c r="D43" s="812"/>
      <c r="E43" s="334">
        <v>220</v>
      </c>
      <c r="G43" s="419">
        <v>13</v>
      </c>
      <c r="H43" s="334">
        <v>1</v>
      </c>
      <c r="J43" s="435">
        <v>14</v>
      </c>
      <c r="K43" s="384">
        <f t="shared" si="1"/>
        <v>92.857142857142861</v>
      </c>
      <c r="L43" s="384">
        <f t="shared" si="1"/>
        <v>7.1428571428571423</v>
      </c>
      <c r="M43" s="384">
        <f t="shared" si="1"/>
        <v>0</v>
      </c>
      <c r="N43" s="421">
        <f t="shared" si="2"/>
        <v>100</v>
      </c>
      <c r="O43" s="383">
        <v>44.1</v>
      </c>
      <c r="P43" s="384"/>
      <c r="Q43" s="384"/>
      <c r="R43" s="385">
        <f t="shared" si="3"/>
        <v>44.1</v>
      </c>
      <c r="S43" s="334">
        <v>1</v>
      </c>
      <c r="T43" s="357"/>
      <c r="V43" s="343" t="s">
        <v>343</v>
      </c>
      <c r="W43" s="334" t="s">
        <v>74</v>
      </c>
      <c r="X43" s="334" t="s">
        <v>11</v>
      </c>
      <c r="Y43" s="344">
        <v>44.1</v>
      </c>
      <c r="Z43" s="441" t="s">
        <v>131</v>
      </c>
      <c r="AA43" s="441" t="s">
        <v>22</v>
      </c>
      <c r="AB43" s="441" t="s">
        <v>18</v>
      </c>
      <c r="AC43" s="441">
        <v>55.9</v>
      </c>
      <c r="AD43" s="343"/>
      <c r="AG43" s="344"/>
      <c r="AL43" s="343"/>
      <c r="AO43" s="344"/>
      <c r="AP43" s="343"/>
      <c r="AS43" s="344"/>
      <c r="AW43" s="344"/>
      <c r="BA43" s="345"/>
    </row>
    <row r="44" spans="1:53" s="208" customFormat="1" x14ac:dyDescent="0.15">
      <c r="A44" s="102">
        <v>1974</v>
      </c>
      <c r="B44" s="207">
        <v>27250</v>
      </c>
      <c r="C44" s="811" t="s">
        <v>591</v>
      </c>
      <c r="D44" s="811"/>
      <c r="E44" s="208">
        <v>88</v>
      </c>
      <c r="F44" s="208">
        <v>2</v>
      </c>
      <c r="G44" s="123">
        <v>12</v>
      </c>
      <c r="H44" s="208">
        <v>1</v>
      </c>
      <c r="J44" s="134">
        <v>13</v>
      </c>
      <c r="K44" s="92">
        <f>G44/$J44*100</f>
        <v>92.307692307692307</v>
      </c>
      <c r="L44" s="92">
        <f>H44/$J44*100</f>
        <v>7.6923076923076925</v>
      </c>
      <c r="M44" s="92">
        <f>I44/$J44*100</f>
        <v>0</v>
      </c>
      <c r="N44" s="125">
        <f>K44+L44+M44</f>
        <v>100</v>
      </c>
      <c r="O44" s="91">
        <v>44.1</v>
      </c>
      <c r="P44" s="92"/>
      <c r="Q44" s="92"/>
      <c r="R44" s="93">
        <f t="shared" si="3"/>
        <v>44.1</v>
      </c>
      <c r="S44" s="208">
        <v>1</v>
      </c>
      <c r="T44" s="95"/>
      <c r="U44" s="207">
        <v>27250</v>
      </c>
      <c r="V44" s="82" t="s">
        <v>343</v>
      </c>
      <c r="W44" s="208" t="s">
        <v>74</v>
      </c>
      <c r="X44" s="208" t="s">
        <v>11</v>
      </c>
      <c r="Y44" s="83">
        <v>44.1</v>
      </c>
      <c r="Z44" s="150" t="s">
        <v>131</v>
      </c>
      <c r="AA44" s="150" t="s">
        <v>22</v>
      </c>
      <c r="AB44" s="150" t="s">
        <v>18</v>
      </c>
      <c r="AC44" s="150">
        <v>55.9</v>
      </c>
      <c r="AD44" s="82"/>
      <c r="AG44" s="83"/>
      <c r="AL44" s="82"/>
      <c r="AO44" s="83"/>
      <c r="AP44" s="82"/>
      <c r="AS44" s="83"/>
      <c r="AW44" s="83"/>
      <c r="BA44" s="84"/>
    </row>
    <row r="45" spans="1:53" s="208" customFormat="1" x14ac:dyDescent="0.15">
      <c r="A45" s="102">
        <v>1974</v>
      </c>
      <c r="B45" s="220">
        <v>27338</v>
      </c>
      <c r="C45" s="811" t="s">
        <v>591</v>
      </c>
      <c r="D45" s="811"/>
      <c r="E45" s="208">
        <v>57</v>
      </c>
      <c r="F45" s="150" t="s">
        <v>340</v>
      </c>
      <c r="G45" s="123">
        <v>12</v>
      </c>
      <c r="H45" s="208">
        <v>1</v>
      </c>
      <c r="J45" s="134">
        <v>13</v>
      </c>
      <c r="K45" s="92">
        <f t="shared" si="1"/>
        <v>92.307692307692307</v>
      </c>
      <c r="L45" s="92">
        <f t="shared" si="1"/>
        <v>7.6923076923076925</v>
      </c>
      <c r="M45" s="92">
        <f t="shared" si="1"/>
        <v>0</v>
      </c>
      <c r="N45" s="125">
        <f t="shared" si="2"/>
        <v>100</v>
      </c>
      <c r="O45" s="91">
        <v>33.1</v>
      </c>
      <c r="P45" s="92"/>
      <c r="Q45" s="92"/>
      <c r="R45" s="93">
        <f t="shared" si="3"/>
        <v>33.1</v>
      </c>
      <c r="S45" s="208">
        <v>1</v>
      </c>
      <c r="T45" s="95">
        <v>27338</v>
      </c>
      <c r="U45" s="207"/>
      <c r="V45" s="82" t="s">
        <v>343</v>
      </c>
      <c r="W45" s="208" t="s">
        <v>74</v>
      </c>
      <c r="X45" s="208" t="s">
        <v>11</v>
      </c>
      <c r="Y45" s="83">
        <v>33.1</v>
      </c>
      <c r="Z45" s="150" t="s">
        <v>131</v>
      </c>
      <c r="AA45" s="150" t="s">
        <v>22</v>
      </c>
      <c r="AB45" s="150" t="s">
        <v>18</v>
      </c>
      <c r="AC45" s="150">
        <v>66.900000000000006</v>
      </c>
      <c r="AD45" s="82"/>
      <c r="AG45" s="83"/>
      <c r="AL45" s="82"/>
      <c r="AO45" s="83"/>
      <c r="AP45" s="82"/>
      <c r="AS45" s="83"/>
      <c r="AW45" s="83"/>
      <c r="BA45" s="84"/>
    </row>
    <row r="46" spans="1:53" s="208" customFormat="1" x14ac:dyDescent="0.15">
      <c r="A46" s="102">
        <v>1975</v>
      </c>
      <c r="B46" s="207"/>
      <c r="C46" s="811" t="s">
        <v>591</v>
      </c>
      <c r="D46" s="811"/>
      <c r="E46" s="208">
        <v>37</v>
      </c>
      <c r="G46" s="123">
        <v>12</v>
      </c>
      <c r="H46" s="208">
        <v>1</v>
      </c>
      <c r="J46" s="134">
        <v>13</v>
      </c>
      <c r="K46" s="92">
        <f t="shared" si="1"/>
        <v>92.307692307692307</v>
      </c>
      <c r="L46" s="92">
        <f t="shared" si="1"/>
        <v>7.6923076923076925</v>
      </c>
      <c r="M46" s="92">
        <f t="shared" si="1"/>
        <v>0</v>
      </c>
      <c r="N46" s="125">
        <f t="shared" si="2"/>
        <v>100</v>
      </c>
      <c r="O46" s="91">
        <v>33.1</v>
      </c>
      <c r="P46" s="92"/>
      <c r="Q46" s="92"/>
      <c r="R46" s="93">
        <f t="shared" si="3"/>
        <v>33.1</v>
      </c>
      <c r="S46" s="208">
        <v>1</v>
      </c>
      <c r="T46" s="81"/>
      <c r="V46" s="82" t="s">
        <v>343</v>
      </c>
      <c r="W46" s="208" t="s">
        <v>74</v>
      </c>
      <c r="X46" s="208" t="s">
        <v>11</v>
      </c>
      <c r="Y46" s="83">
        <v>33.1</v>
      </c>
      <c r="Z46" s="150" t="s">
        <v>131</v>
      </c>
      <c r="AA46" s="150" t="s">
        <v>22</v>
      </c>
      <c r="AB46" s="150" t="s">
        <v>18</v>
      </c>
      <c r="AC46" s="150">
        <v>66.900000000000006</v>
      </c>
      <c r="AD46" s="82"/>
      <c r="AG46" s="83"/>
      <c r="AL46" s="82"/>
      <c r="AO46" s="83"/>
      <c r="AP46" s="82"/>
      <c r="AS46" s="83"/>
      <c r="AW46" s="83"/>
      <c r="BA46" s="84"/>
    </row>
    <row r="47" spans="1:53" s="208" customFormat="1" x14ac:dyDescent="0.15">
      <c r="A47" s="102">
        <v>1975</v>
      </c>
      <c r="B47" s="149">
        <v>27432</v>
      </c>
      <c r="C47" s="811" t="s">
        <v>591</v>
      </c>
      <c r="D47" s="811"/>
      <c r="E47" s="208">
        <v>182</v>
      </c>
      <c r="F47" s="150">
        <v>0</v>
      </c>
      <c r="G47" s="123">
        <v>11</v>
      </c>
      <c r="H47" s="208">
        <v>2</v>
      </c>
      <c r="J47" s="134">
        <v>13</v>
      </c>
      <c r="K47" s="92">
        <f t="shared" si="1"/>
        <v>84.615384615384613</v>
      </c>
      <c r="L47" s="92">
        <f t="shared" si="1"/>
        <v>15.384615384615385</v>
      </c>
      <c r="M47" s="92">
        <f t="shared" si="1"/>
        <v>0</v>
      </c>
      <c r="N47" s="125">
        <f t="shared" si="2"/>
        <v>100</v>
      </c>
      <c r="O47" s="91">
        <v>33.1</v>
      </c>
      <c r="P47" s="92"/>
      <c r="Q47" s="92"/>
      <c r="R47" s="93">
        <f t="shared" si="3"/>
        <v>33.1</v>
      </c>
      <c r="S47" s="208">
        <v>1</v>
      </c>
      <c r="T47" s="81"/>
      <c r="V47" s="82" t="s">
        <v>343</v>
      </c>
      <c r="W47" s="208" t="s">
        <v>74</v>
      </c>
      <c r="X47" s="208" t="s">
        <v>11</v>
      </c>
      <c r="Y47" s="83">
        <v>33.1</v>
      </c>
      <c r="Z47" s="150" t="s">
        <v>131</v>
      </c>
      <c r="AA47" s="150" t="s">
        <v>22</v>
      </c>
      <c r="AB47" s="150" t="s">
        <v>18</v>
      </c>
      <c r="AC47" s="150">
        <v>66.900000000000006</v>
      </c>
      <c r="AD47" s="82"/>
      <c r="AG47" s="83"/>
      <c r="AL47" s="82"/>
      <c r="AO47" s="83"/>
      <c r="AP47" s="82"/>
      <c r="AS47" s="83"/>
      <c r="AW47" s="83"/>
      <c r="BA47" s="84"/>
    </row>
    <row r="48" spans="1:53" s="208" customFormat="1" x14ac:dyDescent="0.15">
      <c r="A48" s="102">
        <v>1975</v>
      </c>
      <c r="B48" s="149">
        <v>27614</v>
      </c>
      <c r="C48" s="811" t="s">
        <v>591</v>
      </c>
      <c r="D48" s="811"/>
      <c r="E48" s="208">
        <f xml:space="preserve"> 365-E47-E46</f>
        <v>146</v>
      </c>
      <c r="F48" s="150">
        <v>0</v>
      </c>
      <c r="G48" s="123">
        <v>10</v>
      </c>
      <c r="H48" s="208">
        <v>3</v>
      </c>
      <c r="J48" s="134">
        <v>13</v>
      </c>
      <c r="K48" s="92">
        <f t="shared" si="1"/>
        <v>76.923076923076934</v>
      </c>
      <c r="L48" s="92">
        <f t="shared" si="1"/>
        <v>23.076923076923077</v>
      </c>
      <c r="M48" s="92">
        <f t="shared" si="1"/>
        <v>0</v>
      </c>
      <c r="N48" s="125">
        <f t="shared" si="2"/>
        <v>100.00000000000001</v>
      </c>
      <c r="O48" s="91">
        <v>33.1</v>
      </c>
      <c r="P48" s="92"/>
      <c r="Q48" s="92"/>
      <c r="R48" s="93">
        <f t="shared" si="3"/>
        <v>33.1</v>
      </c>
      <c r="S48" s="208">
        <v>1</v>
      </c>
      <c r="T48" s="81"/>
      <c r="V48" s="82" t="s">
        <v>343</v>
      </c>
      <c r="W48" s="208" t="s">
        <v>74</v>
      </c>
      <c r="X48" s="208" t="s">
        <v>11</v>
      </c>
      <c r="Y48" s="83">
        <v>33.1</v>
      </c>
      <c r="Z48" s="150" t="s">
        <v>131</v>
      </c>
      <c r="AA48" s="150" t="s">
        <v>22</v>
      </c>
      <c r="AB48" s="150" t="s">
        <v>18</v>
      </c>
      <c r="AC48" s="150">
        <v>66.900000000000006</v>
      </c>
      <c r="AD48" s="82"/>
      <c r="AG48" s="83"/>
      <c r="AL48" s="82"/>
      <c r="AO48" s="83"/>
      <c r="AP48" s="82"/>
      <c r="AS48" s="83"/>
      <c r="AW48" s="83"/>
      <c r="BA48" s="84"/>
    </row>
    <row r="49" spans="1:53" s="208" customFormat="1" x14ac:dyDescent="0.15">
      <c r="A49" s="102">
        <v>1976</v>
      </c>
      <c r="B49" s="207"/>
      <c r="C49" s="811" t="s">
        <v>591</v>
      </c>
      <c r="D49" s="811"/>
      <c r="E49" s="208">
        <v>306</v>
      </c>
      <c r="G49" s="123">
        <v>10</v>
      </c>
      <c r="H49" s="208">
        <v>3</v>
      </c>
      <c r="J49" s="134">
        <v>13</v>
      </c>
      <c r="K49" s="92">
        <f t="shared" si="1"/>
        <v>76.923076923076934</v>
      </c>
      <c r="L49" s="92">
        <f t="shared" si="1"/>
        <v>23.076923076923077</v>
      </c>
      <c r="M49" s="92">
        <f t="shared" si="1"/>
        <v>0</v>
      </c>
      <c r="N49" s="125">
        <f t="shared" si="2"/>
        <v>100.00000000000001</v>
      </c>
      <c r="O49" s="91">
        <v>33.1</v>
      </c>
      <c r="P49" s="92"/>
      <c r="Q49" s="92"/>
      <c r="R49" s="93">
        <f t="shared" si="3"/>
        <v>33.1</v>
      </c>
      <c r="S49" s="208">
        <v>1</v>
      </c>
      <c r="T49" s="81"/>
      <c r="V49" s="82" t="s">
        <v>343</v>
      </c>
      <c r="W49" s="208" t="s">
        <v>74</v>
      </c>
      <c r="X49" s="208" t="s">
        <v>11</v>
      </c>
      <c r="Y49" s="83">
        <v>33.1</v>
      </c>
      <c r="Z49" s="150" t="s">
        <v>131</v>
      </c>
      <c r="AA49" s="150" t="s">
        <v>22</v>
      </c>
      <c r="AB49" s="150" t="s">
        <v>18</v>
      </c>
      <c r="AC49" s="150">
        <v>66.900000000000006</v>
      </c>
      <c r="AD49" s="82"/>
      <c r="AG49" s="83"/>
      <c r="AL49" s="82"/>
      <c r="AO49" s="83"/>
      <c r="AP49" s="82"/>
      <c r="AS49" s="83"/>
      <c r="AW49" s="83"/>
      <c r="BA49" s="84"/>
    </row>
    <row r="50" spans="1:53" s="208" customFormat="1" x14ac:dyDescent="0.15">
      <c r="A50" s="102">
        <v>1976</v>
      </c>
      <c r="B50" s="149">
        <v>28066</v>
      </c>
      <c r="C50" s="811" t="s">
        <v>591</v>
      </c>
      <c r="D50" s="811"/>
      <c r="E50" s="208">
        <v>60</v>
      </c>
      <c r="F50" s="150" t="s">
        <v>340</v>
      </c>
      <c r="G50" s="123">
        <v>10</v>
      </c>
      <c r="H50" s="208">
        <v>3</v>
      </c>
      <c r="J50" s="134">
        <v>13</v>
      </c>
      <c r="K50" s="92">
        <f t="shared" si="1"/>
        <v>76.923076923076934</v>
      </c>
      <c r="L50" s="92">
        <f t="shared" si="1"/>
        <v>23.076923076923077</v>
      </c>
      <c r="M50" s="92">
        <f t="shared" si="1"/>
        <v>0</v>
      </c>
      <c r="N50" s="125">
        <f t="shared" si="2"/>
        <v>100.00000000000001</v>
      </c>
      <c r="O50" s="91">
        <v>32.9</v>
      </c>
      <c r="P50" s="92"/>
      <c r="Q50" s="92"/>
      <c r="R50" s="93">
        <f t="shared" si="3"/>
        <v>32.9</v>
      </c>
      <c r="S50" s="208">
        <v>1</v>
      </c>
      <c r="T50" s="95">
        <v>28066</v>
      </c>
      <c r="V50" s="82" t="s">
        <v>343</v>
      </c>
      <c r="W50" s="208" t="s">
        <v>74</v>
      </c>
      <c r="X50" s="208" t="s">
        <v>11</v>
      </c>
      <c r="Y50" s="83">
        <v>32.9</v>
      </c>
      <c r="Z50" s="150" t="s">
        <v>131</v>
      </c>
      <c r="AA50" s="150" t="s">
        <v>22</v>
      </c>
      <c r="AB50" s="150" t="s">
        <v>18</v>
      </c>
      <c r="AC50" s="150">
        <v>67.099999999999994</v>
      </c>
      <c r="AD50" s="82"/>
      <c r="AG50" s="83"/>
      <c r="AL50" s="82"/>
      <c r="AO50" s="83"/>
      <c r="AP50" s="82"/>
      <c r="AS50" s="83"/>
      <c r="AW50" s="83"/>
      <c r="BA50" s="84"/>
    </row>
    <row r="51" spans="1:53" s="208" customFormat="1" x14ac:dyDescent="0.15">
      <c r="A51" s="102">
        <v>1977</v>
      </c>
      <c r="B51" s="207"/>
      <c r="C51" s="811" t="s">
        <v>591</v>
      </c>
      <c r="D51" s="811"/>
      <c r="E51" s="208">
        <v>19</v>
      </c>
      <c r="G51" s="123">
        <v>10</v>
      </c>
      <c r="H51" s="208">
        <v>3</v>
      </c>
      <c r="J51" s="134">
        <v>13</v>
      </c>
      <c r="K51" s="92">
        <f t="shared" si="1"/>
        <v>76.923076923076934</v>
      </c>
      <c r="L51" s="92">
        <f t="shared" si="1"/>
        <v>23.076923076923077</v>
      </c>
      <c r="M51" s="92">
        <f t="shared" si="1"/>
        <v>0</v>
      </c>
      <c r="N51" s="125">
        <f t="shared" si="2"/>
        <v>100.00000000000001</v>
      </c>
      <c r="O51" s="91">
        <v>32.9</v>
      </c>
      <c r="P51" s="92"/>
      <c r="Q51" s="92"/>
      <c r="R51" s="93">
        <f t="shared" si="3"/>
        <v>32.9</v>
      </c>
      <c r="S51" s="208">
        <v>1</v>
      </c>
      <c r="T51" s="81"/>
      <c r="V51" s="82" t="s">
        <v>343</v>
      </c>
      <c r="W51" s="208" t="s">
        <v>74</v>
      </c>
      <c r="X51" s="208" t="s">
        <v>11</v>
      </c>
      <c r="Y51" s="83">
        <v>32.9</v>
      </c>
      <c r="Z51" s="150" t="s">
        <v>131</v>
      </c>
      <c r="AA51" s="150" t="s">
        <v>22</v>
      </c>
      <c r="AB51" s="150" t="s">
        <v>18</v>
      </c>
      <c r="AC51" s="150">
        <v>67.099999999999994</v>
      </c>
      <c r="AD51" s="82"/>
      <c r="AG51" s="83"/>
      <c r="AL51" s="82"/>
      <c r="AO51" s="83"/>
      <c r="AP51" s="82"/>
      <c r="AS51" s="83"/>
      <c r="AW51" s="83"/>
      <c r="BA51" s="84"/>
    </row>
    <row r="52" spans="1:53" s="334" customFormat="1" x14ac:dyDescent="0.15">
      <c r="A52" s="386">
        <v>1977</v>
      </c>
      <c r="B52" s="355">
        <v>28145</v>
      </c>
      <c r="C52" s="812" t="s">
        <v>592</v>
      </c>
      <c r="D52" s="812"/>
      <c r="E52" s="334">
        <f xml:space="preserve"> 365-E51</f>
        <v>346</v>
      </c>
      <c r="F52" s="334">
        <v>1</v>
      </c>
      <c r="G52" s="419">
        <v>1</v>
      </c>
      <c r="H52" s="334">
        <v>13</v>
      </c>
      <c r="J52" s="435">
        <v>14</v>
      </c>
      <c r="K52" s="384">
        <f t="shared" si="1"/>
        <v>7.1428571428571423</v>
      </c>
      <c r="L52" s="384">
        <f t="shared" si="1"/>
        <v>92.857142857142861</v>
      </c>
      <c r="M52" s="384">
        <f t="shared" si="1"/>
        <v>0</v>
      </c>
      <c r="N52" s="421">
        <f t="shared" si="2"/>
        <v>100</v>
      </c>
      <c r="O52" s="383"/>
      <c r="P52" s="384">
        <v>67.099999999999994</v>
      </c>
      <c r="Q52" s="384"/>
      <c r="R52" s="385">
        <f t="shared" si="3"/>
        <v>67.099999999999994</v>
      </c>
      <c r="S52" s="334">
        <v>1</v>
      </c>
      <c r="T52" s="357"/>
      <c r="U52" s="355">
        <v>28145</v>
      </c>
      <c r="V52" s="343" t="s">
        <v>131</v>
      </c>
      <c r="W52" s="334" t="s">
        <v>22</v>
      </c>
      <c r="X52" s="334" t="s">
        <v>18</v>
      </c>
      <c r="Y52" s="344">
        <v>67.099999999999994</v>
      </c>
      <c r="Z52" s="441" t="s">
        <v>343</v>
      </c>
      <c r="AA52" s="441" t="s">
        <v>74</v>
      </c>
      <c r="AB52" s="441" t="s">
        <v>11</v>
      </c>
      <c r="AC52" s="441">
        <v>32.9</v>
      </c>
      <c r="AD52" s="343"/>
      <c r="AG52" s="344"/>
      <c r="AL52" s="343"/>
      <c r="AO52" s="344"/>
      <c r="AP52" s="343"/>
      <c r="AS52" s="344"/>
      <c r="AW52" s="344"/>
      <c r="BA52" s="345"/>
    </row>
    <row r="53" spans="1:53" s="334" customFormat="1" x14ac:dyDescent="0.15">
      <c r="A53" s="386">
        <v>1978</v>
      </c>
      <c r="B53" s="355"/>
      <c r="C53" s="812" t="s">
        <v>592</v>
      </c>
      <c r="D53" s="812"/>
      <c r="E53" s="334">
        <v>311</v>
      </c>
      <c r="G53" s="419">
        <v>1</v>
      </c>
      <c r="H53" s="334">
        <v>13</v>
      </c>
      <c r="J53" s="435">
        <v>14</v>
      </c>
      <c r="K53" s="384">
        <f t="shared" si="1"/>
        <v>7.1428571428571423</v>
      </c>
      <c r="L53" s="384">
        <f t="shared" si="1"/>
        <v>92.857142857142861</v>
      </c>
      <c r="M53" s="384">
        <f t="shared" si="1"/>
        <v>0</v>
      </c>
      <c r="N53" s="421">
        <f t="shared" si="2"/>
        <v>100</v>
      </c>
      <c r="O53" s="383"/>
      <c r="P53" s="384">
        <v>67.099999999999994</v>
      </c>
      <c r="Q53" s="384"/>
      <c r="R53" s="385">
        <f t="shared" si="3"/>
        <v>67.099999999999994</v>
      </c>
      <c r="S53" s="334">
        <v>1</v>
      </c>
      <c r="T53" s="357"/>
      <c r="V53" s="343" t="s">
        <v>131</v>
      </c>
      <c r="W53" s="334" t="s">
        <v>22</v>
      </c>
      <c r="X53" s="334" t="s">
        <v>18</v>
      </c>
      <c r="Y53" s="344">
        <v>67.099999999999994</v>
      </c>
      <c r="Z53" s="441" t="s">
        <v>343</v>
      </c>
      <c r="AA53" s="441" t="s">
        <v>74</v>
      </c>
      <c r="AB53" s="441" t="s">
        <v>11</v>
      </c>
      <c r="AC53" s="441">
        <v>32.9</v>
      </c>
      <c r="AD53" s="343"/>
      <c r="AG53" s="344"/>
      <c r="AL53" s="343"/>
      <c r="AO53" s="344"/>
      <c r="AP53" s="343"/>
      <c r="AS53" s="344"/>
      <c r="AW53" s="344"/>
      <c r="BA53" s="345"/>
    </row>
    <row r="54" spans="1:53" s="334" customFormat="1" x14ac:dyDescent="0.15">
      <c r="A54" s="386">
        <v>1978</v>
      </c>
      <c r="B54" s="445">
        <v>28802</v>
      </c>
      <c r="C54" s="812" t="s">
        <v>592</v>
      </c>
      <c r="D54" s="812"/>
      <c r="E54" s="334">
        <v>54</v>
      </c>
      <c r="F54" s="441" t="s">
        <v>340</v>
      </c>
      <c r="G54" s="419">
        <v>1</v>
      </c>
      <c r="H54" s="334">
        <v>13</v>
      </c>
      <c r="J54" s="435">
        <v>14</v>
      </c>
      <c r="K54" s="384">
        <f t="shared" si="1"/>
        <v>7.1428571428571423</v>
      </c>
      <c r="L54" s="384">
        <f t="shared" si="1"/>
        <v>92.857142857142861</v>
      </c>
      <c r="M54" s="384">
        <f t="shared" si="1"/>
        <v>0</v>
      </c>
      <c r="N54" s="421">
        <f t="shared" si="2"/>
        <v>100</v>
      </c>
      <c r="O54" s="383"/>
      <c r="P54" s="384">
        <v>63.7</v>
      </c>
      <c r="Q54" s="384"/>
      <c r="R54" s="385">
        <f t="shared" si="3"/>
        <v>63.7</v>
      </c>
      <c r="S54" s="334">
        <v>1</v>
      </c>
      <c r="T54" s="342">
        <v>28802</v>
      </c>
      <c r="V54" s="343" t="s">
        <v>131</v>
      </c>
      <c r="W54" s="334" t="s">
        <v>22</v>
      </c>
      <c r="X54" s="334" t="s">
        <v>18</v>
      </c>
      <c r="Y54" s="344">
        <v>63.7</v>
      </c>
      <c r="Z54" s="441" t="s">
        <v>343</v>
      </c>
      <c r="AA54" s="441" t="s">
        <v>74</v>
      </c>
      <c r="AB54" s="441" t="s">
        <v>11</v>
      </c>
      <c r="AC54" s="441">
        <v>36.299999999999997</v>
      </c>
      <c r="AD54" s="343"/>
      <c r="AG54" s="344"/>
      <c r="AL54" s="343"/>
      <c r="AO54" s="344"/>
      <c r="AP54" s="343"/>
      <c r="AS54" s="344"/>
      <c r="AW54" s="344"/>
      <c r="BA54" s="345"/>
    </row>
    <row r="55" spans="1:53" s="334" customFormat="1" x14ac:dyDescent="0.15">
      <c r="A55" s="386">
        <v>1979</v>
      </c>
      <c r="B55" s="355"/>
      <c r="C55" s="812" t="s">
        <v>592</v>
      </c>
      <c r="D55" s="812"/>
      <c r="E55" s="334">
        <v>235</v>
      </c>
      <c r="G55" s="419">
        <v>1</v>
      </c>
      <c r="H55" s="334">
        <v>13</v>
      </c>
      <c r="J55" s="435">
        <v>14</v>
      </c>
      <c r="K55" s="384">
        <f t="shared" si="1"/>
        <v>7.1428571428571423</v>
      </c>
      <c r="L55" s="384">
        <f t="shared" si="1"/>
        <v>92.857142857142861</v>
      </c>
      <c r="M55" s="384">
        <f t="shared" si="1"/>
        <v>0</v>
      </c>
      <c r="N55" s="421">
        <f t="shared" si="2"/>
        <v>100</v>
      </c>
      <c r="O55" s="383"/>
      <c r="P55" s="384">
        <v>63.7</v>
      </c>
      <c r="Q55" s="384"/>
      <c r="R55" s="385">
        <f t="shared" si="3"/>
        <v>63.7</v>
      </c>
      <c r="S55" s="334">
        <v>1</v>
      </c>
      <c r="T55" s="357"/>
      <c r="V55" s="343" t="s">
        <v>131</v>
      </c>
      <c r="W55" s="334" t="s">
        <v>22</v>
      </c>
      <c r="X55" s="334" t="s">
        <v>18</v>
      </c>
      <c r="Y55" s="344">
        <v>63.7</v>
      </c>
      <c r="Z55" s="441" t="s">
        <v>343</v>
      </c>
      <c r="AA55" s="441" t="s">
        <v>74</v>
      </c>
      <c r="AB55" s="441" t="s">
        <v>11</v>
      </c>
      <c r="AC55" s="441">
        <v>36.299999999999997</v>
      </c>
      <c r="AD55" s="343"/>
      <c r="AG55" s="344"/>
      <c r="AL55" s="343"/>
      <c r="AO55" s="344"/>
      <c r="AP55" s="343"/>
      <c r="AS55" s="344"/>
      <c r="AW55" s="344"/>
      <c r="BA55" s="345"/>
    </row>
    <row r="56" spans="1:53" s="334" customFormat="1" x14ac:dyDescent="0.15">
      <c r="A56" s="386">
        <v>1979</v>
      </c>
      <c r="B56" s="445">
        <v>29091</v>
      </c>
      <c r="C56" s="812" t="s">
        <v>592</v>
      </c>
      <c r="D56" s="812"/>
      <c r="E56" s="334">
        <v>67</v>
      </c>
      <c r="F56" s="441">
        <v>0</v>
      </c>
      <c r="G56" s="419"/>
      <c r="H56" s="334">
        <v>14</v>
      </c>
      <c r="J56" s="435">
        <v>14</v>
      </c>
      <c r="K56" s="384">
        <f t="shared" si="1"/>
        <v>0</v>
      </c>
      <c r="L56" s="384">
        <f t="shared" si="1"/>
        <v>100</v>
      </c>
      <c r="M56" s="384">
        <f t="shared" si="1"/>
        <v>0</v>
      </c>
      <c r="N56" s="421">
        <f t="shared" si="2"/>
        <v>100</v>
      </c>
      <c r="O56" s="383"/>
      <c r="P56" s="384">
        <v>63.7</v>
      </c>
      <c r="Q56" s="384"/>
      <c r="R56" s="385">
        <f t="shared" si="3"/>
        <v>63.7</v>
      </c>
      <c r="S56" s="334">
        <v>1</v>
      </c>
      <c r="T56" s="357"/>
      <c r="V56" s="343" t="s">
        <v>131</v>
      </c>
      <c r="W56" s="334" t="s">
        <v>22</v>
      </c>
      <c r="X56" s="334" t="s">
        <v>18</v>
      </c>
      <c r="Y56" s="344">
        <v>63.7</v>
      </c>
      <c r="AD56" s="343"/>
      <c r="AG56" s="344"/>
      <c r="AL56" s="343"/>
      <c r="AO56" s="344"/>
      <c r="AP56" s="343"/>
      <c r="AS56" s="344"/>
      <c r="AW56" s="344"/>
      <c r="BA56" s="345"/>
    </row>
    <row r="57" spans="1:53" s="334" customFormat="1" x14ac:dyDescent="0.15">
      <c r="A57" s="386">
        <v>1979</v>
      </c>
      <c r="B57" s="445">
        <v>29158</v>
      </c>
      <c r="C57" s="812" t="s">
        <v>592</v>
      </c>
      <c r="D57" s="812"/>
      <c r="E57" s="334">
        <f>365-E56-E55</f>
        <v>63</v>
      </c>
      <c r="F57" s="441">
        <v>0</v>
      </c>
      <c r="G57" s="419"/>
      <c r="H57" s="334">
        <v>16</v>
      </c>
      <c r="J57" s="435">
        <v>16</v>
      </c>
      <c r="K57" s="384">
        <f t="shared" si="1"/>
        <v>0</v>
      </c>
      <c r="L57" s="384">
        <f t="shared" si="1"/>
        <v>100</v>
      </c>
      <c r="M57" s="384">
        <f t="shared" si="1"/>
        <v>0</v>
      </c>
      <c r="N57" s="421">
        <f t="shared" si="2"/>
        <v>100</v>
      </c>
      <c r="O57" s="383"/>
      <c r="P57" s="384">
        <v>63.7</v>
      </c>
      <c r="Q57" s="384"/>
      <c r="R57" s="385">
        <f t="shared" si="3"/>
        <v>63.7</v>
      </c>
      <c r="S57" s="334">
        <v>1</v>
      </c>
      <c r="T57" s="357"/>
      <c r="V57" s="343" t="s">
        <v>131</v>
      </c>
      <c r="W57" s="334" t="s">
        <v>22</v>
      </c>
      <c r="X57" s="334" t="s">
        <v>18</v>
      </c>
      <c r="Y57" s="344">
        <v>63.7</v>
      </c>
      <c r="AD57" s="343"/>
      <c r="AG57" s="344"/>
      <c r="AL57" s="343"/>
      <c r="AO57" s="344"/>
      <c r="AP57" s="343"/>
      <c r="AS57" s="344"/>
      <c r="AW57" s="344"/>
      <c r="BA57" s="345"/>
    </row>
    <row r="58" spans="1:53" s="334" customFormat="1" x14ac:dyDescent="0.15">
      <c r="A58" s="386">
        <v>1980</v>
      </c>
      <c r="B58" s="355"/>
      <c r="C58" s="812" t="s">
        <v>592</v>
      </c>
      <c r="D58" s="812"/>
      <c r="E58" s="334">
        <v>308</v>
      </c>
      <c r="G58" s="419"/>
      <c r="H58" s="334">
        <v>16</v>
      </c>
      <c r="J58" s="435">
        <v>16</v>
      </c>
      <c r="K58" s="384">
        <f t="shared" si="1"/>
        <v>0</v>
      </c>
      <c r="L58" s="384">
        <f t="shared" si="1"/>
        <v>100</v>
      </c>
      <c r="M58" s="384">
        <f t="shared" si="1"/>
        <v>0</v>
      </c>
      <c r="N58" s="421">
        <f t="shared" si="2"/>
        <v>100</v>
      </c>
      <c r="O58" s="383"/>
      <c r="P58" s="384">
        <v>63.7</v>
      </c>
      <c r="Q58" s="384"/>
      <c r="R58" s="385">
        <f t="shared" si="3"/>
        <v>63.7</v>
      </c>
      <c r="S58" s="334">
        <v>1</v>
      </c>
      <c r="T58" s="357"/>
      <c r="V58" s="343" t="s">
        <v>131</v>
      </c>
      <c r="W58" s="334" t="s">
        <v>22</v>
      </c>
      <c r="X58" s="334" t="s">
        <v>18</v>
      </c>
      <c r="Y58" s="344">
        <v>63.7</v>
      </c>
      <c r="AD58" s="343"/>
      <c r="AG58" s="344"/>
      <c r="AL58" s="343"/>
      <c r="AO58" s="344"/>
      <c r="AP58" s="343"/>
      <c r="AS58" s="344"/>
      <c r="AW58" s="344"/>
      <c r="BA58" s="345"/>
    </row>
    <row r="59" spans="1:53" s="334" customFormat="1" x14ac:dyDescent="0.15">
      <c r="A59" s="386">
        <v>1980</v>
      </c>
      <c r="B59" s="445">
        <v>29529</v>
      </c>
      <c r="C59" s="812" t="s">
        <v>592</v>
      </c>
      <c r="D59" s="812"/>
      <c r="E59" s="334">
        <v>58</v>
      </c>
      <c r="F59" s="441" t="s">
        <v>340</v>
      </c>
      <c r="G59" s="419"/>
      <c r="H59" s="334">
        <v>16</v>
      </c>
      <c r="J59" s="435">
        <v>16</v>
      </c>
      <c r="K59" s="384">
        <f t="shared" si="1"/>
        <v>0</v>
      </c>
      <c r="L59" s="384">
        <f t="shared" si="1"/>
        <v>100</v>
      </c>
      <c r="M59" s="384">
        <f t="shared" si="1"/>
        <v>0</v>
      </c>
      <c r="N59" s="421">
        <f t="shared" si="2"/>
        <v>100</v>
      </c>
      <c r="O59" s="383"/>
      <c r="P59" s="384">
        <v>55.9</v>
      </c>
      <c r="Q59" s="384"/>
      <c r="R59" s="385">
        <f t="shared" si="3"/>
        <v>55.9</v>
      </c>
      <c r="S59" s="334">
        <v>1</v>
      </c>
      <c r="T59" s="342">
        <v>29529</v>
      </c>
      <c r="V59" s="343" t="s">
        <v>131</v>
      </c>
      <c r="W59" s="334" t="s">
        <v>22</v>
      </c>
      <c r="X59" s="334" t="s">
        <v>18</v>
      </c>
      <c r="Y59" s="344">
        <v>55.9</v>
      </c>
      <c r="AD59" s="343"/>
      <c r="AG59" s="344"/>
      <c r="AL59" s="343"/>
      <c r="AO59" s="344"/>
      <c r="AP59" s="343"/>
      <c r="AS59" s="344"/>
      <c r="AW59" s="344"/>
      <c r="BA59" s="345"/>
    </row>
    <row r="60" spans="1:53" s="334" customFormat="1" x14ac:dyDescent="0.15">
      <c r="A60" s="386">
        <v>1981</v>
      </c>
      <c r="B60" s="355"/>
      <c r="C60" s="812" t="s">
        <v>592</v>
      </c>
      <c r="D60" s="812"/>
      <c r="E60" s="334">
        <v>19</v>
      </c>
      <c r="G60" s="419"/>
      <c r="H60" s="334">
        <v>16</v>
      </c>
      <c r="J60" s="435">
        <v>16</v>
      </c>
      <c r="K60" s="384">
        <f t="shared" si="1"/>
        <v>0</v>
      </c>
      <c r="L60" s="384">
        <f t="shared" si="1"/>
        <v>100</v>
      </c>
      <c r="M60" s="384">
        <f t="shared" si="1"/>
        <v>0</v>
      </c>
      <c r="N60" s="421">
        <f t="shared" si="2"/>
        <v>100</v>
      </c>
      <c r="O60" s="383"/>
      <c r="P60" s="384">
        <v>55.9</v>
      </c>
      <c r="Q60" s="384"/>
      <c r="R60" s="385">
        <f t="shared" si="3"/>
        <v>55.9</v>
      </c>
      <c r="S60" s="334">
        <v>1</v>
      </c>
      <c r="T60" s="357"/>
      <c r="V60" s="343" t="s">
        <v>131</v>
      </c>
      <c r="W60" s="334" t="s">
        <v>22</v>
      </c>
      <c r="X60" s="334" t="s">
        <v>18</v>
      </c>
      <c r="Y60" s="344">
        <v>55.9</v>
      </c>
      <c r="AD60" s="343"/>
      <c r="AG60" s="344"/>
      <c r="AL60" s="343"/>
      <c r="AO60" s="344"/>
      <c r="AP60" s="343"/>
      <c r="AS60" s="344"/>
      <c r="AW60" s="344"/>
      <c r="BA60" s="345"/>
    </row>
    <row r="61" spans="1:53" s="208" customFormat="1" x14ac:dyDescent="0.15">
      <c r="A61" s="102">
        <v>1981</v>
      </c>
      <c r="B61" s="207">
        <v>29606</v>
      </c>
      <c r="C61" s="811" t="s">
        <v>593</v>
      </c>
      <c r="D61" s="811"/>
      <c r="E61" s="208">
        <f xml:space="preserve"> 365-E60</f>
        <v>346</v>
      </c>
      <c r="F61" s="208">
        <v>1</v>
      </c>
      <c r="G61" s="123">
        <v>19</v>
      </c>
      <c r="J61" s="134">
        <v>19</v>
      </c>
      <c r="K61" s="92">
        <f t="shared" si="1"/>
        <v>100</v>
      </c>
      <c r="L61" s="92">
        <f t="shared" si="1"/>
        <v>0</v>
      </c>
      <c r="M61" s="92">
        <f t="shared" si="1"/>
        <v>0</v>
      </c>
      <c r="N61" s="125">
        <f t="shared" si="2"/>
        <v>100</v>
      </c>
      <c r="O61" s="91">
        <v>44.1</v>
      </c>
      <c r="P61" s="92"/>
      <c r="Q61" s="92"/>
      <c r="R61" s="93">
        <f t="shared" si="3"/>
        <v>44.1</v>
      </c>
      <c r="S61" s="208">
        <v>1</v>
      </c>
      <c r="T61" s="81"/>
      <c r="U61" s="207">
        <v>29606</v>
      </c>
      <c r="V61" s="82" t="s">
        <v>343</v>
      </c>
      <c r="W61" s="208" t="s">
        <v>74</v>
      </c>
      <c r="X61" s="208" t="s">
        <v>11</v>
      </c>
      <c r="Y61" s="83">
        <v>44.1</v>
      </c>
      <c r="AD61" s="82"/>
      <c r="AG61" s="83"/>
      <c r="AL61" s="82"/>
      <c r="AO61" s="83"/>
      <c r="AP61" s="82"/>
      <c r="AS61" s="83"/>
      <c r="AW61" s="83"/>
      <c r="BA61" s="84"/>
    </row>
    <row r="62" spans="1:53" s="208" customFormat="1" x14ac:dyDescent="0.15">
      <c r="A62" s="102">
        <v>1982</v>
      </c>
      <c r="B62" s="207"/>
      <c r="C62" s="811" t="s">
        <v>593</v>
      </c>
      <c r="D62" s="811"/>
      <c r="E62" s="208">
        <v>305</v>
      </c>
      <c r="G62" s="123">
        <v>19</v>
      </c>
      <c r="J62" s="134">
        <v>19</v>
      </c>
      <c r="K62" s="92">
        <f t="shared" si="1"/>
        <v>100</v>
      </c>
      <c r="L62" s="92">
        <f t="shared" si="1"/>
        <v>0</v>
      </c>
      <c r="M62" s="92">
        <f t="shared" si="1"/>
        <v>0</v>
      </c>
      <c r="N62" s="125">
        <f t="shared" si="2"/>
        <v>100</v>
      </c>
      <c r="O62" s="91">
        <v>44.1</v>
      </c>
      <c r="P62" s="92"/>
      <c r="Q62" s="92"/>
      <c r="R62" s="93">
        <f t="shared" si="3"/>
        <v>44.1</v>
      </c>
      <c r="S62" s="208">
        <v>1</v>
      </c>
      <c r="T62" s="81"/>
      <c r="V62" s="82" t="s">
        <v>343</v>
      </c>
      <c r="W62" s="208" t="s">
        <v>74</v>
      </c>
      <c r="X62" s="208" t="s">
        <v>11</v>
      </c>
      <c r="Y62" s="83">
        <v>44.1</v>
      </c>
      <c r="AD62" s="82"/>
      <c r="AG62" s="83"/>
      <c r="AL62" s="82"/>
      <c r="AO62" s="83"/>
      <c r="AP62" s="82"/>
      <c r="AS62" s="83"/>
      <c r="AW62" s="83"/>
      <c r="BA62" s="84"/>
    </row>
    <row r="63" spans="1:53" s="208" customFormat="1" x14ac:dyDescent="0.15">
      <c r="A63" s="102">
        <v>1982</v>
      </c>
      <c r="B63" s="149">
        <v>30257</v>
      </c>
      <c r="C63" s="811" t="s">
        <v>593</v>
      </c>
      <c r="D63" s="811"/>
      <c r="E63" s="208">
        <v>60</v>
      </c>
      <c r="F63" s="150" t="s">
        <v>340</v>
      </c>
      <c r="G63" s="123">
        <v>19</v>
      </c>
      <c r="J63" s="134">
        <v>19</v>
      </c>
      <c r="K63" s="92">
        <f t="shared" si="1"/>
        <v>100</v>
      </c>
      <c r="L63" s="92">
        <f t="shared" si="1"/>
        <v>0</v>
      </c>
      <c r="M63" s="92">
        <f t="shared" si="1"/>
        <v>0</v>
      </c>
      <c r="N63" s="125">
        <f t="shared" si="2"/>
        <v>100</v>
      </c>
      <c r="O63" s="91">
        <v>38.200000000000003</v>
      </c>
      <c r="P63" s="92"/>
      <c r="Q63" s="92"/>
      <c r="R63" s="93">
        <f t="shared" si="3"/>
        <v>38.200000000000003</v>
      </c>
      <c r="S63" s="208">
        <v>1</v>
      </c>
      <c r="T63" s="95">
        <v>30257</v>
      </c>
      <c r="V63" s="82" t="s">
        <v>343</v>
      </c>
      <c r="W63" s="208" t="s">
        <v>74</v>
      </c>
      <c r="X63" s="208" t="s">
        <v>11</v>
      </c>
      <c r="Y63" s="83">
        <v>38.200000000000003</v>
      </c>
      <c r="AD63" s="82"/>
      <c r="AG63" s="83"/>
      <c r="AL63" s="82"/>
      <c r="AO63" s="83"/>
      <c r="AP63" s="82"/>
      <c r="AS63" s="83"/>
      <c r="AW63" s="83"/>
      <c r="BA63" s="84"/>
    </row>
    <row r="64" spans="1:53" s="208" customFormat="1" x14ac:dyDescent="0.15">
      <c r="A64" s="102">
        <v>1983</v>
      </c>
      <c r="B64" s="207"/>
      <c r="C64" s="811" t="s">
        <v>593</v>
      </c>
      <c r="D64" s="811"/>
      <c r="E64" s="208">
        <v>0</v>
      </c>
      <c r="G64" s="123">
        <v>19</v>
      </c>
      <c r="J64" s="134">
        <v>19</v>
      </c>
      <c r="K64" s="92">
        <f t="shared" si="1"/>
        <v>100</v>
      </c>
      <c r="L64" s="92">
        <f t="shared" si="1"/>
        <v>0</v>
      </c>
      <c r="M64" s="92">
        <f t="shared" si="1"/>
        <v>0</v>
      </c>
      <c r="N64" s="125">
        <f t="shared" si="2"/>
        <v>100</v>
      </c>
      <c r="O64" s="91">
        <v>38.200000000000003</v>
      </c>
      <c r="P64" s="92"/>
      <c r="Q64" s="92"/>
      <c r="R64" s="93">
        <f t="shared" si="3"/>
        <v>38.200000000000003</v>
      </c>
      <c r="S64" s="208">
        <v>1</v>
      </c>
      <c r="T64" s="81"/>
      <c r="V64" s="82" t="s">
        <v>343</v>
      </c>
      <c r="W64" s="208" t="s">
        <v>74</v>
      </c>
      <c r="X64" s="208" t="s">
        <v>11</v>
      </c>
      <c r="Y64" s="83">
        <v>38.200000000000003</v>
      </c>
      <c r="AD64" s="82"/>
      <c r="AG64" s="83"/>
      <c r="AL64" s="82"/>
      <c r="AO64" s="83"/>
      <c r="AP64" s="82"/>
      <c r="AS64" s="83"/>
      <c r="AW64" s="83"/>
      <c r="BA64" s="84"/>
    </row>
    <row r="65" spans="1:53" s="208" customFormat="1" x14ac:dyDescent="0.15">
      <c r="A65" s="102">
        <v>1983</v>
      </c>
      <c r="B65" s="207"/>
      <c r="C65" s="811" t="s">
        <v>593</v>
      </c>
      <c r="D65" s="811"/>
      <c r="E65" s="208">
        <v>365</v>
      </c>
      <c r="G65" s="123">
        <v>19</v>
      </c>
      <c r="J65" s="134">
        <v>19</v>
      </c>
      <c r="K65" s="92">
        <f t="shared" si="1"/>
        <v>100</v>
      </c>
      <c r="L65" s="92">
        <f t="shared" si="1"/>
        <v>0</v>
      </c>
      <c r="M65" s="92">
        <f t="shared" si="1"/>
        <v>0</v>
      </c>
      <c r="N65" s="125">
        <f t="shared" si="2"/>
        <v>100</v>
      </c>
      <c r="O65" s="91">
        <v>38.200000000000003</v>
      </c>
      <c r="P65" s="92"/>
      <c r="Q65" s="92"/>
      <c r="R65" s="93">
        <f t="shared" si="3"/>
        <v>38.200000000000003</v>
      </c>
      <c r="S65" s="208">
        <v>1</v>
      </c>
      <c r="T65" s="81"/>
      <c r="V65" s="82" t="s">
        <v>343</v>
      </c>
      <c r="W65" s="208" t="s">
        <v>74</v>
      </c>
      <c r="X65" s="208" t="s">
        <v>11</v>
      </c>
      <c r="Y65" s="83">
        <v>38.200000000000003</v>
      </c>
      <c r="AD65" s="82"/>
      <c r="AG65" s="83"/>
      <c r="AL65" s="82"/>
      <c r="AO65" s="83"/>
      <c r="AP65" s="82"/>
      <c r="AS65" s="83"/>
      <c r="AW65" s="83"/>
      <c r="BA65" s="84"/>
    </row>
    <row r="66" spans="1:53" s="208" customFormat="1" x14ac:dyDescent="0.15">
      <c r="A66" s="102">
        <v>1984</v>
      </c>
      <c r="B66" s="207"/>
      <c r="C66" s="811" t="s">
        <v>593</v>
      </c>
      <c r="D66" s="811"/>
      <c r="E66" s="208">
        <v>310</v>
      </c>
      <c r="G66" s="123">
        <v>19</v>
      </c>
      <c r="J66" s="134">
        <v>19</v>
      </c>
      <c r="K66" s="92">
        <f t="shared" si="1"/>
        <v>100</v>
      </c>
      <c r="L66" s="92">
        <f t="shared" si="1"/>
        <v>0</v>
      </c>
      <c r="M66" s="92">
        <f t="shared" si="1"/>
        <v>0</v>
      </c>
      <c r="N66" s="125">
        <f t="shared" si="2"/>
        <v>100</v>
      </c>
      <c r="O66" s="91">
        <v>38.200000000000003</v>
      </c>
      <c r="P66" s="92"/>
      <c r="Q66" s="92"/>
      <c r="R66" s="93">
        <f t="shared" si="3"/>
        <v>38.200000000000003</v>
      </c>
      <c r="S66" s="208">
        <v>1</v>
      </c>
      <c r="T66" s="81"/>
      <c r="V66" s="82" t="s">
        <v>343</v>
      </c>
      <c r="W66" s="208" t="s">
        <v>74</v>
      </c>
      <c r="X66" s="208" t="s">
        <v>11</v>
      </c>
      <c r="Y66" s="83">
        <v>38.200000000000003</v>
      </c>
      <c r="AD66" s="82"/>
      <c r="AG66" s="83"/>
      <c r="AL66" s="82"/>
      <c r="AO66" s="83"/>
      <c r="AP66" s="82"/>
      <c r="AS66" s="83"/>
      <c r="AW66" s="83"/>
      <c r="BA66" s="84"/>
    </row>
    <row r="67" spans="1:53" s="208" customFormat="1" x14ac:dyDescent="0.15">
      <c r="A67" s="102">
        <v>1984</v>
      </c>
      <c r="B67" s="149">
        <v>30992</v>
      </c>
      <c r="C67" s="811" t="s">
        <v>593</v>
      </c>
      <c r="D67" s="811"/>
      <c r="E67" s="208">
        <v>56</v>
      </c>
      <c r="F67" s="150" t="s">
        <v>340</v>
      </c>
      <c r="G67" s="123">
        <v>19</v>
      </c>
      <c r="J67" s="134">
        <v>19</v>
      </c>
      <c r="K67" s="92">
        <f t="shared" si="1"/>
        <v>100</v>
      </c>
      <c r="L67" s="92">
        <f t="shared" si="1"/>
        <v>0</v>
      </c>
      <c r="M67" s="92">
        <f t="shared" si="1"/>
        <v>0</v>
      </c>
      <c r="N67" s="125">
        <f t="shared" si="2"/>
        <v>100</v>
      </c>
      <c r="O67" s="91">
        <v>41.8</v>
      </c>
      <c r="P67" s="92"/>
      <c r="Q67" s="92"/>
      <c r="R67" s="93">
        <f t="shared" si="3"/>
        <v>41.8</v>
      </c>
      <c r="S67" s="208">
        <v>1</v>
      </c>
      <c r="T67" s="95">
        <v>30992</v>
      </c>
      <c r="V67" s="82" t="s">
        <v>343</v>
      </c>
      <c r="W67" s="208" t="s">
        <v>74</v>
      </c>
      <c r="X67" s="208" t="s">
        <v>11</v>
      </c>
      <c r="Y67" s="83">
        <v>41.8</v>
      </c>
      <c r="AD67" s="82"/>
      <c r="AG67" s="83"/>
      <c r="AL67" s="82"/>
      <c r="AO67" s="83"/>
      <c r="AP67" s="82"/>
      <c r="AS67" s="83"/>
      <c r="AW67" s="83"/>
      <c r="BA67" s="84"/>
    </row>
    <row r="68" spans="1:53" s="208" customFormat="1" x14ac:dyDescent="0.15">
      <c r="A68" s="102">
        <v>1985</v>
      </c>
      <c r="B68" s="207"/>
      <c r="C68" s="811" t="s">
        <v>593</v>
      </c>
      <c r="D68" s="811"/>
      <c r="E68" s="208">
        <v>20</v>
      </c>
      <c r="G68" s="123">
        <v>19</v>
      </c>
      <c r="J68" s="134">
        <v>19</v>
      </c>
      <c r="K68" s="92">
        <f t="shared" si="1"/>
        <v>100</v>
      </c>
      <c r="L68" s="92">
        <f t="shared" si="1"/>
        <v>0</v>
      </c>
      <c r="M68" s="92">
        <f t="shared" si="1"/>
        <v>0</v>
      </c>
      <c r="N68" s="125">
        <f t="shared" si="2"/>
        <v>100</v>
      </c>
      <c r="O68" s="91">
        <v>41.8</v>
      </c>
      <c r="P68" s="92"/>
      <c r="Q68" s="92"/>
      <c r="R68" s="93">
        <f t="shared" si="3"/>
        <v>41.8</v>
      </c>
      <c r="S68" s="208">
        <v>1</v>
      </c>
      <c r="T68" s="81"/>
      <c r="V68" s="82" t="s">
        <v>343</v>
      </c>
      <c r="W68" s="208" t="s">
        <v>74</v>
      </c>
      <c r="X68" s="208" t="s">
        <v>11</v>
      </c>
      <c r="Y68" s="83">
        <v>41.8</v>
      </c>
      <c r="AD68" s="82"/>
      <c r="AG68" s="83"/>
      <c r="AL68" s="82"/>
      <c r="AO68" s="83"/>
      <c r="AP68" s="82"/>
      <c r="AS68" s="83"/>
      <c r="AW68" s="83"/>
      <c r="BA68" s="84"/>
    </row>
    <row r="69" spans="1:53" s="334" customFormat="1" x14ac:dyDescent="0.15">
      <c r="A69" s="386">
        <v>1985</v>
      </c>
      <c r="B69" s="355">
        <v>31068</v>
      </c>
      <c r="C69" s="812" t="s">
        <v>594</v>
      </c>
      <c r="D69" s="812"/>
      <c r="E69" s="334">
        <f xml:space="preserve"> 365-E68</f>
        <v>345</v>
      </c>
      <c r="F69" s="334">
        <v>1</v>
      </c>
      <c r="G69" s="419">
        <v>19</v>
      </c>
      <c r="J69" s="435">
        <v>19</v>
      </c>
      <c r="K69" s="384">
        <f t="shared" si="1"/>
        <v>100</v>
      </c>
      <c r="L69" s="384">
        <f t="shared" si="1"/>
        <v>0</v>
      </c>
      <c r="M69" s="384">
        <f t="shared" si="1"/>
        <v>0</v>
      </c>
      <c r="N69" s="421">
        <f t="shared" si="2"/>
        <v>100</v>
      </c>
      <c r="O69" s="383">
        <v>41.8</v>
      </c>
      <c r="P69" s="384"/>
      <c r="Q69" s="384"/>
      <c r="R69" s="385">
        <f t="shared" si="3"/>
        <v>41.8</v>
      </c>
      <c r="S69" s="334">
        <v>1</v>
      </c>
      <c r="T69" s="357"/>
      <c r="U69" s="355">
        <v>31068</v>
      </c>
      <c r="V69" s="343" t="s">
        <v>343</v>
      </c>
      <c r="W69" s="334" t="s">
        <v>74</v>
      </c>
      <c r="X69" s="334" t="s">
        <v>11</v>
      </c>
      <c r="Y69" s="344">
        <v>41.8</v>
      </c>
      <c r="AD69" s="343"/>
      <c r="AG69" s="344"/>
      <c r="AL69" s="343"/>
      <c r="AO69" s="344"/>
      <c r="AP69" s="343"/>
      <c r="AS69" s="344"/>
      <c r="AW69" s="344"/>
      <c r="BA69" s="345"/>
    </row>
    <row r="70" spans="1:53" s="334" customFormat="1" x14ac:dyDescent="0.15">
      <c r="A70" s="386">
        <v>1986</v>
      </c>
      <c r="B70" s="355"/>
      <c r="C70" s="812" t="s">
        <v>594</v>
      </c>
      <c r="D70" s="812"/>
      <c r="E70" s="334">
        <v>304</v>
      </c>
      <c r="G70" s="419">
        <v>19</v>
      </c>
      <c r="J70" s="435">
        <v>19</v>
      </c>
      <c r="K70" s="384">
        <f t="shared" ref="K70:M119" si="4">G70/$J70*100</f>
        <v>100</v>
      </c>
      <c r="L70" s="384">
        <f t="shared" si="4"/>
        <v>0</v>
      </c>
      <c r="M70" s="384">
        <f t="shared" si="4"/>
        <v>0</v>
      </c>
      <c r="N70" s="421">
        <f t="shared" si="2"/>
        <v>100</v>
      </c>
      <c r="O70" s="383">
        <v>41.8</v>
      </c>
      <c r="P70" s="384"/>
      <c r="Q70" s="384"/>
      <c r="R70" s="385">
        <f t="shared" si="3"/>
        <v>41.8</v>
      </c>
      <c r="S70" s="334">
        <v>1</v>
      </c>
      <c r="T70" s="357"/>
      <c r="V70" s="343" t="s">
        <v>343</v>
      </c>
      <c r="W70" s="334" t="s">
        <v>74</v>
      </c>
      <c r="X70" s="334" t="s">
        <v>11</v>
      </c>
      <c r="Y70" s="344">
        <v>41.8</v>
      </c>
      <c r="AD70" s="343"/>
      <c r="AG70" s="344"/>
      <c r="AL70" s="343"/>
      <c r="AO70" s="344"/>
      <c r="AP70" s="343"/>
      <c r="AS70" s="344"/>
      <c r="AW70" s="344"/>
      <c r="BA70" s="345"/>
    </row>
    <row r="71" spans="1:53" s="334" customFormat="1" x14ac:dyDescent="0.15">
      <c r="A71" s="386">
        <v>1986</v>
      </c>
      <c r="B71" s="445">
        <v>31717</v>
      </c>
      <c r="C71" s="812" t="s">
        <v>594</v>
      </c>
      <c r="D71" s="812"/>
      <c r="E71" s="334">
        <v>61</v>
      </c>
      <c r="F71" s="441" t="s">
        <v>340</v>
      </c>
      <c r="G71" s="419">
        <v>19</v>
      </c>
      <c r="J71" s="435">
        <v>19</v>
      </c>
      <c r="K71" s="384">
        <f t="shared" si="4"/>
        <v>100</v>
      </c>
      <c r="L71" s="384">
        <f t="shared" si="4"/>
        <v>0</v>
      </c>
      <c r="M71" s="384">
        <f t="shared" si="4"/>
        <v>0</v>
      </c>
      <c r="N71" s="421">
        <f t="shared" si="2"/>
        <v>100</v>
      </c>
      <c r="O71" s="383">
        <v>40.700000000000003</v>
      </c>
      <c r="P71" s="384"/>
      <c r="Q71" s="384"/>
      <c r="R71" s="385">
        <f t="shared" si="3"/>
        <v>40.700000000000003</v>
      </c>
      <c r="S71" s="334">
        <v>1</v>
      </c>
      <c r="T71" s="342">
        <v>31717</v>
      </c>
      <c r="V71" s="343" t="s">
        <v>343</v>
      </c>
      <c r="W71" s="334" t="s">
        <v>74</v>
      </c>
      <c r="X71" s="334" t="s">
        <v>11</v>
      </c>
      <c r="Y71" s="344">
        <v>40.700000000000003</v>
      </c>
      <c r="AD71" s="343"/>
      <c r="AG71" s="344"/>
      <c r="AL71" s="343"/>
      <c r="AO71" s="344"/>
      <c r="AP71" s="343"/>
      <c r="AS71" s="344"/>
      <c r="AW71" s="344"/>
      <c r="BA71" s="345"/>
    </row>
    <row r="72" spans="1:53" s="334" customFormat="1" x14ac:dyDescent="0.15">
      <c r="A72" s="386">
        <v>1987</v>
      </c>
      <c r="B72" s="355"/>
      <c r="C72" s="812" t="s">
        <v>594</v>
      </c>
      <c r="D72" s="812"/>
      <c r="E72" s="334">
        <v>301</v>
      </c>
      <c r="G72" s="419">
        <v>19</v>
      </c>
      <c r="J72" s="435">
        <v>19</v>
      </c>
      <c r="K72" s="384">
        <f t="shared" si="4"/>
        <v>100</v>
      </c>
      <c r="L72" s="384">
        <f t="shared" si="4"/>
        <v>0</v>
      </c>
      <c r="M72" s="384">
        <f t="shared" si="4"/>
        <v>0</v>
      </c>
      <c r="N72" s="421">
        <f t="shared" si="2"/>
        <v>100</v>
      </c>
      <c r="O72" s="383">
        <v>40.700000000000003</v>
      </c>
      <c r="P72" s="384"/>
      <c r="Q72" s="384"/>
      <c r="R72" s="385">
        <f t="shared" si="3"/>
        <v>40.700000000000003</v>
      </c>
      <c r="S72" s="334">
        <v>1</v>
      </c>
      <c r="T72" s="357"/>
      <c r="V72" s="343" t="s">
        <v>343</v>
      </c>
      <c r="W72" s="334" t="s">
        <v>74</v>
      </c>
      <c r="X72" s="334" t="s">
        <v>11</v>
      </c>
      <c r="Y72" s="344">
        <v>40.700000000000003</v>
      </c>
      <c r="AD72" s="343"/>
      <c r="AG72" s="344"/>
      <c r="AL72" s="343"/>
      <c r="AO72" s="344"/>
      <c r="AP72" s="343"/>
      <c r="AS72" s="344"/>
      <c r="AW72" s="344"/>
      <c r="BA72" s="345"/>
    </row>
    <row r="73" spans="1:53" s="334" customFormat="1" x14ac:dyDescent="0.15">
      <c r="A73" s="386">
        <v>1987</v>
      </c>
      <c r="B73" s="445">
        <v>32079</v>
      </c>
      <c r="C73" s="812" t="s">
        <v>594</v>
      </c>
      <c r="D73" s="812"/>
      <c r="E73" s="334">
        <f>365-E72</f>
        <v>64</v>
      </c>
      <c r="F73" s="441">
        <v>0</v>
      </c>
      <c r="G73" s="419">
        <v>20</v>
      </c>
      <c r="J73" s="435">
        <v>20</v>
      </c>
      <c r="K73" s="384">
        <f t="shared" si="4"/>
        <v>100</v>
      </c>
      <c r="L73" s="384">
        <f t="shared" si="4"/>
        <v>0</v>
      </c>
      <c r="M73" s="384">
        <f t="shared" si="4"/>
        <v>0</v>
      </c>
      <c r="N73" s="421">
        <f t="shared" si="2"/>
        <v>100</v>
      </c>
      <c r="O73" s="383">
        <v>40.700000000000003</v>
      </c>
      <c r="P73" s="384"/>
      <c r="Q73" s="384"/>
      <c r="R73" s="385">
        <f t="shared" si="3"/>
        <v>40.700000000000003</v>
      </c>
      <c r="S73" s="334">
        <v>1</v>
      </c>
      <c r="T73" s="357"/>
      <c r="V73" s="343" t="s">
        <v>343</v>
      </c>
      <c r="W73" s="334" t="s">
        <v>74</v>
      </c>
      <c r="X73" s="334" t="s">
        <v>11</v>
      </c>
      <c r="Y73" s="344">
        <v>40.700000000000003</v>
      </c>
      <c r="AD73" s="343"/>
      <c r="AG73" s="344"/>
      <c r="AL73" s="343"/>
      <c r="AO73" s="344"/>
      <c r="AP73" s="343"/>
      <c r="AS73" s="344"/>
      <c r="AW73" s="344"/>
      <c r="BA73" s="345"/>
    </row>
    <row r="74" spans="1:53" s="334" customFormat="1" x14ac:dyDescent="0.15">
      <c r="A74" s="386">
        <v>1988</v>
      </c>
      <c r="B74" s="355"/>
      <c r="C74" s="812" t="s">
        <v>594</v>
      </c>
      <c r="D74" s="812"/>
      <c r="E74" s="334">
        <v>312</v>
      </c>
      <c r="G74" s="419">
        <v>20</v>
      </c>
      <c r="J74" s="435">
        <v>20</v>
      </c>
      <c r="K74" s="384">
        <f t="shared" si="4"/>
        <v>100</v>
      </c>
      <c r="L74" s="384">
        <f t="shared" si="4"/>
        <v>0</v>
      </c>
      <c r="M74" s="384">
        <f t="shared" si="4"/>
        <v>0</v>
      </c>
      <c r="N74" s="421">
        <f t="shared" si="2"/>
        <v>100</v>
      </c>
      <c r="O74" s="383">
        <v>40.700000000000003</v>
      </c>
      <c r="P74" s="384"/>
      <c r="Q74" s="384"/>
      <c r="R74" s="385">
        <f t="shared" si="3"/>
        <v>40.700000000000003</v>
      </c>
      <c r="S74" s="334">
        <v>1</v>
      </c>
      <c r="T74" s="357"/>
      <c r="V74" s="343" t="s">
        <v>343</v>
      </c>
      <c r="W74" s="334" t="s">
        <v>74</v>
      </c>
      <c r="X74" s="334" t="s">
        <v>11</v>
      </c>
      <c r="Y74" s="344">
        <v>40.700000000000003</v>
      </c>
      <c r="AD74" s="343"/>
      <c r="AG74" s="344"/>
      <c r="AL74" s="343"/>
      <c r="AO74" s="344"/>
      <c r="AP74" s="343"/>
      <c r="AS74" s="344"/>
      <c r="AW74" s="344"/>
      <c r="BA74" s="345"/>
    </row>
    <row r="75" spans="1:53" s="334" customFormat="1" x14ac:dyDescent="0.15">
      <c r="A75" s="386">
        <v>1988</v>
      </c>
      <c r="B75" s="445">
        <v>32455</v>
      </c>
      <c r="C75" s="812" t="s">
        <v>594</v>
      </c>
      <c r="D75" s="812"/>
      <c r="E75" s="334">
        <v>54</v>
      </c>
      <c r="F75" s="441" t="s">
        <v>340</v>
      </c>
      <c r="G75" s="419">
        <v>20</v>
      </c>
      <c r="J75" s="435">
        <v>20</v>
      </c>
      <c r="K75" s="384">
        <f t="shared" si="4"/>
        <v>100</v>
      </c>
      <c r="L75" s="384">
        <f t="shared" si="4"/>
        <v>0</v>
      </c>
      <c r="M75" s="384">
        <f t="shared" si="4"/>
        <v>0</v>
      </c>
      <c r="N75" s="421">
        <f t="shared" si="2"/>
        <v>100</v>
      </c>
      <c r="O75" s="383">
        <v>40.200000000000003</v>
      </c>
      <c r="P75" s="384"/>
      <c r="Q75" s="384"/>
      <c r="R75" s="385">
        <f t="shared" si="3"/>
        <v>40.200000000000003</v>
      </c>
      <c r="S75" s="334">
        <v>1</v>
      </c>
      <c r="T75" s="342">
        <v>32455</v>
      </c>
      <c r="V75" s="343" t="s">
        <v>343</v>
      </c>
      <c r="W75" s="334" t="s">
        <v>74</v>
      </c>
      <c r="X75" s="334" t="s">
        <v>11</v>
      </c>
      <c r="Y75" s="344">
        <v>40.200000000000003</v>
      </c>
      <c r="AD75" s="343"/>
      <c r="AG75" s="344"/>
      <c r="AL75" s="343"/>
      <c r="AO75" s="344"/>
      <c r="AP75" s="343"/>
      <c r="AS75" s="344"/>
      <c r="AW75" s="344"/>
      <c r="BA75" s="345"/>
    </row>
    <row r="76" spans="1:53" s="334" customFormat="1" x14ac:dyDescent="0.15">
      <c r="A76" s="386">
        <v>1989</v>
      </c>
      <c r="B76" s="355"/>
      <c r="C76" s="812" t="s">
        <v>594</v>
      </c>
      <c r="D76" s="812"/>
      <c r="E76" s="334">
        <v>19</v>
      </c>
      <c r="G76" s="419">
        <v>20</v>
      </c>
      <c r="J76" s="435">
        <v>20</v>
      </c>
      <c r="K76" s="384">
        <f t="shared" si="4"/>
        <v>100</v>
      </c>
      <c r="L76" s="384">
        <f t="shared" si="4"/>
        <v>0</v>
      </c>
      <c r="M76" s="384">
        <f t="shared" si="4"/>
        <v>0</v>
      </c>
      <c r="N76" s="421">
        <f t="shared" ref="N76:N119" si="5">K76+L76+M76</f>
        <v>100</v>
      </c>
      <c r="O76" s="383">
        <v>40.200000000000003</v>
      </c>
      <c r="P76" s="384"/>
      <c r="Q76" s="384"/>
      <c r="R76" s="385">
        <f t="shared" ref="R76:R126" si="6">O76+P76+Q76</f>
        <v>40.200000000000003</v>
      </c>
      <c r="S76" s="334">
        <v>1</v>
      </c>
      <c r="T76" s="357"/>
      <c r="V76" s="343" t="s">
        <v>343</v>
      </c>
      <c r="W76" s="334" t="s">
        <v>74</v>
      </c>
      <c r="X76" s="334" t="s">
        <v>11</v>
      </c>
      <c r="Y76" s="344">
        <v>40.200000000000003</v>
      </c>
      <c r="AD76" s="343"/>
      <c r="AG76" s="344"/>
      <c r="AL76" s="343"/>
      <c r="AO76" s="344"/>
      <c r="AP76" s="343"/>
      <c r="AS76" s="344"/>
      <c r="AW76" s="344"/>
      <c r="BA76" s="345"/>
    </row>
    <row r="77" spans="1:53" s="212" customFormat="1" ht="9" customHeight="1" x14ac:dyDescent="0.15">
      <c r="A77" s="162">
        <v>1989</v>
      </c>
      <c r="B77" s="210">
        <v>32528</v>
      </c>
      <c r="C77" s="845" t="s">
        <v>1287</v>
      </c>
      <c r="D77" s="845"/>
      <c r="E77" s="212">
        <f xml:space="preserve"> 365-E76</f>
        <v>346</v>
      </c>
      <c r="F77" s="212">
        <v>1</v>
      </c>
      <c r="G77" s="138">
        <v>16</v>
      </c>
      <c r="J77" s="139">
        <v>16</v>
      </c>
      <c r="K77" s="140">
        <f t="shared" si="4"/>
        <v>100</v>
      </c>
      <c r="L77" s="140">
        <f t="shared" si="4"/>
        <v>0</v>
      </c>
      <c r="M77" s="140">
        <f t="shared" si="4"/>
        <v>0</v>
      </c>
      <c r="N77" s="141">
        <f t="shared" si="5"/>
        <v>100</v>
      </c>
      <c r="O77" s="142">
        <v>40.200000000000003</v>
      </c>
      <c r="P77" s="140"/>
      <c r="Q77" s="140"/>
      <c r="R77" s="143">
        <f t="shared" si="6"/>
        <v>40.200000000000003</v>
      </c>
      <c r="S77" s="212">
        <v>1</v>
      </c>
      <c r="T77" s="221"/>
      <c r="U77" s="210">
        <v>32528</v>
      </c>
      <c r="V77" s="146" t="s">
        <v>343</v>
      </c>
      <c r="W77" s="212" t="s">
        <v>74</v>
      </c>
      <c r="X77" s="212" t="s">
        <v>11</v>
      </c>
      <c r="Y77" s="147">
        <v>40.200000000000003</v>
      </c>
      <c r="AD77" s="146"/>
      <c r="AG77" s="147"/>
      <c r="AL77" s="146"/>
      <c r="AO77" s="147"/>
      <c r="AP77" s="146"/>
      <c r="AS77" s="147"/>
      <c r="AW77" s="147"/>
      <c r="BA77" s="148"/>
    </row>
    <row r="78" spans="1:53" s="208" customFormat="1" x14ac:dyDescent="0.15">
      <c r="A78" s="208">
        <v>1990</v>
      </c>
      <c r="C78" s="811" t="s">
        <v>1287</v>
      </c>
      <c r="D78" s="811"/>
      <c r="E78" s="208">
        <v>305</v>
      </c>
      <c r="G78" s="123">
        <v>16</v>
      </c>
      <c r="J78" s="134">
        <v>16</v>
      </c>
      <c r="K78" s="92">
        <f t="shared" si="4"/>
        <v>100</v>
      </c>
      <c r="L78" s="92">
        <f t="shared" si="4"/>
        <v>0</v>
      </c>
      <c r="M78" s="92">
        <f t="shared" si="4"/>
        <v>0</v>
      </c>
      <c r="N78" s="125">
        <f t="shared" si="5"/>
        <v>100</v>
      </c>
      <c r="O78" s="91">
        <v>40.200000000000003</v>
      </c>
      <c r="P78" s="92"/>
      <c r="Q78" s="92"/>
      <c r="R78" s="93">
        <f t="shared" si="6"/>
        <v>40.200000000000003</v>
      </c>
      <c r="S78" s="208">
        <v>1</v>
      </c>
      <c r="T78" s="81"/>
      <c r="V78" s="82" t="s">
        <v>343</v>
      </c>
      <c r="W78" s="208" t="s">
        <v>74</v>
      </c>
      <c r="X78" s="208" t="s">
        <v>11</v>
      </c>
      <c r="Y78" s="83">
        <v>40.200000000000003</v>
      </c>
      <c r="AD78" s="82"/>
      <c r="AG78" s="83"/>
      <c r="AL78" s="82"/>
      <c r="AO78" s="83"/>
      <c r="AP78" s="82"/>
      <c r="AS78" s="83"/>
      <c r="AW78" s="83"/>
      <c r="BA78" s="84"/>
    </row>
    <row r="79" spans="1:53" s="208" customFormat="1" x14ac:dyDescent="0.15">
      <c r="A79" s="208">
        <v>1990</v>
      </c>
      <c r="B79" s="149">
        <v>33183</v>
      </c>
      <c r="C79" s="811" t="s">
        <v>1287</v>
      </c>
      <c r="D79" s="811"/>
      <c r="E79" s="208">
        <f>365-E78</f>
        <v>60</v>
      </c>
      <c r="F79" s="150" t="s">
        <v>340</v>
      </c>
      <c r="G79" s="123">
        <v>16</v>
      </c>
      <c r="J79" s="134">
        <v>16</v>
      </c>
      <c r="K79" s="92">
        <f t="shared" si="4"/>
        <v>100</v>
      </c>
      <c r="L79" s="92">
        <f t="shared" si="4"/>
        <v>0</v>
      </c>
      <c r="M79" s="92">
        <f t="shared" si="4"/>
        <v>0</v>
      </c>
      <c r="N79" s="125">
        <f t="shared" si="5"/>
        <v>100</v>
      </c>
      <c r="O79" s="91">
        <v>38.4</v>
      </c>
      <c r="P79" s="92"/>
      <c r="Q79" s="92"/>
      <c r="R79" s="93">
        <f t="shared" si="6"/>
        <v>38.4</v>
      </c>
      <c r="S79" s="208">
        <v>1</v>
      </c>
      <c r="T79" s="95">
        <v>33183</v>
      </c>
      <c r="V79" s="82" t="s">
        <v>343</v>
      </c>
      <c r="W79" s="208" t="s">
        <v>74</v>
      </c>
      <c r="X79" s="208" t="s">
        <v>11</v>
      </c>
      <c r="Y79" s="83">
        <v>38.4</v>
      </c>
      <c r="AD79" s="82"/>
      <c r="AG79" s="83"/>
      <c r="AL79" s="82"/>
      <c r="AO79" s="83"/>
      <c r="AP79" s="82"/>
      <c r="AS79" s="83"/>
      <c r="AW79" s="83"/>
      <c r="BA79" s="84"/>
    </row>
    <row r="80" spans="1:53" s="208" customFormat="1" x14ac:dyDescent="0.15">
      <c r="A80" s="208">
        <v>1991</v>
      </c>
      <c r="C80" s="811" t="s">
        <v>1287</v>
      </c>
      <c r="D80" s="811"/>
      <c r="E80" s="208">
        <v>0</v>
      </c>
      <c r="G80" s="123">
        <v>16</v>
      </c>
      <c r="J80" s="134">
        <v>16</v>
      </c>
      <c r="K80" s="92">
        <f t="shared" si="4"/>
        <v>100</v>
      </c>
      <c r="L80" s="92">
        <f t="shared" si="4"/>
        <v>0</v>
      </c>
      <c r="M80" s="92">
        <f t="shared" si="4"/>
        <v>0</v>
      </c>
      <c r="N80" s="125">
        <f t="shared" si="5"/>
        <v>100</v>
      </c>
      <c r="O80" s="91">
        <v>38.4</v>
      </c>
      <c r="P80" s="92"/>
      <c r="Q80" s="92"/>
      <c r="R80" s="93">
        <f t="shared" si="6"/>
        <v>38.4</v>
      </c>
      <c r="S80" s="208">
        <v>1</v>
      </c>
      <c r="T80" s="81"/>
      <c r="V80" s="82" t="s">
        <v>343</v>
      </c>
      <c r="W80" s="208" t="s">
        <v>74</v>
      </c>
      <c r="X80" s="208" t="s">
        <v>11</v>
      </c>
      <c r="Y80" s="83">
        <v>38.4</v>
      </c>
      <c r="AD80" s="82"/>
      <c r="AG80" s="83"/>
      <c r="AL80" s="82"/>
      <c r="AO80" s="83"/>
      <c r="AP80" s="82"/>
      <c r="AS80" s="83"/>
      <c r="AW80" s="83"/>
      <c r="BA80" s="84"/>
    </row>
    <row r="81" spans="1:53" s="208" customFormat="1" x14ac:dyDescent="0.15">
      <c r="A81" s="208">
        <v>1991</v>
      </c>
      <c r="C81" s="811" t="s">
        <v>1287</v>
      </c>
      <c r="D81" s="811"/>
      <c r="E81" s="208">
        <f>365-E80</f>
        <v>365</v>
      </c>
      <c r="G81" s="123">
        <v>16</v>
      </c>
      <c r="J81" s="134">
        <v>16</v>
      </c>
      <c r="K81" s="92">
        <f t="shared" si="4"/>
        <v>100</v>
      </c>
      <c r="L81" s="92">
        <f t="shared" si="4"/>
        <v>0</v>
      </c>
      <c r="M81" s="92">
        <f t="shared" si="4"/>
        <v>0</v>
      </c>
      <c r="N81" s="125">
        <f t="shared" si="5"/>
        <v>100</v>
      </c>
      <c r="O81" s="91">
        <v>38.4</v>
      </c>
      <c r="P81" s="92"/>
      <c r="Q81" s="92"/>
      <c r="R81" s="93">
        <f t="shared" si="6"/>
        <v>38.4</v>
      </c>
      <c r="S81" s="208">
        <v>1</v>
      </c>
      <c r="T81" s="81"/>
      <c r="V81" s="82" t="s">
        <v>343</v>
      </c>
      <c r="W81" s="208" t="s">
        <v>74</v>
      </c>
      <c r="X81" s="208" t="s">
        <v>11</v>
      </c>
      <c r="Y81" s="83">
        <v>38.4</v>
      </c>
      <c r="AD81" s="82"/>
      <c r="AG81" s="83"/>
      <c r="AL81" s="82"/>
      <c r="AO81" s="83"/>
      <c r="AP81" s="82"/>
      <c r="AS81" s="83"/>
      <c r="AW81" s="83"/>
      <c r="BA81" s="84"/>
    </row>
    <row r="82" spans="1:53" s="208" customFormat="1" x14ac:dyDescent="0.15">
      <c r="A82" s="208">
        <v>1992</v>
      </c>
      <c r="C82" s="811" t="s">
        <v>1287</v>
      </c>
      <c r="D82" s="811"/>
      <c r="E82" s="208">
        <v>307</v>
      </c>
      <c r="G82" s="123">
        <v>16</v>
      </c>
      <c r="J82" s="134">
        <v>16</v>
      </c>
      <c r="K82" s="92">
        <f t="shared" si="4"/>
        <v>100</v>
      </c>
      <c r="L82" s="92">
        <f t="shared" si="4"/>
        <v>0</v>
      </c>
      <c r="M82" s="92">
        <f t="shared" si="4"/>
        <v>0</v>
      </c>
      <c r="N82" s="125">
        <f t="shared" si="5"/>
        <v>100</v>
      </c>
      <c r="O82" s="91">
        <v>38.4</v>
      </c>
      <c r="P82" s="92"/>
      <c r="Q82" s="92"/>
      <c r="R82" s="93">
        <f t="shared" si="6"/>
        <v>38.4</v>
      </c>
      <c r="S82" s="208">
        <v>1</v>
      </c>
      <c r="T82" s="81"/>
      <c r="V82" s="82" t="s">
        <v>343</v>
      </c>
      <c r="W82" s="208" t="s">
        <v>74</v>
      </c>
      <c r="X82" s="208" t="s">
        <v>11</v>
      </c>
      <c r="Y82" s="83">
        <v>38.4</v>
      </c>
      <c r="AD82" s="82"/>
      <c r="AG82" s="83"/>
      <c r="AL82" s="82"/>
      <c r="AO82" s="83"/>
      <c r="AP82" s="82"/>
      <c r="AS82" s="83"/>
      <c r="AW82" s="83"/>
      <c r="BA82" s="84"/>
    </row>
    <row r="83" spans="1:53" s="208" customFormat="1" x14ac:dyDescent="0.15">
      <c r="A83" s="208">
        <v>1992</v>
      </c>
      <c r="B83" s="149">
        <v>33911</v>
      </c>
      <c r="C83" s="811" t="s">
        <v>1287</v>
      </c>
      <c r="D83" s="811"/>
      <c r="E83" s="208">
        <v>59</v>
      </c>
      <c r="F83" s="150" t="s">
        <v>340</v>
      </c>
      <c r="G83" s="123">
        <v>16</v>
      </c>
      <c r="J83" s="134">
        <v>16</v>
      </c>
      <c r="K83" s="92">
        <f t="shared" si="4"/>
        <v>100</v>
      </c>
      <c r="L83" s="92">
        <f t="shared" si="4"/>
        <v>0</v>
      </c>
      <c r="M83" s="92">
        <f t="shared" si="4"/>
        <v>0</v>
      </c>
      <c r="N83" s="125">
        <f t="shared" si="5"/>
        <v>100</v>
      </c>
      <c r="O83" s="91">
        <v>40.5</v>
      </c>
      <c r="P83" s="92"/>
      <c r="Q83" s="92"/>
      <c r="R83" s="93">
        <f t="shared" si="6"/>
        <v>40.5</v>
      </c>
      <c r="S83" s="208">
        <v>1</v>
      </c>
      <c r="T83" s="95">
        <v>33911</v>
      </c>
      <c r="V83" s="82" t="s">
        <v>343</v>
      </c>
      <c r="W83" s="208" t="s">
        <v>74</v>
      </c>
      <c r="X83" s="208" t="s">
        <v>11</v>
      </c>
      <c r="Y83" s="83">
        <v>40.5</v>
      </c>
      <c r="AD83" s="82"/>
      <c r="AG83" s="83"/>
      <c r="AL83" s="82"/>
      <c r="AO83" s="83"/>
      <c r="AP83" s="82"/>
      <c r="AS83" s="83"/>
      <c r="AW83" s="83"/>
      <c r="BA83" s="84"/>
    </row>
    <row r="84" spans="1:53" s="208" customFormat="1" x14ac:dyDescent="0.15">
      <c r="A84" s="208">
        <v>1993</v>
      </c>
      <c r="C84" s="811" t="s">
        <v>1287</v>
      </c>
      <c r="D84" s="811"/>
      <c r="E84" s="208">
        <v>19</v>
      </c>
      <c r="G84" s="123">
        <v>16</v>
      </c>
      <c r="J84" s="134">
        <v>16</v>
      </c>
      <c r="K84" s="92">
        <f t="shared" si="4"/>
        <v>100</v>
      </c>
      <c r="L84" s="92">
        <f t="shared" si="4"/>
        <v>0</v>
      </c>
      <c r="M84" s="92">
        <f t="shared" si="4"/>
        <v>0</v>
      </c>
      <c r="N84" s="125">
        <f t="shared" si="5"/>
        <v>100</v>
      </c>
      <c r="O84" s="91">
        <v>40.5</v>
      </c>
      <c r="P84" s="92"/>
      <c r="Q84" s="92"/>
      <c r="R84" s="93">
        <f t="shared" si="6"/>
        <v>40.5</v>
      </c>
      <c r="S84" s="208">
        <v>1</v>
      </c>
      <c r="T84" s="81"/>
      <c r="V84" s="82" t="s">
        <v>343</v>
      </c>
      <c r="W84" s="208" t="s">
        <v>74</v>
      </c>
      <c r="X84" s="208" t="s">
        <v>11</v>
      </c>
      <c r="Y84" s="83">
        <v>40.5</v>
      </c>
      <c r="AD84" s="82"/>
      <c r="AG84" s="83"/>
      <c r="AL84" s="82"/>
      <c r="AO84" s="83"/>
      <c r="AP84" s="82"/>
      <c r="AS84" s="83"/>
      <c r="AW84" s="83"/>
      <c r="BA84" s="84"/>
    </row>
    <row r="85" spans="1:53" s="334" customFormat="1" x14ac:dyDescent="0.15">
      <c r="A85" s="334">
        <v>1993</v>
      </c>
      <c r="B85" s="355">
        <v>33989</v>
      </c>
      <c r="C85" s="812" t="s">
        <v>595</v>
      </c>
      <c r="D85" s="812"/>
      <c r="E85" s="334">
        <f>365-E84</f>
        <v>346</v>
      </c>
      <c r="F85" s="334">
        <v>1</v>
      </c>
      <c r="G85" s="419"/>
      <c r="H85" s="334">
        <v>18</v>
      </c>
      <c r="J85" s="435">
        <v>18</v>
      </c>
      <c r="K85" s="384">
        <f t="shared" si="4"/>
        <v>0</v>
      </c>
      <c r="L85" s="384">
        <f t="shared" si="4"/>
        <v>100</v>
      </c>
      <c r="M85" s="384">
        <f t="shared" si="4"/>
        <v>0</v>
      </c>
      <c r="N85" s="421">
        <f t="shared" si="5"/>
        <v>100</v>
      </c>
      <c r="O85" s="383"/>
      <c r="P85" s="384">
        <v>59.3</v>
      </c>
      <c r="Q85" s="384"/>
      <c r="R85" s="385">
        <f t="shared" si="6"/>
        <v>59.3</v>
      </c>
      <c r="S85" s="334">
        <v>1</v>
      </c>
      <c r="T85" s="357"/>
      <c r="U85" s="355">
        <v>33989</v>
      </c>
      <c r="V85" s="343" t="s">
        <v>131</v>
      </c>
      <c r="W85" s="334" t="s">
        <v>22</v>
      </c>
      <c r="X85" s="334" t="s">
        <v>18</v>
      </c>
      <c r="Y85" s="344">
        <v>59.3</v>
      </c>
      <c r="AD85" s="343"/>
      <c r="AG85" s="344"/>
      <c r="AL85" s="343"/>
      <c r="AO85" s="344"/>
      <c r="AP85" s="343"/>
      <c r="AS85" s="344"/>
      <c r="AW85" s="344"/>
      <c r="BA85" s="345"/>
    </row>
    <row r="86" spans="1:53" s="334" customFormat="1" x14ac:dyDescent="0.15">
      <c r="A86" s="334">
        <v>1994</v>
      </c>
      <c r="C86" s="812" t="s">
        <v>595</v>
      </c>
      <c r="D86" s="812"/>
      <c r="E86" s="334">
        <v>311</v>
      </c>
      <c r="G86" s="419"/>
      <c r="H86" s="334">
        <v>18</v>
      </c>
      <c r="J86" s="435">
        <v>18</v>
      </c>
      <c r="K86" s="384">
        <f t="shared" si="4"/>
        <v>0</v>
      </c>
      <c r="L86" s="384">
        <f t="shared" si="4"/>
        <v>100</v>
      </c>
      <c r="M86" s="384">
        <f t="shared" si="4"/>
        <v>0</v>
      </c>
      <c r="N86" s="421">
        <f t="shared" si="5"/>
        <v>100</v>
      </c>
      <c r="O86" s="383"/>
      <c r="P86" s="384">
        <v>59.3</v>
      </c>
      <c r="Q86" s="384"/>
      <c r="R86" s="385">
        <f t="shared" si="6"/>
        <v>59.3</v>
      </c>
      <c r="S86" s="334">
        <v>1</v>
      </c>
      <c r="T86" s="357"/>
      <c r="V86" s="343" t="s">
        <v>131</v>
      </c>
      <c r="W86" s="334" t="s">
        <v>22</v>
      </c>
      <c r="X86" s="334" t="s">
        <v>18</v>
      </c>
      <c r="Y86" s="344">
        <v>59.3</v>
      </c>
      <c r="AD86" s="343"/>
      <c r="AG86" s="344"/>
      <c r="AL86" s="343"/>
      <c r="AO86" s="344"/>
      <c r="AP86" s="343"/>
      <c r="AS86" s="344"/>
      <c r="AW86" s="344"/>
      <c r="BA86" s="345"/>
    </row>
    <row r="87" spans="1:53" s="334" customFormat="1" x14ac:dyDescent="0.15">
      <c r="A87" s="334">
        <v>1994</v>
      </c>
      <c r="B87" s="445">
        <v>34646</v>
      </c>
      <c r="C87" s="812" t="s">
        <v>595</v>
      </c>
      <c r="D87" s="812"/>
      <c r="E87" s="334">
        <f>365-E86</f>
        <v>54</v>
      </c>
      <c r="F87" s="441" t="s">
        <v>340</v>
      </c>
      <c r="G87" s="419"/>
      <c r="H87" s="334">
        <v>18</v>
      </c>
      <c r="J87" s="435">
        <v>18</v>
      </c>
      <c r="K87" s="384">
        <f t="shared" si="4"/>
        <v>0</v>
      </c>
      <c r="L87" s="384">
        <f t="shared" si="4"/>
        <v>100</v>
      </c>
      <c r="M87" s="384">
        <f t="shared" si="4"/>
        <v>0</v>
      </c>
      <c r="N87" s="421">
        <f t="shared" si="5"/>
        <v>100</v>
      </c>
      <c r="O87" s="383"/>
      <c r="P87" s="384">
        <v>46.9</v>
      </c>
      <c r="Q87" s="384"/>
      <c r="R87" s="385">
        <f t="shared" si="6"/>
        <v>46.9</v>
      </c>
      <c r="S87" s="334">
        <v>1</v>
      </c>
      <c r="T87" s="342">
        <v>34646</v>
      </c>
      <c r="V87" s="343" t="s">
        <v>131</v>
      </c>
      <c r="W87" s="334" t="s">
        <v>22</v>
      </c>
      <c r="X87" s="334" t="s">
        <v>18</v>
      </c>
      <c r="Y87" s="344">
        <v>46.9</v>
      </c>
      <c r="AD87" s="343"/>
      <c r="AG87" s="344"/>
      <c r="AL87" s="343"/>
      <c r="AO87" s="344"/>
      <c r="AP87" s="343"/>
      <c r="AS87" s="344"/>
      <c r="AW87" s="344"/>
      <c r="BA87" s="345"/>
    </row>
    <row r="88" spans="1:53" s="334" customFormat="1" x14ac:dyDescent="0.15">
      <c r="A88" s="334">
        <v>1995</v>
      </c>
      <c r="C88" s="812" t="s">
        <v>595</v>
      </c>
      <c r="D88" s="812"/>
      <c r="E88" s="334">
        <v>0</v>
      </c>
      <c r="G88" s="419"/>
      <c r="H88" s="334">
        <v>18</v>
      </c>
      <c r="J88" s="435">
        <v>18</v>
      </c>
      <c r="K88" s="384">
        <f t="shared" si="4"/>
        <v>0</v>
      </c>
      <c r="L88" s="384">
        <f t="shared" si="4"/>
        <v>100</v>
      </c>
      <c r="M88" s="384">
        <f t="shared" si="4"/>
        <v>0</v>
      </c>
      <c r="N88" s="421">
        <f t="shared" si="5"/>
        <v>100</v>
      </c>
      <c r="O88" s="383"/>
      <c r="P88" s="384">
        <v>46.9</v>
      </c>
      <c r="Q88" s="384"/>
      <c r="R88" s="385">
        <f t="shared" si="6"/>
        <v>46.9</v>
      </c>
      <c r="S88" s="334">
        <v>1</v>
      </c>
      <c r="T88" s="357"/>
      <c r="V88" s="343" t="s">
        <v>131</v>
      </c>
      <c r="W88" s="334" t="s">
        <v>22</v>
      </c>
      <c r="X88" s="334" t="s">
        <v>18</v>
      </c>
      <c r="Y88" s="344">
        <v>46.9</v>
      </c>
      <c r="AD88" s="343"/>
      <c r="AG88" s="344"/>
      <c r="AL88" s="343"/>
      <c r="AO88" s="344"/>
      <c r="AP88" s="343"/>
      <c r="AS88" s="344"/>
      <c r="AW88" s="344"/>
      <c r="BA88" s="345"/>
    </row>
    <row r="89" spans="1:53" s="334" customFormat="1" x14ac:dyDescent="0.15">
      <c r="A89" s="334">
        <v>1995</v>
      </c>
      <c r="C89" s="812" t="s">
        <v>595</v>
      </c>
      <c r="D89" s="812"/>
      <c r="E89" s="334">
        <f>365-E88</f>
        <v>365</v>
      </c>
      <c r="G89" s="419"/>
      <c r="H89" s="334">
        <v>18</v>
      </c>
      <c r="J89" s="435">
        <v>18</v>
      </c>
      <c r="K89" s="384">
        <f t="shared" si="4"/>
        <v>0</v>
      </c>
      <c r="L89" s="384">
        <f t="shared" si="4"/>
        <v>100</v>
      </c>
      <c r="M89" s="384">
        <f t="shared" si="4"/>
        <v>0</v>
      </c>
      <c r="N89" s="421">
        <f t="shared" si="5"/>
        <v>100</v>
      </c>
      <c r="O89" s="383"/>
      <c r="P89" s="384">
        <v>46.9</v>
      </c>
      <c r="Q89" s="384"/>
      <c r="R89" s="385">
        <f t="shared" si="6"/>
        <v>46.9</v>
      </c>
      <c r="S89" s="334">
        <v>1</v>
      </c>
      <c r="T89" s="357"/>
      <c r="V89" s="343" t="s">
        <v>131</v>
      </c>
      <c r="W89" s="334" t="s">
        <v>22</v>
      </c>
      <c r="X89" s="334" t="s">
        <v>18</v>
      </c>
      <c r="Y89" s="344">
        <v>46.9</v>
      </c>
      <c r="AD89" s="343"/>
      <c r="AG89" s="344"/>
      <c r="AL89" s="343"/>
      <c r="AO89" s="344"/>
      <c r="AP89" s="343"/>
      <c r="AS89" s="344"/>
      <c r="AW89" s="344"/>
      <c r="BA89" s="345"/>
    </row>
    <row r="90" spans="1:53" s="334" customFormat="1" x14ac:dyDescent="0.15">
      <c r="A90" s="334">
        <v>1996</v>
      </c>
      <c r="C90" s="812" t="s">
        <v>595</v>
      </c>
      <c r="D90" s="812"/>
      <c r="E90" s="334">
        <v>309</v>
      </c>
      <c r="G90" s="419"/>
      <c r="H90" s="334">
        <v>18</v>
      </c>
      <c r="J90" s="435">
        <v>18</v>
      </c>
      <c r="K90" s="384">
        <f t="shared" si="4"/>
        <v>0</v>
      </c>
      <c r="L90" s="384">
        <f t="shared" si="4"/>
        <v>100</v>
      </c>
      <c r="M90" s="384">
        <f t="shared" si="4"/>
        <v>0</v>
      </c>
      <c r="N90" s="421">
        <f t="shared" si="5"/>
        <v>100</v>
      </c>
      <c r="O90" s="383"/>
      <c r="P90" s="384">
        <v>46.9</v>
      </c>
      <c r="Q90" s="384"/>
      <c r="R90" s="385">
        <f t="shared" si="6"/>
        <v>46.9</v>
      </c>
      <c r="S90" s="334">
        <v>1</v>
      </c>
      <c r="T90" s="357"/>
      <c r="V90" s="343" t="s">
        <v>131</v>
      </c>
      <c r="W90" s="334" t="s">
        <v>22</v>
      </c>
      <c r="X90" s="334" t="s">
        <v>18</v>
      </c>
      <c r="Y90" s="344">
        <v>46.9</v>
      </c>
      <c r="AD90" s="343"/>
      <c r="AG90" s="344"/>
      <c r="AL90" s="343"/>
      <c r="AO90" s="344"/>
      <c r="AP90" s="343"/>
      <c r="AS90" s="344"/>
      <c r="AW90" s="344"/>
      <c r="BA90" s="345"/>
    </row>
    <row r="91" spans="1:53" s="334" customFormat="1" x14ac:dyDescent="0.15">
      <c r="A91" s="334">
        <v>1996</v>
      </c>
      <c r="B91" s="445">
        <v>35374</v>
      </c>
      <c r="C91" s="812" t="s">
        <v>595</v>
      </c>
      <c r="D91" s="812"/>
      <c r="E91" s="334">
        <v>57</v>
      </c>
      <c r="F91" s="441" t="s">
        <v>340</v>
      </c>
      <c r="G91" s="419"/>
      <c r="H91" s="334">
        <v>18</v>
      </c>
      <c r="J91" s="435">
        <v>18</v>
      </c>
      <c r="K91" s="384">
        <f t="shared" si="4"/>
        <v>0</v>
      </c>
      <c r="L91" s="384">
        <f t="shared" si="4"/>
        <v>100</v>
      </c>
      <c r="M91" s="384">
        <f t="shared" si="4"/>
        <v>0</v>
      </c>
      <c r="N91" s="421">
        <f t="shared" si="5"/>
        <v>100</v>
      </c>
      <c r="O91" s="383"/>
      <c r="P91" s="384">
        <v>47.6</v>
      </c>
      <c r="Q91" s="384"/>
      <c r="R91" s="385">
        <f t="shared" si="6"/>
        <v>47.6</v>
      </c>
      <c r="S91" s="334">
        <v>1</v>
      </c>
      <c r="T91" s="342">
        <v>35374</v>
      </c>
      <c r="V91" s="343" t="s">
        <v>131</v>
      </c>
      <c r="W91" s="334" t="s">
        <v>22</v>
      </c>
      <c r="X91" s="334" t="s">
        <v>18</v>
      </c>
      <c r="Y91" s="344">
        <v>47.6</v>
      </c>
      <c r="AD91" s="343"/>
      <c r="AG91" s="344"/>
      <c r="AL91" s="343"/>
      <c r="AO91" s="344"/>
      <c r="AP91" s="343"/>
      <c r="AS91" s="344"/>
      <c r="AW91" s="344"/>
      <c r="BA91" s="345"/>
    </row>
    <row r="92" spans="1:53" s="334" customFormat="1" x14ac:dyDescent="0.15">
      <c r="A92" s="334">
        <v>1997</v>
      </c>
      <c r="C92" s="812" t="s">
        <v>595</v>
      </c>
      <c r="D92" s="812"/>
      <c r="E92" s="334">
        <v>19</v>
      </c>
      <c r="G92" s="419"/>
      <c r="H92" s="334">
        <v>18</v>
      </c>
      <c r="J92" s="435">
        <v>18</v>
      </c>
      <c r="K92" s="384">
        <f t="shared" si="4"/>
        <v>0</v>
      </c>
      <c r="L92" s="384">
        <f t="shared" si="4"/>
        <v>100</v>
      </c>
      <c r="M92" s="384">
        <f t="shared" si="4"/>
        <v>0</v>
      </c>
      <c r="N92" s="421">
        <f t="shared" si="5"/>
        <v>100</v>
      </c>
      <c r="O92" s="383"/>
      <c r="P92" s="384">
        <v>47.6</v>
      </c>
      <c r="Q92" s="384"/>
      <c r="R92" s="385">
        <f t="shared" si="6"/>
        <v>47.6</v>
      </c>
      <c r="S92" s="334">
        <v>1</v>
      </c>
      <c r="T92" s="357"/>
      <c r="V92" s="343" t="s">
        <v>131</v>
      </c>
      <c r="W92" s="334" t="s">
        <v>22</v>
      </c>
      <c r="X92" s="334" t="s">
        <v>18</v>
      </c>
      <c r="Y92" s="344">
        <v>47.6</v>
      </c>
      <c r="AD92" s="343"/>
      <c r="AG92" s="344"/>
      <c r="AL92" s="343"/>
      <c r="AO92" s="344"/>
      <c r="AP92" s="343"/>
      <c r="AS92" s="344"/>
      <c r="AW92" s="344"/>
      <c r="BA92" s="345"/>
    </row>
    <row r="93" spans="1:53" s="208" customFormat="1" x14ac:dyDescent="0.15">
      <c r="A93" s="208">
        <v>1997</v>
      </c>
      <c r="B93" s="207">
        <v>35450</v>
      </c>
      <c r="C93" s="811" t="s">
        <v>596</v>
      </c>
      <c r="D93" s="811"/>
      <c r="E93" s="208">
        <v>346</v>
      </c>
      <c r="F93" s="208">
        <v>1</v>
      </c>
      <c r="G93" s="123">
        <v>1</v>
      </c>
      <c r="H93" s="208">
        <v>17</v>
      </c>
      <c r="J93" s="134">
        <v>18</v>
      </c>
      <c r="K93" s="92">
        <f t="shared" si="4"/>
        <v>5.5555555555555554</v>
      </c>
      <c r="L93" s="92">
        <f t="shared" si="4"/>
        <v>94.444444444444443</v>
      </c>
      <c r="M93" s="92">
        <f t="shared" si="4"/>
        <v>0</v>
      </c>
      <c r="N93" s="125">
        <f t="shared" si="5"/>
        <v>100</v>
      </c>
      <c r="O93" s="91"/>
      <c r="P93" s="92">
        <v>47.6</v>
      </c>
      <c r="Q93" s="92"/>
      <c r="R93" s="93">
        <f t="shared" si="6"/>
        <v>47.6</v>
      </c>
      <c r="S93" s="208">
        <v>1</v>
      </c>
      <c r="T93" s="81"/>
      <c r="U93" s="207">
        <v>35450</v>
      </c>
      <c r="V93" s="82" t="s">
        <v>131</v>
      </c>
      <c r="W93" s="208" t="s">
        <v>22</v>
      </c>
      <c r="X93" s="208" t="s">
        <v>18</v>
      </c>
      <c r="Y93" s="83">
        <v>47.6</v>
      </c>
      <c r="AD93" s="82"/>
      <c r="AG93" s="83"/>
      <c r="AL93" s="82"/>
      <c r="AO93" s="83"/>
      <c r="AP93" s="82"/>
      <c r="AS93" s="83"/>
      <c r="AW93" s="83"/>
      <c r="BA93" s="84"/>
    </row>
    <row r="94" spans="1:53" s="208" customFormat="1" x14ac:dyDescent="0.15">
      <c r="A94" s="208">
        <v>1998</v>
      </c>
      <c r="C94" s="811" t="s">
        <v>596</v>
      </c>
      <c r="D94" s="811"/>
      <c r="E94" s="208">
        <v>306</v>
      </c>
      <c r="G94" s="123">
        <v>1</v>
      </c>
      <c r="H94" s="208">
        <v>17</v>
      </c>
      <c r="J94" s="134">
        <v>18</v>
      </c>
      <c r="K94" s="92">
        <f t="shared" si="4"/>
        <v>5.5555555555555554</v>
      </c>
      <c r="L94" s="92">
        <f t="shared" si="4"/>
        <v>94.444444444444443</v>
      </c>
      <c r="M94" s="92">
        <f t="shared" si="4"/>
        <v>0</v>
      </c>
      <c r="N94" s="125">
        <f t="shared" si="5"/>
        <v>100</v>
      </c>
      <c r="O94" s="91"/>
      <c r="P94" s="92">
        <v>47.6</v>
      </c>
      <c r="Q94" s="92"/>
      <c r="R94" s="93">
        <f t="shared" si="6"/>
        <v>47.6</v>
      </c>
      <c r="S94" s="208">
        <v>1</v>
      </c>
      <c r="T94" s="81"/>
      <c r="V94" s="82" t="s">
        <v>131</v>
      </c>
      <c r="W94" s="208" t="s">
        <v>22</v>
      </c>
      <c r="X94" s="208" t="s">
        <v>18</v>
      </c>
      <c r="Y94" s="83">
        <v>47.6</v>
      </c>
      <c r="Z94" s="150" t="s">
        <v>343</v>
      </c>
      <c r="AA94" s="150" t="s">
        <v>74</v>
      </c>
      <c r="AB94" s="150" t="s">
        <v>11</v>
      </c>
      <c r="AC94" s="150">
        <v>52.2</v>
      </c>
      <c r="AD94" s="82"/>
      <c r="AG94" s="83"/>
      <c r="AL94" s="82"/>
      <c r="AO94" s="83"/>
      <c r="AP94" s="82"/>
      <c r="AS94" s="83"/>
      <c r="AW94" s="83"/>
      <c r="BA94" s="84"/>
    </row>
    <row r="95" spans="1:53" s="208" customFormat="1" x14ac:dyDescent="0.15">
      <c r="A95" s="208">
        <v>1998</v>
      </c>
      <c r="B95" s="149">
        <v>36102</v>
      </c>
      <c r="C95" s="811" t="s">
        <v>596</v>
      </c>
      <c r="D95" s="811"/>
      <c r="E95" s="208">
        <v>59</v>
      </c>
      <c r="F95" s="150" t="s">
        <v>340</v>
      </c>
      <c r="G95" s="123">
        <v>1</v>
      </c>
      <c r="H95" s="208">
        <v>17</v>
      </c>
      <c r="J95" s="134">
        <v>18</v>
      </c>
      <c r="K95" s="92">
        <f t="shared" si="4"/>
        <v>5.5555555555555554</v>
      </c>
      <c r="L95" s="92">
        <f t="shared" si="4"/>
        <v>94.444444444444443</v>
      </c>
      <c r="M95" s="92">
        <f t="shared" si="4"/>
        <v>0</v>
      </c>
      <c r="N95" s="125">
        <f t="shared" si="5"/>
        <v>100</v>
      </c>
      <c r="O95" s="91"/>
      <c r="P95" s="92">
        <v>48.5</v>
      </c>
      <c r="Q95" s="92"/>
      <c r="R95" s="93">
        <f t="shared" si="6"/>
        <v>48.5</v>
      </c>
      <c r="S95" s="208">
        <v>1</v>
      </c>
      <c r="T95" s="95">
        <v>36102</v>
      </c>
      <c r="V95" s="82" t="s">
        <v>131</v>
      </c>
      <c r="W95" s="208" t="s">
        <v>22</v>
      </c>
      <c r="X95" s="208" t="s">
        <v>18</v>
      </c>
      <c r="Y95" s="83">
        <v>48.5</v>
      </c>
      <c r="Z95" s="150" t="s">
        <v>343</v>
      </c>
      <c r="AA95" s="150" t="s">
        <v>74</v>
      </c>
      <c r="AB95" s="150" t="s">
        <v>11</v>
      </c>
      <c r="AC95" s="150">
        <v>51.3</v>
      </c>
      <c r="AD95" s="82"/>
      <c r="AG95" s="83"/>
      <c r="AL95" s="82"/>
      <c r="AO95" s="83"/>
      <c r="AP95" s="82"/>
      <c r="AS95" s="83"/>
      <c r="AW95" s="83"/>
      <c r="BA95" s="84"/>
    </row>
    <row r="96" spans="1:53" s="208" customFormat="1" x14ac:dyDescent="0.15">
      <c r="A96" s="208">
        <v>1999</v>
      </c>
      <c r="B96" s="149"/>
      <c r="C96" s="811" t="s">
        <v>596</v>
      </c>
      <c r="D96" s="811"/>
      <c r="E96" s="208">
        <v>0</v>
      </c>
      <c r="G96" s="123">
        <v>1</v>
      </c>
      <c r="H96" s="208">
        <v>17</v>
      </c>
      <c r="J96" s="134">
        <v>18</v>
      </c>
      <c r="K96" s="92">
        <f t="shared" si="4"/>
        <v>5.5555555555555554</v>
      </c>
      <c r="L96" s="92">
        <f t="shared" si="4"/>
        <v>94.444444444444443</v>
      </c>
      <c r="M96" s="92">
        <f t="shared" si="4"/>
        <v>0</v>
      </c>
      <c r="N96" s="125">
        <f t="shared" si="5"/>
        <v>100</v>
      </c>
      <c r="O96" s="91"/>
      <c r="P96" s="92">
        <v>48.5</v>
      </c>
      <c r="Q96" s="92"/>
      <c r="R96" s="93">
        <f t="shared" si="6"/>
        <v>48.5</v>
      </c>
      <c r="S96" s="208">
        <v>1</v>
      </c>
      <c r="T96" s="81"/>
      <c r="V96" s="82" t="s">
        <v>131</v>
      </c>
      <c r="W96" s="208" t="s">
        <v>22</v>
      </c>
      <c r="X96" s="208" t="s">
        <v>18</v>
      </c>
      <c r="Y96" s="83">
        <v>48.5</v>
      </c>
      <c r="Z96" s="150" t="s">
        <v>343</v>
      </c>
      <c r="AA96" s="150" t="s">
        <v>74</v>
      </c>
      <c r="AB96" s="150" t="s">
        <v>11</v>
      </c>
      <c r="AC96" s="150">
        <v>51.3</v>
      </c>
      <c r="AD96" s="82"/>
      <c r="AG96" s="83"/>
      <c r="AL96" s="82"/>
      <c r="AO96" s="83"/>
      <c r="AP96" s="82"/>
      <c r="AS96" s="83"/>
      <c r="AW96" s="83"/>
      <c r="BA96" s="84"/>
    </row>
    <row r="97" spans="1:53" s="208" customFormat="1" x14ac:dyDescent="0.15">
      <c r="A97" s="208">
        <v>1999</v>
      </c>
      <c r="C97" s="811" t="s">
        <v>596</v>
      </c>
      <c r="D97" s="811"/>
      <c r="E97" s="208">
        <f>365-E96</f>
        <v>365</v>
      </c>
      <c r="G97" s="123">
        <v>1</v>
      </c>
      <c r="H97" s="208">
        <v>17</v>
      </c>
      <c r="J97" s="134">
        <v>18</v>
      </c>
      <c r="K97" s="92">
        <f t="shared" si="4"/>
        <v>5.5555555555555554</v>
      </c>
      <c r="L97" s="92">
        <f t="shared" si="4"/>
        <v>94.444444444444443</v>
      </c>
      <c r="M97" s="92">
        <f t="shared" si="4"/>
        <v>0</v>
      </c>
      <c r="N97" s="125">
        <f t="shared" si="5"/>
        <v>100</v>
      </c>
      <c r="O97" s="91"/>
      <c r="P97" s="92">
        <v>48.5</v>
      </c>
      <c r="Q97" s="92"/>
      <c r="R97" s="93">
        <f t="shared" si="6"/>
        <v>48.5</v>
      </c>
      <c r="S97" s="208">
        <v>1</v>
      </c>
      <c r="T97" s="81"/>
      <c r="V97" s="82" t="s">
        <v>131</v>
      </c>
      <c r="W97" s="208" t="s">
        <v>22</v>
      </c>
      <c r="X97" s="208" t="s">
        <v>18</v>
      </c>
      <c r="Y97" s="83">
        <v>48.5</v>
      </c>
      <c r="Z97" s="150" t="s">
        <v>343</v>
      </c>
      <c r="AA97" s="150" t="s">
        <v>74</v>
      </c>
      <c r="AB97" s="150" t="s">
        <v>11</v>
      </c>
      <c r="AC97" s="150">
        <v>51.3</v>
      </c>
      <c r="AD97" s="82"/>
      <c r="AG97" s="83"/>
      <c r="AL97" s="82"/>
      <c r="AO97" s="83"/>
      <c r="AP97" s="82"/>
      <c r="AS97" s="83"/>
      <c r="AW97" s="83"/>
      <c r="BA97" s="84"/>
    </row>
    <row r="98" spans="1:53" s="208" customFormat="1" x14ac:dyDescent="0.15">
      <c r="A98" s="208">
        <v>2000</v>
      </c>
      <c r="C98" s="811" t="s">
        <v>596</v>
      </c>
      <c r="D98" s="811"/>
      <c r="E98" s="208">
        <v>311</v>
      </c>
      <c r="G98" s="123">
        <v>1</v>
      </c>
      <c r="H98" s="208">
        <v>17</v>
      </c>
      <c r="J98" s="134">
        <v>18</v>
      </c>
      <c r="K98" s="92">
        <f t="shared" si="4"/>
        <v>5.5555555555555554</v>
      </c>
      <c r="L98" s="92">
        <f t="shared" si="4"/>
        <v>94.444444444444443</v>
      </c>
      <c r="M98" s="92">
        <f t="shared" si="4"/>
        <v>0</v>
      </c>
      <c r="N98" s="125">
        <f t="shared" si="5"/>
        <v>100</v>
      </c>
      <c r="O98" s="91"/>
      <c r="P98" s="92">
        <v>48.5</v>
      </c>
      <c r="Q98" s="92"/>
      <c r="R98" s="93">
        <f t="shared" si="6"/>
        <v>48.5</v>
      </c>
      <c r="S98" s="208">
        <v>1</v>
      </c>
      <c r="T98" s="81"/>
      <c r="V98" s="82" t="s">
        <v>131</v>
      </c>
      <c r="W98" s="208" t="s">
        <v>22</v>
      </c>
      <c r="X98" s="208" t="s">
        <v>18</v>
      </c>
      <c r="Y98" s="83">
        <v>48.5</v>
      </c>
      <c r="Z98" s="150" t="s">
        <v>343</v>
      </c>
      <c r="AA98" s="150" t="s">
        <v>74</v>
      </c>
      <c r="AB98" s="150" t="s">
        <v>11</v>
      </c>
      <c r="AC98" s="150">
        <v>51.3</v>
      </c>
      <c r="AD98" s="82"/>
      <c r="AG98" s="83"/>
      <c r="AL98" s="82"/>
      <c r="AO98" s="83"/>
      <c r="AP98" s="82"/>
      <c r="AS98" s="83"/>
      <c r="AW98" s="83"/>
      <c r="BA98" s="84"/>
    </row>
    <row r="99" spans="1:53" s="208" customFormat="1" x14ac:dyDescent="0.15">
      <c r="A99" s="208">
        <v>2000</v>
      </c>
      <c r="B99" s="149">
        <v>36837</v>
      </c>
      <c r="C99" s="811" t="s">
        <v>596</v>
      </c>
      <c r="D99" s="811"/>
      <c r="E99" s="208">
        <v>55</v>
      </c>
      <c r="F99" s="150" t="s">
        <v>340</v>
      </c>
      <c r="G99" s="123">
        <v>1</v>
      </c>
      <c r="H99" s="208">
        <v>17</v>
      </c>
      <c r="J99" s="134">
        <v>18</v>
      </c>
      <c r="K99" s="92">
        <f t="shared" si="4"/>
        <v>5.5555555555555554</v>
      </c>
      <c r="L99" s="92">
        <f t="shared" si="4"/>
        <v>94.444444444444443</v>
      </c>
      <c r="M99" s="92">
        <f t="shared" si="4"/>
        <v>0</v>
      </c>
      <c r="N99" s="125">
        <f t="shared" si="5"/>
        <v>100</v>
      </c>
      <c r="O99" s="91"/>
      <c r="P99" s="92">
        <v>48.7</v>
      </c>
      <c r="Q99" s="92"/>
      <c r="R99" s="93">
        <f t="shared" si="6"/>
        <v>48.7</v>
      </c>
      <c r="S99" s="208">
        <v>1</v>
      </c>
      <c r="T99" s="95">
        <v>36837</v>
      </c>
      <c r="V99" s="82" t="s">
        <v>131</v>
      </c>
      <c r="W99" s="208" t="s">
        <v>22</v>
      </c>
      <c r="X99" s="208" t="s">
        <v>18</v>
      </c>
      <c r="Y99" s="83">
        <v>48.7</v>
      </c>
      <c r="Z99" s="150" t="s">
        <v>343</v>
      </c>
      <c r="AA99" s="150" t="s">
        <v>74</v>
      </c>
      <c r="AB99" s="150" t="s">
        <v>11</v>
      </c>
      <c r="AC99" s="150">
        <v>50.8</v>
      </c>
      <c r="AD99" s="82"/>
      <c r="AG99" s="83"/>
      <c r="AL99" s="82"/>
      <c r="AO99" s="83"/>
      <c r="AP99" s="82"/>
      <c r="AS99" s="83"/>
      <c r="AW99" s="83"/>
      <c r="BA99" s="84"/>
    </row>
    <row r="100" spans="1:53" s="208" customFormat="1" x14ac:dyDescent="0.15">
      <c r="A100" s="208">
        <v>2001</v>
      </c>
      <c r="C100" s="811" t="s">
        <v>596</v>
      </c>
      <c r="D100" s="811"/>
      <c r="E100" s="208">
        <v>19</v>
      </c>
      <c r="G100" s="123">
        <v>1</v>
      </c>
      <c r="H100" s="208">
        <v>17</v>
      </c>
      <c r="J100" s="134">
        <v>18</v>
      </c>
      <c r="K100" s="92">
        <f t="shared" si="4"/>
        <v>5.5555555555555554</v>
      </c>
      <c r="L100" s="92">
        <f t="shared" si="4"/>
        <v>94.444444444444443</v>
      </c>
      <c r="M100" s="92">
        <f t="shared" si="4"/>
        <v>0</v>
      </c>
      <c r="N100" s="125">
        <f t="shared" si="5"/>
        <v>100</v>
      </c>
      <c r="O100" s="91"/>
      <c r="P100" s="92">
        <v>48.7</v>
      </c>
      <c r="Q100" s="92"/>
      <c r="R100" s="93">
        <f t="shared" si="6"/>
        <v>48.7</v>
      </c>
      <c r="S100" s="208">
        <v>1</v>
      </c>
      <c r="T100" s="81"/>
      <c r="V100" s="82" t="s">
        <v>131</v>
      </c>
      <c r="W100" s="208" t="s">
        <v>22</v>
      </c>
      <c r="X100" s="208" t="s">
        <v>18</v>
      </c>
      <c r="Y100" s="83">
        <v>48.7</v>
      </c>
      <c r="Z100" s="150" t="s">
        <v>343</v>
      </c>
      <c r="AA100" s="150" t="s">
        <v>74</v>
      </c>
      <c r="AB100" s="150" t="s">
        <v>11</v>
      </c>
      <c r="AC100" s="150">
        <v>50.8</v>
      </c>
      <c r="AD100" s="82"/>
      <c r="AG100" s="83"/>
      <c r="AL100" s="82"/>
      <c r="AO100" s="83"/>
      <c r="AP100" s="82"/>
      <c r="AS100" s="83"/>
      <c r="AW100" s="83"/>
      <c r="BA100" s="84"/>
    </row>
    <row r="101" spans="1:53" s="334" customFormat="1" x14ac:dyDescent="0.15">
      <c r="A101" s="334">
        <v>2001</v>
      </c>
      <c r="B101" s="355">
        <v>36911</v>
      </c>
      <c r="C101" s="812" t="s">
        <v>1285</v>
      </c>
      <c r="D101" s="812"/>
      <c r="E101" s="334">
        <f>365-E100</f>
        <v>346</v>
      </c>
      <c r="F101" s="334">
        <v>1</v>
      </c>
      <c r="G101" s="419">
        <v>17</v>
      </c>
      <c r="H101" s="334">
        <v>1</v>
      </c>
      <c r="J101" s="435">
        <v>18</v>
      </c>
      <c r="K101" s="384">
        <f t="shared" si="4"/>
        <v>94.444444444444443</v>
      </c>
      <c r="L101" s="384">
        <f t="shared" si="4"/>
        <v>5.5555555555555554</v>
      </c>
      <c r="M101" s="384">
        <f t="shared" si="4"/>
        <v>0</v>
      </c>
      <c r="N101" s="421">
        <f t="shared" si="5"/>
        <v>100</v>
      </c>
      <c r="O101" s="383">
        <v>50.8</v>
      </c>
      <c r="P101" s="384"/>
      <c r="Q101" s="384"/>
      <c r="R101" s="385">
        <f t="shared" si="6"/>
        <v>50.8</v>
      </c>
      <c r="S101" s="334">
        <v>1</v>
      </c>
      <c r="T101" s="357"/>
      <c r="U101" s="355">
        <v>36911</v>
      </c>
      <c r="V101" s="343" t="s">
        <v>343</v>
      </c>
      <c r="W101" s="334" t="s">
        <v>74</v>
      </c>
      <c r="X101" s="334" t="s">
        <v>11</v>
      </c>
      <c r="Y101" s="344">
        <v>50.8</v>
      </c>
      <c r="Z101" s="441" t="s">
        <v>131</v>
      </c>
      <c r="AA101" s="441" t="s">
        <v>22</v>
      </c>
      <c r="AB101" s="441" t="s">
        <v>18</v>
      </c>
      <c r="AC101" s="441">
        <v>48.7</v>
      </c>
      <c r="AD101" s="343"/>
      <c r="AG101" s="344"/>
      <c r="AL101" s="343"/>
      <c r="AO101" s="344"/>
      <c r="AP101" s="343"/>
      <c r="AS101" s="344"/>
      <c r="AW101" s="344"/>
      <c r="BA101" s="345"/>
    </row>
    <row r="102" spans="1:53" s="334" customFormat="1" x14ac:dyDescent="0.15">
      <c r="A102" s="334">
        <v>2002</v>
      </c>
      <c r="C102" s="812" t="s">
        <v>1285</v>
      </c>
      <c r="D102" s="812"/>
      <c r="E102" s="334">
        <v>308</v>
      </c>
      <c r="G102" s="419">
        <v>17</v>
      </c>
      <c r="H102" s="334">
        <v>1</v>
      </c>
      <c r="J102" s="435">
        <v>18</v>
      </c>
      <c r="K102" s="384">
        <f t="shared" si="4"/>
        <v>94.444444444444443</v>
      </c>
      <c r="L102" s="384">
        <f t="shared" si="4"/>
        <v>5.5555555555555554</v>
      </c>
      <c r="M102" s="384">
        <f t="shared" si="4"/>
        <v>0</v>
      </c>
      <c r="N102" s="421">
        <f t="shared" si="5"/>
        <v>100</v>
      </c>
      <c r="O102" s="383">
        <v>50.8</v>
      </c>
      <c r="P102" s="384"/>
      <c r="Q102" s="384"/>
      <c r="R102" s="385">
        <f t="shared" si="6"/>
        <v>50.8</v>
      </c>
      <c r="S102" s="334">
        <v>1</v>
      </c>
      <c r="T102" s="357"/>
      <c r="V102" s="343" t="s">
        <v>343</v>
      </c>
      <c r="W102" s="334" t="s">
        <v>74</v>
      </c>
      <c r="X102" s="334" t="s">
        <v>11</v>
      </c>
      <c r="Y102" s="344">
        <v>50.8</v>
      </c>
      <c r="Z102" s="441" t="s">
        <v>131</v>
      </c>
      <c r="AA102" s="441" t="s">
        <v>22</v>
      </c>
      <c r="AB102" s="441" t="s">
        <v>18</v>
      </c>
      <c r="AC102" s="441">
        <v>48.7</v>
      </c>
      <c r="AD102" s="343"/>
      <c r="AG102" s="344"/>
      <c r="AL102" s="343"/>
      <c r="AO102" s="344"/>
      <c r="AP102" s="343"/>
      <c r="AS102" s="344"/>
      <c r="AW102" s="344"/>
      <c r="BA102" s="345"/>
    </row>
    <row r="103" spans="1:53" s="334" customFormat="1" x14ac:dyDescent="0.15">
      <c r="A103" s="334">
        <v>2002</v>
      </c>
      <c r="B103" s="445">
        <v>37565</v>
      </c>
      <c r="C103" s="812" t="s">
        <v>1285</v>
      </c>
      <c r="D103" s="812"/>
      <c r="E103" s="334">
        <f>365-E102</f>
        <v>57</v>
      </c>
      <c r="F103" s="441" t="s">
        <v>340</v>
      </c>
      <c r="G103" s="419">
        <v>17</v>
      </c>
      <c r="H103" s="334">
        <v>1</v>
      </c>
      <c r="J103" s="435">
        <v>18</v>
      </c>
      <c r="K103" s="384">
        <f t="shared" si="4"/>
        <v>94.444444444444443</v>
      </c>
      <c r="L103" s="384">
        <f t="shared" si="4"/>
        <v>5.5555555555555554</v>
      </c>
      <c r="M103" s="384">
        <f t="shared" si="4"/>
        <v>0</v>
      </c>
      <c r="N103" s="421">
        <f t="shared" si="5"/>
        <v>100</v>
      </c>
      <c r="O103" s="383">
        <v>52.6</v>
      </c>
      <c r="P103" s="384"/>
      <c r="Q103" s="384"/>
      <c r="R103" s="385">
        <f t="shared" si="6"/>
        <v>52.6</v>
      </c>
      <c r="S103" s="334">
        <v>1</v>
      </c>
      <c r="T103" s="342">
        <v>37565</v>
      </c>
      <c r="V103" s="343" t="s">
        <v>343</v>
      </c>
      <c r="W103" s="334" t="s">
        <v>74</v>
      </c>
      <c r="X103" s="334" t="s">
        <v>11</v>
      </c>
      <c r="Y103" s="344">
        <v>52.6</v>
      </c>
      <c r="Z103" s="441" t="s">
        <v>131</v>
      </c>
      <c r="AA103" s="441" t="s">
        <v>22</v>
      </c>
      <c r="AB103" s="441" t="s">
        <v>18</v>
      </c>
      <c r="AC103" s="441">
        <v>47.1</v>
      </c>
      <c r="AD103" s="343"/>
      <c r="AG103" s="344"/>
      <c r="AL103" s="343"/>
      <c r="AO103" s="344"/>
      <c r="AP103" s="343"/>
      <c r="AS103" s="344"/>
      <c r="AW103" s="344"/>
      <c r="BA103" s="345"/>
    </row>
    <row r="104" spans="1:53" s="334" customFormat="1" x14ac:dyDescent="0.15">
      <c r="A104" s="334">
        <v>2003</v>
      </c>
      <c r="C104" s="812" t="s">
        <v>1285</v>
      </c>
      <c r="D104" s="812"/>
      <c r="E104" s="334">
        <v>21</v>
      </c>
      <c r="G104" s="419">
        <v>17</v>
      </c>
      <c r="H104" s="334">
        <v>1</v>
      </c>
      <c r="J104" s="435">
        <v>18</v>
      </c>
      <c r="K104" s="384">
        <f t="shared" si="4"/>
        <v>94.444444444444443</v>
      </c>
      <c r="L104" s="384">
        <f t="shared" si="4"/>
        <v>5.5555555555555554</v>
      </c>
      <c r="M104" s="384">
        <f t="shared" si="4"/>
        <v>0</v>
      </c>
      <c r="N104" s="421">
        <f t="shared" si="5"/>
        <v>100</v>
      </c>
      <c r="O104" s="383">
        <v>52.6</v>
      </c>
      <c r="P104" s="384"/>
      <c r="Q104" s="384"/>
      <c r="R104" s="385">
        <f t="shared" si="6"/>
        <v>52.6</v>
      </c>
      <c r="S104" s="334">
        <v>1</v>
      </c>
      <c r="T104" s="357"/>
      <c r="V104" s="343" t="s">
        <v>343</v>
      </c>
      <c r="W104" s="334" t="s">
        <v>74</v>
      </c>
      <c r="X104" s="334" t="s">
        <v>11</v>
      </c>
      <c r="Y104" s="344">
        <v>52.6</v>
      </c>
      <c r="Z104" s="441" t="s">
        <v>131</v>
      </c>
      <c r="AA104" s="441" t="s">
        <v>22</v>
      </c>
      <c r="AB104" s="441" t="s">
        <v>18</v>
      </c>
      <c r="AC104" s="441">
        <v>47.1</v>
      </c>
      <c r="AD104" s="343"/>
      <c r="AG104" s="344"/>
      <c r="AL104" s="343"/>
      <c r="AO104" s="344"/>
      <c r="AP104" s="343"/>
      <c r="AS104" s="344"/>
      <c r="AW104" s="344"/>
      <c r="BA104" s="345"/>
    </row>
    <row r="105" spans="1:53" s="334" customFormat="1" x14ac:dyDescent="0.15">
      <c r="A105" s="334">
        <v>2003</v>
      </c>
      <c r="B105" s="445">
        <v>37643</v>
      </c>
      <c r="C105" s="812" t="s">
        <v>1285</v>
      </c>
      <c r="D105" s="812"/>
      <c r="E105" s="334">
        <f>365-E104</f>
        <v>344</v>
      </c>
      <c r="F105" s="441">
        <v>0</v>
      </c>
      <c r="G105" s="419">
        <v>18</v>
      </c>
      <c r="H105" s="334">
        <v>1</v>
      </c>
      <c r="J105" s="435">
        <v>19</v>
      </c>
      <c r="K105" s="384">
        <f t="shared" si="4"/>
        <v>94.73684210526315</v>
      </c>
      <c r="L105" s="384">
        <f t="shared" si="4"/>
        <v>5.2631578947368416</v>
      </c>
      <c r="M105" s="384">
        <f t="shared" si="4"/>
        <v>0</v>
      </c>
      <c r="N105" s="421">
        <f t="shared" si="5"/>
        <v>99.999999999999986</v>
      </c>
      <c r="O105" s="383">
        <v>52.6</v>
      </c>
      <c r="P105" s="384"/>
      <c r="Q105" s="384"/>
      <c r="R105" s="385">
        <f t="shared" si="6"/>
        <v>52.6</v>
      </c>
      <c r="S105" s="334">
        <v>1</v>
      </c>
      <c r="T105" s="357"/>
      <c r="V105" s="343" t="s">
        <v>343</v>
      </c>
      <c r="W105" s="334" t="s">
        <v>74</v>
      </c>
      <c r="X105" s="334" t="s">
        <v>11</v>
      </c>
      <c r="Y105" s="344">
        <v>52.6</v>
      </c>
      <c r="Z105" s="441" t="s">
        <v>131</v>
      </c>
      <c r="AA105" s="441" t="s">
        <v>22</v>
      </c>
      <c r="AB105" s="441" t="s">
        <v>18</v>
      </c>
      <c r="AC105" s="441">
        <v>47.1</v>
      </c>
      <c r="AD105" s="343"/>
      <c r="AG105" s="344"/>
      <c r="AL105" s="343"/>
      <c r="AO105" s="344"/>
      <c r="AP105" s="343"/>
      <c r="AS105" s="344"/>
      <c r="AW105" s="344"/>
      <c r="BA105" s="345"/>
    </row>
    <row r="106" spans="1:53" s="334" customFormat="1" x14ac:dyDescent="0.15">
      <c r="A106" s="334">
        <v>2004</v>
      </c>
      <c r="C106" s="812" t="s">
        <v>1285</v>
      </c>
      <c r="D106" s="812"/>
      <c r="E106" s="334">
        <v>306</v>
      </c>
      <c r="G106" s="419">
        <v>18</v>
      </c>
      <c r="H106" s="334">
        <v>1</v>
      </c>
      <c r="J106" s="435">
        <v>19</v>
      </c>
      <c r="K106" s="384">
        <f t="shared" si="4"/>
        <v>94.73684210526315</v>
      </c>
      <c r="L106" s="384">
        <f t="shared" si="4"/>
        <v>5.2631578947368416</v>
      </c>
      <c r="M106" s="384">
        <f t="shared" si="4"/>
        <v>0</v>
      </c>
      <c r="N106" s="421">
        <f t="shared" si="5"/>
        <v>99.999999999999986</v>
      </c>
      <c r="O106" s="383">
        <v>52.6</v>
      </c>
      <c r="P106" s="384"/>
      <c r="Q106" s="384"/>
      <c r="R106" s="385">
        <f t="shared" si="6"/>
        <v>52.6</v>
      </c>
      <c r="S106" s="334">
        <v>1</v>
      </c>
      <c r="T106" s="357"/>
      <c r="V106" s="343" t="s">
        <v>343</v>
      </c>
      <c r="W106" s="334" t="s">
        <v>74</v>
      </c>
      <c r="X106" s="334" t="s">
        <v>11</v>
      </c>
      <c r="Y106" s="344">
        <v>52.6</v>
      </c>
      <c r="Z106" s="441" t="s">
        <v>131</v>
      </c>
      <c r="AA106" s="441" t="s">
        <v>22</v>
      </c>
      <c r="AB106" s="441" t="s">
        <v>18</v>
      </c>
      <c r="AC106" s="441">
        <v>47.1</v>
      </c>
      <c r="AD106" s="343"/>
      <c r="AG106" s="344"/>
      <c r="AL106" s="343"/>
      <c r="AO106" s="344"/>
      <c r="AP106" s="343"/>
      <c r="AS106" s="344"/>
      <c r="AW106" s="344"/>
      <c r="BA106" s="345"/>
    </row>
    <row r="107" spans="1:53" s="334" customFormat="1" x14ac:dyDescent="0.15">
      <c r="A107" s="334">
        <v>2004</v>
      </c>
      <c r="B107" s="445">
        <v>38293</v>
      </c>
      <c r="C107" s="812" t="s">
        <v>1285</v>
      </c>
      <c r="D107" s="812"/>
      <c r="E107" s="334">
        <v>60</v>
      </c>
      <c r="F107" s="441" t="s">
        <v>340</v>
      </c>
      <c r="G107" s="419">
        <v>18</v>
      </c>
      <c r="H107" s="334">
        <v>1</v>
      </c>
      <c r="J107" s="435">
        <v>19</v>
      </c>
      <c r="K107" s="384">
        <f t="shared" si="4"/>
        <v>94.73684210526315</v>
      </c>
      <c r="L107" s="384">
        <f t="shared" si="4"/>
        <v>5.2631578947368416</v>
      </c>
      <c r="M107" s="384">
        <f t="shared" si="4"/>
        <v>0</v>
      </c>
      <c r="N107" s="421">
        <f t="shared" si="5"/>
        <v>99.999999999999986</v>
      </c>
      <c r="O107" s="383">
        <v>53.1</v>
      </c>
      <c r="P107" s="384"/>
      <c r="Q107" s="384"/>
      <c r="R107" s="385">
        <f t="shared" si="6"/>
        <v>53.1</v>
      </c>
      <c r="S107" s="334">
        <v>1</v>
      </c>
      <c r="T107" s="342">
        <v>38293</v>
      </c>
      <c r="V107" s="343" t="s">
        <v>343</v>
      </c>
      <c r="W107" s="334" t="s">
        <v>74</v>
      </c>
      <c r="X107" s="334" t="s">
        <v>11</v>
      </c>
      <c r="Y107" s="344">
        <v>53.1</v>
      </c>
      <c r="Z107" s="441" t="s">
        <v>131</v>
      </c>
      <c r="AA107" s="441" t="s">
        <v>22</v>
      </c>
      <c r="AB107" s="441" t="s">
        <v>18</v>
      </c>
      <c r="AC107" s="441">
        <v>46.7</v>
      </c>
      <c r="AD107" s="343"/>
      <c r="AG107" s="344"/>
      <c r="AL107" s="343"/>
      <c r="AO107" s="344"/>
      <c r="AP107" s="343"/>
      <c r="AS107" s="344"/>
      <c r="AW107" s="344"/>
      <c r="BA107" s="345"/>
    </row>
    <row r="108" spans="1:53" s="334" customFormat="1" x14ac:dyDescent="0.15">
      <c r="A108" s="334">
        <v>2005</v>
      </c>
      <c r="C108" s="812" t="s">
        <v>1285</v>
      </c>
      <c r="D108" s="812"/>
      <c r="E108" s="334">
        <v>19</v>
      </c>
      <c r="G108" s="419">
        <v>18</v>
      </c>
      <c r="H108" s="334">
        <v>1</v>
      </c>
      <c r="J108" s="435">
        <v>19</v>
      </c>
      <c r="K108" s="384">
        <f t="shared" si="4"/>
        <v>94.73684210526315</v>
      </c>
      <c r="L108" s="384">
        <f t="shared" si="4"/>
        <v>5.2631578947368416</v>
      </c>
      <c r="M108" s="384">
        <f t="shared" si="4"/>
        <v>0</v>
      </c>
      <c r="N108" s="421">
        <f t="shared" si="5"/>
        <v>99.999999999999986</v>
      </c>
      <c r="O108" s="383">
        <v>53.1</v>
      </c>
      <c r="P108" s="384"/>
      <c r="Q108" s="384"/>
      <c r="R108" s="385">
        <f t="shared" si="6"/>
        <v>53.1</v>
      </c>
      <c r="S108" s="334">
        <v>1</v>
      </c>
      <c r="T108" s="357"/>
      <c r="V108" s="343" t="s">
        <v>343</v>
      </c>
      <c r="W108" s="334" t="s">
        <v>74</v>
      </c>
      <c r="X108" s="334" t="s">
        <v>11</v>
      </c>
      <c r="Y108" s="344">
        <v>53.1</v>
      </c>
      <c r="Z108" s="441" t="s">
        <v>131</v>
      </c>
      <c r="AA108" s="441" t="s">
        <v>22</v>
      </c>
      <c r="AB108" s="441" t="s">
        <v>18</v>
      </c>
      <c r="AC108" s="441">
        <v>46.7</v>
      </c>
      <c r="AD108" s="343"/>
      <c r="AG108" s="344"/>
      <c r="AL108" s="343"/>
      <c r="AO108" s="344"/>
      <c r="AP108" s="343"/>
      <c r="AS108" s="344"/>
      <c r="AW108" s="344"/>
      <c r="BA108" s="345"/>
    </row>
    <row r="109" spans="1:53" s="208" customFormat="1" x14ac:dyDescent="0.15">
      <c r="A109" s="208">
        <v>2005</v>
      </c>
      <c r="B109" s="207">
        <v>38372</v>
      </c>
      <c r="C109" s="811" t="s">
        <v>1286</v>
      </c>
      <c r="D109" s="811"/>
      <c r="E109" s="208">
        <f>365-E108</f>
        <v>346</v>
      </c>
      <c r="F109" s="208">
        <v>1</v>
      </c>
      <c r="G109" s="123">
        <v>21</v>
      </c>
      <c r="H109" s="208">
        <v>1</v>
      </c>
      <c r="J109" s="134">
        <v>22</v>
      </c>
      <c r="K109" s="92">
        <f t="shared" si="4"/>
        <v>95.454545454545453</v>
      </c>
      <c r="L109" s="92">
        <f t="shared" si="4"/>
        <v>4.5454545454545459</v>
      </c>
      <c r="M109" s="92">
        <f t="shared" si="4"/>
        <v>0</v>
      </c>
      <c r="N109" s="125">
        <f t="shared" si="5"/>
        <v>100</v>
      </c>
      <c r="O109" s="91">
        <v>53.1</v>
      </c>
      <c r="P109" s="92"/>
      <c r="Q109" s="92"/>
      <c r="R109" s="93">
        <f t="shared" si="6"/>
        <v>53.1</v>
      </c>
      <c r="S109" s="208">
        <v>1</v>
      </c>
      <c r="T109" s="81"/>
      <c r="U109" s="207">
        <v>38372</v>
      </c>
      <c r="V109" s="82" t="s">
        <v>343</v>
      </c>
      <c r="W109" s="208" t="s">
        <v>74</v>
      </c>
      <c r="X109" s="208" t="s">
        <v>11</v>
      </c>
      <c r="Y109" s="83">
        <v>53.1</v>
      </c>
      <c r="Z109" s="150" t="s">
        <v>131</v>
      </c>
      <c r="AA109" s="150" t="s">
        <v>22</v>
      </c>
      <c r="AB109" s="150" t="s">
        <v>18</v>
      </c>
      <c r="AC109" s="150">
        <v>46.7</v>
      </c>
      <c r="AD109" s="82"/>
      <c r="AG109" s="83"/>
      <c r="AL109" s="82"/>
      <c r="AO109" s="83"/>
      <c r="AP109" s="82"/>
      <c r="AS109" s="83"/>
      <c r="AW109" s="83"/>
      <c r="BA109" s="84"/>
    </row>
    <row r="110" spans="1:53" s="208" customFormat="1" x14ac:dyDescent="0.15">
      <c r="A110" s="208">
        <v>2006</v>
      </c>
      <c r="C110" s="811" t="s">
        <v>1286</v>
      </c>
      <c r="D110" s="811"/>
      <c r="E110" s="208">
        <v>272</v>
      </c>
      <c r="G110" s="123">
        <v>21</v>
      </c>
      <c r="H110" s="208">
        <v>1</v>
      </c>
      <c r="J110" s="134">
        <v>22</v>
      </c>
      <c r="K110" s="92">
        <f t="shared" si="4"/>
        <v>95.454545454545453</v>
      </c>
      <c r="L110" s="92">
        <f t="shared" si="4"/>
        <v>4.5454545454545459</v>
      </c>
      <c r="M110" s="92">
        <f t="shared" si="4"/>
        <v>0</v>
      </c>
      <c r="N110" s="125">
        <f t="shared" si="5"/>
        <v>100</v>
      </c>
      <c r="O110" s="91">
        <v>53.1</v>
      </c>
      <c r="P110" s="92"/>
      <c r="Q110" s="92"/>
      <c r="R110" s="93">
        <f t="shared" si="6"/>
        <v>53.1</v>
      </c>
      <c r="S110" s="208">
        <v>1</v>
      </c>
      <c r="T110" s="81"/>
      <c r="V110" s="82" t="s">
        <v>343</v>
      </c>
      <c r="W110" s="208" t="s">
        <v>74</v>
      </c>
      <c r="X110" s="208" t="s">
        <v>11</v>
      </c>
      <c r="Y110" s="83">
        <v>53.1</v>
      </c>
      <c r="Z110" s="150" t="s">
        <v>131</v>
      </c>
      <c r="AA110" s="150" t="s">
        <v>22</v>
      </c>
      <c r="AB110" s="150" t="s">
        <v>18</v>
      </c>
      <c r="AC110" s="150">
        <v>46.7</v>
      </c>
      <c r="AD110" s="82"/>
      <c r="AG110" s="83"/>
      <c r="AL110" s="82"/>
      <c r="AO110" s="83"/>
      <c r="AP110" s="82"/>
      <c r="AS110" s="83"/>
      <c r="AW110" s="83"/>
      <c r="BA110" s="84"/>
    </row>
    <row r="111" spans="1:53" s="208" customFormat="1" x14ac:dyDescent="0.15">
      <c r="A111" s="208">
        <v>2006</v>
      </c>
      <c r="B111" s="149">
        <v>38990</v>
      </c>
      <c r="C111" s="811" t="s">
        <v>1286</v>
      </c>
      <c r="D111" s="811"/>
      <c r="E111" s="208">
        <v>38</v>
      </c>
      <c r="F111" s="150">
        <v>0</v>
      </c>
      <c r="G111" s="123">
        <v>22</v>
      </c>
      <c r="J111" s="134">
        <v>22</v>
      </c>
      <c r="K111" s="92">
        <f>G111/$J111*100</f>
        <v>100</v>
      </c>
      <c r="L111" s="92">
        <f>H111/$J111*100</f>
        <v>0</v>
      </c>
      <c r="M111" s="92">
        <f>I111/$J111*100</f>
        <v>0</v>
      </c>
      <c r="N111" s="125">
        <f>K111+L111+M111</f>
        <v>100</v>
      </c>
      <c r="O111" s="91">
        <v>53.1</v>
      </c>
      <c r="P111" s="92"/>
      <c r="Q111" s="92"/>
      <c r="R111" s="93">
        <f>O111+P111+Q111</f>
        <v>53.1</v>
      </c>
      <c r="S111" s="208">
        <v>1</v>
      </c>
      <c r="T111" s="95">
        <v>39028</v>
      </c>
      <c r="V111" s="82" t="s">
        <v>343</v>
      </c>
      <c r="W111" s="208" t="s">
        <v>74</v>
      </c>
      <c r="X111" s="208" t="s">
        <v>11</v>
      </c>
      <c r="Y111" s="83">
        <v>53.1</v>
      </c>
      <c r="Z111" s="150" t="s">
        <v>131</v>
      </c>
      <c r="AA111" s="150" t="s">
        <v>22</v>
      </c>
      <c r="AB111" s="150" t="s">
        <v>18</v>
      </c>
      <c r="AC111" s="150">
        <v>46.7</v>
      </c>
      <c r="AD111" s="82"/>
      <c r="AG111" s="83"/>
      <c r="AL111" s="82"/>
      <c r="AO111" s="83"/>
      <c r="AP111" s="82"/>
      <c r="AS111" s="83"/>
      <c r="AW111" s="83"/>
      <c r="BA111" s="84"/>
    </row>
    <row r="112" spans="1:53" s="208" customFormat="1" x14ac:dyDescent="0.15">
      <c r="A112" s="208">
        <v>2006</v>
      </c>
      <c r="B112" s="149">
        <v>39028</v>
      </c>
      <c r="C112" s="811" t="s">
        <v>1286</v>
      </c>
      <c r="D112" s="811"/>
      <c r="E112" s="208">
        <v>55</v>
      </c>
      <c r="F112" s="150" t="s">
        <v>340</v>
      </c>
      <c r="G112" s="123">
        <v>22</v>
      </c>
      <c r="J112" s="134">
        <v>22</v>
      </c>
      <c r="K112" s="92">
        <f t="shared" si="4"/>
        <v>100</v>
      </c>
      <c r="L112" s="92">
        <f t="shared" si="4"/>
        <v>0</v>
      </c>
      <c r="M112" s="92">
        <f t="shared" si="4"/>
        <v>0</v>
      </c>
      <c r="N112" s="125">
        <f t="shared" si="5"/>
        <v>100</v>
      </c>
      <c r="O112" s="91">
        <v>46.4</v>
      </c>
      <c r="P112" s="92"/>
      <c r="Q112" s="92"/>
      <c r="R112" s="93">
        <f t="shared" si="6"/>
        <v>46.4</v>
      </c>
      <c r="S112" s="208">
        <v>1</v>
      </c>
      <c r="T112" s="95">
        <v>39028</v>
      </c>
      <c r="V112" s="82" t="s">
        <v>343</v>
      </c>
      <c r="W112" s="208" t="s">
        <v>74</v>
      </c>
      <c r="X112" s="208" t="s">
        <v>11</v>
      </c>
      <c r="Y112" s="83">
        <v>46.4</v>
      </c>
      <c r="Z112" s="150"/>
      <c r="AA112" s="150"/>
      <c r="AB112" s="150"/>
      <c r="AC112" s="150"/>
      <c r="AD112" s="82"/>
      <c r="AG112" s="83"/>
      <c r="AL112" s="82"/>
      <c r="AO112" s="83"/>
      <c r="AP112" s="82"/>
      <c r="AS112" s="83"/>
      <c r="AW112" s="83"/>
      <c r="BA112" s="84"/>
    </row>
    <row r="113" spans="1:53" s="208" customFormat="1" x14ac:dyDescent="0.15">
      <c r="A113" s="208">
        <v>2007</v>
      </c>
      <c r="C113" s="811" t="s">
        <v>1286</v>
      </c>
      <c r="D113" s="811"/>
      <c r="E113" s="208">
        <v>0</v>
      </c>
      <c r="G113" s="123">
        <v>22</v>
      </c>
      <c r="J113" s="134">
        <v>22</v>
      </c>
      <c r="K113" s="92">
        <f t="shared" si="4"/>
        <v>100</v>
      </c>
      <c r="L113" s="92">
        <f t="shared" si="4"/>
        <v>0</v>
      </c>
      <c r="M113" s="92">
        <f t="shared" si="4"/>
        <v>0</v>
      </c>
      <c r="N113" s="125">
        <f t="shared" si="5"/>
        <v>100</v>
      </c>
      <c r="O113" s="91">
        <v>46.4</v>
      </c>
      <c r="P113" s="92"/>
      <c r="Q113" s="92"/>
      <c r="R113" s="93">
        <f t="shared" si="6"/>
        <v>46.4</v>
      </c>
      <c r="S113" s="208">
        <v>1</v>
      </c>
      <c r="T113" s="81"/>
      <c r="V113" s="82" t="s">
        <v>343</v>
      </c>
      <c r="W113" s="208" t="s">
        <v>74</v>
      </c>
      <c r="X113" s="208" t="s">
        <v>11</v>
      </c>
      <c r="Y113" s="83">
        <v>46.4</v>
      </c>
      <c r="Z113" s="150"/>
      <c r="AA113" s="150"/>
      <c r="AB113" s="150"/>
      <c r="AC113" s="150"/>
      <c r="AD113" s="82"/>
      <c r="AG113" s="83"/>
      <c r="AL113" s="82"/>
      <c r="AO113" s="83"/>
      <c r="AP113" s="82"/>
      <c r="AS113" s="83"/>
      <c r="AW113" s="83"/>
      <c r="BA113" s="84"/>
    </row>
    <row r="114" spans="1:53" s="208" customFormat="1" x14ac:dyDescent="0.15">
      <c r="A114" s="208">
        <v>2007</v>
      </c>
      <c r="C114" s="811" t="s">
        <v>1286</v>
      </c>
      <c r="D114" s="811"/>
      <c r="E114" s="208">
        <v>365</v>
      </c>
      <c r="G114" s="123">
        <v>22</v>
      </c>
      <c r="J114" s="134">
        <v>22</v>
      </c>
      <c r="K114" s="92">
        <f t="shared" si="4"/>
        <v>100</v>
      </c>
      <c r="L114" s="92">
        <f t="shared" si="4"/>
        <v>0</v>
      </c>
      <c r="M114" s="92">
        <f t="shared" si="4"/>
        <v>0</v>
      </c>
      <c r="N114" s="125">
        <f t="shared" si="5"/>
        <v>100</v>
      </c>
      <c r="O114" s="91">
        <v>46.4</v>
      </c>
      <c r="P114" s="92"/>
      <c r="Q114" s="92"/>
      <c r="R114" s="93">
        <f t="shared" si="6"/>
        <v>46.4</v>
      </c>
      <c r="S114" s="208">
        <v>1</v>
      </c>
      <c r="T114" s="81"/>
      <c r="V114" s="82" t="s">
        <v>343</v>
      </c>
      <c r="W114" s="208" t="s">
        <v>74</v>
      </c>
      <c r="X114" s="208" t="s">
        <v>11</v>
      </c>
      <c r="Y114" s="83">
        <v>46.4</v>
      </c>
      <c r="Z114" s="150"/>
      <c r="AA114" s="150"/>
      <c r="AB114" s="150"/>
      <c r="AC114" s="150"/>
      <c r="AD114" s="82"/>
      <c r="AG114" s="83"/>
      <c r="AL114" s="82"/>
      <c r="AO114" s="83"/>
      <c r="AP114" s="82"/>
      <c r="AS114" s="83"/>
      <c r="AW114" s="83"/>
      <c r="BA114" s="84"/>
    </row>
    <row r="115" spans="1:53" s="208" customFormat="1" x14ac:dyDescent="0.15">
      <c r="A115" s="208">
        <v>2008</v>
      </c>
      <c r="C115" s="811" t="s">
        <v>1286</v>
      </c>
      <c r="D115" s="811"/>
      <c r="E115" s="208">
        <v>308</v>
      </c>
      <c r="G115" s="123">
        <v>22</v>
      </c>
      <c r="J115" s="134">
        <v>22</v>
      </c>
      <c r="K115" s="92">
        <f t="shared" si="4"/>
        <v>100</v>
      </c>
      <c r="L115" s="92">
        <f t="shared" si="4"/>
        <v>0</v>
      </c>
      <c r="M115" s="92">
        <f t="shared" si="4"/>
        <v>0</v>
      </c>
      <c r="N115" s="125">
        <f t="shared" si="5"/>
        <v>100</v>
      </c>
      <c r="O115" s="91">
        <v>46.4</v>
      </c>
      <c r="P115" s="92"/>
      <c r="Q115" s="92"/>
      <c r="R115" s="93">
        <f t="shared" si="6"/>
        <v>46.4</v>
      </c>
      <c r="S115" s="208">
        <v>1</v>
      </c>
      <c r="T115" s="81"/>
      <c r="V115" s="82" t="s">
        <v>343</v>
      </c>
      <c r="W115" s="208" t="s">
        <v>74</v>
      </c>
      <c r="X115" s="208" t="s">
        <v>11</v>
      </c>
      <c r="Y115" s="83">
        <v>46.4</v>
      </c>
      <c r="Z115" s="150"/>
      <c r="AA115" s="150"/>
      <c r="AB115" s="150"/>
      <c r="AC115" s="150"/>
      <c r="AD115" s="82"/>
      <c r="AG115" s="83"/>
      <c r="AL115" s="82"/>
      <c r="AO115" s="83"/>
      <c r="AP115" s="82"/>
      <c r="AS115" s="83"/>
      <c r="AW115" s="83"/>
      <c r="BA115" s="84"/>
    </row>
    <row r="116" spans="1:53" s="208" customFormat="1" x14ac:dyDescent="0.15">
      <c r="A116" s="208">
        <v>2008</v>
      </c>
      <c r="B116" s="149">
        <v>39756</v>
      </c>
      <c r="C116" s="811" t="s">
        <v>1286</v>
      </c>
      <c r="D116" s="811"/>
      <c r="E116" s="208">
        <v>58</v>
      </c>
      <c r="F116" s="150" t="s">
        <v>340</v>
      </c>
      <c r="G116" s="123">
        <v>22</v>
      </c>
      <c r="J116" s="134">
        <v>22</v>
      </c>
      <c r="K116" s="92">
        <f t="shared" si="4"/>
        <v>100</v>
      </c>
      <c r="L116" s="92">
        <f t="shared" si="4"/>
        <v>0</v>
      </c>
      <c r="M116" s="92">
        <f t="shared" si="4"/>
        <v>0</v>
      </c>
      <c r="N116" s="125">
        <f t="shared" si="5"/>
        <v>100</v>
      </c>
      <c r="O116" s="91">
        <v>40.9</v>
      </c>
      <c r="P116" s="92"/>
      <c r="Q116" s="92"/>
      <c r="R116" s="93">
        <f t="shared" si="6"/>
        <v>40.9</v>
      </c>
      <c r="S116" s="208">
        <v>1</v>
      </c>
      <c r="T116" s="95">
        <v>39756</v>
      </c>
      <c r="V116" s="82" t="s">
        <v>343</v>
      </c>
      <c r="W116" s="208" t="s">
        <v>74</v>
      </c>
      <c r="X116" s="208" t="s">
        <v>11</v>
      </c>
      <c r="Y116" s="83">
        <v>40.9</v>
      </c>
      <c r="Z116" s="150"/>
      <c r="AA116" s="150"/>
      <c r="AB116" s="150"/>
      <c r="AC116" s="150"/>
      <c r="AD116" s="82"/>
      <c r="AG116" s="83"/>
      <c r="AL116" s="82"/>
      <c r="AO116" s="83"/>
      <c r="AP116" s="82"/>
      <c r="AS116" s="83"/>
      <c r="AW116" s="83"/>
      <c r="BA116" s="84"/>
    </row>
    <row r="117" spans="1:53" s="208" customFormat="1" x14ac:dyDescent="0.15">
      <c r="A117" s="208">
        <v>2009</v>
      </c>
      <c r="C117" s="811" t="s">
        <v>1286</v>
      </c>
      <c r="D117" s="811"/>
      <c r="E117" s="208">
        <v>19</v>
      </c>
      <c r="G117" s="123">
        <v>22</v>
      </c>
      <c r="J117" s="134">
        <v>22</v>
      </c>
      <c r="K117" s="92">
        <f t="shared" si="4"/>
        <v>100</v>
      </c>
      <c r="L117" s="92">
        <f t="shared" si="4"/>
        <v>0</v>
      </c>
      <c r="M117" s="92">
        <f t="shared" si="4"/>
        <v>0</v>
      </c>
      <c r="N117" s="125">
        <f t="shared" si="5"/>
        <v>100</v>
      </c>
      <c r="O117" s="91">
        <v>40.9</v>
      </c>
      <c r="P117" s="92"/>
      <c r="Q117" s="92"/>
      <c r="R117" s="93">
        <f t="shared" si="6"/>
        <v>40.9</v>
      </c>
      <c r="S117" s="208">
        <v>1</v>
      </c>
      <c r="T117" s="81"/>
      <c r="V117" s="82" t="s">
        <v>343</v>
      </c>
      <c r="W117" s="208" t="s">
        <v>74</v>
      </c>
      <c r="X117" s="208" t="s">
        <v>11</v>
      </c>
      <c r="Y117" s="83">
        <v>40.9</v>
      </c>
      <c r="Z117" s="150"/>
      <c r="AA117" s="150"/>
      <c r="AB117" s="150"/>
      <c r="AC117" s="150"/>
      <c r="AD117" s="82"/>
      <c r="AG117" s="83"/>
      <c r="AL117" s="82"/>
      <c r="AO117" s="83"/>
      <c r="AP117" s="82"/>
      <c r="AS117" s="83"/>
      <c r="AW117" s="83"/>
      <c r="BA117" s="84"/>
    </row>
    <row r="118" spans="1:53" s="334" customFormat="1" x14ac:dyDescent="0.15">
      <c r="A118" s="334">
        <v>2009</v>
      </c>
      <c r="B118" s="355">
        <v>39833</v>
      </c>
      <c r="C118" s="812" t="s">
        <v>597</v>
      </c>
      <c r="D118" s="812"/>
      <c r="E118" s="334">
        <f>365-E117</f>
        <v>346</v>
      </c>
      <c r="F118" s="334">
        <v>1</v>
      </c>
      <c r="G118" s="419">
        <v>2</v>
      </c>
      <c r="H118" s="334">
        <v>15</v>
      </c>
      <c r="J118" s="435">
        <v>17</v>
      </c>
      <c r="K118" s="384">
        <f t="shared" si="4"/>
        <v>11.76470588235294</v>
      </c>
      <c r="L118" s="384">
        <f t="shared" si="4"/>
        <v>88.235294117647058</v>
      </c>
      <c r="M118" s="384">
        <f t="shared" si="4"/>
        <v>0</v>
      </c>
      <c r="N118" s="421">
        <f t="shared" si="5"/>
        <v>100</v>
      </c>
      <c r="O118" s="383"/>
      <c r="P118" s="384">
        <v>59.1</v>
      </c>
      <c r="Q118" s="384"/>
      <c r="R118" s="385">
        <f t="shared" si="6"/>
        <v>59.1</v>
      </c>
      <c r="S118" s="334">
        <v>1</v>
      </c>
      <c r="T118" s="357"/>
      <c r="U118" s="355">
        <v>39833</v>
      </c>
      <c r="V118" s="343" t="s">
        <v>131</v>
      </c>
      <c r="W118" s="334" t="s">
        <v>22</v>
      </c>
      <c r="X118" s="334" t="s">
        <v>18</v>
      </c>
      <c r="Y118" s="344">
        <v>59.1</v>
      </c>
      <c r="Z118" s="441" t="s">
        <v>343</v>
      </c>
      <c r="AA118" s="441" t="s">
        <v>74</v>
      </c>
      <c r="AB118" s="441" t="s">
        <v>11</v>
      </c>
      <c r="AC118" s="441">
        <v>40.9</v>
      </c>
      <c r="AD118" s="343"/>
      <c r="AG118" s="344"/>
      <c r="AL118" s="343"/>
      <c r="AO118" s="344"/>
      <c r="AP118" s="343"/>
      <c r="AS118" s="344"/>
      <c r="AW118" s="344"/>
      <c r="BA118" s="345"/>
    </row>
    <row r="119" spans="1:53" s="334" customFormat="1" x14ac:dyDescent="0.15">
      <c r="A119" s="334">
        <v>2010</v>
      </c>
      <c r="C119" s="812" t="s">
        <v>597</v>
      </c>
      <c r="D119" s="812"/>
      <c r="E119" s="334">
        <v>305</v>
      </c>
      <c r="G119" s="419">
        <v>2</v>
      </c>
      <c r="H119" s="334">
        <v>15</v>
      </c>
      <c r="J119" s="435">
        <v>17</v>
      </c>
      <c r="K119" s="384">
        <f t="shared" si="4"/>
        <v>11.76470588235294</v>
      </c>
      <c r="L119" s="384">
        <f t="shared" si="4"/>
        <v>88.235294117647058</v>
      </c>
      <c r="M119" s="384">
        <f t="shared" si="4"/>
        <v>0</v>
      </c>
      <c r="N119" s="421">
        <f t="shared" si="5"/>
        <v>100</v>
      </c>
      <c r="O119" s="383"/>
      <c r="P119" s="384">
        <v>59.1</v>
      </c>
      <c r="Q119" s="384"/>
      <c r="R119" s="385">
        <f t="shared" si="6"/>
        <v>59.1</v>
      </c>
      <c r="S119" s="334">
        <v>1</v>
      </c>
      <c r="T119" s="357"/>
      <c r="V119" s="343" t="s">
        <v>131</v>
      </c>
      <c r="W119" s="334" t="s">
        <v>22</v>
      </c>
      <c r="X119" s="334" t="s">
        <v>18</v>
      </c>
      <c r="Y119" s="344">
        <v>59.1</v>
      </c>
      <c r="Z119" s="441" t="s">
        <v>343</v>
      </c>
      <c r="AA119" s="441" t="s">
        <v>74</v>
      </c>
      <c r="AB119" s="441" t="s">
        <v>11</v>
      </c>
      <c r="AC119" s="441">
        <v>40.9</v>
      </c>
      <c r="AD119" s="343"/>
      <c r="AG119" s="344"/>
      <c r="AL119" s="343"/>
      <c r="AO119" s="344"/>
      <c r="AP119" s="343"/>
      <c r="AS119" s="344"/>
      <c r="AW119" s="344"/>
      <c r="BA119" s="345"/>
    </row>
    <row r="120" spans="1:53" s="334" customFormat="1" x14ac:dyDescent="0.15">
      <c r="A120" s="334">
        <v>2010</v>
      </c>
      <c r="B120" s="445">
        <v>40484</v>
      </c>
      <c r="C120" s="812" t="s">
        <v>597</v>
      </c>
      <c r="D120" s="812"/>
      <c r="E120" s="334">
        <v>60</v>
      </c>
      <c r="F120" s="441" t="s">
        <v>340</v>
      </c>
      <c r="G120" s="419">
        <v>2</v>
      </c>
      <c r="H120" s="334">
        <v>15</v>
      </c>
      <c r="J120" s="435">
        <v>17</v>
      </c>
      <c r="K120" s="384">
        <f t="shared" ref="K120:M124" si="7">G120/$J120*100</f>
        <v>11.76470588235294</v>
      </c>
      <c r="L120" s="384">
        <f t="shared" si="7"/>
        <v>88.235294117647058</v>
      </c>
      <c r="M120" s="384">
        <f t="shared" si="7"/>
        <v>0</v>
      </c>
      <c r="N120" s="421">
        <f t="shared" ref="N120:N126" si="8">K120+L120+M120</f>
        <v>100</v>
      </c>
      <c r="O120" s="383"/>
      <c r="P120" s="384">
        <v>44.4</v>
      </c>
      <c r="Q120" s="384"/>
      <c r="R120" s="385">
        <f t="shared" si="6"/>
        <v>44.4</v>
      </c>
      <c r="S120" s="334">
        <v>1</v>
      </c>
      <c r="T120" s="342">
        <v>40484</v>
      </c>
      <c r="V120" s="343" t="s">
        <v>131</v>
      </c>
      <c r="W120" s="334" t="s">
        <v>22</v>
      </c>
      <c r="X120" s="334" t="s">
        <v>18</v>
      </c>
      <c r="Y120" s="344">
        <v>44.4</v>
      </c>
      <c r="Z120" s="441" t="s">
        <v>343</v>
      </c>
      <c r="AA120" s="441" t="s">
        <v>74</v>
      </c>
      <c r="AB120" s="441" t="s">
        <v>11</v>
      </c>
      <c r="AC120" s="441">
        <v>55.6</v>
      </c>
      <c r="AD120" s="343"/>
      <c r="AG120" s="344"/>
      <c r="AL120" s="343"/>
      <c r="AO120" s="344"/>
      <c r="AP120" s="343"/>
      <c r="AS120" s="344"/>
      <c r="AW120" s="344"/>
      <c r="BA120" s="345"/>
    </row>
    <row r="121" spans="1:53" s="334" customFormat="1" x14ac:dyDescent="0.15">
      <c r="A121" s="334">
        <v>2011</v>
      </c>
      <c r="C121" s="812" t="s">
        <v>597</v>
      </c>
      <c r="D121" s="812"/>
      <c r="E121" s="334">
        <v>181</v>
      </c>
      <c r="G121" s="419">
        <v>2</v>
      </c>
      <c r="H121" s="334">
        <v>15</v>
      </c>
      <c r="J121" s="435">
        <v>17</v>
      </c>
      <c r="K121" s="384">
        <f t="shared" si="7"/>
        <v>11.76470588235294</v>
      </c>
      <c r="L121" s="384">
        <f t="shared" si="7"/>
        <v>88.235294117647058</v>
      </c>
      <c r="M121" s="384">
        <f t="shared" si="7"/>
        <v>0</v>
      </c>
      <c r="N121" s="421">
        <f t="shared" si="8"/>
        <v>100</v>
      </c>
      <c r="O121" s="383"/>
      <c r="P121" s="384">
        <v>44.4</v>
      </c>
      <c r="Q121" s="384"/>
      <c r="R121" s="385">
        <f t="shared" si="6"/>
        <v>44.4</v>
      </c>
      <c r="S121" s="334">
        <v>1</v>
      </c>
      <c r="T121" s="357"/>
      <c r="V121" s="343" t="s">
        <v>131</v>
      </c>
      <c r="W121" s="334" t="s">
        <v>22</v>
      </c>
      <c r="X121" s="334" t="s">
        <v>18</v>
      </c>
      <c r="Y121" s="344">
        <v>44.4</v>
      </c>
      <c r="Z121" s="441" t="s">
        <v>343</v>
      </c>
      <c r="AA121" s="441" t="s">
        <v>74</v>
      </c>
      <c r="AB121" s="441" t="s">
        <v>11</v>
      </c>
      <c r="AC121" s="441">
        <v>55.6</v>
      </c>
      <c r="AD121" s="343"/>
      <c r="AG121" s="344"/>
      <c r="AL121" s="343"/>
      <c r="AO121" s="344"/>
      <c r="AP121" s="343"/>
      <c r="AS121" s="344"/>
      <c r="AW121" s="344"/>
      <c r="BA121" s="345"/>
    </row>
    <row r="122" spans="1:53" s="334" customFormat="1" x14ac:dyDescent="0.15">
      <c r="A122" s="334">
        <v>2011</v>
      </c>
      <c r="B122" s="445">
        <v>40725</v>
      </c>
      <c r="C122" s="812" t="s">
        <v>597</v>
      </c>
      <c r="D122" s="812"/>
      <c r="E122" s="334">
        <v>184</v>
      </c>
      <c r="F122" s="441">
        <v>0</v>
      </c>
      <c r="G122" s="419">
        <v>1</v>
      </c>
      <c r="H122" s="334">
        <v>16</v>
      </c>
      <c r="J122" s="435">
        <v>17</v>
      </c>
      <c r="K122" s="384">
        <f t="shared" si="7"/>
        <v>5.8823529411764701</v>
      </c>
      <c r="L122" s="384">
        <f t="shared" si="7"/>
        <v>94.117647058823522</v>
      </c>
      <c r="M122" s="384">
        <f t="shared" si="7"/>
        <v>0</v>
      </c>
      <c r="N122" s="421">
        <f t="shared" si="8"/>
        <v>99.999999999999986</v>
      </c>
      <c r="O122" s="383"/>
      <c r="P122" s="384">
        <v>44.4</v>
      </c>
      <c r="Q122" s="384"/>
      <c r="R122" s="385">
        <f t="shared" si="6"/>
        <v>44.4</v>
      </c>
      <c r="S122" s="334">
        <v>1</v>
      </c>
      <c r="T122" s="357"/>
      <c r="V122" s="343" t="s">
        <v>131</v>
      </c>
      <c r="W122" s="334" t="s">
        <v>22</v>
      </c>
      <c r="X122" s="334" t="s">
        <v>18</v>
      </c>
      <c r="Y122" s="344">
        <v>44.4</v>
      </c>
      <c r="Z122" s="441" t="s">
        <v>343</v>
      </c>
      <c r="AA122" s="441" t="s">
        <v>74</v>
      </c>
      <c r="AB122" s="441" t="s">
        <v>11</v>
      </c>
      <c r="AC122" s="441">
        <v>55.6</v>
      </c>
      <c r="AD122" s="343"/>
      <c r="AG122" s="344"/>
      <c r="AL122" s="343"/>
      <c r="AO122" s="344"/>
      <c r="AP122" s="343"/>
      <c r="AS122" s="344"/>
      <c r="AW122" s="344"/>
      <c r="BA122" s="345"/>
    </row>
    <row r="123" spans="1:53" s="334" customFormat="1" x14ac:dyDescent="0.15">
      <c r="A123" s="334">
        <v>2012</v>
      </c>
      <c r="B123" s="467"/>
      <c r="C123" s="812" t="s">
        <v>597</v>
      </c>
      <c r="D123" s="812"/>
      <c r="E123" s="334">
        <v>310</v>
      </c>
      <c r="G123" s="419">
        <v>1</v>
      </c>
      <c r="H123" s="334">
        <v>16</v>
      </c>
      <c r="J123" s="435">
        <v>17</v>
      </c>
      <c r="K123" s="384">
        <f t="shared" si="7"/>
        <v>5.8823529411764701</v>
      </c>
      <c r="L123" s="384">
        <f t="shared" si="7"/>
        <v>94.117647058823522</v>
      </c>
      <c r="M123" s="384">
        <f t="shared" si="7"/>
        <v>0</v>
      </c>
      <c r="N123" s="421">
        <f t="shared" si="8"/>
        <v>99.999999999999986</v>
      </c>
      <c r="O123" s="383"/>
      <c r="P123" s="384">
        <v>44.4</v>
      </c>
      <c r="Q123" s="384"/>
      <c r="R123" s="385">
        <f t="shared" si="6"/>
        <v>44.4</v>
      </c>
      <c r="S123" s="334">
        <v>1</v>
      </c>
      <c r="T123" s="357"/>
      <c r="V123" s="343" t="s">
        <v>131</v>
      </c>
      <c r="W123" s="334" t="s">
        <v>22</v>
      </c>
      <c r="X123" s="334" t="s">
        <v>18</v>
      </c>
      <c r="Y123" s="344">
        <v>44.4</v>
      </c>
      <c r="Z123" s="441" t="s">
        <v>343</v>
      </c>
      <c r="AA123" s="441" t="s">
        <v>74</v>
      </c>
      <c r="AB123" s="441" t="s">
        <v>11</v>
      </c>
      <c r="AC123" s="441">
        <v>55.6</v>
      </c>
      <c r="AD123" s="343"/>
      <c r="AG123" s="344"/>
      <c r="AL123" s="343"/>
      <c r="AO123" s="344"/>
      <c r="AP123" s="343"/>
      <c r="AS123" s="344"/>
      <c r="AW123" s="344"/>
      <c r="BA123" s="345"/>
    </row>
    <row r="124" spans="1:53" s="334" customFormat="1" x14ac:dyDescent="0.15">
      <c r="A124" s="334">
        <v>2012</v>
      </c>
      <c r="B124" s="445">
        <v>41219</v>
      </c>
      <c r="C124" s="812" t="s">
        <v>597</v>
      </c>
      <c r="D124" s="812"/>
      <c r="E124" s="334">
        <v>56</v>
      </c>
      <c r="F124" s="441" t="s">
        <v>340</v>
      </c>
      <c r="G124" s="419">
        <v>1</v>
      </c>
      <c r="H124" s="334">
        <v>16</v>
      </c>
      <c r="J124" s="435">
        <v>17</v>
      </c>
      <c r="K124" s="384">
        <f t="shared" si="7"/>
        <v>5.8823529411764701</v>
      </c>
      <c r="L124" s="384">
        <f t="shared" si="7"/>
        <v>94.117647058823522</v>
      </c>
      <c r="M124" s="384">
        <f t="shared" si="7"/>
        <v>0</v>
      </c>
      <c r="N124" s="421">
        <f t="shared" si="8"/>
        <v>99.999999999999986</v>
      </c>
      <c r="O124" s="383"/>
      <c r="P124" s="384">
        <v>46.2</v>
      </c>
      <c r="Q124" s="384"/>
      <c r="R124" s="385">
        <f t="shared" si="6"/>
        <v>46.2</v>
      </c>
      <c r="S124" s="334">
        <v>1</v>
      </c>
      <c r="T124" s="342">
        <v>41219</v>
      </c>
      <c r="V124" s="343" t="s">
        <v>131</v>
      </c>
      <c r="W124" s="334" t="s">
        <v>22</v>
      </c>
      <c r="X124" s="334" t="s">
        <v>18</v>
      </c>
      <c r="Y124" s="344">
        <v>46.2</v>
      </c>
      <c r="Z124" s="441" t="s">
        <v>343</v>
      </c>
      <c r="AA124" s="441" t="s">
        <v>74</v>
      </c>
      <c r="AB124" s="441" t="s">
        <v>11</v>
      </c>
      <c r="AC124" s="441">
        <v>53.8</v>
      </c>
      <c r="AD124" s="343"/>
      <c r="AG124" s="344"/>
      <c r="AL124" s="343"/>
      <c r="AO124" s="344"/>
      <c r="AP124" s="343"/>
      <c r="AS124" s="344"/>
      <c r="AW124" s="344"/>
      <c r="BA124" s="345"/>
    </row>
    <row r="125" spans="1:53" s="334" customFormat="1" x14ac:dyDescent="0.15">
      <c r="A125" s="334">
        <v>2013</v>
      </c>
      <c r="B125" s="445"/>
      <c r="C125" s="812" t="s">
        <v>597</v>
      </c>
      <c r="D125" s="812"/>
      <c r="E125" s="334">
        <v>19</v>
      </c>
      <c r="F125" s="441"/>
      <c r="G125" s="419">
        <v>1</v>
      </c>
      <c r="H125" s="334">
        <v>16</v>
      </c>
      <c r="J125" s="435">
        <v>17</v>
      </c>
      <c r="K125" s="384">
        <f t="shared" ref="K125:M126" si="9">G125/$J125*100</f>
        <v>5.8823529411764701</v>
      </c>
      <c r="L125" s="384">
        <f t="shared" si="9"/>
        <v>94.117647058823522</v>
      </c>
      <c r="M125" s="384">
        <f t="shared" si="9"/>
        <v>0</v>
      </c>
      <c r="N125" s="421">
        <f t="shared" si="8"/>
        <v>99.999999999999986</v>
      </c>
      <c r="O125" s="383"/>
      <c r="P125" s="384">
        <v>46.2</v>
      </c>
      <c r="Q125" s="384"/>
      <c r="R125" s="385">
        <f t="shared" si="6"/>
        <v>46.2</v>
      </c>
      <c r="S125" s="334">
        <v>1</v>
      </c>
      <c r="T125" s="342"/>
      <c r="V125" s="343" t="s">
        <v>131</v>
      </c>
      <c r="W125" s="334" t="s">
        <v>22</v>
      </c>
      <c r="X125" s="334" t="s">
        <v>18</v>
      </c>
      <c r="Y125" s="344">
        <v>46.2</v>
      </c>
      <c r="Z125" s="441" t="s">
        <v>343</v>
      </c>
      <c r="AA125" s="441" t="s">
        <v>74</v>
      </c>
      <c r="AB125" s="441" t="s">
        <v>11</v>
      </c>
      <c r="AC125" s="441">
        <v>53.8</v>
      </c>
      <c r="AD125" s="343"/>
      <c r="AG125" s="344"/>
      <c r="AL125" s="343"/>
      <c r="AO125" s="344"/>
      <c r="AP125" s="343"/>
      <c r="AS125" s="344"/>
      <c r="AW125" s="344"/>
      <c r="BA125" s="345"/>
    </row>
    <row r="126" spans="1:53" s="310" customFormat="1" x14ac:dyDescent="0.15">
      <c r="A126" s="310">
        <v>2013</v>
      </c>
      <c r="B126" s="308">
        <v>41294</v>
      </c>
      <c r="C126" s="811" t="s">
        <v>1269</v>
      </c>
      <c r="D126" s="811"/>
      <c r="E126" s="310">
        <f>365-E125</f>
        <v>346</v>
      </c>
      <c r="F126" s="310">
        <v>1</v>
      </c>
      <c r="G126" s="123">
        <v>1</v>
      </c>
      <c r="H126" s="310">
        <v>16</v>
      </c>
      <c r="J126" s="134">
        <v>17</v>
      </c>
      <c r="K126" s="92">
        <f t="shared" si="9"/>
        <v>5.8823529411764701</v>
      </c>
      <c r="L126" s="92">
        <f t="shared" si="9"/>
        <v>94.117647058823522</v>
      </c>
      <c r="M126" s="92">
        <f t="shared" si="9"/>
        <v>0</v>
      </c>
      <c r="N126" s="125">
        <f t="shared" si="8"/>
        <v>99.999999999999986</v>
      </c>
      <c r="O126" s="91"/>
      <c r="P126" s="92">
        <v>46.2</v>
      </c>
      <c r="Q126" s="92"/>
      <c r="R126" s="93">
        <f t="shared" si="6"/>
        <v>46.2</v>
      </c>
      <c r="S126" s="310">
        <v>1</v>
      </c>
      <c r="T126" s="81"/>
      <c r="U126" s="308">
        <v>41294</v>
      </c>
      <c r="V126" s="82" t="s">
        <v>131</v>
      </c>
      <c r="W126" s="310" t="s">
        <v>22</v>
      </c>
      <c r="X126" s="310" t="s">
        <v>18</v>
      </c>
      <c r="Y126" s="83">
        <v>46.2</v>
      </c>
      <c r="Z126" s="150" t="s">
        <v>343</v>
      </c>
      <c r="AA126" s="150" t="s">
        <v>74</v>
      </c>
      <c r="AB126" s="150" t="s">
        <v>11</v>
      </c>
      <c r="AC126" s="150">
        <v>53.8</v>
      </c>
      <c r="AD126" s="82"/>
      <c r="AG126" s="83"/>
      <c r="AL126" s="82"/>
      <c r="AO126" s="83"/>
      <c r="AP126" s="82"/>
      <c r="AS126" s="83"/>
      <c r="AW126" s="83"/>
      <c r="BA126" s="84"/>
    </row>
    <row r="127" spans="1:53" s="562" customFormat="1" x14ac:dyDescent="0.15">
      <c r="A127" s="563">
        <v>2014</v>
      </c>
      <c r="B127" s="568"/>
      <c r="C127" s="811" t="s">
        <v>1269</v>
      </c>
      <c r="D127" s="811"/>
      <c r="E127" s="563">
        <v>209</v>
      </c>
      <c r="F127" s="563"/>
      <c r="G127" s="572">
        <v>1</v>
      </c>
      <c r="H127" s="563">
        <v>16</v>
      </c>
      <c r="I127" s="563"/>
      <c r="J127" s="574">
        <v>17</v>
      </c>
      <c r="K127" s="570">
        <v>5.8823529411764701</v>
      </c>
      <c r="L127" s="570">
        <v>94.117647058823522</v>
      </c>
      <c r="M127" s="570">
        <v>0</v>
      </c>
      <c r="N127" s="573">
        <v>99.999999999999986</v>
      </c>
      <c r="O127" s="569"/>
      <c r="P127" s="570">
        <v>46.2</v>
      </c>
      <c r="Q127" s="570"/>
      <c r="R127" s="571">
        <v>46.2</v>
      </c>
      <c r="S127" s="563">
        <v>1</v>
      </c>
      <c r="T127" s="564"/>
      <c r="U127" s="568"/>
      <c r="V127" s="565" t="s">
        <v>131</v>
      </c>
      <c r="W127" s="563" t="s">
        <v>22</v>
      </c>
      <c r="X127" s="563" t="s">
        <v>18</v>
      </c>
      <c r="Y127" s="566">
        <v>46.2</v>
      </c>
      <c r="Z127" s="575" t="s">
        <v>343</v>
      </c>
      <c r="AA127" s="575" t="s">
        <v>74</v>
      </c>
      <c r="AB127" s="575" t="s">
        <v>11</v>
      </c>
      <c r="AC127" s="575">
        <v>53.8</v>
      </c>
      <c r="AD127" s="565"/>
      <c r="AE127" s="563"/>
      <c r="AF127" s="563"/>
      <c r="AG127" s="566"/>
      <c r="AH127" s="563"/>
      <c r="AI127" s="563"/>
      <c r="AJ127" s="563"/>
      <c r="AK127" s="563"/>
      <c r="AL127" s="565"/>
      <c r="AM127" s="563"/>
      <c r="AN127" s="563"/>
      <c r="AO127" s="566"/>
      <c r="AP127" s="565"/>
      <c r="AQ127" s="563"/>
      <c r="AR127" s="563"/>
      <c r="AS127" s="566"/>
      <c r="AT127" s="563"/>
      <c r="AU127" s="563"/>
      <c r="AV127" s="563"/>
      <c r="AW127" s="566"/>
      <c r="AX127" s="563"/>
      <c r="AY127" s="563"/>
      <c r="AZ127" s="563"/>
      <c r="BA127" s="567"/>
    </row>
    <row r="128" spans="1:53" s="562" customFormat="1" x14ac:dyDescent="0.15">
      <c r="A128" s="576">
        <v>2014</v>
      </c>
      <c r="B128" s="588">
        <v>41849</v>
      </c>
      <c r="C128" s="811" t="s">
        <v>1269</v>
      </c>
      <c r="D128" s="811"/>
      <c r="E128" s="576">
        <v>98</v>
      </c>
      <c r="F128" s="589">
        <v>0</v>
      </c>
      <c r="G128" s="585">
        <v>2</v>
      </c>
      <c r="H128" s="576">
        <v>15</v>
      </c>
      <c r="I128" s="576"/>
      <c r="J128" s="587">
        <v>17</v>
      </c>
      <c r="K128" s="583">
        <v>11.76470588235294</v>
      </c>
      <c r="L128" s="583">
        <v>88.235294117647058</v>
      </c>
      <c r="M128" s="583">
        <v>0</v>
      </c>
      <c r="N128" s="586">
        <v>100</v>
      </c>
      <c r="O128" s="582"/>
      <c r="P128" s="583">
        <v>46.2</v>
      </c>
      <c r="Q128" s="583"/>
      <c r="R128" s="584">
        <v>46.2</v>
      </c>
      <c r="S128" s="576">
        <v>1</v>
      </c>
      <c r="T128" s="577"/>
      <c r="U128" s="581"/>
      <c r="V128" s="578" t="s">
        <v>131</v>
      </c>
      <c r="W128" s="576" t="s">
        <v>22</v>
      </c>
      <c r="X128" s="576" t="s">
        <v>18</v>
      </c>
      <c r="Y128" s="579">
        <v>46.2</v>
      </c>
      <c r="Z128" s="589" t="s">
        <v>343</v>
      </c>
      <c r="AA128" s="589" t="s">
        <v>74</v>
      </c>
      <c r="AB128" s="589" t="s">
        <v>11</v>
      </c>
      <c r="AC128" s="589">
        <v>53.8</v>
      </c>
      <c r="AD128" s="578"/>
      <c r="AE128" s="576"/>
      <c r="AF128" s="576"/>
      <c r="AG128" s="579"/>
      <c r="AH128" s="576"/>
      <c r="AI128" s="576"/>
      <c r="AJ128" s="576"/>
      <c r="AK128" s="576"/>
      <c r="AL128" s="578"/>
      <c r="AM128" s="576"/>
      <c r="AN128" s="576"/>
      <c r="AO128" s="579"/>
      <c r="AP128" s="578"/>
      <c r="AQ128" s="576"/>
      <c r="AR128" s="576"/>
      <c r="AS128" s="579"/>
      <c r="AT128" s="576"/>
      <c r="AU128" s="576"/>
      <c r="AV128" s="576"/>
      <c r="AW128" s="579"/>
      <c r="AX128" s="576"/>
      <c r="AY128" s="576"/>
      <c r="AZ128" s="576"/>
      <c r="BA128" s="580"/>
    </row>
    <row r="129" spans="1:53" s="562" customFormat="1" x14ac:dyDescent="0.15">
      <c r="A129" s="591">
        <v>2014</v>
      </c>
      <c r="B129" s="603">
        <v>41947</v>
      </c>
      <c r="C129" s="811" t="s">
        <v>1269</v>
      </c>
      <c r="D129" s="811"/>
      <c r="E129" s="591">
        <v>58</v>
      </c>
      <c r="F129" s="604" t="s">
        <v>340</v>
      </c>
      <c r="G129" s="600">
        <v>2</v>
      </c>
      <c r="H129" s="591">
        <v>15</v>
      </c>
      <c r="I129" s="591"/>
      <c r="J129" s="602">
        <v>17</v>
      </c>
      <c r="K129" s="597">
        <v>11.76470588235294</v>
      </c>
      <c r="L129" s="597">
        <v>88.235294117647058</v>
      </c>
      <c r="M129" s="597">
        <v>0</v>
      </c>
      <c r="N129" s="601">
        <v>100</v>
      </c>
      <c r="O129" s="596"/>
      <c r="P129" s="597">
        <v>43.2</v>
      </c>
      <c r="Q129" s="597"/>
      <c r="R129" s="598">
        <v>43.2</v>
      </c>
      <c r="S129" s="591">
        <v>1</v>
      </c>
      <c r="T129" s="599">
        <v>41947</v>
      </c>
      <c r="U129" s="595"/>
      <c r="V129" s="592" t="s">
        <v>131</v>
      </c>
      <c r="W129" s="591" t="s">
        <v>22</v>
      </c>
      <c r="X129" s="591" t="s">
        <v>18</v>
      </c>
      <c r="Y129" s="593">
        <v>43.2</v>
      </c>
      <c r="Z129" s="604" t="s">
        <v>343</v>
      </c>
      <c r="AA129" s="604" t="s">
        <v>74</v>
      </c>
      <c r="AB129" s="604" t="s">
        <v>11</v>
      </c>
      <c r="AC129" s="604">
        <v>56.8</v>
      </c>
      <c r="AD129" s="592"/>
      <c r="AE129" s="591"/>
      <c r="AF129" s="591"/>
      <c r="AG129" s="593"/>
      <c r="AH129" s="591"/>
      <c r="AI129" s="591"/>
      <c r="AJ129" s="591"/>
      <c r="AK129" s="591"/>
      <c r="AL129" s="592"/>
      <c r="AM129" s="591"/>
      <c r="AN129" s="591"/>
      <c r="AO129" s="593"/>
      <c r="AP129" s="592"/>
      <c r="AQ129" s="591"/>
      <c r="AR129" s="591"/>
      <c r="AS129" s="593"/>
      <c r="AT129" s="591"/>
      <c r="AU129" s="591"/>
      <c r="AV129" s="591"/>
      <c r="AW129" s="593"/>
      <c r="AX129" s="591"/>
      <c r="AY129" s="591"/>
      <c r="AZ129" s="591"/>
      <c r="BA129" s="594"/>
    </row>
    <row r="130" spans="1:53" s="769" customFormat="1" x14ac:dyDescent="0.15">
      <c r="A130" s="769">
        <v>2015</v>
      </c>
      <c r="B130" s="603"/>
      <c r="C130" s="811" t="s">
        <v>1269</v>
      </c>
      <c r="D130" s="811"/>
      <c r="E130" s="769">
        <v>42</v>
      </c>
      <c r="F130" s="604"/>
      <c r="G130" s="600">
        <v>2</v>
      </c>
      <c r="H130" s="769">
        <v>15</v>
      </c>
      <c r="J130" s="602">
        <v>17</v>
      </c>
      <c r="K130" s="597">
        <v>11.76470588235294</v>
      </c>
      <c r="L130" s="597">
        <v>88.235294117647058</v>
      </c>
      <c r="M130" s="597">
        <v>0</v>
      </c>
      <c r="N130" s="601">
        <v>100</v>
      </c>
      <c r="O130" s="596"/>
      <c r="P130" s="597">
        <v>43.2</v>
      </c>
      <c r="Q130" s="597"/>
      <c r="R130" s="598">
        <v>43.2</v>
      </c>
      <c r="S130" s="769">
        <v>1</v>
      </c>
      <c r="T130" s="599"/>
      <c r="U130" s="765"/>
      <c r="V130" s="592" t="s">
        <v>131</v>
      </c>
      <c r="W130" s="769" t="s">
        <v>22</v>
      </c>
      <c r="X130" s="769" t="s">
        <v>18</v>
      </c>
      <c r="Y130" s="593">
        <v>43.2</v>
      </c>
      <c r="Z130" s="604" t="s">
        <v>343</v>
      </c>
      <c r="AA130" s="604" t="s">
        <v>74</v>
      </c>
      <c r="AB130" s="604" t="s">
        <v>11</v>
      </c>
      <c r="AC130" s="604">
        <v>56.8</v>
      </c>
      <c r="AD130" s="592"/>
      <c r="AG130" s="593"/>
      <c r="AL130" s="592"/>
      <c r="AO130" s="593"/>
      <c r="AP130" s="592"/>
      <c r="AS130" s="593"/>
      <c r="AW130" s="593"/>
      <c r="BA130" s="594"/>
    </row>
    <row r="131" spans="1:53" s="769" customFormat="1" x14ac:dyDescent="0.15">
      <c r="A131" s="769">
        <v>2015</v>
      </c>
      <c r="B131" s="603">
        <v>42047</v>
      </c>
      <c r="C131" s="811" t="s">
        <v>1269</v>
      </c>
      <c r="D131" s="811"/>
      <c r="E131" s="769">
        <v>323</v>
      </c>
      <c r="F131" s="604">
        <v>0</v>
      </c>
      <c r="G131" s="600">
        <v>1</v>
      </c>
      <c r="H131" s="769">
        <v>16</v>
      </c>
      <c r="J131" s="602">
        <v>17</v>
      </c>
      <c r="K131" s="597">
        <v>11.764705882352899</v>
      </c>
      <c r="L131" s="597">
        <v>88.235294117647101</v>
      </c>
      <c r="M131" s="597">
        <v>0</v>
      </c>
      <c r="N131" s="601">
        <v>100</v>
      </c>
      <c r="O131" s="596"/>
      <c r="P131" s="597">
        <v>43.2</v>
      </c>
      <c r="Q131" s="597"/>
      <c r="R131" s="598">
        <v>43.2</v>
      </c>
      <c r="S131" s="769">
        <v>1</v>
      </c>
      <c r="T131" s="599"/>
      <c r="U131" s="765"/>
      <c r="V131" s="592" t="s">
        <v>131</v>
      </c>
      <c r="W131" s="769" t="s">
        <v>22</v>
      </c>
      <c r="X131" s="769" t="s">
        <v>18</v>
      </c>
      <c r="Y131" s="593">
        <v>43.2</v>
      </c>
      <c r="Z131" s="604" t="s">
        <v>343</v>
      </c>
      <c r="AA131" s="604" t="s">
        <v>74</v>
      </c>
      <c r="AB131" s="604" t="s">
        <v>11</v>
      </c>
      <c r="AC131" s="604">
        <v>56.8</v>
      </c>
      <c r="AD131" s="592"/>
      <c r="AG131" s="593"/>
      <c r="AL131" s="592"/>
      <c r="AO131" s="593"/>
      <c r="AP131" s="592"/>
      <c r="AS131" s="593"/>
      <c r="AW131" s="593"/>
      <c r="BA131" s="594"/>
    </row>
    <row r="132" spans="1:53" x14ac:dyDescent="0.15">
      <c r="M132" s="2"/>
      <c r="N132" s="2"/>
      <c r="AW132" s="23"/>
      <c r="BA132" s="3"/>
    </row>
    <row r="134" spans="1:53" s="2" customFormat="1" ht="18" customHeight="1" x14ac:dyDescent="0.2">
      <c r="B134" s="22" t="s">
        <v>1284</v>
      </c>
      <c r="H134" s="6"/>
    </row>
    <row r="135" spans="1:53" s="2" customFormat="1" ht="9" customHeight="1" x14ac:dyDescent="0.15">
      <c r="H135" s="6"/>
    </row>
    <row r="136" spans="1:53" s="364" customFormat="1" ht="9" customHeight="1" x14ac:dyDescent="0.15">
      <c r="A136" s="362"/>
      <c r="B136" s="363" t="s">
        <v>1235</v>
      </c>
      <c r="C136" s="363"/>
      <c r="D136" s="363"/>
      <c r="E136" s="363"/>
      <c r="F136" s="363"/>
      <c r="G136" s="363" t="s">
        <v>1236</v>
      </c>
      <c r="H136" s="363"/>
      <c r="I136" s="363"/>
      <c r="J136" s="363"/>
      <c r="K136" s="363"/>
      <c r="L136" s="363"/>
      <c r="M136" s="363"/>
      <c r="N136" s="363"/>
      <c r="R136" s="802" t="s">
        <v>1237</v>
      </c>
      <c r="S136" s="802"/>
      <c r="T136" s="802"/>
      <c r="U136" s="802"/>
      <c r="V136" s="802"/>
      <c r="W136" s="802"/>
      <c r="X136" s="365"/>
      <c r="Y136" s="365"/>
      <c r="AA136" s="365"/>
      <c r="AB136" s="365"/>
      <c r="AC136" s="365"/>
      <c r="AD136" s="365"/>
    </row>
    <row r="137" spans="1:53" s="369" customFormat="1" ht="9" customHeight="1" x14ac:dyDescent="0.15">
      <c r="A137" s="366"/>
      <c r="B137" s="367" t="s">
        <v>1239</v>
      </c>
      <c r="C137" s="368"/>
      <c r="D137" s="368"/>
      <c r="E137" s="368"/>
      <c r="F137" s="368"/>
      <c r="G137" s="367" t="s">
        <v>1238</v>
      </c>
      <c r="H137" s="368"/>
      <c r="I137" s="368"/>
      <c r="J137" s="368"/>
      <c r="K137" s="368"/>
      <c r="L137" s="368"/>
      <c r="M137" s="368"/>
      <c r="N137" s="368"/>
      <c r="R137" s="370" t="s">
        <v>1240</v>
      </c>
      <c r="S137" s="371"/>
      <c r="T137" s="372"/>
      <c r="U137" s="372"/>
      <c r="V137" s="372"/>
      <c r="W137" s="370" t="s">
        <v>1241</v>
      </c>
      <c r="X137" s="372"/>
      <c r="Y137" s="372"/>
      <c r="AA137" s="372"/>
      <c r="AB137" s="372"/>
      <c r="AC137" s="372"/>
      <c r="AD137" s="372"/>
    </row>
    <row r="138" spans="1:53" s="351" customFormat="1" ht="12" customHeight="1" x14ac:dyDescent="0.15">
      <c r="A138" s="373" t="s">
        <v>3</v>
      </c>
      <c r="B138" s="374" t="s">
        <v>8</v>
      </c>
      <c r="C138" s="374" t="s">
        <v>9</v>
      </c>
      <c r="D138" s="374" t="s">
        <v>10</v>
      </c>
      <c r="E138" s="375" t="s">
        <v>1215</v>
      </c>
      <c r="F138" s="374"/>
      <c r="G138" s="351" t="s">
        <v>3</v>
      </c>
      <c r="H138" s="803" t="s">
        <v>0</v>
      </c>
      <c r="I138" s="803"/>
      <c r="J138" s="803" t="s">
        <v>1</v>
      </c>
      <c r="K138" s="803"/>
      <c r="L138" s="803" t="s">
        <v>2</v>
      </c>
      <c r="M138" s="803"/>
      <c r="N138" s="804" t="s">
        <v>1215</v>
      </c>
      <c r="O138" s="804"/>
      <c r="P138" s="376"/>
      <c r="Q138" s="376"/>
      <c r="R138" s="377" t="s">
        <v>3</v>
      </c>
      <c r="S138" s="378" t="s">
        <v>136</v>
      </c>
      <c r="T138" s="376" t="s">
        <v>134</v>
      </c>
      <c r="U138" s="374" t="s">
        <v>135</v>
      </c>
      <c r="V138" s="376"/>
      <c r="W138" s="379" t="s">
        <v>26</v>
      </c>
    </row>
    <row r="139" spans="1:53" s="273" customFormat="1" x14ac:dyDescent="0.15">
      <c r="A139" s="273">
        <v>1959</v>
      </c>
      <c r="B139" s="260">
        <f>(K6*($E6/365)) + (K7*($E7/365))</f>
        <v>92.307692307692307</v>
      </c>
      <c r="C139" s="260">
        <f>(L6*($E6/365)) + (L7*($E7/365))</f>
        <v>7.6923076923076925</v>
      </c>
      <c r="D139" s="260">
        <f>(M6*($E6/365)) + (M7*($E7/365))</f>
        <v>0</v>
      </c>
      <c r="E139" s="261">
        <f>B139+C139+D139</f>
        <v>100</v>
      </c>
      <c r="G139" s="273">
        <v>1959</v>
      </c>
      <c r="H139" s="819">
        <f>(O6/$R6*100*($E6/365))+(O7/$R7*100*($E7/365))</f>
        <v>100</v>
      </c>
      <c r="I139" s="819"/>
      <c r="J139" s="819">
        <f>(P6/$R6*100*($E6/365))+(P7/$R7*100*($E7/365))</f>
        <v>0</v>
      </c>
      <c r="K139" s="819"/>
      <c r="L139" s="819">
        <f>(Q6/$R6*100*($E6/365))+(Q7/$R7*100*($E7/365))</f>
        <v>0</v>
      </c>
      <c r="M139" s="819"/>
      <c r="N139" s="813">
        <f>H139+J139+L139</f>
        <v>100</v>
      </c>
      <c r="O139" s="813"/>
      <c r="R139" s="273">
        <v>1959</v>
      </c>
      <c r="S139" s="260">
        <f>(O6*($E6/365)) + (O7*($E7/365))</f>
        <v>35</v>
      </c>
      <c r="T139" s="260">
        <f>(P6*($E6/365)) + (P7*($E7/365))</f>
        <v>0</v>
      </c>
      <c r="U139" s="260">
        <f>(Q6*($E6/365)) + (Q7*($E7/365))</f>
        <v>0</v>
      </c>
      <c r="V139" s="274"/>
      <c r="W139" s="274">
        <f>S139+T139+U139</f>
        <v>35</v>
      </c>
    </row>
    <row r="140" spans="1:53" x14ac:dyDescent="0.15">
      <c r="A140" s="1">
        <v>1960</v>
      </c>
      <c r="B140" s="8">
        <f>(K8*($E8/366))+(K9*($E9/366))</f>
        <v>92.307692307692292</v>
      </c>
      <c r="C140" s="8">
        <f>(L8*($E8/366))+(L9*($E9/366))</f>
        <v>7.6923076923076925</v>
      </c>
      <c r="D140" s="8">
        <f>(M8*($E8/366))+(M9*($E9/366))</f>
        <v>0</v>
      </c>
      <c r="E140" s="50">
        <f>B140+C140+D140</f>
        <v>99.999999999999986</v>
      </c>
      <c r="G140" s="1">
        <v>1960</v>
      </c>
      <c r="H140" s="809">
        <f>(O8/$R8*100*($E8/366))+(O9/$R9*100*($E9/366))</f>
        <v>99.999999999999986</v>
      </c>
      <c r="I140" s="809"/>
      <c r="J140" s="809">
        <f>(P8/$R8*100*($E8/366))+(P9/$R9*100*($E9/366))</f>
        <v>0</v>
      </c>
      <c r="K140" s="809"/>
      <c r="L140" s="809">
        <f>(Q8/$R8*100*($E8/366))+(Q9/$R9*100*($E9/366))</f>
        <v>0</v>
      </c>
      <c r="M140" s="809"/>
      <c r="N140" s="810">
        <f t="shared" ref="N140:N171" si="10">H140+J140+L140</f>
        <v>99.999999999999986</v>
      </c>
      <c r="O140" s="810"/>
      <c r="R140" s="1">
        <v>1960</v>
      </c>
      <c r="S140" s="8">
        <f>(O8*($E8/366))+(O9*($E9/366))</f>
        <v>35.737704918032783</v>
      </c>
      <c r="T140" s="8">
        <f>(P8*($E8/366))+(P9*($E9/366))</f>
        <v>0</v>
      </c>
      <c r="U140" s="8">
        <f>(Q8*($E8/366))+(Q9*($E9/366))</f>
        <v>0</v>
      </c>
      <c r="V140" s="7"/>
      <c r="W140" s="7">
        <f>S140+T140+U140</f>
        <v>35.737704918032783</v>
      </c>
    </row>
    <row r="141" spans="1:53" x14ac:dyDescent="0.15">
      <c r="A141" s="1">
        <v>1961</v>
      </c>
      <c r="B141" s="8">
        <f>(K10*($E10/365))+(K11*($E11/365))</f>
        <v>11.124692658939235</v>
      </c>
      <c r="C141" s="8">
        <f>(L10*($E10/365))+(L11*($E11/365))</f>
        <v>88.875307341060761</v>
      </c>
      <c r="D141" s="8">
        <f>(M10*($E10/365))+(M11*($E11/365))</f>
        <v>0</v>
      </c>
      <c r="E141" s="50">
        <f t="shared" ref="E141:E193" si="11">B141+C141+D141</f>
        <v>100</v>
      </c>
      <c r="G141" s="1">
        <v>1961</v>
      </c>
      <c r="H141" s="809">
        <f>(O10/$R10*100*($E10/365))+(O11/$R11*100*($E11/365))</f>
        <v>5.2054794520547949</v>
      </c>
      <c r="I141" s="809"/>
      <c r="J141" s="809">
        <f>(P10/$R10*100*($E10/365))+(P11/$R11*100*($E11/365))</f>
        <v>94.794520547945211</v>
      </c>
      <c r="K141" s="809"/>
      <c r="L141" s="809">
        <f>(Q10/$R10*100*($E10/365))+(Q11/$R11*100*($E11/365))</f>
        <v>0</v>
      </c>
      <c r="M141" s="809"/>
      <c r="N141" s="781">
        <f t="shared" si="10"/>
        <v>100</v>
      </c>
      <c r="O141" s="781"/>
      <c r="R141" s="1">
        <v>1961</v>
      </c>
      <c r="S141" s="8">
        <f>(O10*($E10/365))+(O11*($E11/365))</f>
        <v>2.0821917808219177</v>
      </c>
      <c r="T141" s="8">
        <f>(P10*($E10/365))+(P11*($E11/365))</f>
        <v>56.87671232876712</v>
      </c>
      <c r="U141" s="8">
        <f>(Q10*($E10/365))+(Q11*($E11/365))</f>
        <v>0</v>
      </c>
      <c r="V141" s="7"/>
      <c r="W141" s="7">
        <f t="shared" ref="W141:W193" si="12">S141+T141+U141</f>
        <v>58.958904109589035</v>
      </c>
    </row>
    <row r="142" spans="1:53" x14ac:dyDescent="0.15">
      <c r="A142" s="1">
        <v>1962</v>
      </c>
      <c r="B142" s="8">
        <f>(K12*($E12/365))+(K13*($E13/365))</f>
        <v>6.666666666666667</v>
      </c>
      <c r="C142" s="8">
        <f>(L12*($E12/365))+(L13*($E13/365))</f>
        <v>93.333333333333329</v>
      </c>
      <c r="D142" s="8">
        <f>(M12*($E12/365))+(M13*($E13/365))</f>
        <v>0</v>
      </c>
      <c r="E142" s="50">
        <f t="shared" si="11"/>
        <v>100</v>
      </c>
      <c r="G142" s="1">
        <v>1962</v>
      </c>
      <c r="H142" s="809">
        <f>(O12/$R12*100*($E12/365))+(O13/$R13*100*($E13/365))</f>
        <v>0</v>
      </c>
      <c r="I142" s="809"/>
      <c r="J142" s="809">
        <f>(P12/$R12*100*($E12/365))+(P13/$R13*100*($E13/365))</f>
        <v>100</v>
      </c>
      <c r="K142" s="809"/>
      <c r="L142" s="809">
        <f>(Q12/$R12*100*($E12/365))+(Q13/$R13*100*($E13/365))</f>
        <v>0</v>
      </c>
      <c r="M142" s="809"/>
      <c r="N142" s="781">
        <f t="shared" si="10"/>
        <v>100</v>
      </c>
      <c r="O142" s="781"/>
      <c r="R142" s="1">
        <v>1962</v>
      </c>
      <c r="S142" s="8">
        <f>(O12*($E12/365))+(O13*($E13/365))</f>
        <v>0</v>
      </c>
      <c r="T142" s="8">
        <f>(P12*($E12/365))+(P13*($E13/365))</f>
        <v>59.923287671232877</v>
      </c>
      <c r="U142" s="8">
        <f>(Q12*($E12/365))+(Q13*($E13/365))</f>
        <v>0</v>
      </c>
      <c r="V142" s="7"/>
      <c r="W142" s="7">
        <f t="shared" si="12"/>
        <v>59.923287671232877</v>
      </c>
    </row>
    <row r="143" spans="1:53" x14ac:dyDescent="0.15">
      <c r="A143" s="1">
        <v>1963</v>
      </c>
      <c r="B143" s="8">
        <f>(K14*($E14/365))+(K15*($E15/365))+(K16*($E16/365))</f>
        <v>6.7449445531637311</v>
      </c>
      <c r="C143" s="8">
        <f>(L14*($E14/365))+(L15*($E15/365))+(L16*($E16/365))</f>
        <v>93.255055446836252</v>
      </c>
      <c r="D143" s="8">
        <f>(M14*($E14/365))+(M15*($E15/365))+(M16*($E16/365))</f>
        <v>0</v>
      </c>
      <c r="E143" s="50">
        <f t="shared" si="11"/>
        <v>99.999999999999986</v>
      </c>
      <c r="G143" s="1">
        <v>1963</v>
      </c>
      <c r="H143" s="809">
        <f>(O14/$R14*100*($E14/365))+(O15/$R15*100*($E15/365))+(O16/$R16*100*($E16/365))</f>
        <v>0</v>
      </c>
      <c r="I143" s="809"/>
      <c r="J143" s="809">
        <f>(P14/$R14*100*($E14/365))+(P15/$R15*100*($E15/365))+(P16/$R16*100*($E16/365))</f>
        <v>100</v>
      </c>
      <c r="K143" s="809"/>
      <c r="L143" s="809">
        <f>(Q14/$R14*100*($E14/365))+(Q15/$R15*100*($E15/365))+(Q16/$R16*100*($E16/365))</f>
        <v>0</v>
      </c>
      <c r="M143" s="809"/>
      <c r="N143" s="781">
        <f t="shared" si="10"/>
        <v>100</v>
      </c>
      <c r="O143" s="781"/>
      <c r="R143" s="1">
        <v>1963</v>
      </c>
      <c r="S143" s="8">
        <f>(O14*($E14/365))+(O15*($E15/365))+(O16*($E16/365))</f>
        <v>0</v>
      </c>
      <c r="T143" s="8">
        <f>(P14*($E14/365))+(P15*($E15/365))+(P16*($E16/365))</f>
        <v>59.5</v>
      </c>
      <c r="U143" s="8">
        <f>(Q14*($E14/365))+(Q15*($E15/365))+(Q16*($E16/365))</f>
        <v>0</v>
      </c>
      <c r="V143" s="7"/>
      <c r="W143" s="7">
        <f t="shared" si="12"/>
        <v>59.5</v>
      </c>
    </row>
    <row r="144" spans="1:53" x14ac:dyDescent="0.15">
      <c r="A144" s="1">
        <v>1964</v>
      </c>
      <c r="B144" s="8">
        <f>(K17*($E17/366))+(K18*($E18/366))</f>
        <v>7.1428571428571423</v>
      </c>
      <c r="C144" s="8">
        <f>(L17*($E17/366))+(L18*($E18/366))</f>
        <v>92.857142857142861</v>
      </c>
      <c r="D144" s="8">
        <f>(M17*($E17/366))+(M18*($E18/366))</f>
        <v>0</v>
      </c>
      <c r="E144" s="50">
        <f t="shared" si="11"/>
        <v>100</v>
      </c>
      <c r="G144" s="1">
        <v>1964</v>
      </c>
      <c r="H144" s="809">
        <f>(O17/$R17*100*($E17/366))+(O18/$R18*100*($E18/366))</f>
        <v>0</v>
      </c>
      <c r="I144" s="809"/>
      <c r="J144" s="809">
        <f>(P17/$R17*100*($E17/366))+(P18/$R18*100*($E18/366))</f>
        <v>100</v>
      </c>
      <c r="K144" s="809"/>
      <c r="L144" s="809">
        <f>(Q17/$R17*100*($E17/366))+(Q18/$R18*100*($E18/366))</f>
        <v>0</v>
      </c>
      <c r="M144" s="809"/>
      <c r="N144" s="781">
        <f t="shared" si="10"/>
        <v>100</v>
      </c>
      <c r="O144" s="781"/>
      <c r="R144" s="1">
        <v>1964</v>
      </c>
      <c r="S144" s="8">
        <f>(O17*($E17/366))+(O18*($E18/366))</f>
        <v>0</v>
      </c>
      <c r="T144" s="8">
        <f>(P17*($E17/366))+(P18*($E18/366))</f>
        <v>60.837978142076508</v>
      </c>
      <c r="U144" s="8">
        <f>(Q17*($E17/366))+(Q18*($E18/366))</f>
        <v>0</v>
      </c>
      <c r="V144" s="7"/>
      <c r="W144" s="7">
        <f t="shared" si="12"/>
        <v>60.837978142076508</v>
      </c>
    </row>
    <row r="145" spans="1:23" x14ac:dyDescent="0.15">
      <c r="A145" s="1">
        <v>1965</v>
      </c>
      <c r="B145" s="8">
        <f>(K19*($E19/365))+(K20*($E20/365))+(K21*($E21/365))+(K22*($E22/365))</f>
        <v>14.198303979125898</v>
      </c>
      <c r="C145" s="8">
        <f>(L19*($E19/365))+(L20*($E20/365))+(L21*($E21/365))+(L22*($E22/365))</f>
        <v>85.801696020874104</v>
      </c>
      <c r="D145" s="8">
        <f>(M19*($E19/365))+(M20*($E20/365))+(M21*($E21/365))+(M22*($E22/365))</f>
        <v>0</v>
      </c>
      <c r="E145" s="50">
        <f t="shared" si="11"/>
        <v>100</v>
      </c>
      <c r="G145" s="1">
        <v>1965</v>
      </c>
      <c r="H145" s="809">
        <f>(O19/$R19*100*($E19/365))+(O20/$R20*100*($E20/365))+(O21/$R21*100*($E21/365))+(O22/$R22*100*($E22/365))</f>
        <v>0</v>
      </c>
      <c r="I145" s="809"/>
      <c r="J145" s="809">
        <f>(P19/$R19*100*($E19/365))+(P20/$R20*100*($E20/365))+(P21/$R21*100*($E21/365))+(P22/$R22*100*($E22/365))</f>
        <v>100</v>
      </c>
      <c r="K145" s="809"/>
      <c r="L145" s="809">
        <f>(Q19/$R19*100*($E19/365))+(Q20/$R20*100*($E20/365))+(Q21/$R21*100*($E21/365))+(Q22/$R22*100*($E22/365))</f>
        <v>0</v>
      </c>
      <c r="M145" s="809"/>
      <c r="N145" s="781">
        <f t="shared" si="10"/>
        <v>100</v>
      </c>
      <c r="O145" s="781"/>
      <c r="R145" s="1">
        <v>1965</v>
      </c>
      <c r="S145" s="8">
        <f>(O19*($E19/365))+(O20*($E20/365))+(O21*($E21/365))+(O22*($E22/365))</f>
        <v>0</v>
      </c>
      <c r="T145" s="8">
        <f>(P19*($E19/365))+(P20*($E20/365))+(P21*($E21/365))+(P22*($E22/365))</f>
        <v>67.8</v>
      </c>
      <c r="U145" s="8">
        <f>(Q19*($E19/365))+(Q20*($E20/365))+(Q21*($E21/365))+(Q22*($E22/365))</f>
        <v>0</v>
      </c>
      <c r="V145" s="7"/>
      <c r="W145" s="7">
        <f t="shared" si="12"/>
        <v>67.8</v>
      </c>
    </row>
    <row r="146" spans="1:23" x14ac:dyDescent="0.15">
      <c r="A146" s="1">
        <v>1966</v>
      </c>
      <c r="B146" s="8">
        <f>(K23*($E23/365))+(K24*($E24/365))+(K25*($E25/365))</f>
        <v>18.80821917808219</v>
      </c>
      <c r="C146" s="8">
        <f>(L23*($E23/365))+(L24*($E24/365))+(L25*($E25/365))</f>
        <v>81.191780821917803</v>
      </c>
      <c r="D146" s="8">
        <f>(M23*($E23/365))+(M24*($E24/365))+(M25*($E25/365))</f>
        <v>0</v>
      </c>
      <c r="E146" s="50">
        <f t="shared" si="11"/>
        <v>100</v>
      </c>
      <c r="G146" s="1">
        <v>1966</v>
      </c>
      <c r="H146" s="809">
        <f>(O23/$R23*100*($E23/365))+(O24/$R24*100*($E24/365))+(O25/$R25*100*($E25/365))</f>
        <v>0</v>
      </c>
      <c r="I146" s="809"/>
      <c r="J146" s="809">
        <f>(P23/$R23*100*($E23/365))+(P24/$R24*100*($E24/365))+(P25/$R25*100*($E25/365))</f>
        <v>100</v>
      </c>
      <c r="K146" s="809"/>
      <c r="L146" s="809">
        <f>(Q23/$R23*100*($E23/365))+(Q24/$R24*100*($E24/365))+(Q25/$R25*100*($E25/365))</f>
        <v>0</v>
      </c>
      <c r="M146" s="809"/>
      <c r="N146" s="781">
        <f t="shared" si="10"/>
        <v>100</v>
      </c>
      <c r="O146" s="781"/>
      <c r="R146" s="1">
        <v>1966</v>
      </c>
      <c r="S146" s="8">
        <f>(O23*($E23/365))+(O24*($E24/365))+(O25*($E25/365))</f>
        <v>0</v>
      </c>
      <c r="T146" s="8">
        <f>(P23*($E23/365))+(P24*($E24/365))+(P25*($E25/365))</f>
        <v>66.231780821917809</v>
      </c>
      <c r="U146" s="8">
        <f>(Q23*($E23/365))+(Q24*($E24/365))+(Q25*($E25/365))</f>
        <v>0</v>
      </c>
      <c r="V146" s="7"/>
      <c r="W146" s="7">
        <f>S146+T146+U146</f>
        <v>66.231780821917809</v>
      </c>
    </row>
    <row r="147" spans="1:23" x14ac:dyDescent="0.15">
      <c r="A147" s="1">
        <v>1967</v>
      </c>
      <c r="B147" s="8">
        <f>(K26*($E26/365))+(K27*($E27/365))</f>
        <v>18.75</v>
      </c>
      <c r="C147" s="8">
        <f>(L26*($E26/365))+(L27*($E27/365))</f>
        <v>81.25</v>
      </c>
      <c r="D147" s="8">
        <f>(M26*($E26/365))+(M27*($E27/365))</f>
        <v>0</v>
      </c>
      <c r="E147" s="50">
        <f t="shared" si="11"/>
        <v>100</v>
      </c>
      <c r="G147" s="1">
        <v>1967</v>
      </c>
      <c r="H147" s="809">
        <f>(O26/$R26*100*($E26/365))+(O27/$R27*100*($E27/365))</f>
        <v>0</v>
      </c>
      <c r="I147" s="809"/>
      <c r="J147" s="809">
        <f>(P26/$R26*100*($E26/365))+(P27/$R27*100*($E27/365))</f>
        <v>100</v>
      </c>
      <c r="K147" s="809"/>
      <c r="L147" s="809">
        <f>(Q26/$R26*100*($E26/365))+(Q27/$R27*100*($E27/365))</f>
        <v>0</v>
      </c>
      <c r="M147" s="809"/>
      <c r="N147" s="781">
        <f t="shared" si="10"/>
        <v>100</v>
      </c>
      <c r="O147" s="781"/>
      <c r="R147" s="1">
        <v>1967</v>
      </c>
      <c r="S147" s="8">
        <f>(O26*($E26/365))+(O27*($E27/365))</f>
        <v>0</v>
      </c>
      <c r="T147" s="8">
        <f>(P26*($E26/365))+(P27*($E27/365))</f>
        <v>57.2</v>
      </c>
      <c r="U147" s="8">
        <f>(Q26*($E26/365))+(Q27*($E27/365))</f>
        <v>0</v>
      </c>
      <c r="V147" s="7"/>
      <c r="W147" s="7">
        <f t="shared" si="12"/>
        <v>57.2</v>
      </c>
    </row>
    <row r="148" spans="1:23" x14ac:dyDescent="0.15">
      <c r="A148" s="1">
        <v>1968</v>
      </c>
      <c r="B148" s="8">
        <f>(K28*($E28/366))+(K29*($E29/366))+(K30*($E30/366))+(K31*($E31/366))</f>
        <v>8.1113387978142075</v>
      </c>
      <c r="C148" s="8">
        <f>(L28*($E28/366))+(L29*($E29/366))+(L30*($E30/366))+(L31*($E31/366))</f>
        <v>91.888661202185787</v>
      </c>
      <c r="D148" s="8">
        <f>(M28*($E28/366))+(M29*($E29/366))+(M30*($E30/366))+(M31*($E31/366))</f>
        <v>0</v>
      </c>
      <c r="E148" s="50">
        <f t="shared" si="11"/>
        <v>100</v>
      </c>
      <c r="G148" s="1">
        <v>1968</v>
      </c>
      <c r="H148" s="809">
        <f>(O28/$R28*100*($E28/366))+(O29/$R29*100*($E29/366))+(O30/$R30*100*($E30/366))+(O31/$R31*100*($E31/366))</f>
        <v>0</v>
      </c>
      <c r="I148" s="809"/>
      <c r="J148" s="809">
        <f>(P28/$R28*100*($E28/366))+(P29/$R29*100*($E29/366))+(P30/$R30*100*($E30/366))+(P31/$R31*100*($E31/366))</f>
        <v>100</v>
      </c>
      <c r="K148" s="809"/>
      <c r="L148" s="809">
        <f>(Q28/$R28*100*($E28/366))+(Q29/$R29*100*($E29/366))+(Q30/$R30*100*($E30/366))+(Q31/$R31*100*($E31/366))</f>
        <v>0</v>
      </c>
      <c r="M148" s="809"/>
      <c r="N148" s="781">
        <f t="shared" si="10"/>
        <v>100</v>
      </c>
      <c r="O148" s="781"/>
      <c r="R148" s="1">
        <v>1968</v>
      </c>
      <c r="S148" s="8">
        <f>(O28*($E28/366))+(O29*($E29/366))+(O30*($E30/366))+(O31*($E31/366))</f>
        <v>0</v>
      </c>
      <c r="T148" s="8">
        <f>(P28*($E28/366))+(P29*($E29/366))+(P30*($E30/366))+(P31*($E31/366))</f>
        <v>56.997540983606548</v>
      </c>
      <c r="U148" s="8">
        <f>(Q28*($E28/366))+(Q29*($E29/366))+(Q30*($E30/366))+(Q31*($E31/366))</f>
        <v>0</v>
      </c>
      <c r="V148" s="7"/>
      <c r="W148" s="7">
        <f>S148+T148+U148</f>
        <v>56.997540983606548</v>
      </c>
    </row>
    <row r="149" spans="1:23" x14ac:dyDescent="0.15">
      <c r="A149" s="1">
        <v>1969</v>
      </c>
      <c r="B149" s="8">
        <f>(K32*($E32/365))+(K33*($E33/365))</f>
        <v>94.794520547945211</v>
      </c>
      <c r="C149" s="8">
        <f>(L32*($E32/365))+(L33*($E33/365))</f>
        <v>5.2054794520547949</v>
      </c>
      <c r="D149" s="8">
        <f>(M32*($E32/365))+(M33*($E33/365))</f>
        <v>0</v>
      </c>
      <c r="E149" s="50">
        <f t="shared" si="11"/>
        <v>100</v>
      </c>
      <c r="G149" s="1">
        <v>1969</v>
      </c>
      <c r="H149" s="809">
        <f>(O32/$R32*100*($E32/365))+(O33/$R33*100*($E33/365))</f>
        <v>94.794520547945211</v>
      </c>
      <c r="I149" s="809"/>
      <c r="J149" s="809">
        <f>(P32/$R32*100*($E32/365))+(P33/$R33*100*($E33/365))</f>
        <v>5.2054794520547949</v>
      </c>
      <c r="K149" s="809"/>
      <c r="L149" s="809">
        <f>(Q32/$R32*100*($E32/365))+(Q33/$R33*100*($E33/365))</f>
        <v>0</v>
      </c>
      <c r="M149" s="809"/>
      <c r="N149" s="781">
        <f t="shared" si="10"/>
        <v>100</v>
      </c>
      <c r="O149" s="781"/>
      <c r="R149" s="1">
        <v>1969</v>
      </c>
      <c r="S149" s="8">
        <f>(O32*($E32/365))+(O33*($E33/365))</f>
        <v>41.804383561643839</v>
      </c>
      <c r="T149" s="8">
        <f>(P32*($E32/365))+(P33*($E33/365))</f>
        <v>2.9098630136986303</v>
      </c>
      <c r="U149" s="8">
        <f>(Q32*($E32/365))+(Q33*($E33/365))</f>
        <v>0</v>
      </c>
      <c r="V149" s="7"/>
      <c r="W149" s="7">
        <f t="shared" si="12"/>
        <v>44.714246575342472</v>
      </c>
    </row>
    <row r="150" spans="1:23" x14ac:dyDescent="0.15">
      <c r="A150" s="1">
        <v>1970</v>
      </c>
      <c r="B150" s="8">
        <f>(K34*($E34/365))+(K35*($E35/365))</f>
        <v>100</v>
      </c>
      <c r="C150" s="8">
        <f>(L34*($E34/365))+(L35*($E35/365))</f>
        <v>0</v>
      </c>
      <c r="D150" s="8">
        <f>(M34*($E34/365))+(M35*($E35/365))</f>
        <v>0</v>
      </c>
      <c r="E150" s="50">
        <f t="shared" si="11"/>
        <v>100</v>
      </c>
      <c r="G150" s="1">
        <v>1970</v>
      </c>
      <c r="H150" s="809">
        <f>(O34/$R34*100*($E34/365))+(O35/$R35*100*($E35/365))</f>
        <v>100</v>
      </c>
      <c r="I150" s="809"/>
      <c r="J150" s="809">
        <f>(P34/$R34*100*($E34/365))+(P35/$R35*100*($E35/365))</f>
        <v>0</v>
      </c>
      <c r="K150" s="809"/>
      <c r="L150" s="809">
        <f>(Q34/$R34*100*($E34/365))+(Q35/$R35*100*($E35/365))</f>
        <v>0</v>
      </c>
      <c r="M150" s="809"/>
      <c r="N150" s="781">
        <f t="shared" si="10"/>
        <v>100</v>
      </c>
      <c r="O150" s="781"/>
      <c r="R150" s="1">
        <v>1970</v>
      </c>
      <c r="S150" s="8">
        <f>(O34*($E34/365))+(O35*($E35/365))</f>
        <v>43.663561643835621</v>
      </c>
      <c r="T150" s="8">
        <f>(P34*($E34/365))+(P35*($E35/365))</f>
        <v>0</v>
      </c>
      <c r="U150" s="8">
        <f>(Q34*($E34/365))+(Q35*($E35/365))</f>
        <v>0</v>
      </c>
      <c r="V150" s="7"/>
      <c r="W150" s="7">
        <f t="shared" si="12"/>
        <v>43.663561643835621</v>
      </c>
    </row>
    <row r="151" spans="1:23" x14ac:dyDescent="0.15">
      <c r="A151" s="1">
        <v>1971</v>
      </c>
      <c r="B151" s="8">
        <f>(K36*($E36/365))+(K37*($E37/365))</f>
        <v>100</v>
      </c>
      <c r="C151" s="8">
        <f>(L36*($E36/365))+(L37*($E37/365))</f>
        <v>0</v>
      </c>
      <c r="D151" s="8">
        <f>(M36*($E36/365))+(M37*($E37/365))</f>
        <v>0</v>
      </c>
      <c r="E151" s="50">
        <f t="shared" si="11"/>
        <v>100</v>
      </c>
      <c r="G151" s="1">
        <v>1971</v>
      </c>
      <c r="H151" s="809">
        <f>(O36/$R36*100*($E36/365))+(O37/$R37*100*($E37/365))</f>
        <v>100</v>
      </c>
      <c r="I151" s="809"/>
      <c r="J151" s="809">
        <f>(P36/$R36*100*($E36/365))+(P37/$R37*100*($E37/365))</f>
        <v>0</v>
      </c>
      <c r="K151" s="809"/>
      <c r="L151" s="809">
        <f>(Q36/$R36*100*($E36/365))+(Q37/$R37*100*($E37/365))</f>
        <v>0</v>
      </c>
      <c r="M151" s="809"/>
      <c r="N151" s="781">
        <f t="shared" si="10"/>
        <v>100</v>
      </c>
      <c r="O151" s="781"/>
      <c r="R151" s="1">
        <v>1971</v>
      </c>
      <c r="S151" s="8">
        <f>(O36*($E36/365))+(O37*($E37/365))</f>
        <v>41.4</v>
      </c>
      <c r="T151" s="8">
        <f>(P36*($E36/365))+(P37*($E37/365))</f>
        <v>0</v>
      </c>
      <c r="U151" s="8">
        <f>(Q36*($E36/365))+(Q37*($E37/365))</f>
        <v>0</v>
      </c>
      <c r="V151" s="7"/>
      <c r="W151" s="7">
        <f t="shared" si="12"/>
        <v>41.4</v>
      </c>
    </row>
    <row r="152" spans="1:23" x14ac:dyDescent="0.15">
      <c r="A152" s="1">
        <v>1972</v>
      </c>
      <c r="B152" s="8">
        <f>(K38*($E38/366))+(K39*($E39/366))</f>
        <v>100.00000000000001</v>
      </c>
      <c r="C152" s="8">
        <f>(L38*($E38/366))+(L39*($E39/366))</f>
        <v>0</v>
      </c>
      <c r="D152" s="8">
        <f>(M38*($E38/366))+(M39*($E39/366))</f>
        <v>0</v>
      </c>
      <c r="E152" s="50">
        <f t="shared" si="11"/>
        <v>100.00000000000001</v>
      </c>
      <c r="G152" s="1">
        <v>1972</v>
      </c>
      <c r="H152" s="809">
        <f>(O38/$R38*100*($E38/366))+(O39/$R39*100*($E39/366))</f>
        <v>100.00000000000001</v>
      </c>
      <c r="I152" s="809"/>
      <c r="J152" s="809">
        <f>(P38/$R38*100*($E38/366))+(P39/$R39*100*($E39/366))</f>
        <v>0</v>
      </c>
      <c r="K152" s="809"/>
      <c r="L152" s="809">
        <f>(Q38/$R38*100*($E38/366))+(Q39/$R39*100*($E39/366))</f>
        <v>0</v>
      </c>
      <c r="M152" s="809"/>
      <c r="N152" s="781">
        <f t="shared" si="10"/>
        <v>100.00000000000001</v>
      </c>
      <c r="O152" s="781"/>
      <c r="R152" s="1">
        <v>1972</v>
      </c>
      <c r="S152" s="8">
        <f>(O38*($E38/366))+(O39*($E39/366))</f>
        <v>41.80573770491803</v>
      </c>
      <c r="T152" s="8">
        <f>(P38*($E38/366))+(P39*($E39/366))</f>
        <v>0</v>
      </c>
      <c r="U152" s="8">
        <f>(Q38*($E38/366))+(Q39*($E39/366))</f>
        <v>0</v>
      </c>
      <c r="V152" s="7"/>
      <c r="W152" s="7">
        <f t="shared" si="12"/>
        <v>41.80573770491803</v>
      </c>
    </row>
    <row r="153" spans="1:23" x14ac:dyDescent="0.15">
      <c r="A153" s="1">
        <v>1973</v>
      </c>
      <c r="B153" s="8">
        <f>(K40*($E40/365))+(K41*($E41/365))+(K42*($E42/365))</f>
        <v>93.483365949119388</v>
      </c>
      <c r="C153" s="8">
        <f>(L40*($E40/365))+(L41*($E41/365))+(L42*($E42/365))</f>
        <v>6.5166340508806258</v>
      </c>
      <c r="D153" s="8">
        <f>(M40*($E40/365))+(M41*($E41/365))+(M42*($E42/365))</f>
        <v>0</v>
      </c>
      <c r="E153" s="50">
        <f t="shared" si="11"/>
        <v>100.00000000000001</v>
      </c>
      <c r="G153" s="1">
        <v>1973</v>
      </c>
      <c r="H153" s="809">
        <f>(O40/$R40*100*($E40/365))+(O41/$R41*100*($E41/365))+(O42/$R42*100*($E42/365))</f>
        <v>100</v>
      </c>
      <c r="I153" s="809"/>
      <c r="J153" s="809">
        <f>(P40/$R40*100*($E40/365))+(P41/$R41*100*($E41/365))+(P42/$R42*100*($E42/365))</f>
        <v>0</v>
      </c>
      <c r="K153" s="809"/>
      <c r="L153" s="809">
        <f>(Q40/$R40*100*($E40/365))+(Q41/$R41*100*($E41/365))+(Q42/$R42*100*($E42/365))</f>
        <v>0</v>
      </c>
      <c r="M153" s="809"/>
      <c r="N153" s="781">
        <f t="shared" si="10"/>
        <v>100</v>
      </c>
      <c r="O153" s="781"/>
      <c r="R153" s="1">
        <v>1973</v>
      </c>
      <c r="S153" s="8">
        <f>(O40*($E40/365))+(O41*($E41/365))+(O42*($E42/365))</f>
        <v>44.100000000000009</v>
      </c>
      <c r="T153" s="8">
        <f>(P40*($E40/365))+(P41*($E41/365))+(P42*($E42/365))</f>
        <v>0</v>
      </c>
      <c r="U153" s="8">
        <f>(Q40*($E40/365))+(Q41*($E41/365))+(Q42*($E42/365))</f>
        <v>0</v>
      </c>
      <c r="V153" s="7"/>
      <c r="W153" s="7">
        <f t="shared" si="12"/>
        <v>44.100000000000009</v>
      </c>
    </row>
    <row r="154" spans="1:23" x14ac:dyDescent="0.15">
      <c r="A154" s="1">
        <v>1974</v>
      </c>
      <c r="B154" s="8">
        <f>(K43*($E43/365))+(K44*($E44/365))+(K45*($E45/365))</f>
        <v>92.638867981333732</v>
      </c>
      <c r="C154" s="8">
        <f>(L43*($E43/365))+(L44*($E44/365))+(L45*($E45/365))</f>
        <v>7.3611320186662645</v>
      </c>
      <c r="D154" s="8">
        <f>(M43*($E43/365))+(M44*($E44/365))+(M45*($E45/365))</f>
        <v>0</v>
      </c>
      <c r="E154" s="50">
        <f t="shared" si="11"/>
        <v>100</v>
      </c>
      <c r="G154" s="1">
        <v>1974</v>
      </c>
      <c r="H154" s="809">
        <f>(O43/$R43*100*($E43/365))+(O44/$R44*100*($E44/365))+(O45/$R45*100*($E45/365))</f>
        <v>100</v>
      </c>
      <c r="I154" s="809"/>
      <c r="J154" s="809">
        <f>(P43/$R43*100*($E43/365))+(P44/$R44*100*($E44/365))+(P45/$R45*100*($E45/365))</f>
        <v>0</v>
      </c>
      <c r="K154" s="809"/>
      <c r="L154" s="809">
        <f>(Q43/$R43*100*($E43/365))+(Q45/$R45*100*($E45/365))</f>
        <v>0</v>
      </c>
      <c r="M154" s="809"/>
      <c r="N154" s="781">
        <f t="shared" si="10"/>
        <v>100</v>
      </c>
      <c r="O154" s="781"/>
      <c r="R154" s="1">
        <v>1974</v>
      </c>
      <c r="S154" s="8">
        <f>(O43*($E43/365))+(O44*($E44/365))+(O45*($E45/365))</f>
        <v>42.38219178082192</v>
      </c>
      <c r="T154" s="8">
        <f>(P43*($E43/365))+(P44*($E44/365))+(P45*($E45/365))</f>
        <v>0</v>
      </c>
      <c r="U154" s="8">
        <f>(Q43*($E43/365))+(Q44*($E44/365))+(Q45*($E45/365))</f>
        <v>0</v>
      </c>
      <c r="V154" s="7"/>
      <c r="W154" s="7">
        <f>S154+T154+U154</f>
        <v>42.38219178082192</v>
      </c>
    </row>
    <row r="155" spans="1:23" x14ac:dyDescent="0.15">
      <c r="A155" s="1">
        <v>1975</v>
      </c>
      <c r="B155" s="8">
        <f>(K46*($E46/365))+(K47*($E47/365))+(K48*($E48/365))</f>
        <v>82.318229715489991</v>
      </c>
      <c r="C155" s="8">
        <f>(L46*($E46/365))+(L47*($E47/365))+(L48*($E48/365))</f>
        <v>17.681770284510012</v>
      </c>
      <c r="D155" s="8">
        <f>(M46*($E46/365))+(M47*($E47/365))+(M48*($E48/365))</f>
        <v>0</v>
      </c>
      <c r="E155" s="50">
        <f t="shared" si="11"/>
        <v>100</v>
      </c>
      <c r="G155" s="1">
        <v>1975</v>
      </c>
      <c r="H155" s="809">
        <f>(O46/$R46*100*($E46/365))+(O47/$R47*100*($E47/365))+(O48/$R48*100*($E48/365))</f>
        <v>100</v>
      </c>
      <c r="I155" s="809"/>
      <c r="J155" s="809">
        <f>(P46/$R46*100*($E46/365))+(P47/$R47*100*($E47/365))+(P48/$R48*100*($E48/365))</f>
        <v>0</v>
      </c>
      <c r="K155" s="809"/>
      <c r="L155" s="809">
        <f>(Q46/$R46*100*($E46/365))+(Q47/$R47*100*($E47/365))+(Q48/$R48*100*($E48/365))</f>
        <v>0</v>
      </c>
      <c r="M155" s="809"/>
      <c r="N155" s="781">
        <f t="shared" si="10"/>
        <v>100</v>
      </c>
      <c r="O155" s="781"/>
      <c r="R155" s="1">
        <v>1975</v>
      </c>
      <c r="S155" s="8">
        <f>(O46*($E46/365))+(O47*($E47/365))+(O48*($E48/365))</f>
        <v>33.1</v>
      </c>
      <c r="T155" s="8">
        <f>(P46*($E46/365))+(P47*($E47/365))+(P48*($E48/365))</f>
        <v>0</v>
      </c>
      <c r="U155" s="8">
        <f>(Q46*($E46/365))+(Q47*($E47/365))+(Q48*($E48/365))</f>
        <v>0</v>
      </c>
      <c r="V155" s="7"/>
      <c r="W155" s="7">
        <f t="shared" si="12"/>
        <v>33.1</v>
      </c>
    </row>
    <row r="156" spans="1:23" x14ac:dyDescent="0.15">
      <c r="A156" s="1">
        <v>1976</v>
      </c>
      <c r="B156" s="8">
        <f>(K49*($E49/366))+(K50*($E50/366))</f>
        <v>76.923076923076934</v>
      </c>
      <c r="C156" s="8">
        <f>(L49*($E49/366))+(L50*($E50/366))</f>
        <v>23.076923076923077</v>
      </c>
      <c r="D156" s="8">
        <f>(M49*($E49/366))+(M50*($E50/366))</f>
        <v>0</v>
      </c>
      <c r="E156" s="50">
        <f t="shared" si="11"/>
        <v>100.00000000000001</v>
      </c>
      <c r="G156" s="1">
        <v>1976</v>
      </c>
      <c r="H156" s="809">
        <f>(O49/$R49*100*($E49/366))+(O50/$R50*100*($E50/366))</f>
        <v>100</v>
      </c>
      <c r="I156" s="809"/>
      <c r="J156" s="809">
        <f>(P49/$R49*100*($E49/366))+(P50/$R50*100*($E50/366))</f>
        <v>0</v>
      </c>
      <c r="K156" s="809"/>
      <c r="L156" s="809">
        <f>(Q49/$R49*100*($E49/366))+(Q50/$R50*100*($E50/366))</f>
        <v>0</v>
      </c>
      <c r="M156" s="809"/>
      <c r="N156" s="781">
        <f t="shared" si="10"/>
        <v>100</v>
      </c>
      <c r="O156" s="781"/>
      <c r="R156" s="1">
        <v>1976</v>
      </c>
      <c r="S156" s="8">
        <f>(O49*($E49/366))+(O50*($E50/366))</f>
        <v>33.067213114754104</v>
      </c>
      <c r="T156" s="8">
        <f>(P49*($E49/366))+(P50*($E50/366))</f>
        <v>0</v>
      </c>
      <c r="U156" s="8">
        <f>(Q49*($E49/366))+(Q50*($E50/366))</f>
        <v>0</v>
      </c>
      <c r="V156" s="7"/>
      <c r="W156" s="7">
        <f t="shared" si="12"/>
        <v>33.067213114754104</v>
      </c>
    </row>
    <row r="157" spans="1:23" x14ac:dyDescent="0.15">
      <c r="A157" s="1">
        <v>1977</v>
      </c>
      <c r="B157" s="8">
        <f>(K51*($E51/365))+(K52*($E52/365))</f>
        <v>10.775252145115159</v>
      </c>
      <c r="C157" s="8">
        <f>(L51*($E51/365))+(L52*($E52/365))</f>
        <v>89.224747854884839</v>
      </c>
      <c r="D157" s="8">
        <f>(M51*($E51/365))+(M52*($E52/365))</f>
        <v>0</v>
      </c>
      <c r="E157" s="50">
        <f t="shared" si="11"/>
        <v>100</v>
      </c>
      <c r="G157" s="1">
        <v>1977</v>
      </c>
      <c r="H157" s="809">
        <f>(O51/$R51*100*($E51/365))+(O52/$R52*100*($E52/365))</f>
        <v>5.2054794520547949</v>
      </c>
      <c r="I157" s="809"/>
      <c r="J157" s="809">
        <f>(P51/$R51*100*($E51/365))+(P52/$R52*100*($E52/365))</f>
        <v>94.794520547945211</v>
      </c>
      <c r="K157" s="809"/>
      <c r="L157" s="809">
        <f>(Q51/$R51*100*($E51/365))+(Q52/$R52*100*($E52/365))</f>
        <v>0</v>
      </c>
      <c r="M157" s="809"/>
      <c r="N157" s="781">
        <f t="shared" si="10"/>
        <v>100</v>
      </c>
      <c r="O157" s="781"/>
      <c r="R157" s="1">
        <v>1977</v>
      </c>
      <c r="S157" s="8">
        <f>(O51*($E51/365))+(O52*($E52/365))</f>
        <v>1.7126027397260273</v>
      </c>
      <c r="T157" s="8">
        <f>(P51*($E51/365))+(P52*($E52/365))</f>
        <v>63.607123287671229</v>
      </c>
      <c r="U157" s="8">
        <f>(Q51*($E51/365))+(Q52*($E52/365))</f>
        <v>0</v>
      </c>
      <c r="V157" s="7"/>
      <c r="W157" s="7">
        <f t="shared" si="12"/>
        <v>65.319726027397252</v>
      </c>
    </row>
    <row r="158" spans="1:23" x14ac:dyDescent="0.15">
      <c r="A158" s="1">
        <v>1978</v>
      </c>
      <c r="B158" s="8">
        <f>(K53*($E53/365))+(K54*($E54/365))</f>
        <v>7.1428571428571432</v>
      </c>
      <c r="C158" s="8">
        <f>(L53*($E53/365))+(L54*($E54/365))</f>
        <v>92.857142857142861</v>
      </c>
      <c r="D158" s="8">
        <f>(M53*($E53/365))+(M54*($E54/365))</f>
        <v>0</v>
      </c>
      <c r="E158" s="50">
        <f t="shared" si="11"/>
        <v>100</v>
      </c>
      <c r="G158" s="1">
        <v>1978</v>
      </c>
      <c r="H158" s="809">
        <f>(O53/$R53*100*($E53/365))+(O54/$R54*100*($E54/365))</f>
        <v>0</v>
      </c>
      <c r="I158" s="809"/>
      <c r="J158" s="809">
        <f>(P53/$R53*100*($E53/365))+(P54/$R54*100*($E54/365))</f>
        <v>100.00000000000001</v>
      </c>
      <c r="K158" s="809"/>
      <c r="L158" s="809">
        <f>(Q53/$R53*100*($E53/365))+(Q54/$R54*100*($E54/365))</f>
        <v>0</v>
      </c>
      <c r="M158" s="809"/>
      <c r="N158" s="781">
        <f t="shared" si="10"/>
        <v>100.00000000000001</v>
      </c>
      <c r="O158" s="781"/>
      <c r="R158" s="1">
        <v>1978</v>
      </c>
      <c r="S158" s="8">
        <f>(O53*($E53/365))+(O54*($E54/365))</f>
        <v>0</v>
      </c>
      <c r="T158" s="8">
        <f>(P53*($E53/365))+(P54*($E54/365))</f>
        <v>66.596986301369867</v>
      </c>
      <c r="U158" s="8">
        <f>(Q53*($E53/365))+(Q54*($E54/365))</f>
        <v>0</v>
      </c>
      <c r="V158" s="7"/>
      <c r="W158" s="7">
        <f t="shared" si="12"/>
        <v>66.596986301369867</v>
      </c>
    </row>
    <row r="159" spans="1:23" x14ac:dyDescent="0.15">
      <c r="A159" s="1">
        <v>1979</v>
      </c>
      <c r="B159" s="8">
        <f>(K55*($E55/365))+(K56*($E56/365))+(K57*($E57/365))</f>
        <v>4.5988258317025439</v>
      </c>
      <c r="C159" s="8">
        <f>(L55*($E55/365))+(L56*($E56/365))+(L57*($E57/365))</f>
        <v>95.401174168297473</v>
      </c>
      <c r="D159" s="8">
        <f>(M55*($E55/365))+(M56*($E56/365))+(M57*($E57/365))</f>
        <v>0</v>
      </c>
      <c r="E159" s="50">
        <f t="shared" si="11"/>
        <v>100.00000000000001</v>
      </c>
      <c r="G159" s="1">
        <v>1979</v>
      </c>
      <c r="H159" s="809">
        <f>(O55/$R55*100*($E55/365))+(O56/$R56*100*($E56/365))+(O57/$R57*100*($E57/365))</f>
        <v>0</v>
      </c>
      <c r="I159" s="809"/>
      <c r="J159" s="809">
        <f>(P55/$R55*100*($E55/365))+(P56/$R56*100*($E56/365))+(P57/$R57*100*($E57/365))</f>
        <v>100</v>
      </c>
      <c r="K159" s="809"/>
      <c r="L159" s="809">
        <f>(Q55/$R55*100*($E55/365))+(Q56/$R56*100*($E56/365))+(Q57/$R57*100*($E57/365))</f>
        <v>0</v>
      </c>
      <c r="M159" s="809"/>
      <c r="N159" s="781">
        <f t="shared" si="10"/>
        <v>100</v>
      </c>
      <c r="O159" s="781"/>
      <c r="R159" s="1">
        <v>1979</v>
      </c>
      <c r="S159" s="8">
        <f>(O55*($E55/365))+(O56*($E56/365))+(O57*($E57/365))</f>
        <v>0</v>
      </c>
      <c r="T159" s="8">
        <f>(P55*($E55/365))+(P56*($E56/365))+(P57*($E57/365))</f>
        <v>63.70000000000001</v>
      </c>
      <c r="U159" s="8">
        <f>(Q55*($E55/365))+(Q56*($E56/365))+(Q57*($E57/365))</f>
        <v>0</v>
      </c>
      <c r="V159" s="7"/>
      <c r="W159" s="7">
        <f t="shared" si="12"/>
        <v>63.70000000000001</v>
      </c>
    </row>
    <row r="160" spans="1:23" x14ac:dyDescent="0.15">
      <c r="A160" s="1">
        <v>1980</v>
      </c>
      <c r="B160" s="8">
        <f>(K58*($E58/366))+(K59*($E59/366))</f>
        <v>0</v>
      </c>
      <c r="C160" s="8">
        <f>(L58*($E58/366))+(L59*($E59/366))</f>
        <v>100.00000000000001</v>
      </c>
      <c r="D160" s="8">
        <f>(M58*($E58/366))+(M59*($E59/366))</f>
        <v>0</v>
      </c>
      <c r="E160" s="50">
        <f t="shared" si="11"/>
        <v>100.00000000000001</v>
      </c>
      <c r="G160" s="1">
        <v>1980</v>
      </c>
      <c r="H160" s="809">
        <f>(O58/$R58*100*($E58/366))+(O59/$R59*100*($E59/366))</f>
        <v>0</v>
      </c>
      <c r="I160" s="809"/>
      <c r="J160" s="809">
        <f>(P58/$R58*100*($E58/366))+(P59/$R59*100*($E59/366))</f>
        <v>100.00000000000001</v>
      </c>
      <c r="K160" s="809"/>
      <c r="L160" s="809">
        <f>(Q58/$R58*100*($E58/366))+(Q59/$R59*100*($E59/366))</f>
        <v>0</v>
      </c>
      <c r="M160" s="809"/>
      <c r="N160" s="781">
        <f t="shared" si="10"/>
        <v>100.00000000000001</v>
      </c>
      <c r="O160" s="781"/>
      <c r="R160" s="1">
        <v>1980</v>
      </c>
      <c r="S160" s="8">
        <f>(O58*($E58/366))+(O59*($E59/366))</f>
        <v>0</v>
      </c>
      <c r="T160" s="8">
        <f>(P58*($E58/366))+(P59*($E59/366))</f>
        <v>62.463934426229514</v>
      </c>
      <c r="U160" s="8">
        <f>(Q58*($E58/366))+(Q59*($E59/366))</f>
        <v>0</v>
      </c>
      <c r="V160" s="7"/>
      <c r="W160" s="7">
        <f t="shared" si="12"/>
        <v>62.463934426229514</v>
      </c>
    </row>
    <row r="161" spans="1:23" x14ac:dyDescent="0.15">
      <c r="A161" s="1">
        <v>1981</v>
      </c>
      <c r="B161" s="8">
        <f>(K60*($E60/365))+(K61*($E61/365))</f>
        <v>94.794520547945211</v>
      </c>
      <c r="C161" s="8">
        <f>(L60*($E60/365))+(L61*($E61/365))</f>
        <v>5.2054794520547949</v>
      </c>
      <c r="D161" s="8">
        <f>(M60*($E60/365))+(M61*($E61/365))</f>
        <v>0</v>
      </c>
      <c r="E161" s="50">
        <f t="shared" si="11"/>
        <v>100</v>
      </c>
      <c r="G161" s="1">
        <v>1981</v>
      </c>
      <c r="H161" s="809">
        <f>(O60/$R60*100*($E60/365))+(O61/$R61*100*($E61/365))</f>
        <v>94.794520547945211</v>
      </c>
      <c r="I161" s="809"/>
      <c r="J161" s="809">
        <f>(P60/$R60*100*($E60/365))+(P61/$R61*100*($E61/365))</f>
        <v>5.2054794520547949</v>
      </c>
      <c r="K161" s="809"/>
      <c r="L161" s="809">
        <f>(Q60/$R60*100*($E60/365))+(Q61/$R61*100*($E61/365))</f>
        <v>0</v>
      </c>
      <c r="M161" s="809"/>
      <c r="N161" s="781">
        <f t="shared" si="10"/>
        <v>100</v>
      </c>
      <c r="O161" s="781"/>
      <c r="R161" s="1">
        <v>1981</v>
      </c>
      <c r="S161" s="8">
        <f>(O60*($E60/365))+(O61*($E61/365))</f>
        <v>41.804383561643839</v>
      </c>
      <c r="T161" s="8">
        <f>(P60*($E60/365))+(P61*($E61/365))</f>
        <v>2.9098630136986303</v>
      </c>
      <c r="U161" s="8">
        <f>(Q60*($E60/365))+(Q61*($E61/365))</f>
        <v>0</v>
      </c>
      <c r="V161" s="7"/>
      <c r="W161" s="7">
        <f t="shared" si="12"/>
        <v>44.714246575342472</v>
      </c>
    </row>
    <row r="162" spans="1:23" x14ac:dyDescent="0.15">
      <c r="A162" s="1">
        <v>1982</v>
      </c>
      <c r="B162" s="8">
        <f>(K62*($E62/365))+(K63*($E63/365))</f>
        <v>100</v>
      </c>
      <c r="C162" s="8">
        <f>(L62*($E62/365))+(L63*($E63/365))</f>
        <v>0</v>
      </c>
      <c r="D162" s="8">
        <f>(M62*($E62/365))+(M63*($E63/365))</f>
        <v>0</v>
      </c>
      <c r="E162" s="50">
        <f t="shared" si="11"/>
        <v>100</v>
      </c>
      <c r="G162" s="1">
        <v>1982</v>
      </c>
      <c r="H162" s="809">
        <f>(O62/$R62*100*($E62/365))+(O63/$R63*100*($E63/365))</f>
        <v>100</v>
      </c>
      <c r="I162" s="809"/>
      <c r="J162" s="809">
        <f>(P62/$R62*100*($E62/365))+(P63/$R63*100*($E63/365))</f>
        <v>0</v>
      </c>
      <c r="K162" s="809"/>
      <c r="L162" s="809">
        <f>(Q62/$R62*100*($E62/365))+(Q63/$R63*100*($E63/365))</f>
        <v>0</v>
      </c>
      <c r="M162" s="809"/>
      <c r="N162" s="781">
        <f t="shared" si="10"/>
        <v>100</v>
      </c>
      <c r="O162" s="781"/>
      <c r="R162" s="1">
        <v>1982</v>
      </c>
      <c r="S162" s="8">
        <f>(O62*($E62/365))+(O63*($E63/365))</f>
        <v>43.130136986301366</v>
      </c>
      <c r="T162" s="8">
        <f>(P62*($E62/365))+(P63*($E63/365))</f>
        <v>0</v>
      </c>
      <c r="U162" s="8">
        <f>(Q62*($E62/365))+(Q63*($E63/365))</f>
        <v>0</v>
      </c>
      <c r="V162" s="7"/>
      <c r="W162" s="7">
        <f t="shared" si="12"/>
        <v>43.130136986301366</v>
      </c>
    </row>
    <row r="163" spans="1:23" x14ac:dyDescent="0.15">
      <c r="A163" s="1">
        <v>1983</v>
      </c>
      <c r="B163" s="8">
        <f>(K64*($E64/365))+(K65*($E65/365))</f>
        <v>100</v>
      </c>
      <c r="C163" s="8">
        <f>(L64*($E64/365))+(L65*($E65/365))</f>
        <v>0</v>
      </c>
      <c r="D163" s="8">
        <f>(M64*($E64/365))+(M65*($E65/365))</f>
        <v>0</v>
      </c>
      <c r="E163" s="50">
        <f t="shared" si="11"/>
        <v>100</v>
      </c>
      <c r="G163" s="1">
        <v>1983</v>
      </c>
      <c r="H163" s="809">
        <f>(O64/$R64*100*($E64/365))+(O65/$R65*100*($E65/365))</f>
        <v>100</v>
      </c>
      <c r="I163" s="809"/>
      <c r="J163" s="809">
        <f>(P64/$R64*100*($E64/365))+(P65/$R65*100*($E65/365))</f>
        <v>0</v>
      </c>
      <c r="K163" s="809"/>
      <c r="L163" s="809">
        <f>(Q64/$R64*100*($E64/365))+(Q65/$R65*100*($E65/365))</f>
        <v>0</v>
      </c>
      <c r="M163" s="809"/>
      <c r="N163" s="781">
        <f t="shared" si="10"/>
        <v>100</v>
      </c>
      <c r="O163" s="781"/>
      <c r="R163" s="1">
        <v>1983</v>
      </c>
      <c r="S163" s="8">
        <f>(O64*($E64/365))+(O65*($E65/365))</f>
        <v>38.200000000000003</v>
      </c>
      <c r="T163" s="8">
        <f>(P64*($E64/365))+(P65*($E65/365))</f>
        <v>0</v>
      </c>
      <c r="U163" s="8">
        <f>(Q64*($E64/365))+(Q65*($E65/365))</f>
        <v>0</v>
      </c>
      <c r="V163" s="7"/>
      <c r="W163" s="7">
        <f t="shared" si="12"/>
        <v>38.200000000000003</v>
      </c>
    </row>
    <row r="164" spans="1:23" x14ac:dyDescent="0.15">
      <c r="A164" s="1">
        <v>1984</v>
      </c>
      <c r="B164" s="8">
        <f>(K66*($E66/366))+(K67*($E67/366))</f>
        <v>100</v>
      </c>
      <c r="C164" s="8">
        <f>(L66*($E66/366))+(L67*($E67/366))</f>
        <v>0</v>
      </c>
      <c r="D164" s="8">
        <f>(M66*($E66/366))+(M67*($E67/366))</f>
        <v>0</v>
      </c>
      <c r="E164" s="50">
        <f t="shared" si="11"/>
        <v>100</v>
      </c>
      <c r="G164" s="1">
        <v>1984</v>
      </c>
      <c r="H164" s="809">
        <f>(O66/$R66*100*($E66/366))+(O67/$R67*100*($E67/366))</f>
        <v>100</v>
      </c>
      <c r="I164" s="809"/>
      <c r="J164" s="809">
        <f>(P66/$R66*100*($E66/366))+(P67/$R67*100*($E67/366))</f>
        <v>0</v>
      </c>
      <c r="K164" s="809"/>
      <c r="L164" s="809">
        <f>(Q66/$R66*100*($E66/366))+(Q67/$R67*100*($E67/366))</f>
        <v>0</v>
      </c>
      <c r="M164" s="809"/>
      <c r="N164" s="781">
        <f t="shared" si="10"/>
        <v>100</v>
      </c>
      <c r="O164" s="781"/>
      <c r="R164" s="1">
        <v>1984</v>
      </c>
      <c r="S164" s="8">
        <f>(O66*($E66/366))+(O67*($E67/366))</f>
        <v>38.750819672131158</v>
      </c>
      <c r="T164" s="8">
        <f>(P66*($E66/366))+(P67*($E67/366))</f>
        <v>0</v>
      </c>
      <c r="U164" s="8">
        <f>(Q66*($E66/366))+(Q67*($E67/366))</f>
        <v>0</v>
      </c>
      <c r="V164" s="7"/>
      <c r="W164" s="7">
        <f t="shared" si="12"/>
        <v>38.750819672131158</v>
      </c>
    </row>
    <row r="165" spans="1:23" x14ac:dyDescent="0.15">
      <c r="A165" s="1">
        <v>1985</v>
      </c>
      <c r="B165" s="8">
        <f>(K68*($E68/365))+(K69*($E69/365))</f>
        <v>100</v>
      </c>
      <c r="C165" s="8">
        <f>(L68*($E68/365))+(L69*($E69/365))</f>
        <v>0</v>
      </c>
      <c r="D165" s="8">
        <f>(M68*($E68/365))+(M69*($E69/365))</f>
        <v>0</v>
      </c>
      <c r="E165" s="50">
        <f t="shared" si="11"/>
        <v>100</v>
      </c>
      <c r="G165" s="1">
        <v>1985</v>
      </c>
      <c r="H165" s="809">
        <f>(O68/$R68*100*($E68/365))+(O69/$R69*100*($E69/365))</f>
        <v>100</v>
      </c>
      <c r="I165" s="809"/>
      <c r="J165" s="809">
        <f>(P68/$R68*100*($E68/365))+(P69/$R69*100*($E69/365))</f>
        <v>0</v>
      </c>
      <c r="K165" s="809"/>
      <c r="L165" s="809">
        <f>(Q68/$R68*100*($E68/365))+(Q69/$R69*100*($E69/365))</f>
        <v>0</v>
      </c>
      <c r="M165" s="809"/>
      <c r="N165" s="781">
        <f t="shared" si="10"/>
        <v>100</v>
      </c>
      <c r="O165" s="781"/>
      <c r="R165" s="1">
        <v>1985</v>
      </c>
      <c r="S165" s="8">
        <f>(O68*($E68/365))+(O69*($E69/365))</f>
        <v>41.8</v>
      </c>
      <c r="T165" s="8">
        <f>(P68*($E68/365))+(P69*($E69/365))</f>
        <v>0</v>
      </c>
      <c r="U165" s="8">
        <f>(Q68*($E68/365))+(Q69*($E69/365))</f>
        <v>0</v>
      </c>
      <c r="V165" s="7"/>
      <c r="W165" s="7">
        <f t="shared" si="12"/>
        <v>41.8</v>
      </c>
    </row>
    <row r="166" spans="1:23" x14ac:dyDescent="0.15">
      <c r="A166" s="1">
        <v>1986</v>
      </c>
      <c r="B166" s="8">
        <f>(K70*($E70/365))+(K71*($E71/365))</f>
        <v>100</v>
      </c>
      <c r="C166" s="8">
        <f>(L70*($E70/365))+(L71*($E71/365))</f>
        <v>0</v>
      </c>
      <c r="D166" s="8">
        <f>(M70*($E70/365))+(M71*($E71/365))</f>
        <v>0</v>
      </c>
      <c r="E166" s="50">
        <f t="shared" si="11"/>
        <v>100</v>
      </c>
      <c r="G166" s="1">
        <v>1986</v>
      </c>
      <c r="H166" s="809">
        <f>(O70/$R70*100*($E70/365))+(O71/$R71*100*($E71/365))</f>
        <v>100</v>
      </c>
      <c r="I166" s="809"/>
      <c r="J166" s="809">
        <f>(P70/$R70*100*($E70/365))+(P71/$R71*100*($E71/365))</f>
        <v>0</v>
      </c>
      <c r="K166" s="809"/>
      <c r="L166" s="809">
        <f>(Q70/$R70*100*($E70/365))+(Q71/$R71*100*($E71/365))</f>
        <v>0</v>
      </c>
      <c r="M166" s="809"/>
      <c r="N166" s="781">
        <f t="shared" si="10"/>
        <v>100</v>
      </c>
      <c r="O166" s="781"/>
      <c r="R166" s="1">
        <v>1986</v>
      </c>
      <c r="S166" s="8">
        <f>(O70*($E70/365))+(O71*($E71/365))</f>
        <v>41.616164383561646</v>
      </c>
      <c r="T166" s="8">
        <f>(P70*($E70/365))+(P71*($E71/365))</f>
        <v>0</v>
      </c>
      <c r="U166" s="8">
        <f>(Q70*($E70/365))+(Q71*($E71/365))</f>
        <v>0</v>
      </c>
      <c r="V166" s="7"/>
      <c r="W166" s="7">
        <f t="shared" si="12"/>
        <v>41.616164383561646</v>
      </c>
    </row>
    <row r="167" spans="1:23" x14ac:dyDescent="0.15">
      <c r="A167" s="1">
        <v>1987</v>
      </c>
      <c r="B167" s="8">
        <f>(K72*($E72/365))+(K73*($E73/365))</f>
        <v>100</v>
      </c>
      <c r="C167" s="8">
        <f>(L72*($E72/365))+(L73*($E73/365))</f>
        <v>0</v>
      </c>
      <c r="D167" s="8">
        <f>(M72*($E72/365))+(M73*($E73/365))</f>
        <v>0</v>
      </c>
      <c r="E167" s="50">
        <f t="shared" si="11"/>
        <v>100</v>
      </c>
      <c r="G167" s="1">
        <v>1987</v>
      </c>
      <c r="H167" s="809">
        <f>(O72/$R72*100*($E72/365))+(O73/$R73*100*($E73/365))</f>
        <v>100</v>
      </c>
      <c r="I167" s="809"/>
      <c r="J167" s="809">
        <f>(P72/$R72*100*($E72/365))+(P73/$R73*100*($E73/365))</f>
        <v>0</v>
      </c>
      <c r="K167" s="809"/>
      <c r="L167" s="809">
        <f>(Q72/$R72*100*($E72/365))+(Q73/$R73*100*($E73/365))</f>
        <v>0</v>
      </c>
      <c r="M167" s="809"/>
      <c r="N167" s="781">
        <f t="shared" si="10"/>
        <v>100</v>
      </c>
      <c r="O167" s="781"/>
      <c r="R167" s="1">
        <v>1987</v>
      </c>
      <c r="S167" s="8">
        <f>(O72*($E72/365))+(O73*($E73/365))</f>
        <v>40.700000000000003</v>
      </c>
      <c r="T167" s="8">
        <f>(P72*($E72/365))+(P73*($E73/365))</f>
        <v>0</v>
      </c>
      <c r="U167" s="8">
        <f>(Q72*($E72/365))+(Q73*($E73/365))</f>
        <v>0</v>
      </c>
      <c r="V167" s="7"/>
      <c r="W167" s="7">
        <f t="shared" si="12"/>
        <v>40.700000000000003</v>
      </c>
    </row>
    <row r="168" spans="1:23" x14ac:dyDescent="0.15">
      <c r="A168" s="1">
        <v>1988</v>
      </c>
      <c r="B168" s="8">
        <f>(K74*($E74/366))+(K75*($E75/366))</f>
        <v>99.999999999999986</v>
      </c>
      <c r="C168" s="8">
        <f>(L74*($E74/366))+(L75*($E75/366))</f>
        <v>0</v>
      </c>
      <c r="D168" s="8">
        <f>(M74*($E74/366))+(M75*($E75/366))</f>
        <v>0</v>
      </c>
      <c r="E168" s="50">
        <f t="shared" si="11"/>
        <v>99.999999999999986</v>
      </c>
      <c r="G168" s="1">
        <v>1988</v>
      </c>
      <c r="H168" s="809">
        <f>(O74/$R74*100*($E74/366))+(O75/$R75*100*($E75/366))</f>
        <v>99.999999999999986</v>
      </c>
      <c r="I168" s="809"/>
      <c r="J168" s="809">
        <f>(P74/$R74*100*($E74/366))+(P75/$R75*100*($E75/366))</f>
        <v>0</v>
      </c>
      <c r="K168" s="809"/>
      <c r="L168" s="809">
        <f>(Q74/$R74*100*($E74/366))+(Q75/$R75*100*($E75/366))</f>
        <v>0</v>
      </c>
      <c r="M168" s="809"/>
      <c r="N168" s="781">
        <f t="shared" si="10"/>
        <v>99.999999999999986</v>
      </c>
      <c r="O168" s="781"/>
      <c r="R168" s="1">
        <v>1988</v>
      </c>
      <c r="S168" s="8">
        <f>(O74*($E74/366))+(O75*($E75/366))</f>
        <v>40.626229508196722</v>
      </c>
      <c r="T168" s="8">
        <f>(P74*($E74/366))+(P75*($E75/366))</f>
        <v>0</v>
      </c>
      <c r="U168" s="8">
        <f>(Q74*($E74/366))+(Q75*($E75/366))</f>
        <v>0</v>
      </c>
      <c r="V168" s="7"/>
      <c r="W168" s="7">
        <f t="shared" si="12"/>
        <v>40.626229508196722</v>
      </c>
    </row>
    <row r="169" spans="1:23" x14ac:dyDescent="0.15">
      <c r="A169" s="1">
        <v>1989</v>
      </c>
      <c r="B169" s="8">
        <f>(K76*($E76/365))+(K77*($E77/365))</f>
        <v>100</v>
      </c>
      <c r="C169" s="8">
        <f>(L76*($E76/365))+(L77*($E77/365))</f>
        <v>0</v>
      </c>
      <c r="D169" s="8">
        <f>(M76*($E76/365))+(M77*($E77/365))</f>
        <v>0</v>
      </c>
      <c r="E169" s="50">
        <f t="shared" si="11"/>
        <v>100</v>
      </c>
      <c r="G169" s="1">
        <v>1989</v>
      </c>
      <c r="H169" s="809">
        <f>(O76/$R76*100*($E76/365))+(O77/$R77*100*($E77/365))</f>
        <v>100</v>
      </c>
      <c r="I169" s="809"/>
      <c r="J169" s="809">
        <f>(P76/$R76*100*($E76/365))+(P77/$R77*100*($E77/365))</f>
        <v>0</v>
      </c>
      <c r="K169" s="809"/>
      <c r="L169" s="809">
        <f>(Q76/$R76*100*($E76/365))+(Q77/$R77*100*($E77/365))</f>
        <v>0</v>
      </c>
      <c r="M169" s="809"/>
      <c r="N169" s="781">
        <f t="shared" si="10"/>
        <v>100</v>
      </c>
      <c r="O169" s="781"/>
      <c r="R169" s="1">
        <v>1989</v>
      </c>
      <c r="S169" s="8">
        <f>(O76*($E76/365))+(O77*($E77/365))</f>
        <v>40.200000000000003</v>
      </c>
      <c r="T169" s="8">
        <f>(P76*($E76/365))+(P77*($E77/365))</f>
        <v>0</v>
      </c>
      <c r="U169" s="8">
        <f>(Q76*($E76/365))+(Q77*($E77/365))</f>
        <v>0</v>
      </c>
      <c r="V169" s="7"/>
      <c r="W169" s="7">
        <f t="shared" si="12"/>
        <v>40.200000000000003</v>
      </c>
    </row>
    <row r="170" spans="1:23" x14ac:dyDescent="0.15">
      <c r="A170" s="1">
        <v>1990</v>
      </c>
      <c r="B170" s="8">
        <f>(K78*($E78/365))+(K79*($E79/365))</f>
        <v>100</v>
      </c>
      <c r="C170" s="8">
        <f>(L78*($E78/365))+(L79*($E79/365))</f>
        <v>0</v>
      </c>
      <c r="D170" s="8">
        <f>(M78*($E78/365))+(M79*($E79/365))</f>
        <v>0</v>
      </c>
      <c r="E170" s="50">
        <f t="shared" si="11"/>
        <v>100</v>
      </c>
      <c r="G170" s="1">
        <v>1990</v>
      </c>
      <c r="H170" s="809">
        <f>(O78/$R78*100*($E78/365))+(O79/$R79*100*($E79/365))</f>
        <v>100</v>
      </c>
      <c r="I170" s="809"/>
      <c r="J170" s="809">
        <f>(P78/$R78*100*($E78/365))+(P79/$R79*100*($E79/365))</f>
        <v>0</v>
      </c>
      <c r="K170" s="809"/>
      <c r="L170" s="809">
        <f>(Q78/$R78*100*($E78/365))+(Q79/$R79*100*($E79/365))</f>
        <v>0</v>
      </c>
      <c r="M170" s="809"/>
      <c r="N170" s="781">
        <f t="shared" si="10"/>
        <v>100</v>
      </c>
      <c r="O170" s="781"/>
      <c r="R170" s="1">
        <v>1990</v>
      </c>
      <c r="S170" s="8">
        <f>(O78*($E78/365))+(O79*($E79/365))</f>
        <v>39.904109589041099</v>
      </c>
      <c r="T170" s="8">
        <f>(P78*($E78/365))+(P79*($E79/365))</f>
        <v>0</v>
      </c>
      <c r="U170" s="8">
        <f>(Q78*($E78/365))+(Q79*($E79/365))</f>
        <v>0</v>
      </c>
      <c r="V170" s="7"/>
      <c r="W170" s="7">
        <f t="shared" si="12"/>
        <v>39.904109589041099</v>
      </c>
    </row>
    <row r="171" spans="1:23" x14ac:dyDescent="0.15">
      <c r="A171" s="1">
        <v>1991</v>
      </c>
      <c r="B171" s="8">
        <f>(K80*($E80/365))+(K81*($E81/365))</f>
        <v>100</v>
      </c>
      <c r="C171" s="8">
        <f>(L80*($E80/365))+(L81*($E81/365))</f>
        <v>0</v>
      </c>
      <c r="D171" s="8">
        <f>(M80*($E80/365))+(M81*($E81/365))</f>
        <v>0</v>
      </c>
      <c r="E171" s="50">
        <f t="shared" si="11"/>
        <v>100</v>
      </c>
      <c r="G171" s="1">
        <v>1991</v>
      </c>
      <c r="H171" s="809">
        <f>(O80/$R80*100*($E80/365))+(O81/$R81*100*($E81/365))</f>
        <v>100</v>
      </c>
      <c r="I171" s="809"/>
      <c r="J171" s="809">
        <f>(P80/$R80*100*($E80/365))+(P81/$R81*100*($E81/365))</f>
        <v>0</v>
      </c>
      <c r="K171" s="809"/>
      <c r="L171" s="809">
        <f>(Q80/$R80*100*($E80/365))+(Q81/$R81*100*($E81/365))</f>
        <v>0</v>
      </c>
      <c r="M171" s="809"/>
      <c r="N171" s="781">
        <f t="shared" si="10"/>
        <v>100</v>
      </c>
      <c r="O171" s="781"/>
      <c r="R171" s="1">
        <v>1991</v>
      </c>
      <c r="S171" s="8">
        <f>(O80*($E80/365))+(O81*($E81/365))</f>
        <v>38.4</v>
      </c>
      <c r="T171" s="8">
        <f>(P80*($E80/365))+(P81*($E81/365))</f>
        <v>0</v>
      </c>
      <c r="U171" s="8">
        <f>(Q80*($E80/365))+(Q81*($E81/365))</f>
        <v>0</v>
      </c>
      <c r="V171" s="7"/>
      <c r="W171" s="7">
        <f t="shared" si="12"/>
        <v>38.4</v>
      </c>
    </row>
    <row r="172" spans="1:23" x14ac:dyDescent="0.15">
      <c r="A172" s="1">
        <v>1992</v>
      </c>
      <c r="B172" s="8">
        <f>(K82*($E82/366))+(K83*($E83/366))</f>
        <v>100</v>
      </c>
      <c r="C172" s="8">
        <f>(L82*($E82/366))+(L83*($E83/366))</f>
        <v>0</v>
      </c>
      <c r="D172" s="8">
        <f>(M82*($E82/366))+(M83*($E83/366))</f>
        <v>0</v>
      </c>
      <c r="E172" s="50">
        <f t="shared" si="11"/>
        <v>100</v>
      </c>
      <c r="G172" s="1">
        <v>1992</v>
      </c>
      <c r="H172" s="809">
        <f>(O82/$R82*100*($E82/366))+(O83/$R83*100*($E83/366))</f>
        <v>100</v>
      </c>
      <c r="I172" s="809"/>
      <c r="J172" s="809">
        <f>(P82/$R82*100*($E82/366))+(P83/$R83*100*($E83/366))</f>
        <v>0</v>
      </c>
      <c r="K172" s="809"/>
      <c r="L172" s="809">
        <f>(Q82/$R82*100*($E82/366))+(Q83/$R83*100*($E83/366))</f>
        <v>0</v>
      </c>
      <c r="M172" s="809"/>
      <c r="N172" s="781">
        <f t="shared" ref="N172:N192" si="13">H172+J172+L172</f>
        <v>100</v>
      </c>
      <c r="O172" s="781"/>
      <c r="R172" s="1">
        <v>1992</v>
      </c>
      <c r="S172" s="8">
        <f>(O82*($E82/366))+(O83*($E83/366))</f>
        <v>38.738524590163934</v>
      </c>
      <c r="T172" s="8">
        <f>(P82*($E82/366))+(P83*($E83/366))</f>
        <v>0</v>
      </c>
      <c r="U172" s="8">
        <f>(Q82*($E82/366))+(Q83*($E83/366))</f>
        <v>0</v>
      </c>
      <c r="V172" s="7"/>
      <c r="W172" s="7">
        <f t="shared" si="12"/>
        <v>38.738524590163934</v>
      </c>
    </row>
    <row r="173" spans="1:23" x14ac:dyDescent="0.15">
      <c r="A173" s="1">
        <v>1993</v>
      </c>
      <c r="B173" s="8">
        <f>(K84*($E84/365))+(K85*($E85/365))</f>
        <v>5.2054794520547949</v>
      </c>
      <c r="C173" s="8">
        <f>(L84*($E84/365))+(L85*($E85/365))</f>
        <v>94.794520547945211</v>
      </c>
      <c r="D173" s="8">
        <f>(M84*($E84/365))+(M85*($E85/365))</f>
        <v>0</v>
      </c>
      <c r="E173" s="50">
        <f t="shared" si="11"/>
        <v>100</v>
      </c>
      <c r="G173" s="1">
        <v>1993</v>
      </c>
      <c r="H173" s="809">
        <f>(O84/$R84*100*($E84/365))+(O85/$R85*100*($E85/365))</f>
        <v>5.2054794520547949</v>
      </c>
      <c r="I173" s="809"/>
      <c r="J173" s="809">
        <f>(P84/$R84*100*($E84/365))+(P85/$R85*100*($E85/365))</f>
        <v>94.794520547945211</v>
      </c>
      <c r="K173" s="809"/>
      <c r="L173" s="809">
        <f>(Q84/$R84*100*($E84/365))+(Q85/$R85*100*($E85/365))</f>
        <v>0</v>
      </c>
      <c r="M173" s="809"/>
      <c r="N173" s="781">
        <f t="shared" si="13"/>
        <v>100</v>
      </c>
      <c r="O173" s="781"/>
      <c r="R173" s="1">
        <v>1993</v>
      </c>
      <c r="S173" s="8">
        <f>(O84*($E84/365))+(O85*($E85/365))</f>
        <v>2.1082191780821917</v>
      </c>
      <c r="T173" s="8">
        <f>(P84*($E84/365))+(P85*($E85/365))</f>
        <v>56.213150684931506</v>
      </c>
      <c r="U173" s="8">
        <f>(Q84*($E84/365))+(Q85*($E85/365))</f>
        <v>0</v>
      </c>
      <c r="V173" s="7"/>
      <c r="W173" s="7">
        <f t="shared" si="12"/>
        <v>58.3213698630137</v>
      </c>
    </row>
    <row r="174" spans="1:23" x14ac:dyDescent="0.15">
      <c r="A174" s="1">
        <v>1994</v>
      </c>
      <c r="B174" s="8">
        <f>(K86*($E86/365))+(K87*($E87/365))</f>
        <v>0</v>
      </c>
      <c r="C174" s="8">
        <f>(L86*($E86/365))+(L87*($E87/365))</f>
        <v>100.00000000000001</v>
      </c>
      <c r="D174" s="8">
        <f>(M86*($E86/365))+(M87*($E87/365))</f>
        <v>0</v>
      </c>
      <c r="E174" s="50">
        <f t="shared" si="11"/>
        <v>100.00000000000001</v>
      </c>
      <c r="G174" s="1">
        <v>1994</v>
      </c>
      <c r="H174" s="809">
        <f>(O86/$R86*100*($E86/365))+(O87/$R87*100*($E87/365))</f>
        <v>0</v>
      </c>
      <c r="I174" s="809"/>
      <c r="J174" s="809">
        <f>(P86/$R86*100*($E86/365))+(P87/$R87*100*($E87/365))</f>
        <v>100.00000000000001</v>
      </c>
      <c r="K174" s="809"/>
      <c r="L174" s="809">
        <f>(Q86/$R86*100*($E86/365))+(Q87/$R87*100*($E87/365))</f>
        <v>0</v>
      </c>
      <c r="M174" s="809"/>
      <c r="N174" s="781">
        <f t="shared" si="13"/>
        <v>100.00000000000001</v>
      </c>
      <c r="O174" s="781"/>
      <c r="R174" s="1">
        <v>1994</v>
      </c>
      <c r="S174" s="8">
        <f>(O86*($E86/365))+(O87*($E87/365))</f>
        <v>0</v>
      </c>
      <c r="T174" s="8">
        <f>(P86*($E86/365))+(P87*($E87/365))</f>
        <v>57.465479452054794</v>
      </c>
      <c r="U174" s="8">
        <f>(Q86*($E86/365))+(Q87*($E87/365))</f>
        <v>0</v>
      </c>
      <c r="V174" s="7"/>
      <c r="W174" s="7">
        <f t="shared" si="12"/>
        <v>57.465479452054794</v>
      </c>
    </row>
    <row r="175" spans="1:23" x14ac:dyDescent="0.15">
      <c r="A175" s="1">
        <v>1995</v>
      </c>
      <c r="B175" s="8">
        <f>(K88*($E88/365))+(K89*($E89/365))</f>
        <v>0</v>
      </c>
      <c r="C175" s="8">
        <f>(L88*($E88/365))+(L89*($E89/365))</f>
        <v>100</v>
      </c>
      <c r="D175" s="8">
        <f>(M88*($E88/365))+(M89*($E89/365))</f>
        <v>0</v>
      </c>
      <c r="E175" s="50">
        <f t="shared" si="11"/>
        <v>100</v>
      </c>
      <c r="G175" s="1">
        <v>1995</v>
      </c>
      <c r="H175" s="809">
        <f>(O88/$R88*100*($E88/365))+(O89/$R89*100*($E89/365))</f>
        <v>0</v>
      </c>
      <c r="I175" s="809"/>
      <c r="J175" s="809">
        <f>(P88/$R88*100*($E88/365))+(P89/$R89*100*($E89/365))</f>
        <v>100</v>
      </c>
      <c r="K175" s="809"/>
      <c r="L175" s="809">
        <f>(Q88/$R88*100*($E88/365))+(Q89/$R89*100*($E89/365))</f>
        <v>0</v>
      </c>
      <c r="M175" s="809"/>
      <c r="N175" s="781">
        <f t="shared" si="13"/>
        <v>100</v>
      </c>
      <c r="O175" s="781"/>
      <c r="R175" s="1">
        <v>1995</v>
      </c>
      <c r="S175" s="8">
        <f>(O88*($E88/365))+(O89*($E89/365))</f>
        <v>0</v>
      </c>
      <c r="T175" s="8">
        <f>(P88*($E88/365))+(P89*($E89/365))</f>
        <v>46.9</v>
      </c>
      <c r="U175" s="8">
        <f>(Q88*($E88/365))+(Q89*($E89/365))</f>
        <v>0</v>
      </c>
      <c r="V175" s="7"/>
      <c r="W175" s="7">
        <f t="shared" si="12"/>
        <v>46.9</v>
      </c>
    </row>
    <row r="176" spans="1:23" x14ac:dyDescent="0.15">
      <c r="A176" s="1">
        <v>1996</v>
      </c>
      <c r="B176" s="8">
        <f>(K90*($E90/366))+(K91*($E91/366))</f>
        <v>0</v>
      </c>
      <c r="C176" s="8">
        <f>(L90*($E90/366))+(L91*($E91/366))</f>
        <v>100</v>
      </c>
      <c r="D176" s="8">
        <f>(M90*($E90/366))+(M91*($E91/366))</f>
        <v>0</v>
      </c>
      <c r="E176" s="50">
        <f t="shared" si="11"/>
        <v>100</v>
      </c>
      <c r="G176" s="1">
        <v>1996</v>
      </c>
      <c r="H176" s="809">
        <f>(O90/$R90*100*($E90/366))+(O91/$R91*100*($E91/366))</f>
        <v>0</v>
      </c>
      <c r="I176" s="809"/>
      <c r="J176" s="809">
        <f>(P90/$R90*100*($E90/366))+(P91/$R91*100*($E91/366))</f>
        <v>100</v>
      </c>
      <c r="K176" s="809"/>
      <c r="L176" s="809">
        <f>(Q90/$R90*100*($E90/366))+(Q91/$R91*100*($E91/366))</f>
        <v>0</v>
      </c>
      <c r="M176" s="809"/>
      <c r="N176" s="781">
        <f t="shared" si="13"/>
        <v>100</v>
      </c>
      <c r="O176" s="781"/>
      <c r="R176" s="1">
        <v>1996</v>
      </c>
      <c r="S176" s="8">
        <f>(O90*($E90/366))+(O91*($E91/366))</f>
        <v>0</v>
      </c>
      <c r="T176" s="8">
        <f>(P90*($E90/366))+(P91*($E91/366))</f>
        <v>47.009016393442622</v>
      </c>
      <c r="U176" s="8">
        <f>(Q90*($E90/366))+(Q91*($E91/366))</f>
        <v>0</v>
      </c>
      <c r="V176" s="7"/>
      <c r="W176" s="7">
        <f t="shared" si="12"/>
        <v>47.009016393442622</v>
      </c>
    </row>
    <row r="177" spans="1:23" x14ac:dyDescent="0.15">
      <c r="A177" s="1">
        <v>1997</v>
      </c>
      <c r="B177" s="8">
        <f>(K92*($E92/365))+(K93*($E93/365))</f>
        <v>5.2663622526636225</v>
      </c>
      <c r="C177" s="8">
        <f>(L92*($E92/365))+(L93*($E93/365))</f>
        <v>94.733637747336374</v>
      </c>
      <c r="D177" s="8">
        <f>(M92*($E92/365))+(M93*($E93/365))</f>
        <v>0</v>
      </c>
      <c r="E177" s="50">
        <f t="shared" si="11"/>
        <v>100</v>
      </c>
      <c r="G177" s="1">
        <v>1997</v>
      </c>
      <c r="H177" s="809">
        <f>(O92/$R92*100*($E92/365))+(O93/$R93*100*($E93/365))</f>
        <v>0</v>
      </c>
      <c r="I177" s="809"/>
      <c r="J177" s="809">
        <f>(P92/$R92*100*($E92/365))+(P93/$R93*100*($E93/365))</f>
        <v>100</v>
      </c>
      <c r="K177" s="809"/>
      <c r="L177" s="809">
        <f>(Q92/$R92*100*($E92/365))+(Q93/$R93*100*($E93/365))</f>
        <v>0</v>
      </c>
      <c r="M177" s="809"/>
      <c r="N177" s="781">
        <f t="shared" si="13"/>
        <v>100</v>
      </c>
      <c r="O177" s="781"/>
      <c r="R177" s="1">
        <v>1997</v>
      </c>
      <c r="S177" s="8">
        <f>(O92*($E92/365))+(O93*($E93/365))</f>
        <v>0</v>
      </c>
      <c r="T177" s="8">
        <f>(P92*($E92/365))+(P93*($E93/365))</f>
        <v>47.6</v>
      </c>
      <c r="U177" s="8">
        <f>(Q92*($E92/365))+(Q93*($E93/365))</f>
        <v>0</v>
      </c>
      <c r="V177" s="7"/>
      <c r="W177" s="7">
        <f>S177+T177+U177</f>
        <v>47.6</v>
      </c>
    </row>
    <row r="178" spans="1:23" x14ac:dyDescent="0.15">
      <c r="A178" s="1">
        <v>1998</v>
      </c>
      <c r="B178" s="8">
        <f>(K94*($E94/365))+(K95*($E95/365))</f>
        <v>5.5555555555555554</v>
      </c>
      <c r="C178" s="8">
        <f>(L94*($E94/365))+(L95*($E95/365))</f>
        <v>94.444444444444443</v>
      </c>
      <c r="D178" s="8">
        <f>(M94*($E94/365))+(M95*($E95/365))</f>
        <v>0</v>
      </c>
      <c r="E178" s="50">
        <f t="shared" si="11"/>
        <v>100</v>
      </c>
      <c r="G178" s="1">
        <v>1998</v>
      </c>
      <c r="H178" s="809">
        <f>(O94/$R94*100*($E94/365))+(O95/$R95*100*($E95/365))</f>
        <v>0</v>
      </c>
      <c r="I178" s="809"/>
      <c r="J178" s="809">
        <f>(P94/$R94*100*($E94/365))+(P95/$R95*100*($E95/365))</f>
        <v>100</v>
      </c>
      <c r="K178" s="809"/>
      <c r="L178" s="809">
        <f>(Q94/$R94*100*($E94/365))+(Q95/$R95*100*($E95/365))</f>
        <v>0</v>
      </c>
      <c r="M178" s="809"/>
      <c r="N178" s="781">
        <f t="shared" si="13"/>
        <v>100</v>
      </c>
      <c r="O178" s="781"/>
      <c r="R178" s="1">
        <v>1998</v>
      </c>
      <c r="S178" s="8">
        <f>(O94*($E94/365))+(O95*($E95/365))</f>
        <v>0</v>
      </c>
      <c r="T178" s="8">
        <f>(P94*($E94/365))+(P95*($E95/365))</f>
        <v>47.745479452054795</v>
      </c>
      <c r="U178" s="8">
        <f>(Q94*($E94/365))+(Q95*($E95/365))</f>
        <v>0</v>
      </c>
      <c r="V178" s="7"/>
      <c r="W178" s="7">
        <f t="shared" si="12"/>
        <v>47.745479452054795</v>
      </c>
    </row>
    <row r="179" spans="1:23" x14ac:dyDescent="0.15">
      <c r="A179" s="1">
        <v>1999</v>
      </c>
      <c r="B179" s="8">
        <f>(K96*($E96/365))+(K97*($E97/365))</f>
        <v>5.5555555555555554</v>
      </c>
      <c r="C179" s="8">
        <f>(L96*($E96/365))+(L97*($E97/365))</f>
        <v>94.444444444444443</v>
      </c>
      <c r="D179" s="8">
        <f>(M96*($E96/365))+(M97*($E97/365))</f>
        <v>0</v>
      </c>
      <c r="E179" s="50">
        <f t="shared" si="11"/>
        <v>100</v>
      </c>
      <c r="G179" s="1">
        <v>1999</v>
      </c>
      <c r="H179" s="809">
        <f>(O96/$R96*100*($E96/365))+(O97/$R97*100*($E97/365))</f>
        <v>0</v>
      </c>
      <c r="I179" s="809"/>
      <c r="J179" s="809">
        <f>(P96/$R96*100*($E96/365))+(P97/$R97*100*($E97/365))</f>
        <v>100</v>
      </c>
      <c r="K179" s="809"/>
      <c r="L179" s="809">
        <f>(Q96/$R96*100*($E96/365))+(Q97/$R97*100*($E97/365))</f>
        <v>0</v>
      </c>
      <c r="M179" s="809"/>
      <c r="N179" s="781">
        <f t="shared" si="13"/>
        <v>100</v>
      </c>
      <c r="O179" s="781"/>
      <c r="R179" s="1">
        <v>1999</v>
      </c>
      <c r="S179" s="8">
        <f>(O96*($E96/365))+(O97*($E97/365))</f>
        <v>0</v>
      </c>
      <c r="T179" s="8">
        <f>(P96*($E96/365))+(P97*($E97/365))</f>
        <v>48.5</v>
      </c>
      <c r="U179" s="8">
        <f>(Q96*($E96/365))+(Q97*($E97/365))</f>
        <v>0</v>
      </c>
      <c r="V179" s="7"/>
      <c r="W179" s="7">
        <f t="shared" si="12"/>
        <v>48.5</v>
      </c>
    </row>
    <row r="180" spans="1:23" x14ac:dyDescent="0.15">
      <c r="A180" s="1">
        <v>2000</v>
      </c>
      <c r="B180" s="8">
        <f>(K98*($E98/366))+(K99*($E99/366))</f>
        <v>5.5555555555555554</v>
      </c>
      <c r="C180" s="8">
        <f>(L98*($E98/366))+(L99*($E99/366))</f>
        <v>94.444444444444443</v>
      </c>
      <c r="D180" s="8">
        <f>(M98*($E98/366))+(M99*($E99/366))</f>
        <v>0</v>
      </c>
      <c r="E180" s="50">
        <f t="shared" si="11"/>
        <v>100</v>
      </c>
      <c r="G180" s="1">
        <v>2000</v>
      </c>
      <c r="H180" s="809">
        <f>(O98/$R98*100*($E98/366))+(O99/$R99*100*($E99/366))</f>
        <v>0</v>
      </c>
      <c r="I180" s="809"/>
      <c r="J180" s="809">
        <f>(P98/$R98*100*($E98/366))+(P99/$R99*100*($E99/366))</f>
        <v>100.00000000000001</v>
      </c>
      <c r="K180" s="809"/>
      <c r="L180" s="809">
        <f>(Q98/$R98*100*($E98/366))+(Q99/$R99*100*($E99/366))</f>
        <v>0</v>
      </c>
      <c r="M180" s="809"/>
      <c r="N180" s="781">
        <f t="shared" si="13"/>
        <v>100.00000000000001</v>
      </c>
      <c r="O180" s="781"/>
      <c r="R180" s="1">
        <v>2000</v>
      </c>
      <c r="S180" s="8">
        <f>(O98*($E98/366))+(O99*($E99/366))</f>
        <v>0</v>
      </c>
      <c r="T180" s="8">
        <f>(P98*($E98/366))+(P99*($E99/366))</f>
        <v>48.53005464480875</v>
      </c>
      <c r="U180" s="8">
        <f>(Q98*($E98/366))+(Q99*($E99/366))</f>
        <v>0</v>
      </c>
      <c r="V180" s="7"/>
      <c r="W180" s="7">
        <f t="shared" si="12"/>
        <v>48.53005464480875</v>
      </c>
    </row>
    <row r="181" spans="1:23" x14ac:dyDescent="0.15">
      <c r="A181" s="1">
        <v>2001</v>
      </c>
      <c r="B181" s="8">
        <f>(K100*($E100/365))+(K101*($E101/365))</f>
        <v>89.817351598173516</v>
      </c>
      <c r="C181" s="8">
        <f>(L100*($E100/365))+(L101*($E101/365))</f>
        <v>10.182648401826484</v>
      </c>
      <c r="D181" s="8">
        <f>(M100*($E100/365))+(M101*($E101/365))</f>
        <v>0</v>
      </c>
      <c r="E181" s="50">
        <f t="shared" si="11"/>
        <v>100</v>
      </c>
      <c r="G181" s="1">
        <v>2001</v>
      </c>
      <c r="H181" s="809">
        <f>(O100/$R100*100*($E100/365))+(O101/$R101*100*($E101/365))</f>
        <v>94.794520547945211</v>
      </c>
      <c r="I181" s="809"/>
      <c r="J181" s="809">
        <f>(P100/$R100*100*($E100/365))+(P101/$R101*100*($E101/365))</f>
        <v>5.2054794520547949</v>
      </c>
      <c r="K181" s="809"/>
      <c r="L181" s="809">
        <f>(Q100/$R100*100*($E100/365))+(Q101/$R101*100*($E101/365))</f>
        <v>0</v>
      </c>
      <c r="M181" s="809"/>
      <c r="N181" s="781">
        <f t="shared" si="13"/>
        <v>100</v>
      </c>
      <c r="O181" s="781"/>
      <c r="R181" s="1">
        <v>2001</v>
      </c>
      <c r="S181" s="8">
        <f>(O100*($E100/365))+(O101*($E101/365))</f>
        <v>48.155616438356162</v>
      </c>
      <c r="T181" s="8">
        <f>(P100*($E100/365))+(P101*($E101/365))</f>
        <v>2.5350684931506851</v>
      </c>
      <c r="U181" s="8">
        <f>(Q100*($E100/365))+(Q101*($E101/365))</f>
        <v>0</v>
      </c>
      <c r="V181" s="7"/>
      <c r="W181" s="7">
        <f t="shared" si="12"/>
        <v>50.690684931506844</v>
      </c>
    </row>
    <row r="182" spans="1:23" x14ac:dyDescent="0.15">
      <c r="A182" s="1">
        <v>2002</v>
      </c>
      <c r="B182" s="8">
        <f>(K102*($E102/365))+(K103*($E103/365))</f>
        <v>94.444444444444443</v>
      </c>
      <c r="C182" s="8">
        <f>(L102*($E102/365))+(L103*($E103/365))</f>
        <v>5.5555555555555545</v>
      </c>
      <c r="D182" s="8">
        <f>(M102*($E102/365))+(M103*($E103/365))</f>
        <v>0</v>
      </c>
      <c r="E182" s="50">
        <f t="shared" si="11"/>
        <v>100</v>
      </c>
      <c r="G182" s="1">
        <v>2002</v>
      </c>
      <c r="H182" s="809">
        <f>(O102/$R102*100*($E102/365))+(O103/$R103*100*($E103/365))</f>
        <v>100</v>
      </c>
      <c r="I182" s="809"/>
      <c r="J182" s="809">
        <f>(P102/$R102*100*($E102/365))+(P103/$R103*100*($E103/365))</f>
        <v>0</v>
      </c>
      <c r="K182" s="809"/>
      <c r="L182" s="809">
        <f>(Q102/$R102*100*($E102/365))+(Q103/$R103*100*($E103/365))</f>
        <v>0</v>
      </c>
      <c r="M182" s="809"/>
      <c r="N182" s="781">
        <f t="shared" si="13"/>
        <v>100</v>
      </c>
      <c r="O182" s="781"/>
      <c r="R182" s="1">
        <v>2002</v>
      </c>
      <c r="S182" s="8">
        <f>(O102*($E102/365))+(O103*($E103/365))</f>
        <v>51.081095890410957</v>
      </c>
      <c r="T182" s="8">
        <f>(P102*($E102/365))+(P103*($E103/365))</f>
        <v>0</v>
      </c>
      <c r="U182" s="8">
        <f>(Q102*($E102/365))+(Q103*($E103/365))</f>
        <v>0</v>
      </c>
      <c r="V182" s="7"/>
      <c r="W182" s="7">
        <f t="shared" si="12"/>
        <v>51.081095890410957</v>
      </c>
    </row>
    <row r="183" spans="1:23" x14ac:dyDescent="0.15">
      <c r="A183" s="1">
        <v>2003</v>
      </c>
      <c r="B183" s="8">
        <f>(K104*($E104/365))+(K105*($E105/365))</f>
        <v>94.720019226147556</v>
      </c>
      <c r="C183" s="8">
        <f>(L104*($E104/365))+(L105*($E105/365))</f>
        <v>5.2799807738524391</v>
      </c>
      <c r="D183" s="8">
        <f>(M104*($E104/365))+(M105*($E105/365))</f>
        <v>0</v>
      </c>
      <c r="E183" s="50">
        <f t="shared" si="11"/>
        <v>100</v>
      </c>
      <c r="G183" s="1">
        <v>2003</v>
      </c>
      <c r="H183" s="809">
        <f>(O104/$R104*100*($E104/365))+(O105/$R105*100*($E105/365))</f>
        <v>100</v>
      </c>
      <c r="I183" s="809"/>
      <c r="J183" s="809">
        <f>(P104/$R104*100*($E104/365))+(P105/$R105*100*($E105/365))</f>
        <v>0</v>
      </c>
      <c r="K183" s="809"/>
      <c r="L183" s="809">
        <f>(Q104/$R104*100*($E104/365))+(Q105/$R105*100*($E105/365))</f>
        <v>0</v>
      </c>
      <c r="M183" s="809"/>
      <c r="N183" s="781">
        <f t="shared" si="13"/>
        <v>100</v>
      </c>
      <c r="O183" s="781"/>
      <c r="R183" s="1">
        <v>2003</v>
      </c>
      <c r="S183" s="8">
        <f>(O104*($E104/365))+(O105*($E105/365))</f>
        <v>52.6</v>
      </c>
      <c r="T183" s="8">
        <f>(P104*($E104/365))+(P105*($E105/365))</f>
        <v>0</v>
      </c>
      <c r="U183" s="8">
        <f>(Q104*($E104/365))+(Q105*($E105/365))</f>
        <v>0</v>
      </c>
      <c r="V183" s="7"/>
      <c r="W183" s="7">
        <f t="shared" si="12"/>
        <v>52.6</v>
      </c>
    </row>
    <row r="184" spans="1:23" x14ac:dyDescent="0.15">
      <c r="A184" s="1">
        <v>2004</v>
      </c>
      <c r="B184" s="8">
        <f>(K106*($E106/366))+(K107*($E107/366))</f>
        <v>94.73684210526315</v>
      </c>
      <c r="C184" s="8">
        <f>(L106*($E106/366))+(L107*($E107/366))</f>
        <v>5.2631578947368425</v>
      </c>
      <c r="D184" s="8">
        <f>(M106*($E106/366))+(M107*($E107/366))</f>
        <v>0</v>
      </c>
      <c r="E184" s="50">
        <f t="shared" si="11"/>
        <v>100</v>
      </c>
      <c r="G184" s="1">
        <v>2004</v>
      </c>
      <c r="H184" s="809">
        <f>(O106/$R106*100*($E106/366))+(O107/$R107*100*($E107/366))</f>
        <v>100</v>
      </c>
      <c r="I184" s="809"/>
      <c r="J184" s="809">
        <f>(P106/$R106*100*($E106/366))+(P107/$R107*100*($E107/366))</f>
        <v>0</v>
      </c>
      <c r="K184" s="809"/>
      <c r="L184" s="809">
        <f>(Q106/$R106*100*($E106/366))+(Q107/$R107*100*($E107/366))</f>
        <v>0</v>
      </c>
      <c r="M184" s="809"/>
      <c r="N184" s="781">
        <f t="shared" si="13"/>
        <v>100</v>
      </c>
      <c r="O184" s="781"/>
      <c r="R184" s="1">
        <v>2004</v>
      </c>
      <c r="S184" s="8">
        <f>(O106*($E106/366))+(O107*($E107/366))</f>
        <v>52.68196721311476</v>
      </c>
      <c r="T184" s="8">
        <f>(P106*($E106/366))+(P107*($E107/366))</f>
        <v>0</v>
      </c>
      <c r="U184" s="8">
        <f>(Q106*($E106/366))+(Q107*($E107/366))</f>
        <v>0</v>
      </c>
      <c r="V184" s="7"/>
      <c r="W184" s="7">
        <f t="shared" si="12"/>
        <v>52.68196721311476</v>
      </c>
    </row>
    <row r="185" spans="1:23" x14ac:dyDescent="0.15">
      <c r="A185" s="1">
        <v>2005</v>
      </c>
      <c r="B185" s="8">
        <f>(K108*($E108/365))+(K109*($E109/365))</f>
        <v>95.417185554171851</v>
      </c>
      <c r="C185" s="8">
        <f>(L108*($E108/365))+(L109*($E109/365))</f>
        <v>4.582814445828145</v>
      </c>
      <c r="D185" s="8">
        <f>(M108*($E108/365))+(M109*($E109/365))</f>
        <v>0</v>
      </c>
      <c r="E185" s="50">
        <f t="shared" si="11"/>
        <v>100</v>
      </c>
      <c r="G185" s="1">
        <v>2005</v>
      </c>
      <c r="H185" s="809">
        <f>(O108/$R108*100*($E108/365))+(O109/$R109*100*($E109/365))</f>
        <v>100</v>
      </c>
      <c r="I185" s="809"/>
      <c r="J185" s="809">
        <f>(P108/$R108*100*($E108/365))+(P109/$R109*100*($E109/365))</f>
        <v>0</v>
      </c>
      <c r="K185" s="809"/>
      <c r="L185" s="809">
        <f>(Q108/$R108*100*($E108/365))+(Q109/$R109*100*($E109/365))</f>
        <v>0</v>
      </c>
      <c r="M185" s="809"/>
      <c r="N185" s="781">
        <f t="shared" si="13"/>
        <v>100</v>
      </c>
      <c r="O185" s="781"/>
      <c r="R185" s="1">
        <v>2005</v>
      </c>
      <c r="S185" s="8">
        <f>(O108*($E108/365))+(O109*($E109/365))</f>
        <v>53.1</v>
      </c>
      <c r="T185" s="8">
        <f>(P108*($E108/365))+(P109*($E109/365))</f>
        <v>0</v>
      </c>
      <c r="U185" s="8">
        <f>(Q108*($E108/365))+(Q109*($E109/365))</f>
        <v>0</v>
      </c>
      <c r="V185" s="7"/>
      <c r="W185" s="7">
        <f t="shared" si="12"/>
        <v>53.1</v>
      </c>
    </row>
    <row r="186" spans="1:23" x14ac:dyDescent="0.15">
      <c r="A186" s="1">
        <v>2006</v>
      </c>
      <c r="B186" s="8">
        <f>(K110*($E110/365))+(K111*($E111/365))+(K112*($E112/365))</f>
        <v>96.612702366127024</v>
      </c>
      <c r="C186" s="8">
        <f>(L110*($E110/365))+(L111*($E111/365))+(L112*($E112/365))</f>
        <v>3.387297633872977</v>
      </c>
      <c r="D186" s="8">
        <f>(M110*($E110/365))+(M111*($E111/365))+(M112*($E112/365))</f>
        <v>0</v>
      </c>
      <c r="E186" s="50">
        <f t="shared" si="11"/>
        <v>100</v>
      </c>
      <c r="G186" s="1">
        <v>2006</v>
      </c>
      <c r="H186" s="809">
        <f>(O110/$R110*100*($E110/365))+(O111/$R111*100*($E111/365))+(O112/$R112*100*($E112/365))</f>
        <v>100</v>
      </c>
      <c r="I186" s="809"/>
      <c r="J186" s="809">
        <f>(P110/$R110*100*($E110/365))+(P111/$R111*100*($E111/365))+(P112/$R112*100*($E112/365))</f>
        <v>0</v>
      </c>
      <c r="K186" s="809"/>
      <c r="L186" s="809">
        <f>(Q110/$R110*100*($E110/365))+(Q111/$R111*100*($E111/365))+(Q112/$R112*100*($E112/365))</f>
        <v>0</v>
      </c>
      <c r="M186" s="809"/>
      <c r="N186" s="781">
        <f t="shared" si="13"/>
        <v>100</v>
      </c>
      <c r="O186" s="781"/>
      <c r="R186" s="1">
        <v>2006</v>
      </c>
      <c r="S186" s="8">
        <f>(O110*($E110/365))+(O111*($E111/365))+(O112*($E112/365))</f>
        <v>52.090410958904108</v>
      </c>
      <c r="T186" s="8">
        <f>(P110*($E110/365))+(P111*($E111/365))+(P112*($E112/365))</f>
        <v>0</v>
      </c>
      <c r="U186" s="8">
        <f>(Q110*($E110/365))+(Q111*($E111/365))+(Q112*($E112/365))</f>
        <v>0</v>
      </c>
      <c r="V186" s="7"/>
      <c r="W186" s="7">
        <f>S186+T186+U186</f>
        <v>52.090410958904108</v>
      </c>
    </row>
    <row r="187" spans="1:23" x14ac:dyDescent="0.15">
      <c r="A187" s="1">
        <v>2007</v>
      </c>
      <c r="B187" s="8">
        <f>(K113*($E113/365))+(K114*($E114/365))</f>
        <v>100</v>
      </c>
      <c r="C187" s="8">
        <f>(L113*($E113/365))+(L114*($E114/365))</f>
        <v>0</v>
      </c>
      <c r="D187" s="8">
        <f>(M113*($E113/365))+(M114*($E114/365))</f>
        <v>0</v>
      </c>
      <c r="E187" s="50">
        <f t="shared" si="11"/>
        <v>100</v>
      </c>
      <c r="G187" s="1">
        <v>2007</v>
      </c>
      <c r="H187" s="809">
        <f>(O113/$R113*100*($E113/365))+(O114/$R114*100*($E114/365))</f>
        <v>100</v>
      </c>
      <c r="I187" s="809"/>
      <c r="J187" s="809">
        <f>(P113/$R113*100*($E113/365))+(P114/$R114*100*($E114/365))</f>
        <v>0</v>
      </c>
      <c r="K187" s="809"/>
      <c r="L187" s="809">
        <f>(Q113/$R113*100*($E113/365))+(Q114/$R114*100*($E114/365))</f>
        <v>0</v>
      </c>
      <c r="M187" s="809"/>
      <c r="N187" s="781">
        <f t="shared" si="13"/>
        <v>100</v>
      </c>
      <c r="O187" s="781"/>
      <c r="R187" s="1">
        <v>2007</v>
      </c>
      <c r="S187" s="8">
        <f>(O113*($E113/365))+(O114*($E114/365))</f>
        <v>46.4</v>
      </c>
      <c r="T187" s="8">
        <f>(P113*($E113/365))+(P114*($E114/365))</f>
        <v>0</v>
      </c>
      <c r="U187" s="8">
        <f>(Q113*($E113/365))+(Q114*($E114/365))</f>
        <v>0</v>
      </c>
      <c r="V187" s="7"/>
      <c r="W187" s="7">
        <f t="shared" si="12"/>
        <v>46.4</v>
      </c>
    </row>
    <row r="188" spans="1:23" x14ac:dyDescent="0.15">
      <c r="A188" s="1">
        <v>2008</v>
      </c>
      <c r="B188" s="8">
        <f>(K115*($E115/366))+(K116*($E116/366))</f>
        <v>100.00000000000001</v>
      </c>
      <c r="C188" s="8">
        <f>(L115*($E115/366))+(L116*($E116/366))</f>
        <v>0</v>
      </c>
      <c r="D188" s="8">
        <f>(M115*($E115/366))+(M116*($E116/366))</f>
        <v>0</v>
      </c>
      <c r="E188" s="50">
        <f t="shared" si="11"/>
        <v>100.00000000000001</v>
      </c>
      <c r="G188" s="1">
        <v>2008</v>
      </c>
      <c r="H188" s="809">
        <f>(O115/$R115*100*($E115/366))+(O116/$R116*100*($E116/366))</f>
        <v>100.00000000000001</v>
      </c>
      <c r="I188" s="809"/>
      <c r="J188" s="809">
        <f>(P115/$R115*100*($E115/366))+(P116/$R116*100*($E116/366))</f>
        <v>0</v>
      </c>
      <c r="K188" s="809"/>
      <c r="L188" s="809">
        <f>(Q115/$R115*100*($E115/366))+(Q116/$R116*100*($E116/366))</f>
        <v>0</v>
      </c>
      <c r="M188" s="809"/>
      <c r="N188" s="781">
        <f t="shared" si="13"/>
        <v>100.00000000000001</v>
      </c>
      <c r="O188" s="781"/>
      <c r="R188" s="1">
        <v>2008</v>
      </c>
      <c r="S188" s="8">
        <f>(O115*($E115/366))+(O116*($E116/366))</f>
        <v>45.528415300546449</v>
      </c>
      <c r="T188" s="8">
        <f>(P115*($E115/366))+(P116*($E116/366))</f>
        <v>0</v>
      </c>
      <c r="U188" s="8">
        <f>(Q115*($E115/366))+(Q116*($E116/366))</f>
        <v>0</v>
      </c>
      <c r="V188" s="7"/>
      <c r="W188" s="7">
        <f t="shared" si="12"/>
        <v>45.528415300546449</v>
      </c>
    </row>
    <row r="189" spans="1:23" x14ac:dyDescent="0.15">
      <c r="A189" s="1">
        <v>2009</v>
      </c>
      <c r="B189" s="8">
        <f>(K117*($E117/365))+(K118*($E118/365))</f>
        <v>16.357775987107171</v>
      </c>
      <c r="C189" s="8">
        <f>(L117*($E117/365))+(L118*($E118/365))</f>
        <v>83.642224012892825</v>
      </c>
      <c r="D189" s="8">
        <f>(M117*($E117/365))+(M118*($E118/365))</f>
        <v>0</v>
      </c>
      <c r="E189" s="50">
        <f t="shared" si="11"/>
        <v>100</v>
      </c>
      <c r="G189" s="1">
        <v>2009</v>
      </c>
      <c r="H189" s="809">
        <f>(O117/$R117*100*($E117/365))+(O118/$R118*100*($E118/365))</f>
        <v>5.2054794520547949</v>
      </c>
      <c r="I189" s="809"/>
      <c r="J189" s="809">
        <f>(P117/$R117*100*($E117/365))+(P118/$R118*100*($E118/365))</f>
        <v>94.794520547945211</v>
      </c>
      <c r="K189" s="809"/>
      <c r="L189" s="809">
        <f>(Q117/$R117*100*($E117/365))+(Q118/$R118*100*($E118/365))</f>
        <v>0</v>
      </c>
      <c r="M189" s="809"/>
      <c r="N189" s="781">
        <f t="shared" si="13"/>
        <v>100</v>
      </c>
      <c r="O189" s="781"/>
      <c r="R189" s="1">
        <v>2009</v>
      </c>
      <c r="S189" s="8">
        <f>(O117*($E117/365))+(O118*($E118/365))</f>
        <v>2.1290410958904111</v>
      </c>
      <c r="T189" s="8">
        <f>(P117*($E117/365))+(P118*($E118/365))</f>
        <v>56.02356164383562</v>
      </c>
      <c r="U189" s="8">
        <f>(Q117*($E117/365))+(Q118*($E118/365))</f>
        <v>0</v>
      </c>
      <c r="V189" s="7"/>
      <c r="W189" s="7">
        <f t="shared" si="12"/>
        <v>58.152602739726035</v>
      </c>
    </row>
    <row r="190" spans="1:23" x14ac:dyDescent="0.15">
      <c r="A190" s="1">
        <v>2010</v>
      </c>
      <c r="B190" s="8">
        <f>(K119*($E119/365))+(K120*($E120/365))</f>
        <v>11.764705882352938</v>
      </c>
      <c r="C190" s="8">
        <f>(L119*($E119/365))+(L120*($E120/365))</f>
        <v>88.235294117647058</v>
      </c>
      <c r="D190" s="8">
        <f>(M119*($E119/365))+(M120*($E120/365))</f>
        <v>0</v>
      </c>
      <c r="E190" s="50">
        <f t="shared" si="11"/>
        <v>100</v>
      </c>
      <c r="G190" s="1">
        <v>2010</v>
      </c>
      <c r="H190" s="809">
        <f>(O119/$R119*100*($E119/365))+(O120/$R120*100*($E120/365))</f>
        <v>0</v>
      </c>
      <c r="I190" s="809"/>
      <c r="J190" s="809">
        <f>(P119/$R119*100*($E119/365))+(P120/$R120*100*($E120/365))</f>
        <v>100</v>
      </c>
      <c r="K190" s="809"/>
      <c r="L190" s="809">
        <f>(Q119/$R119*100*($E119/365))+(Q120/$R120*100*($E120/365))</f>
        <v>0</v>
      </c>
      <c r="M190" s="809"/>
      <c r="N190" s="781">
        <f t="shared" si="13"/>
        <v>100</v>
      </c>
      <c r="O190" s="781"/>
      <c r="R190" s="1">
        <v>2010</v>
      </c>
      <c r="S190" s="8">
        <f>(O119*($E119/365))+(O120*($E120/365))</f>
        <v>0</v>
      </c>
      <c r="T190" s="8">
        <f>(P119*($E119/365))+(P120*($E120/365))</f>
        <v>56.683561643835617</v>
      </c>
      <c r="U190" s="8">
        <f>(Q119*($E119/365))+(Q120*($E120/365))</f>
        <v>0</v>
      </c>
      <c r="V190" s="7"/>
      <c r="W190" s="7">
        <f t="shared" si="12"/>
        <v>56.683561643835617</v>
      </c>
    </row>
    <row r="191" spans="1:23" x14ac:dyDescent="0.15">
      <c r="A191" s="1">
        <v>2011</v>
      </c>
      <c r="B191" s="8">
        <f>(K121*($E121/365))+(K122*($E122/365))</f>
        <v>8.7993553585817885</v>
      </c>
      <c r="C191" s="8">
        <f>(L121*($E121/365))+(L122*($E122/365))</f>
        <v>91.200644641418208</v>
      </c>
      <c r="D191" s="8">
        <f>(M121*($E121/365))+(M122*($E122/365))</f>
        <v>0</v>
      </c>
      <c r="E191" s="50">
        <f t="shared" si="11"/>
        <v>100</v>
      </c>
      <c r="G191" s="1">
        <v>2011</v>
      </c>
      <c r="H191" s="809">
        <f>(O121/$R121*100*($E121/365))+(O122/$R122*100*($E122/365))</f>
        <v>0</v>
      </c>
      <c r="I191" s="809"/>
      <c r="J191" s="809">
        <f>(P121/$R121*100*($E121/365))+(P122/$R122*100*($E122/365))</f>
        <v>100</v>
      </c>
      <c r="K191" s="809"/>
      <c r="L191" s="809">
        <f>(Q121/$R121*100*($E121/365))+(Q122/$R122*100*($E122/365))</f>
        <v>0</v>
      </c>
      <c r="M191" s="809"/>
      <c r="N191" s="781">
        <f t="shared" si="13"/>
        <v>100</v>
      </c>
      <c r="O191" s="781"/>
      <c r="R191" s="1">
        <v>2011</v>
      </c>
      <c r="S191" s="8">
        <f>(O121*($E121/365))+(O122*($E122/365))</f>
        <v>0</v>
      </c>
      <c r="T191" s="8">
        <f>(P121*($E121/365))+(P122*($E122/365))</f>
        <v>44.4</v>
      </c>
      <c r="U191" s="8">
        <f>(Q121*($E121/365))+(Q122*($E122/365))</f>
        <v>0</v>
      </c>
      <c r="V191" s="7"/>
      <c r="W191" s="7">
        <f t="shared" si="12"/>
        <v>44.4</v>
      </c>
    </row>
    <row r="192" spans="1:23" x14ac:dyDescent="0.15">
      <c r="A192" s="1">
        <v>2012</v>
      </c>
      <c r="B192" s="8">
        <f>(K123*($E123/366))+(K124*($E124/366))</f>
        <v>5.882352941176471</v>
      </c>
      <c r="C192" s="8">
        <f>(L123*($E123/366))+(L124*($E124/366))</f>
        <v>94.117647058823536</v>
      </c>
      <c r="D192" s="8">
        <f>(M123*($E123/366))+(M124*($E124/366))</f>
        <v>0</v>
      </c>
      <c r="E192" s="50">
        <f t="shared" si="11"/>
        <v>100</v>
      </c>
      <c r="G192" s="1">
        <v>2012</v>
      </c>
      <c r="H192" s="809">
        <f>(O123/$R123*100*($E123/366))+(O124/$R124*100*($E124/366))</f>
        <v>0</v>
      </c>
      <c r="I192" s="809"/>
      <c r="J192" s="809">
        <f>(P123/$R123*100*($E123/366))+(P124/$R124*100*($E124/366))</f>
        <v>100</v>
      </c>
      <c r="K192" s="809"/>
      <c r="L192" s="809">
        <f>(Q123/$R123*100*($E123/366))+(Q124/$R124*100*($E124/366))</f>
        <v>0</v>
      </c>
      <c r="M192" s="809"/>
      <c r="N192" s="781">
        <f t="shared" si="13"/>
        <v>100</v>
      </c>
      <c r="O192" s="781"/>
      <c r="R192" s="1">
        <v>2012</v>
      </c>
      <c r="S192" s="8">
        <f>(O123*($E123/366))+(O124*($E124/366))</f>
        <v>0</v>
      </c>
      <c r="T192" s="8">
        <f>(P123*($E123/366))+(P124*($E124/366))</f>
        <v>44.675409836065569</v>
      </c>
      <c r="U192" s="8">
        <f>(Q123*($E123/366))+(Q124*($E124/366))</f>
        <v>0</v>
      </c>
      <c r="V192" s="7"/>
      <c r="W192" s="7">
        <f t="shared" si="12"/>
        <v>44.675409836065569</v>
      </c>
    </row>
    <row r="193" spans="1:23" x14ac:dyDescent="0.15">
      <c r="A193" s="1">
        <v>2013</v>
      </c>
      <c r="B193" s="8">
        <f>(K125*($E125/365))+(K126*($E126/365))</f>
        <v>5.8823529411764701</v>
      </c>
      <c r="C193" s="8">
        <f>(L125*($E125/365))+(L126*($E126/365))</f>
        <v>94.117647058823522</v>
      </c>
      <c r="D193" s="8">
        <f>(M125*($E125/365))+(M126*($E126/365))</f>
        <v>0</v>
      </c>
      <c r="E193" s="309">
        <f t="shared" si="11"/>
        <v>99.999999999999986</v>
      </c>
      <c r="G193" s="1">
        <v>2013</v>
      </c>
      <c r="H193" s="809">
        <f>(O125/$R125*100*($E125/365))+(O126/$R126*100*($E126/365))</f>
        <v>0</v>
      </c>
      <c r="I193" s="809"/>
      <c r="J193" s="809">
        <f>(P125/$R125*100*($E125/365))+(P126/$R126*100*($E126/365))</f>
        <v>100</v>
      </c>
      <c r="K193" s="809"/>
      <c r="L193" s="809">
        <f>(Q125/$R125*100*($E125/365))+(Q126/$R126*100*($E126/365))</f>
        <v>0</v>
      </c>
      <c r="M193" s="809"/>
      <c r="N193" s="781">
        <f>H193+J193+L193</f>
        <v>100</v>
      </c>
      <c r="O193" s="781"/>
      <c r="R193" s="1">
        <v>2013</v>
      </c>
      <c r="S193" s="8">
        <f>(O125*($E125/365))+(O126*($E126/365))</f>
        <v>0</v>
      </c>
      <c r="T193" s="8">
        <f>(P125*($E125/365))+(P126*($E126/365))</f>
        <v>46.2</v>
      </c>
      <c r="U193" s="8">
        <f>(Q125*($E125/365))+(Q126*($E126/365))</f>
        <v>0</v>
      </c>
      <c r="W193" s="7">
        <f t="shared" si="12"/>
        <v>46.2</v>
      </c>
    </row>
    <row r="194" spans="1:23" x14ac:dyDescent="0.15">
      <c r="A194" s="1">
        <v>2014</v>
      </c>
      <c r="B194" s="8">
        <f>(K127*($E127/365))+(K128*($E128/365))+(K129*($E129/365))</f>
        <v>8.3964544721998386</v>
      </c>
      <c r="C194" s="8">
        <f>(L127*($E127/365))+(L128*($E128/365))+(L129*($E129/365))</f>
        <v>91.603545527800151</v>
      </c>
      <c r="D194" s="8">
        <f>(M127*($E127/365))+(M128*($E128/365))+(M129*($E129/365))</f>
        <v>0</v>
      </c>
      <c r="E194" s="590">
        <f>B194+C194+D194</f>
        <v>99.999999999999986</v>
      </c>
      <c r="G194" s="1">
        <v>2014</v>
      </c>
      <c r="H194" s="809">
        <f>(O127/$R127*100*($E127/365))+(O128/$R128*100*($E128/365))+(O129/$R129*100*($E129/365))</f>
        <v>0</v>
      </c>
      <c r="I194" s="809"/>
      <c r="J194" s="809">
        <f>(P127/$R127*100*($E127/365))+(P128/$R128*100*($E128/365))+(P129/$R129*100*($E129/365))</f>
        <v>100</v>
      </c>
      <c r="K194" s="809"/>
      <c r="L194" s="809">
        <f>(Q127/$R127*100*($E127/365))+(Q128/$R128*100*($E128/365))+(Q129/$R129*100*($E129/365))</f>
        <v>0</v>
      </c>
      <c r="M194" s="809"/>
      <c r="N194" s="781">
        <f>H194+J194+L194</f>
        <v>100</v>
      </c>
      <c r="O194" s="781"/>
      <c r="R194" s="1">
        <v>2014</v>
      </c>
      <c r="S194" s="8">
        <f>(O127*($E127/365))+(O128*($E128/365))+(O129*($E129/365))</f>
        <v>0</v>
      </c>
      <c r="T194" s="8">
        <f>(P127*($E127/365))+(P128*($E128/365))+(P129*($E129/365))</f>
        <v>45.723287671232882</v>
      </c>
      <c r="U194" s="8">
        <f>(Q127*($E127/365))+(Q128*($E128/365))+(Q129*($E129/365))</f>
        <v>0</v>
      </c>
      <c r="W194" s="7">
        <f>S194+T194+U194</f>
        <v>45.723287671232882</v>
      </c>
    </row>
    <row r="195" spans="1:23" s="772" customFormat="1" x14ac:dyDescent="0.15">
      <c r="A195" s="772">
        <v>2015</v>
      </c>
      <c r="B195" s="767">
        <f>(K130*($E130/365))+(K131*($E131/365))</f>
        <v>11.764705882352905</v>
      </c>
      <c r="C195" s="767">
        <f>(L130*($E130/365))+(L131*($E131/365))</f>
        <v>88.235294117647101</v>
      </c>
      <c r="D195" s="767">
        <f>(M130*($E130/365))+(M131*($E131/365))</f>
        <v>0</v>
      </c>
      <c r="E195" s="768">
        <f>B195+C195+D195</f>
        <v>100</v>
      </c>
      <c r="G195" s="772">
        <v>2015</v>
      </c>
      <c r="H195" s="809">
        <f>(O130/$R130*100*($E130/365))+(O131/$R131*100*($E131/365))</f>
        <v>0</v>
      </c>
      <c r="I195" s="809"/>
      <c r="J195" s="809">
        <f>(P130/$R130*100*($E130/365))+(P131/$R131*100*($E131/365))</f>
        <v>100</v>
      </c>
      <c r="K195" s="809"/>
      <c r="L195" s="809">
        <f>(Q130/$R130*100*($E130/365))+(Q131/$R131*100*($E131/365))</f>
        <v>0</v>
      </c>
      <c r="M195" s="809"/>
      <c r="N195" s="781">
        <f>H195+J195+L195</f>
        <v>100</v>
      </c>
      <c r="O195" s="781"/>
      <c r="R195" s="772">
        <v>2015</v>
      </c>
      <c r="S195" s="767">
        <f>(O130*($E130/365))+(O131*($E131/365))</f>
        <v>0</v>
      </c>
      <c r="T195" s="767">
        <f>(P130*($E130/365))+(P131*($E131/365))</f>
        <v>43.2</v>
      </c>
      <c r="U195" s="767">
        <f>(Q130*($E130/365))+(Q131*($E131/365))</f>
        <v>0</v>
      </c>
      <c r="W195" s="771">
        <f>S195+T195+U195</f>
        <v>43.2</v>
      </c>
    </row>
    <row r="196" spans="1:23" s="772" customFormat="1" x14ac:dyDescent="0.15"/>
  </sheetData>
  <mergeCells count="380">
    <mergeCell ref="L190:M190"/>
    <mergeCell ref="N189:O189"/>
    <mergeCell ref="C130:D130"/>
    <mergeCell ref="C131:D131"/>
    <mergeCell ref="H195:I195"/>
    <mergeCell ref="J195:K195"/>
    <mergeCell ref="L195:M195"/>
    <mergeCell ref="N195:O195"/>
    <mergeCell ref="AT4:AW4"/>
    <mergeCell ref="H194:I194"/>
    <mergeCell ref="J194:K194"/>
    <mergeCell ref="L194:M194"/>
    <mergeCell ref="N194:O194"/>
    <mergeCell ref="N190:O190"/>
    <mergeCell ref="H191:I191"/>
    <mergeCell ref="J191:K191"/>
    <mergeCell ref="L191:M191"/>
    <mergeCell ref="N191:O191"/>
    <mergeCell ref="H188:I188"/>
    <mergeCell ref="J188:K188"/>
    <mergeCell ref="L188:M188"/>
    <mergeCell ref="N188:O188"/>
    <mergeCell ref="H189:I189"/>
    <mergeCell ref="J189:K189"/>
    <mergeCell ref="AX4:BA4"/>
    <mergeCell ref="N193:O193"/>
    <mergeCell ref="C126:D126"/>
    <mergeCell ref="C125:D125"/>
    <mergeCell ref="H193:I193"/>
    <mergeCell ref="J193:K193"/>
    <mergeCell ref="L193:M193"/>
    <mergeCell ref="H192:I192"/>
    <mergeCell ref="J192:K192"/>
    <mergeCell ref="C127:D127"/>
    <mergeCell ref="C128:D128"/>
    <mergeCell ref="C129:D129"/>
    <mergeCell ref="L192:M192"/>
    <mergeCell ref="N192:O192"/>
    <mergeCell ref="H190:I190"/>
    <mergeCell ref="J190:K190"/>
    <mergeCell ref="H186:I186"/>
    <mergeCell ref="J186:K186"/>
    <mergeCell ref="L186:M186"/>
    <mergeCell ref="N186:O186"/>
    <mergeCell ref="H187:I187"/>
    <mergeCell ref="J187:K187"/>
    <mergeCell ref="L187:M187"/>
    <mergeCell ref="N187:O187"/>
    <mergeCell ref="L189:M189"/>
    <mergeCell ref="C123:D123"/>
    <mergeCell ref="C124:D124"/>
    <mergeCell ref="N176:O176"/>
    <mergeCell ref="N165:O165"/>
    <mergeCell ref="N166:O166"/>
    <mergeCell ref="N167:O167"/>
    <mergeCell ref="N168:O168"/>
    <mergeCell ref="N169:O169"/>
    <mergeCell ref="N170:O170"/>
    <mergeCell ref="L164:M164"/>
    <mergeCell ref="L165:M165"/>
    <mergeCell ref="L166:M166"/>
    <mergeCell ref="L167:M167"/>
    <mergeCell ref="J166:K166"/>
    <mergeCell ref="J162:K162"/>
    <mergeCell ref="J163:K163"/>
    <mergeCell ref="J164:K164"/>
    <mergeCell ref="H174:I174"/>
    <mergeCell ref="H175:I175"/>
    <mergeCell ref="H176:I176"/>
    <mergeCell ref="J167:K167"/>
    <mergeCell ref="J168:K168"/>
    <mergeCell ref="J169:K169"/>
    <mergeCell ref="J170:K170"/>
    <mergeCell ref="L180:M180"/>
    <mergeCell ref="L181:M181"/>
    <mergeCell ref="L182:M182"/>
    <mergeCell ref="L183:M183"/>
    <mergeCell ref="L184:M184"/>
    <mergeCell ref="N160:O160"/>
    <mergeCell ref="N161:O161"/>
    <mergeCell ref="R136:W136"/>
    <mergeCell ref="L169:M169"/>
    <mergeCell ref="L170:M170"/>
    <mergeCell ref="L171:M171"/>
    <mergeCell ref="L172:M172"/>
    <mergeCell ref="L173:M173"/>
    <mergeCell ref="L162:M162"/>
    <mergeCell ref="L163:M163"/>
    <mergeCell ref="J171:K171"/>
    <mergeCell ref="J172:K172"/>
    <mergeCell ref="J173:K173"/>
    <mergeCell ref="J174:K174"/>
    <mergeCell ref="J175:K175"/>
    <mergeCell ref="J176:K176"/>
    <mergeCell ref="J165:K165"/>
    <mergeCell ref="H185:I185"/>
    <mergeCell ref="J185:K185"/>
    <mergeCell ref="L185:M185"/>
    <mergeCell ref="N185:O185"/>
    <mergeCell ref="N183:O183"/>
    <mergeCell ref="N184:O184"/>
    <mergeCell ref="N177:O177"/>
    <mergeCell ref="N181:O181"/>
    <mergeCell ref="N182:O182"/>
    <mergeCell ref="H180:I180"/>
    <mergeCell ref="H181:I181"/>
    <mergeCell ref="H182:I182"/>
    <mergeCell ref="H183:I183"/>
    <mergeCell ref="H184:I184"/>
    <mergeCell ref="H178:I178"/>
    <mergeCell ref="H179:I179"/>
    <mergeCell ref="J183:K183"/>
    <mergeCell ref="J184:K184"/>
    <mergeCell ref="J180:K180"/>
    <mergeCell ref="J181:K181"/>
    <mergeCell ref="J182:K182"/>
    <mergeCell ref="J177:K177"/>
    <mergeCell ref="J178:K178"/>
    <mergeCell ref="J179:K179"/>
    <mergeCell ref="C117:D117"/>
    <mergeCell ref="C118:D118"/>
    <mergeCell ref="C119:D119"/>
    <mergeCell ref="C120:D120"/>
    <mergeCell ref="C121:D121"/>
    <mergeCell ref="C122:D122"/>
    <mergeCell ref="N178:O178"/>
    <mergeCell ref="N179:O179"/>
    <mergeCell ref="N180:O180"/>
    <mergeCell ref="N171:O171"/>
    <mergeCell ref="N172:O172"/>
    <mergeCell ref="N173:O173"/>
    <mergeCell ref="N174:O174"/>
    <mergeCell ref="N175:O175"/>
    <mergeCell ref="N162:O162"/>
    <mergeCell ref="N163:O163"/>
    <mergeCell ref="N164:O164"/>
    <mergeCell ref="L174:M174"/>
    <mergeCell ref="L175:M175"/>
    <mergeCell ref="L176:M176"/>
    <mergeCell ref="L177:M177"/>
    <mergeCell ref="L178:M178"/>
    <mergeCell ref="L179:M179"/>
    <mergeCell ref="L168:M168"/>
    <mergeCell ref="H177:I177"/>
    <mergeCell ref="H168:I168"/>
    <mergeCell ref="H169:I169"/>
    <mergeCell ref="H170:I170"/>
    <mergeCell ref="H171:I171"/>
    <mergeCell ref="H172:I172"/>
    <mergeCell ref="H173:I173"/>
    <mergeCell ref="H162:I162"/>
    <mergeCell ref="H163:I163"/>
    <mergeCell ref="H164:I164"/>
    <mergeCell ref="H165:I165"/>
    <mergeCell ref="H166:I166"/>
    <mergeCell ref="H167:I167"/>
    <mergeCell ref="H159:I159"/>
    <mergeCell ref="J159:K159"/>
    <mergeCell ref="L159:M159"/>
    <mergeCell ref="N159:O159"/>
    <mergeCell ref="H160:I160"/>
    <mergeCell ref="H161:I161"/>
    <mergeCell ref="H157:I157"/>
    <mergeCell ref="J157:K157"/>
    <mergeCell ref="L157:M157"/>
    <mergeCell ref="N157:O157"/>
    <mergeCell ref="H158:I158"/>
    <mergeCell ref="J158:K158"/>
    <mergeCell ref="L158:M158"/>
    <mergeCell ref="N158:O158"/>
    <mergeCell ref="J160:K160"/>
    <mergeCell ref="J161:K161"/>
    <mergeCell ref="L160:M160"/>
    <mergeCell ref="L161:M161"/>
    <mergeCell ref="H155:I155"/>
    <mergeCell ref="J155:K155"/>
    <mergeCell ref="L155:M155"/>
    <mergeCell ref="N155:O155"/>
    <mergeCell ref="H156:I156"/>
    <mergeCell ref="J156:K156"/>
    <mergeCell ref="L156:M156"/>
    <mergeCell ref="N156:O156"/>
    <mergeCell ref="H153:I153"/>
    <mergeCell ref="J153:K153"/>
    <mergeCell ref="L153:M153"/>
    <mergeCell ref="N153:O153"/>
    <mergeCell ref="H154:I154"/>
    <mergeCell ref="J154:K154"/>
    <mergeCell ref="L154:M154"/>
    <mergeCell ref="N154:O154"/>
    <mergeCell ref="H151:I151"/>
    <mergeCell ref="J151:K151"/>
    <mergeCell ref="L151:M151"/>
    <mergeCell ref="N151:O151"/>
    <mergeCell ref="H152:I152"/>
    <mergeCell ref="J152:K152"/>
    <mergeCell ref="L152:M152"/>
    <mergeCell ref="N152:O152"/>
    <mergeCell ref="H149:I149"/>
    <mergeCell ref="J149:K149"/>
    <mergeCell ref="L149:M149"/>
    <mergeCell ref="N149:O149"/>
    <mergeCell ref="H150:I150"/>
    <mergeCell ref="J150:K150"/>
    <mergeCell ref="L150:M150"/>
    <mergeCell ref="N150:O150"/>
    <mergeCell ref="H147:I147"/>
    <mergeCell ref="J147:K147"/>
    <mergeCell ref="L147:M147"/>
    <mergeCell ref="N147:O147"/>
    <mergeCell ref="H148:I148"/>
    <mergeCell ref="J148:K148"/>
    <mergeCell ref="L148:M148"/>
    <mergeCell ref="N148:O148"/>
    <mergeCell ref="H145:I145"/>
    <mergeCell ref="J145:K145"/>
    <mergeCell ref="L145:M145"/>
    <mergeCell ref="N145:O145"/>
    <mergeCell ref="H146:I146"/>
    <mergeCell ref="J146:K146"/>
    <mergeCell ref="L146:M146"/>
    <mergeCell ref="N146:O146"/>
    <mergeCell ref="H143:I143"/>
    <mergeCell ref="J143:K143"/>
    <mergeCell ref="L143:M143"/>
    <mergeCell ref="N143:O143"/>
    <mergeCell ref="H144:I144"/>
    <mergeCell ref="J144:K144"/>
    <mergeCell ref="L144:M144"/>
    <mergeCell ref="N144:O144"/>
    <mergeCell ref="H141:I141"/>
    <mergeCell ref="J141:K141"/>
    <mergeCell ref="L141:M141"/>
    <mergeCell ref="N141:O141"/>
    <mergeCell ref="H142:I142"/>
    <mergeCell ref="J142:K142"/>
    <mergeCell ref="L142:M142"/>
    <mergeCell ref="N142:O142"/>
    <mergeCell ref="H138:I138"/>
    <mergeCell ref="J138:K138"/>
    <mergeCell ref="L138:M138"/>
    <mergeCell ref="N138:O138"/>
    <mergeCell ref="H140:I140"/>
    <mergeCell ref="J140:K140"/>
    <mergeCell ref="L140:M140"/>
    <mergeCell ref="N140:O140"/>
    <mergeCell ref="H139:I139"/>
    <mergeCell ref="J139:K139"/>
    <mergeCell ref="L139:M139"/>
    <mergeCell ref="N139:O139"/>
    <mergeCell ref="G3:M3"/>
    <mergeCell ref="O3:Q3"/>
    <mergeCell ref="C9:D9"/>
    <mergeCell ref="C10:D10"/>
    <mergeCell ref="A4:A5"/>
    <mergeCell ref="B4:B5"/>
    <mergeCell ref="C4:D5"/>
    <mergeCell ref="E4:E5"/>
    <mergeCell ref="F4:F5"/>
    <mergeCell ref="G4:J4"/>
    <mergeCell ref="C11:D11"/>
    <mergeCell ref="C12:D12"/>
    <mergeCell ref="Z4:AC4"/>
    <mergeCell ref="AD4:AG4"/>
    <mergeCell ref="AH4:AK4"/>
    <mergeCell ref="AL4:AO4"/>
    <mergeCell ref="U4:U5"/>
    <mergeCell ref="V4:Y4"/>
    <mergeCell ref="AP4:AS4"/>
    <mergeCell ref="C8:D8"/>
    <mergeCell ref="K4:N4"/>
    <mergeCell ref="O4:R4"/>
    <mergeCell ref="S4:S5"/>
    <mergeCell ref="T4:T5"/>
    <mergeCell ref="C7:D7"/>
    <mergeCell ref="C6:D6"/>
    <mergeCell ref="C13:D13"/>
    <mergeCell ref="C14:D14"/>
    <mergeCell ref="C15:D15"/>
    <mergeCell ref="C16:D16"/>
    <mergeCell ref="C17:D17"/>
    <mergeCell ref="C18:D18"/>
    <mergeCell ref="C19:D19"/>
    <mergeCell ref="C20:D20"/>
    <mergeCell ref="C21:D21"/>
    <mergeCell ref="C22:D22"/>
    <mergeCell ref="C23:D23"/>
    <mergeCell ref="C25:D25"/>
    <mergeCell ref="C24:D24"/>
    <mergeCell ref="C26:D26"/>
    <mergeCell ref="C27:D27"/>
    <mergeCell ref="C28:D28"/>
    <mergeCell ref="C29:D29"/>
    <mergeCell ref="C31:D31"/>
    <mergeCell ref="C32:D32"/>
    <mergeCell ref="C30:D30"/>
    <mergeCell ref="C33:D33"/>
    <mergeCell ref="C34:D34"/>
    <mergeCell ref="C35:D35"/>
    <mergeCell ref="C36:D36"/>
    <mergeCell ref="C37:D37"/>
    <mergeCell ref="C38:D38"/>
    <mergeCell ref="C39:D39"/>
    <mergeCell ref="C40:D40"/>
    <mergeCell ref="C41:D41"/>
    <mergeCell ref="C42:D42"/>
    <mergeCell ref="C43:D43"/>
    <mergeCell ref="C45:D45"/>
    <mergeCell ref="C44:D44"/>
    <mergeCell ref="C46:D46"/>
    <mergeCell ref="C47:D47"/>
    <mergeCell ref="C48:D48"/>
    <mergeCell ref="C49:D49"/>
    <mergeCell ref="C50:D50"/>
    <mergeCell ref="C51:D51"/>
    <mergeCell ref="C52:D52"/>
    <mergeCell ref="C53:D53"/>
    <mergeCell ref="C54:D54"/>
    <mergeCell ref="C55:D55"/>
    <mergeCell ref="C56:D56"/>
    <mergeCell ref="C57:D57"/>
    <mergeCell ref="C76:D76"/>
    <mergeCell ref="C77:D77"/>
    <mergeCell ref="C78:D78"/>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C74:D74"/>
    <mergeCell ref="C75:D75"/>
    <mergeCell ref="C79:D79"/>
    <mergeCell ref="C80:D80"/>
    <mergeCell ref="C81:D81"/>
    <mergeCell ref="C99:D99"/>
    <mergeCell ref="C100:D100"/>
    <mergeCell ref="C101:D101"/>
    <mergeCell ref="C102:D102"/>
    <mergeCell ref="C103:D103"/>
    <mergeCell ref="C104:D104"/>
    <mergeCell ref="C93:D93"/>
    <mergeCell ref="C82:D82"/>
    <mergeCell ref="C83:D83"/>
    <mergeCell ref="C84:D84"/>
    <mergeCell ref="C85:D85"/>
    <mergeCell ref="C86:D86"/>
    <mergeCell ref="C87:D87"/>
    <mergeCell ref="C88:D88"/>
    <mergeCell ref="C89:D89"/>
    <mergeCell ref="C90:D90"/>
    <mergeCell ref="C91:D91"/>
    <mergeCell ref="C92:D92"/>
    <mergeCell ref="C94:D94"/>
    <mergeCell ref="C95:D95"/>
    <mergeCell ref="C96:D96"/>
    <mergeCell ref="C97:D97"/>
    <mergeCell ref="C98:D98"/>
    <mergeCell ref="C113:D113"/>
    <mergeCell ref="C105:D105"/>
    <mergeCell ref="C106:D106"/>
    <mergeCell ref="C114:D114"/>
    <mergeCell ref="C115:D115"/>
    <mergeCell ref="C116:D116"/>
    <mergeCell ref="C107:D107"/>
    <mergeCell ref="C108:D108"/>
    <mergeCell ref="C109:D109"/>
    <mergeCell ref="C110:D110"/>
    <mergeCell ref="C112:D112"/>
    <mergeCell ref="C111:D111"/>
  </mergeCells>
  <phoneticPr fontId="0" type="noConversion"/>
  <pageMargins left="0.78740157480314965" right="0.78740157480314965" top="0.98425196850393704" bottom="0.98425196850393704" header="0.51181102362204722" footer="0.51181102362204722"/>
  <pageSetup paperSize="9" scale="125" orientation="landscape"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04"/>
  <sheetViews>
    <sheetView zoomScale="120" zoomScaleNormal="120" workbookViewId="0">
      <pane xSplit="1" ySplit="5" topLeftCell="B33" activePane="bottomRight" state="frozen"/>
      <selection pane="topRight" activeCell="B1" sqref="B1"/>
      <selection pane="bottomLeft" activeCell="A6" sqref="A6"/>
      <selection pane="bottomRight" activeCell="M63" sqref="M63"/>
    </sheetView>
  </sheetViews>
  <sheetFormatPr baseColWidth="10" defaultColWidth="10.7109375" defaultRowHeight="9" x14ac:dyDescent="0.15"/>
  <cols>
    <col min="1" max="1" width="5.85546875" style="1" customWidth="1"/>
    <col min="2" max="6" width="7.85546875" style="1" customWidth="1"/>
    <col min="7" max="18" width="4.5703125" style="1" customWidth="1"/>
    <col min="19" max="21" width="7.85546875" style="1" customWidth="1"/>
    <col min="22" max="53" width="5.7109375" style="1" customWidth="1"/>
    <col min="54" max="16384" width="10.7109375" style="1"/>
  </cols>
  <sheetData>
    <row r="1" spans="1:53" s="2" customFormat="1" ht="15" customHeight="1" x14ac:dyDescent="0.2">
      <c r="B1" s="22" t="s">
        <v>14</v>
      </c>
    </row>
    <row r="2" spans="1:53" s="2" customFormat="1" ht="15" customHeight="1" x14ac:dyDescent="0.2">
      <c r="B2" s="22" t="s">
        <v>137</v>
      </c>
    </row>
    <row r="3" spans="1:53" s="2" customFormat="1" x14ac:dyDescent="0.15">
      <c r="G3" s="814"/>
      <c r="H3" s="814"/>
      <c r="I3" s="814"/>
      <c r="J3" s="814"/>
      <c r="K3" s="814"/>
      <c r="L3" s="814"/>
      <c r="M3" s="814"/>
      <c r="O3" s="814"/>
      <c r="P3" s="814"/>
      <c r="Q3" s="814"/>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1" t="s">
        <v>23</v>
      </c>
      <c r="AU5" s="351" t="s">
        <v>24</v>
      </c>
      <c r="AV5" s="351" t="s">
        <v>25</v>
      </c>
      <c r="AW5" s="353" t="s">
        <v>1217</v>
      </c>
      <c r="AX5" s="351" t="s">
        <v>23</v>
      </c>
      <c r="AY5" s="351" t="s">
        <v>24</v>
      </c>
      <c r="AZ5" s="351" t="s">
        <v>25</v>
      </c>
      <c r="BA5" s="354" t="s">
        <v>1217</v>
      </c>
    </row>
    <row r="6" spans="1:53" s="73" customFormat="1" x14ac:dyDescent="0.15">
      <c r="A6" s="73">
        <v>1990</v>
      </c>
      <c r="B6" s="85"/>
      <c r="C6" s="826" t="s">
        <v>1283</v>
      </c>
      <c r="D6" s="826"/>
      <c r="E6" s="102">
        <v>262</v>
      </c>
      <c r="G6" s="123"/>
      <c r="J6" s="134"/>
      <c r="K6" s="92"/>
      <c r="L6" s="92"/>
      <c r="M6" s="92"/>
      <c r="N6" s="125"/>
      <c r="O6" s="91"/>
      <c r="P6" s="92"/>
      <c r="Q6" s="92"/>
      <c r="R6" s="93"/>
      <c r="T6" s="81"/>
      <c r="V6" s="82"/>
      <c r="Y6" s="83"/>
      <c r="AD6" s="82"/>
      <c r="AG6" s="83"/>
      <c r="AL6" s="82"/>
      <c r="AO6" s="83"/>
      <c r="AP6" s="82"/>
      <c r="AS6" s="83"/>
      <c r="AW6" s="83"/>
      <c r="BA6" s="84"/>
    </row>
    <row r="7" spans="1:53" s="334" customFormat="1" x14ac:dyDescent="0.15">
      <c r="A7" s="334">
        <v>1990</v>
      </c>
      <c r="B7" s="355">
        <v>33136</v>
      </c>
      <c r="C7" s="812" t="s">
        <v>988</v>
      </c>
      <c r="D7" s="812"/>
      <c r="E7" s="386">
        <v>78</v>
      </c>
      <c r="F7" s="334" t="s">
        <v>348</v>
      </c>
      <c r="G7" s="419"/>
      <c r="I7" s="334">
        <v>18</v>
      </c>
      <c r="J7" s="435">
        <v>18</v>
      </c>
      <c r="K7" s="384">
        <f>G7/J7*100</f>
        <v>0</v>
      </c>
      <c r="L7" s="384">
        <f>H7/J7*100</f>
        <v>0</v>
      </c>
      <c r="M7" s="384">
        <f>I7/J7*100</f>
        <v>100</v>
      </c>
      <c r="N7" s="421">
        <f>SUM(K7:M7)</f>
        <v>100</v>
      </c>
      <c r="O7" s="383"/>
      <c r="P7" s="384"/>
      <c r="Q7" s="384">
        <v>52.7</v>
      </c>
      <c r="R7" s="385">
        <f>SUM(O7:Q7)</f>
        <v>52.7</v>
      </c>
      <c r="S7" s="334">
        <v>1</v>
      </c>
      <c r="T7" s="342">
        <v>33041</v>
      </c>
      <c r="U7" s="355">
        <v>33136</v>
      </c>
      <c r="V7" s="343" t="s">
        <v>983</v>
      </c>
      <c r="W7" s="334" t="s">
        <v>998</v>
      </c>
      <c r="X7" s="334" t="s">
        <v>12</v>
      </c>
      <c r="Y7" s="344">
        <v>52.7</v>
      </c>
      <c r="AD7" s="343"/>
      <c r="AG7" s="344"/>
      <c r="AL7" s="343"/>
      <c r="AO7" s="344"/>
      <c r="AP7" s="343"/>
      <c r="AS7" s="344"/>
      <c r="AW7" s="344"/>
      <c r="BA7" s="345"/>
    </row>
    <row r="8" spans="1:53" s="73" customFormat="1" x14ac:dyDescent="0.15">
      <c r="A8" s="73">
        <v>1990</v>
      </c>
      <c r="B8" s="85">
        <v>33214</v>
      </c>
      <c r="C8" s="811" t="s">
        <v>982</v>
      </c>
      <c r="D8" s="811"/>
      <c r="E8" s="102">
        <v>25</v>
      </c>
      <c r="F8" s="73">
        <v>2</v>
      </c>
      <c r="G8" s="123">
        <v>5</v>
      </c>
      <c r="I8" s="73">
        <v>8</v>
      </c>
      <c r="J8" s="134">
        <v>18</v>
      </c>
      <c r="K8" s="92">
        <f t="shared" ref="K8:K52" si="0">G8/J8*100</f>
        <v>27.777777777777779</v>
      </c>
      <c r="L8" s="92">
        <f t="shared" ref="L8:L52" si="1">H8/J8*100</f>
        <v>0</v>
      </c>
      <c r="M8" s="92">
        <f t="shared" ref="M8:M52" si="2">I8/J8*100</f>
        <v>44.444444444444443</v>
      </c>
      <c r="N8" s="125">
        <f t="shared" ref="N8:N30" si="3">SUM(K8:M8)</f>
        <v>72.222222222222229</v>
      </c>
      <c r="O8" s="91">
        <v>40</v>
      </c>
      <c r="P8" s="92"/>
      <c r="Q8" s="92">
        <v>52.7</v>
      </c>
      <c r="R8" s="93">
        <f t="shared" ref="R8:R56" si="4">SUM(O8:Q8)</f>
        <v>92.7</v>
      </c>
      <c r="S8" s="73">
        <v>6</v>
      </c>
      <c r="T8" s="95"/>
      <c r="U8" s="85">
        <v>33214</v>
      </c>
      <c r="V8" s="82" t="s">
        <v>983</v>
      </c>
      <c r="W8" s="73" t="s">
        <v>909</v>
      </c>
      <c r="X8" s="73" t="s">
        <v>12</v>
      </c>
      <c r="Y8" s="83">
        <v>52.7</v>
      </c>
      <c r="Z8" s="73" t="s">
        <v>884</v>
      </c>
      <c r="AA8" s="73" t="s">
        <v>17</v>
      </c>
      <c r="AB8" s="73" t="s">
        <v>11</v>
      </c>
      <c r="AC8" s="73">
        <v>36</v>
      </c>
      <c r="AD8" s="82" t="s">
        <v>984</v>
      </c>
      <c r="AE8" s="73" t="s">
        <v>886</v>
      </c>
      <c r="AF8" s="73" t="s">
        <v>11</v>
      </c>
      <c r="AG8" s="83">
        <v>4</v>
      </c>
      <c r="AL8" s="82"/>
      <c r="AO8" s="83"/>
      <c r="AP8" s="82"/>
      <c r="AS8" s="83"/>
      <c r="AW8" s="83"/>
      <c r="BA8" s="84"/>
    </row>
    <row r="9" spans="1:53" s="73" customFormat="1" x14ac:dyDescent="0.15">
      <c r="A9" s="73">
        <v>1991</v>
      </c>
      <c r="B9" s="85"/>
      <c r="C9" s="811" t="s">
        <v>982</v>
      </c>
      <c r="D9" s="811"/>
      <c r="E9" s="102">
        <v>311</v>
      </c>
      <c r="G9" s="123">
        <v>5</v>
      </c>
      <c r="I9" s="73">
        <v>8</v>
      </c>
      <c r="J9" s="134">
        <v>18</v>
      </c>
      <c r="K9" s="92">
        <f t="shared" si="0"/>
        <v>27.777777777777779</v>
      </c>
      <c r="L9" s="92">
        <f t="shared" si="1"/>
        <v>0</v>
      </c>
      <c r="M9" s="92">
        <f t="shared" si="2"/>
        <v>44.444444444444443</v>
      </c>
      <c r="N9" s="125">
        <f t="shared" si="3"/>
        <v>72.222222222222229</v>
      </c>
      <c r="O9" s="91">
        <v>40</v>
      </c>
      <c r="P9" s="92"/>
      <c r="Q9" s="92">
        <v>52.7</v>
      </c>
      <c r="R9" s="93">
        <f t="shared" si="4"/>
        <v>92.7</v>
      </c>
      <c r="S9" s="73">
        <v>6</v>
      </c>
      <c r="T9" s="95"/>
      <c r="V9" s="82" t="s">
        <v>983</v>
      </c>
      <c r="W9" s="73" t="s">
        <v>909</v>
      </c>
      <c r="X9" s="73" t="s">
        <v>12</v>
      </c>
      <c r="Y9" s="83">
        <v>52.7</v>
      </c>
      <c r="Z9" s="73" t="s">
        <v>884</v>
      </c>
      <c r="AA9" s="73" t="s">
        <v>17</v>
      </c>
      <c r="AB9" s="73" t="s">
        <v>11</v>
      </c>
      <c r="AC9" s="73">
        <v>36</v>
      </c>
      <c r="AD9" s="82" t="s">
        <v>984</v>
      </c>
      <c r="AE9" s="73" t="s">
        <v>886</v>
      </c>
      <c r="AF9" s="73" t="s">
        <v>11</v>
      </c>
      <c r="AG9" s="83">
        <v>4</v>
      </c>
      <c r="AL9" s="82"/>
      <c r="AO9" s="83"/>
      <c r="AP9" s="82"/>
      <c r="AS9" s="83"/>
      <c r="AW9" s="83"/>
      <c r="BA9" s="84"/>
    </row>
    <row r="10" spans="1:53" s="334" customFormat="1" x14ac:dyDescent="0.15">
      <c r="A10" s="334">
        <v>1991</v>
      </c>
      <c r="B10" s="355">
        <v>33550</v>
      </c>
      <c r="C10" s="812" t="s">
        <v>978</v>
      </c>
      <c r="D10" s="812"/>
      <c r="E10" s="386">
        <v>54</v>
      </c>
      <c r="F10" s="334">
        <v>1</v>
      </c>
      <c r="G10" s="419">
        <v>14</v>
      </c>
      <c r="J10" s="435">
        <v>14</v>
      </c>
      <c r="K10" s="384">
        <f t="shared" si="0"/>
        <v>100</v>
      </c>
      <c r="L10" s="384">
        <f t="shared" si="1"/>
        <v>0</v>
      </c>
      <c r="M10" s="384">
        <f t="shared" si="2"/>
        <v>0</v>
      </c>
      <c r="N10" s="421">
        <f t="shared" si="3"/>
        <v>100</v>
      </c>
      <c r="O10" s="383">
        <v>45.9</v>
      </c>
      <c r="P10" s="384"/>
      <c r="Q10" s="384"/>
      <c r="R10" s="385">
        <f t="shared" si="4"/>
        <v>45.9</v>
      </c>
      <c r="S10" s="334">
        <v>4</v>
      </c>
      <c r="T10" s="342">
        <v>33524</v>
      </c>
      <c r="U10" s="355">
        <v>33550</v>
      </c>
      <c r="V10" s="343" t="s">
        <v>884</v>
      </c>
      <c r="W10" s="334" t="s">
        <v>17</v>
      </c>
      <c r="X10" s="334" t="s">
        <v>11</v>
      </c>
      <c r="Y10" s="344">
        <v>45.9</v>
      </c>
      <c r="AD10" s="343"/>
      <c r="AG10" s="344"/>
      <c r="AL10" s="343"/>
      <c r="AO10" s="344"/>
      <c r="AP10" s="343"/>
      <c r="AS10" s="344"/>
      <c r="AW10" s="344"/>
      <c r="BA10" s="345"/>
    </row>
    <row r="11" spans="1:53" s="334" customFormat="1" x14ac:dyDescent="0.15">
      <c r="A11" s="334">
        <v>1992</v>
      </c>
      <c r="B11" s="355"/>
      <c r="C11" s="812" t="s">
        <v>978</v>
      </c>
      <c r="D11" s="812"/>
      <c r="E11" s="386">
        <v>364</v>
      </c>
      <c r="G11" s="419">
        <v>14</v>
      </c>
      <c r="J11" s="435">
        <v>14</v>
      </c>
      <c r="K11" s="384">
        <f t="shared" si="0"/>
        <v>100</v>
      </c>
      <c r="L11" s="384">
        <f t="shared" si="1"/>
        <v>0</v>
      </c>
      <c r="M11" s="384">
        <f t="shared" si="2"/>
        <v>0</v>
      </c>
      <c r="N11" s="421">
        <f t="shared" si="3"/>
        <v>100</v>
      </c>
      <c r="O11" s="383">
        <v>45.9</v>
      </c>
      <c r="P11" s="384"/>
      <c r="Q11" s="384"/>
      <c r="R11" s="385">
        <f t="shared" si="4"/>
        <v>45.9</v>
      </c>
      <c r="S11" s="334">
        <v>4</v>
      </c>
      <c r="T11" s="357"/>
      <c r="U11" s="355"/>
      <c r="V11" s="343" t="s">
        <v>884</v>
      </c>
      <c r="W11" s="334" t="s">
        <v>17</v>
      </c>
      <c r="X11" s="334" t="s">
        <v>11</v>
      </c>
      <c r="Y11" s="344">
        <v>45.9</v>
      </c>
      <c r="AD11" s="343"/>
      <c r="AG11" s="344"/>
      <c r="AL11" s="343"/>
      <c r="AO11" s="344"/>
      <c r="AP11" s="343"/>
      <c r="AS11" s="344"/>
      <c r="AW11" s="344"/>
      <c r="BA11" s="345"/>
    </row>
    <row r="12" spans="1:53" s="73" customFormat="1" x14ac:dyDescent="0.15">
      <c r="A12" s="73">
        <v>1992</v>
      </c>
      <c r="B12" s="85">
        <v>33968</v>
      </c>
      <c r="C12" s="811" t="s">
        <v>981</v>
      </c>
      <c r="D12" s="811"/>
      <c r="E12" s="102">
        <v>2</v>
      </c>
      <c r="F12" s="73">
        <v>5</v>
      </c>
      <c r="G12" s="123">
        <v>0</v>
      </c>
      <c r="H12" s="73">
        <v>0</v>
      </c>
      <c r="I12" s="73">
        <v>0</v>
      </c>
      <c r="J12" s="134">
        <v>14</v>
      </c>
      <c r="K12" s="92">
        <f t="shared" si="0"/>
        <v>0</v>
      </c>
      <c r="L12" s="92">
        <f t="shared" si="1"/>
        <v>0</v>
      </c>
      <c r="M12" s="92">
        <f t="shared" si="2"/>
        <v>0</v>
      </c>
      <c r="N12" s="125">
        <f t="shared" si="3"/>
        <v>0</v>
      </c>
      <c r="O12" s="91">
        <v>0</v>
      </c>
      <c r="P12" s="92">
        <v>0</v>
      </c>
      <c r="Q12" s="92">
        <v>0</v>
      </c>
      <c r="R12" s="93">
        <f t="shared" si="4"/>
        <v>0</v>
      </c>
      <c r="S12" s="73">
        <v>7</v>
      </c>
      <c r="T12" s="81"/>
      <c r="U12" s="85">
        <v>33968</v>
      </c>
      <c r="V12" s="152" t="s">
        <v>815</v>
      </c>
      <c r="Y12" s="83"/>
      <c r="AD12" s="82"/>
      <c r="AG12" s="83"/>
      <c r="AL12" s="82"/>
      <c r="AO12" s="83"/>
      <c r="AP12" s="82"/>
      <c r="AS12" s="83"/>
      <c r="AW12" s="83"/>
      <c r="BA12" s="84"/>
    </row>
    <row r="13" spans="1:53" s="73" customFormat="1" x14ac:dyDescent="0.15">
      <c r="A13" s="73">
        <v>1993</v>
      </c>
      <c r="B13" s="85"/>
      <c r="C13" s="811" t="s">
        <v>981</v>
      </c>
      <c r="D13" s="811"/>
      <c r="E13" s="102">
        <v>0</v>
      </c>
      <c r="G13" s="123">
        <v>0</v>
      </c>
      <c r="H13" s="73">
        <v>0</v>
      </c>
      <c r="I13" s="73">
        <v>0</v>
      </c>
      <c r="J13" s="134">
        <v>14</v>
      </c>
      <c r="K13" s="92">
        <f t="shared" si="0"/>
        <v>0</v>
      </c>
      <c r="L13" s="92">
        <f t="shared" si="1"/>
        <v>0</v>
      </c>
      <c r="M13" s="92">
        <f t="shared" si="2"/>
        <v>0</v>
      </c>
      <c r="N13" s="125">
        <f t="shared" si="3"/>
        <v>0</v>
      </c>
      <c r="O13" s="91">
        <v>0</v>
      </c>
      <c r="P13" s="92">
        <v>0</v>
      </c>
      <c r="Q13" s="92">
        <v>0</v>
      </c>
      <c r="R13" s="93">
        <f t="shared" si="4"/>
        <v>0</v>
      </c>
      <c r="S13" s="73">
        <v>7</v>
      </c>
      <c r="T13" s="81"/>
      <c r="U13" s="85"/>
      <c r="V13" s="152" t="s">
        <v>815</v>
      </c>
      <c r="Y13" s="83"/>
      <c r="AD13" s="82"/>
      <c r="AG13" s="83"/>
      <c r="AL13" s="82"/>
      <c r="AO13" s="83"/>
      <c r="AP13" s="82"/>
      <c r="AS13" s="83"/>
      <c r="AW13" s="83"/>
      <c r="BA13" s="84"/>
    </row>
    <row r="14" spans="1:53" s="73" customFormat="1" x14ac:dyDescent="0.15">
      <c r="A14" s="237">
        <v>1993</v>
      </c>
      <c r="B14" s="85"/>
      <c r="C14" s="811" t="s">
        <v>981</v>
      </c>
      <c r="D14" s="811"/>
      <c r="E14" s="102">
        <v>365</v>
      </c>
      <c r="G14" s="123">
        <v>0</v>
      </c>
      <c r="H14" s="73">
        <v>0</v>
      </c>
      <c r="I14" s="73">
        <v>0</v>
      </c>
      <c r="J14" s="134">
        <v>14</v>
      </c>
      <c r="K14" s="92">
        <f t="shared" si="0"/>
        <v>0</v>
      </c>
      <c r="L14" s="92">
        <f t="shared" si="1"/>
        <v>0</v>
      </c>
      <c r="M14" s="92">
        <f t="shared" si="2"/>
        <v>0</v>
      </c>
      <c r="N14" s="125">
        <f t="shared" si="3"/>
        <v>0</v>
      </c>
      <c r="O14" s="91">
        <v>0</v>
      </c>
      <c r="P14" s="92">
        <v>0</v>
      </c>
      <c r="Q14" s="92">
        <v>0</v>
      </c>
      <c r="R14" s="93">
        <f t="shared" si="4"/>
        <v>0</v>
      </c>
      <c r="S14" s="73">
        <v>7</v>
      </c>
      <c r="T14" s="81"/>
      <c r="U14" s="85"/>
      <c r="V14" s="152" t="s">
        <v>815</v>
      </c>
      <c r="Y14" s="83"/>
      <c r="AD14" s="82"/>
      <c r="AG14" s="83"/>
      <c r="AL14" s="82"/>
      <c r="AO14" s="83"/>
      <c r="AP14" s="82"/>
      <c r="AS14" s="83"/>
      <c r="AW14" s="83"/>
      <c r="BA14" s="84"/>
    </row>
    <row r="15" spans="1:53" s="73" customFormat="1" x14ac:dyDescent="0.15">
      <c r="A15" s="73">
        <v>1994</v>
      </c>
      <c r="B15" s="85"/>
      <c r="C15" s="811" t="s">
        <v>981</v>
      </c>
      <c r="D15" s="811"/>
      <c r="E15" s="102">
        <v>280</v>
      </c>
      <c r="G15" s="123">
        <v>0</v>
      </c>
      <c r="H15" s="73">
        <v>0</v>
      </c>
      <c r="I15" s="73">
        <v>0</v>
      </c>
      <c r="J15" s="134">
        <v>14</v>
      </c>
      <c r="K15" s="92">
        <f t="shared" si="0"/>
        <v>0</v>
      </c>
      <c r="L15" s="92">
        <f t="shared" si="1"/>
        <v>0</v>
      </c>
      <c r="M15" s="92">
        <f t="shared" si="2"/>
        <v>0</v>
      </c>
      <c r="N15" s="125">
        <f t="shared" si="3"/>
        <v>0</v>
      </c>
      <c r="O15" s="91">
        <v>0</v>
      </c>
      <c r="P15" s="92">
        <v>0</v>
      </c>
      <c r="Q15" s="92">
        <v>0</v>
      </c>
      <c r="R15" s="93">
        <f t="shared" si="4"/>
        <v>0</v>
      </c>
      <c r="S15" s="73">
        <v>7</v>
      </c>
      <c r="T15" s="81"/>
      <c r="U15" s="85"/>
      <c r="V15" s="152" t="s">
        <v>815</v>
      </c>
      <c r="Y15" s="83"/>
      <c r="AD15" s="82"/>
      <c r="AG15" s="83"/>
      <c r="AL15" s="82"/>
      <c r="AO15" s="83"/>
      <c r="AP15" s="82"/>
      <c r="AS15" s="83"/>
      <c r="AW15" s="83"/>
      <c r="BA15" s="84"/>
    </row>
    <row r="16" spans="1:53" s="334" customFormat="1" x14ac:dyDescent="0.15">
      <c r="A16" s="334">
        <v>1994</v>
      </c>
      <c r="B16" s="355">
        <v>34615</v>
      </c>
      <c r="C16" s="812" t="s">
        <v>985</v>
      </c>
      <c r="D16" s="812"/>
      <c r="E16" s="386">
        <v>85</v>
      </c>
      <c r="F16" s="334">
        <v>2</v>
      </c>
      <c r="G16" s="419">
        <v>0</v>
      </c>
      <c r="H16" s="334">
        <v>0</v>
      </c>
      <c r="I16" s="334">
        <v>0</v>
      </c>
      <c r="J16" s="435">
        <v>17</v>
      </c>
      <c r="K16" s="384">
        <f t="shared" si="0"/>
        <v>0</v>
      </c>
      <c r="L16" s="384">
        <f t="shared" si="1"/>
        <v>0</v>
      </c>
      <c r="M16" s="384">
        <f t="shared" si="2"/>
        <v>0</v>
      </c>
      <c r="N16" s="421">
        <f t="shared" si="3"/>
        <v>0</v>
      </c>
      <c r="O16" s="383">
        <v>0</v>
      </c>
      <c r="P16" s="384">
        <v>0</v>
      </c>
      <c r="Q16" s="384">
        <v>0</v>
      </c>
      <c r="R16" s="385">
        <f t="shared" si="4"/>
        <v>0</v>
      </c>
      <c r="S16" s="334">
        <v>6</v>
      </c>
      <c r="T16" s="342"/>
      <c r="U16" s="355">
        <v>34615</v>
      </c>
      <c r="V16" s="438" t="s">
        <v>814</v>
      </c>
      <c r="Y16" s="344"/>
      <c r="AD16" s="343"/>
      <c r="AG16" s="344"/>
      <c r="AL16" s="343"/>
      <c r="AO16" s="344"/>
      <c r="AP16" s="343"/>
      <c r="AS16" s="344"/>
      <c r="AW16" s="344"/>
      <c r="BA16" s="345"/>
    </row>
    <row r="17" spans="1:53" s="334" customFormat="1" x14ac:dyDescent="0.15">
      <c r="A17" s="334">
        <v>1995</v>
      </c>
      <c r="B17" s="355"/>
      <c r="C17" s="812" t="s">
        <v>985</v>
      </c>
      <c r="D17" s="812"/>
      <c r="E17" s="386">
        <v>24</v>
      </c>
      <c r="G17" s="419">
        <v>0</v>
      </c>
      <c r="H17" s="334">
        <v>0</v>
      </c>
      <c r="I17" s="334">
        <v>0</v>
      </c>
      <c r="J17" s="435">
        <v>17</v>
      </c>
      <c r="K17" s="384">
        <f t="shared" si="0"/>
        <v>0</v>
      </c>
      <c r="L17" s="384">
        <f t="shared" si="1"/>
        <v>0</v>
      </c>
      <c r="M17" s="384">
        <f t="shared" si="2"/>
        <v>0</v>
      </c>
      <c r="N17" s="421">
        <f t="shared" si="3"/>
        <v>0</v>
      </c>
      <c r="O17" s="383">
        <v>0</v>
      </c>
      <c r="P17" s="384">
        <v>0</v>
      </c>
      <c r="Q17" s="384">
        <v>0</v>
      </c>
      <c r="R17" s="385">
        <f t="shared" si="4"/>
        <v>0</v>
      </c>
      <c r="S17" s="334">
        <v>6</v>
      </c>
      <c r="T17" s="342">
        <v>34686</v>
      </c>
      <c r="U17" s="355"/>
      <c r="V17" s="438" t="s">
        <v>814</v>
      </c>
      <c r="Y17" s="344"/>
      <c r="AD17" s="343"/>
      <c r="AG17" s="344"/>
      <c r="AL17" s="343"/>
      <c r="AO17" s="344"/>
      <c r="AP17" s="343"/>
      <c r="AS17" s="344"/>
      <c r="AW17" s="344"/>
      <c r="BA17" s="345"/>
    </row>
    <row r="18" spans="1:53" s="73" customFormat="1" x14ac:dyDescent="0.15">
      <c r="A18" s="73">
        <v>1995</v>
      </c>
      <c r="B18" s="85">
        <v>34724</v>
      </c>
      <c r="C18" s="811" t="s">
        <v>987</v>
      </c>
      <c r="D18" s="811"/>
      <c r="E18" s="102">
        <v>341</v>
      </c>
      <c r="F18" s="73">
        <v>1</v>
      </c>
      <c r="G18" s="123"/>
      <c r="I18" s="73">
        <v>10</v>
      </c>
      <c r="J18" s="134">
        <v>18</v>
      </c>
      <c r="K18" s="92">
        <f t="shared" si="0"/>
        <v>0</v>
      </c>
      <c r="L18" s="92">
        <f t="shared" si="1"/>
        <v>0</v>
      </c>
      <c r="M18" s="92">
        <f t="shared" si="2"/>
        <v>55.555555555555557</v>
      </c>
      <c r="N18" s="125">
        <f t="shared" si="3"/>
        <v>55.555555555555557</v>
      </c>
      <c r="O18" s="91"/>
      <c r="P18" s="92"/>
      <c r="Q18" s="92">
        <v>52.1</v>
      </c>
      <c r="R18" s="93">
        <f t="shared" si="4"/>
        <v>52.1</v>
      </c>
      <c r="S18" s="73">
        <v>1</v>
      </c>
      <c r="T18" s="81"/>
      <c r="U18" s="85">
        <v>34724</v>
      </c>
      <c r="V18" s="82" t="s">
        <v>986</v>
      </c>
      <c r="W18" s="73" t="s">
        <v>98</v>
      </c>
      <c r="X18" s="73" t="s">
        <v>12</v>
      </c>
      <c r="Y18" s="83">
        <v>52.1</v>
      </c>
      <c r="AD18" s="82"/>
      <c r="AG18" s="83"/>
      <c r="AL18" s="82"/>
      <c r="AO18" s="83"/>
      <c r="AP18" s="82"/>
      <c r="AS18" s="83"/>
      <c r="AW18" s="83"/>
      <c r="BA18" s="84"/>
    </row>
    <row r="19" spans="1:53" s="73" customFormat="1" x14ac:dyDescent="0.15">
      <c r="A19" s="73">
        <v>1996</v>
      </c>
      <c r="B19" s="85"/>
      <c r="C19" s="811" t="s">
        <v>987</v>
      </c>
      <c r="D19" s="811"/>
      <c r="E19" s="102">
        <v>0</v>
      </c>
      <c r="G19" s="123"/>
      <c r="I19" s="73">
        <v>10</v>
      </c>
      <c r="J19" s="134">
        <v>18</v>
      </c>
      <c r="K19" s="92">
        <f t="shared" si="0"/>
        <v>0</v>
      </c>
      <c r="L19" s="92">
        <f t="shared" si="1"/>
        <v>0</v>
      </c>
      <c r="M19" s="92">
        <f t="shared" si="2"/>
        <v>55.555555555555557</v>
      </c>
      <c r="N19" s="125">
        <f t="shared" si="3"/>
        <v>55.555555555555557</v>
      </c>
      <c r="O19" s="91"/>
      <c r="P19" s="92"/>
      <c r="Q19" s="92">
        <v>52.1</v>
      </c>
      <c r="R19" s="93">
        <f t="shared" si="4"/>
        <v>52.1</v>
      </c>
      <c r="S19" s="73">
        <v>1</v>
      </c>
      <c r="T19" s="81"/>
      <c r="U19" s="85"/>
      <c r="V19" s="82" t="s">
        <v>986</v>
      </c>
      <c r="W19" s="73" t="s">
        <v>98</v>
      </c>
      <c r="X19" s="73" t="s">
        <v>12</v>
      </c>
      <c r="Y19" s="83">
        <v>52.1</v>
      </c>
      <c r="AD19" s="82"/>
      <c r="AG19" s="83"/>
      <c r="AL19" s="82"/>
      <c r="AO19" s="83"/>
      <c r="AP19" s="82"/>
      <c r="AS19" s="83"/>
      <c r="AW19" s="83"/>
      <c r="BA19" s="84"/>
    </row>
    <row r="20" spans="1:53" s="73" customFormat="1" x14ac:dyDescent="0.15">
      <c r="A20" s="73">
        <v>1996</v>
      </c>
      <c r="B20" s="85"/>
      <c r="C20" s="811" t="s">
        <v>987</v>
      </c>
      <c r="D20" s="811"/>
      <c r="E20" s="102">
        <v>366</v>
      </c>
      <c r="G20" s="123"/>
      <c r="I20" s="73">
        <v>10</v>
      </c>
      <c r="J20" s="134">
        <v>18</v>
      </c>
      <c r="K20" s="92">
        <f t="shared" si="0"/>
        <v>0</v>
      </c>
      <c r="L20" s="92">
        <f t="shared" si="1"/>
        <v>0</v>
      </c>
      <c r="M20" s="92">
        <f t="shared" si="2"/>
        <v>55.555555555555557</v>
      </c>
      <c r="N20" s="125">
        <f t="shared" si="3"/>
        <v>55.555555555555557</v>
      </c>
      <c r="O20" s="91"/>
      <c r="P20" s="92"/>
      <c r="Q20" s="92">
        <v>52.1</v>
      </c>
      <c r="R20" s="93">
        <f t="shared" si="4"/>
        <v>52.1</v>
      </c>
      <c r="S20" s="73">
        <v>1</v>
      </c>
      <c r="T20" s="81"/>
      <c r="U20" s="85"/>
      <c r="V20" s="82" t="s">
        <v>986</v>
      </c>
      <c r="W20" s="73" t="s">
        <v>98</v>
      </c>
      <c r="X20" s="73" t="s">
        <v>12</v>
      </c>
      <c r="Y20" s="83">
        <v>52.1</v>
      </c>
      <c r="AD20" s="82"/>
      <c r="AG20" s="83"/>
      <c r="AL20" s="82"/>
      <c r="AO20" s="83"/>
      <c r="AP20" s="82"/>
      <c r="AS20" s="83"/>
      <c r="AW20" s="83"/>
      <c r="BA20" s="84"/>
    </row>
    <row r="21" spans="1:53" s="73" customFormat="1" x14ac:dyDescent="0.15">
      <c r="A21" s="73">
        <v>1997</v>
      </c>
      <c r="B21" s="85"/>
      <c r="C21" s="811" t="s">
        <v>987</v>
      </c>
      <c r="D21" s="811"/>
      <c r="E21" s="102">
        <v>42</v>
      </c>
      <c r="G21" s="123"/>
      <c r="I21" s="73">
        <v>10</v>
      </c>
      <c r="J21" s="134">
        <v>18</v>
      </c>
      <c r="K21" s="92">
        <f t="shared" si="0"/>
        <v>0</v>
      </c>
      <c r="L21" s="92">
        <f t="shared" si="1"/>
        <v>0</v>
      </c>
      <c r="M21" s="92">
        <f t="shared" si="2"/>
        <v>55.555555555555557</v>
      </c>
      <c r="N21" s="125">
        <f t="shared" si="3"/>
        <v>55.555555555555557</v>
      </c>
      <c r="O21" s="91"/>
      <c r="P21" s="92"/>
      <c r="Q21" s="92">
        <v>52.1</v>
      </c>
      <c r="R21" s="93">
        <f t="shared" si="4"/>
        <v>52.1</v>
      </c>
      <c r="S21" s="73">
        <v>1</v>
      </c>
      <c r="T21" s="81"/>
      <c r="U21" s="85"/>
      <c r="V21" s="82" t="s">
        <v>986</v>
      </c>
      <c r="W21" s="73" t="s">
        <v>98</v>
      </c>
      <c r="X21" s="73" t="s">
        <v>12</v>
      </c>
      <c r="Y21" s="83">
        <v>52.1</v>
      </c>
      <c r="AD21" s="82"/>
      <c r="AG21" s="83"/>
      <c r="AL21" s="82"/>
      <c r="AO21" s="83"/>
      <c r="AP21" s="82"/>
      <c r="AS21" s="83"/>
      <c r="AW21" s="83"/>
      <c r="BA21" s="84"/>
    </row>
    <row r="22" spans="1:53" s="334" customFormat="1" x14ac:dyDescent="0.15">
      <c r="A22" s="334">
        <v>1997</v>
      </c>
      <c r="B22" s="355">
        <v>35473</v>
      </c>
      <c r="C22" s="812" t="s">
        <v>979</v>
      </c>
      <c r="D22" s="812"/>
      <c r="E22" s="386">
        <v>98</v>
      </c>
      <c r="F22" s="334">
        <v>4</v>
      </c>
      <c r="G22" s="419">
        <v>1</v>
      </c>
      <c r="J22" s="435">
        <v>17</v>
      </c>
      <c r="K22" s="384">
        <f>G22/J22*100</f>
        <v>5.8823529411764701</v>
      </c>
      <c r="L22" s="384">
        <f>H22/J22*100</f>
        <v>0</v>
      </c>
      <c r="M22" s="384">
        <f>I22/J22*100</f>
        <v>0</v>
      </c>
      <c r="N22" s="421">
        <f>SUM(K22:M22)</f>
        <v>5.8823529411764701</v>
      </c>
      <c r="O22" s="383">
        <v>28.8</v>
      </c>
      <c r="P22" s="384"/>
      <c r="Q22" s="384"/>
      <c r="R22" s="385">
        <f>SUM(O22:Q22)</f>
        <v>28.8</v>
      </c>
      <c r="S22" s="334">
        <v>6</v>
      </c>
      <c r="T22" s="357"/>
      <c r="U22" s="355">
        <v>35473</v>
      </c>
      <c r="V22" s="343" t="s">
        <v>884</v>
      </c>
      <c r="W22" s="334" t="s">
        <v>17</v>
      </c>
      <c r="X22" s="334" t="s">
        <v>11</v>
      </c>
      <c r="Y22" s="344">
        <v>28.8</v>
      </c>
      <c r="AD22" s="343"/>
      <c r="AG22" s="344"/>
      <c r="AL22" s="343"/>
      <c r="AO22" s="344"/>
      <c r="AP22" s="343"/>
      <c r="AS22" s="344"/>
      <c r="AW22" s="344"/>
      <c r="BA22" s="345"/>
    </row>
    <row r="23" spans="1:53" s="73" customFormat="1" x14ac:dyDescent="0.15">
      <c r="A23" s="73">
        <v>1997</v>
      </c>
      <c r="B23" s="85">
        <v>35571</v>
      </c>
      <c r="C23" s="811" t="s">
        <v>980</v>
      </c>
      <c r="D23" s="811"/>
      <c r="E23" s="102">
        <v>225</v>
      </c>
      <c r="F23" s="73">
        <v>1</v>
      </c>
      <c r="G23" s="123">
        <v>17</v>
      </c>
      <c r="J23" s="134">
        <v>17</v>
      </c>
      <c r="K23" s="92">
        <f t="shared" si="0"/>
        <v>100</v>
      </c>
      <c r="L23" s="92">
        <f t="shared" si="1"/>
        <v>0</v>
      </c>
      <c r="M23" s="92">
        <f t="shared" si="2"/>
        <v>0</v>
      </c>
      <c r="N23" s="125">
        <f t="shared" si="3"/>
        <v>100</v>
      </c>
      <c r="O23" s="91">
        <v>57</v>
      </c>
      <c r="P23" s="92"/>
      <c r="Q23" s="92"/>
      <c r="R23" s="93">
        <f t="shared" si="4"/>
        <v>57</v>
      </c>
      <c r="S23" s="73">
        <v>1</v>
      </c>
      <c r="T23" s="95">
        <v>35539</v>
      </c>
      <c r="U23" s="85">
        <v>35571</v>
      </c>
      <c r="V23" s="82" t="s">
        <v>884</v>
      </c>
      <c r="W23" s="73" t="s">
        <v>17</v>
      </c>
      <c r="X23" s="73" t="s">
        <v>11</v>
      </c>
      <c r="Y23" s="83">
        <v>57</v>
      </c>
      <c r="AD23" s="82"/>
      <c r="AG23" s="83"/>
      <c r="AL23" s="82"/>
      <c r="AO23" s="83"/>
      <c r="AP23" s="82"/>
      <c r="AS23" s="83"/>
      <c r="AW23" s="83"/>
      <c r="BA23" s="84"/>
    </row>
    <row r="24" spans="1:53" s="73" customFormat="1" x14ac:dyDescent="0.15">
      <c r="A24" s="73">
        <v>1998</v>
      </c>
      <c r="B24" s="85"/>
      <c r="C24" s="811" t="s">
        <v>980</v>
      </c>
      <c r="D24" s="811"/>
      <c r="E24" s="102">
        <v>0</v>
      </c>
      <c r="G24" s="123">
        <v>17</v>
      </c>
      <c r="J24" s="134">
        <v>17</v>
      </c>
      <c r="K24" s="92">
        <f t="shared" si="0"/>
        <v>100</v>
      </c>
      <c r="L24" s="92">
        <f t="shared" si="1"/>
        <v>0</v>
      </c>
      <c r="M24" s="92">
        <f t="shared" si="2"/>
        <v>0</v>
      </c>
      <c r="N24" s="125">
        <f t="shared" si="3"/>
        <v>100</v>
      </c>
      <c r="O24" s="91">
        <v>57</v>
      </c>
      <c r="P24" s="92"/>
      <c r="Q24" s="92"/>
      <c r="R24" s="93">
        <f t="shared" si="4"/>
        <v>57</v>
      </c>
      <c r="S24" s="73">
        <v>1</v>
      </c>
      <c r="T24" s="81"/>
      <c r="U24" s="85"/>
      <c r="V24" s="82" t="s">
        <v>884</v>
      </c>
      <c r="W24" s="73" t="s">
        <v>17</v>
      </c>
      <c r="X24" s="73" t="s">
        <v>11</v>
      </c>
      <c r="Y24" s="83">
        <v>57</v>
      </c>
      <c r="AD24" s="82"/>
      <c r="AG24" s="83"/>
      <c r="AL24" s="82"/>
      <c r="AO24" s="83"/>
      <c r="AP24" s="82"/>
      <c r="AS24" s="83"/>
      <c r="AW24" s="83"/>
      <c r="BA24" s="84"/>
    </row>
    <row r="25" spans="1:53" s="73" customFormat="1" x14ac:dyDescent="0.15">
      <c r="A25" s="73">
        <v>1998</v>
      </c>
      <c r="B25" s="85"/>
      <c r="C25" s="811" t="s">
        <v>980</v>
      </c>
      <c r="D25" s="811"/>
      <c r="E25" s="102">
        <v>365</v>
      </c>
      <c r="G25" s="123">
        <v>17</v>
      </c>
      <c r="J25" s="134">
        <v>17</v>
      </c>
      <c r="K25" s="92">
        <f t="shared" si="0"/>
        <v>100</v>
      </c>
      <c r="L25" s="92">
        <f t="shared" si="1"/>
        <v>0</v>
      </c>
      <c r="M25" s="92">
        <f t="shared" si="2"/>
        <v>0</v>
      </c>
      <c r="N25" s="125">
        <f t="shared" si="3"/>
        <v>100</v>
      </c>
      <c r="O25" s="91">
        <v>57</v>
      </c>
      <c r="P25" s="92"/>
      <c r="Q25" s="92"/>
      <c r="R25" s="93">
        <f t="shared" si="4"/>
        <v>57</v>
      </c>
      <c r="S25" s="73">
        <v>1</v>
      </c>
      <c r="T25" s="81"/>
      <c r="U25" s="85"/>
      <c r="V25" s="82" t="s">
        <v>884</v>
      </c>
      <c r="W25" s="73" t="s">
        <v>17</v>
      </c>
      <c r="X25" s="73" t="s">
        <v>11</v>
      </c>
      <c r="Y25" s="83">
        <v>57</v>
      </c>
      <c r="AD25" s="82"/>
      <c r="AG25" s="83"/>
      <c r="AL25" s="82"/>
      <c r="AO25" s="83"/>
      <c r="AP25" s="82"/>
      <c r="AS25" s="83"/>
      <c r="AW25" s="83"/>
      <c r="BA25" s="84"/>
    </row>
    <row r="26" spans="1:53" s="73" customFormat="1" x14ac:dyDescent="0.15">
      <c r="A26" s="73">
        <v>1999</v>
      </c>
      <c r="B26" s="85"/>
      <c r="C26" s="811" t="s">
        <v>980</v>
      </c>
      <c r="D26" s="811"/>
      <c r="E26" s="102">
        <v>354</v>
      </c>
      <c r="G26" s="123">
        <v>17</v>
      </c>
      <c r="J26" s="134">
        <v>17</v>
      </c>
      <c r="K26" s="92">
        <f t="shared" si="0"/>
        <v>100</v>
      </c>
      <c r="L26" s="92">
        <f t="shared" si="1"/>
        <v>0</v>
      </c>
      <c r="M26" s="92">
        <f t="shared" si="2"/>
        <v>0</v>
      </c>
      <c r="N26" s="125">
        <f t="shared" si="3"/>
        <v>100</v>
      </c>
      <c r="O26" s="91">
        <v>57</v>
      </c>
      <c r="P26" s="92"/>
      <c r="Q26" s="92"/>
      <c r="R26" s="93">
        <f t="shared" si="4"/>
        <v>57</v>
      </c>
      <c r="S26" s="73">
        <v>1</v>
      </c>
      <c r="T26" s="81"/>
      <c r="U26" s="85"/>
      <c r="V26" s="82" t="s">
        <v>884</v>
      </c>
      <c r="W26" s="73" t="s">
        <v>17</v>
      </c>
      <c r="X26" s="73" t="s">
        <v>11</v>
      </c>
      <c r="Y26" s="83">
        <v>57</v>
      </c>
      <c r="AD26" s="82"/>
      <c r="AG26" s="83"/>
      <c r="AL26" s="82"/>
      <c r="AO26" s="83"/>
      <c r="AP26" s="82"/>
      <c r="AS26" s="83"/>
      <c r="AW26" s="83"/>
      <c r="BA26" s="84"/>
    </row>
    <row r="27" spans="1:53" s="73" customFormat="1" x14ac:dyDescent="0.15">
      <c r="A27" s="73">
        <v>1999</v>
      </c>
      <c r="B27" s="149">
        <v>36515</v>
      </c>
      <c r="C27" s="811" t="s">
        <v>980</v>
      </c>
      <c r="D27" s="811"/>
      <c r="E27" s="102">
        <v>11</v>
      </c>
      <c r="F27" s="150">
        <v>0</v>
      </c>
      <c r="G27" s="123">
        <v>8</v>
      </c>
      <c r="H27" s="73">
        <v>2</v>
      </c>
      <c r="J27" s="134">
        <v>16</v>
      </c>
      <c r="K27" s="92">
        <f t="shared" si="0"/>
        <v>50</v>
      </c>
      <c r="L27" s="92">
        <f t="shared" si="1"/>
        <v>12.5</v>
      </c>
      <c r="M27" s="92">
        <f t="shared" si="2"/>
        <v>0</v>
      </c>
      <c r="N27" s="125">
        <f t="shared" si="3"/>
        <v>62.5</v>
      </c>
      <c r="O27" s="91">
        <v>57</v>
      </c>
      <c r="P27" s="92"/>
      <c r="Q27" s="92"/>
      <c r="R27" s="93">
        <f t="shared" si="4"/>
        <v>57</v>
      </c>
      <c r="S27" s="73">
        <v>1</v>
      </c>
      <c r="T27" s="81"/>
      <c r="U27" s="85"/>
      <c r="V27" s="82" t="s">
        <v>884</v>
      </c>
      <c r="W27" s="73" t="s">
        <v>17</v>
      </c>
      <c r="X27" s="73" t="s">
        <v>11</v>
      </c>
      <c r="Y27" s="83">
        <v>57</v>
      </c>
      <c r="AD27" s="82"/>
      <c r="AG27" s="83"/>
      <c r="AL27" s="82"/>
      <c r="AO27" s="83"/>
      <c r="AP27" s="82"/>
      <c r="AS27" s="83"/>
      <c r="AW27" s="83"/>
      <c r="BA27" s="84"/>
    </row>
    <row r="28" spans="1:53" s="73" customFormat="1" x14ac:dyDescent="0.15">
      <c r="A28" s="73">
        <v>2000</v>
      </c>
      <c r="B28" s="85"/>
      <c r="C28" s="811" t="s">
        <v>980</v>
      </c>
      <c r="D28" s="811"/>
      <c r="E28" s="102">
        <v>0</v>
      </c>
      <c r="G28" s="123">
        <v>8</v>
      </c>
      <c r="H28" s="73">
        <v>2</v>
      </c>
      <c r="J28" s="134">
        <v>16</v>
      </c>
      <c r="K28" s="92">
        <f t="shared" si="0"/>
        <v>50</v>
      </c>
      <c r="L28" s="92">
        <f t="shared" si="1"/>
        <v>12.5</v>
      </c>
      <c r="M28" s="92">
        <f t="shared" si="2"/>
        <v>0</v>
      </c>
      <c r="N28" s="125">
        <f t="shared" si="3"/>
        <v>62.5</v>
      </c>
      <c r="O28" s="91">
        <v>57</v>
      </c>
      <c r="P28" s="92"/>
      <c r="Q28" s="92"/>
      <c r="R28" s="93">
        <f t="shared" si="4"/>
        <v>57</v>
      </c>
      <c r="S28" s="73">
        <v>1</v>
      </c>
      <c r="T28" s="81"/>
      <c r="U28" s="85"/>
      <c r="V28" s="82" t="s">
        <v>884</v>
      </c>
      <c r="W28" s="73" t="s">
        <v>17</v>
      </c>
      <c r="X28" s="73" t="s">
        <v>11</v>
      </c>
      <c r="Y28" s="83">
        <v>57</v>
      </c>
      <c r="AD28" s="82"/>
      <c r="AG28" s="83"/>
      <c r="AL28" s="82"/>
      <c r="AO28" s="83"/>
      <c r="AP28" s="82"/>
      <c r="AS28" s="83"/>
      <c r="AW28" s="83"/>
      <c r="BA28" s="84"/>
    </row>
    <row r="29" spans="1:53" s="73" customFormat="1" x14ac:dyDescent="0.15">
      <c r="A29" s="73">
        <v>2000</v>
      </c>
      <c r="B29" s="85"/>
      <c r="C29" s="811" t="s">
        <v>980</v>
      </c>
      <c r="D29" s="811"/>
      <c r="E29" s="102">
        <v>366</v>
      </c>
      <c r="G29" s="123">
        <v>8</v>
      </c>
      <c r="H29" s="73">
        <v>2</v>
      </c>
      <c r="J29" s="134">
        <v>16</v>
      </c>
      <c r="K29" s="92">
        <f t="shared" si="0"/>
        <v>50</v>
      </c>
      <c r="L29" s="92">
        <f t="shared" si="1"/>
        <v>12.5</v>
      </c>
      <c r="M29" s="92">
        <f t="shared" si="2"/>
        <v>0</v>
      </c>
      <c r="N29" s="125">
        <f t="shared" si="3"/>
        <v>62.5</v>
      </c>
      <c r="O29" s="91">
        <v>57</v>
      </c>
      <c r="P29" s="92"/>
      <c r="Q29" s="92"/>
      <c r="R29" s="93">
        <f t="shared" si="4"/>
        <v>57</v>
      </c>
      <c r="S29" s="73">
        <v>1</v>
      </c>
      <c r="T29" s="81"/>
      <c r="U29" s="85"/>
      <c r="V29" s="82" t="s">
        <v>884</v>
      </c>
      <c r="W29" s="73" t="s">
        <v>17</v>
      </c>
      <c r="X29" s="73" t="s">
        <v>11</v>
      </c>
      <c r="Y29" s="83">
        <v>57</v>
      </c>
      <c r="AD29" s="82"/>
      <c r="AG29" s="83"/>
      <c r="AL29" s="82"/>
      <c r="AO29" s="83"/>
      <c r="AP29" s="82"/>
      <c r="AS29" s="83"/>
      <c r="AW29" s="83"/>
      <c r="BA29" s="84"/>
    </row>
    <row r="30" spans="1:53" s="73" customFormat="1" x14ac:dyDescent="0.15">
      <c r="A30" s="73">
        <v>2001</v>
      </c>
      <c r="B30" s="85"/>
      <c r="C30" s="811" t="s">
        <v>980</v>
      </c>
      <c r="D30" s="811"/>
      <c r="E30" s="102">
        <v>204</v>
      </c>
      <c r="G30" s="123">
        <v>8</v>
      </c>
      <c r="H30" s="73">
        <v>2</v>
      </c>
      <c r="J30" s="134">
        <v>16</v>
      </c>
      <c r="K30" s="92">
        <f t="shared" si="0"/>
        <v>50</v>
      </c>
      <c r="L30" s="92">
        <f t="shared" si="1"/>
        <v>12.5</v>
      </c>
      <c r="M30" s="92">
        <f t="shared" si="2"/>
        <v>0</v>
      </c>
      <c r="N30" s="125">
        <f t="shared" si="3"/>
        <v>62.5</v>
      </c>
      <c r="O30" s="91">
        <v>57</v>
      </c>
      <c r="P30" s="92"/>
      <c r="Q30" s="92"/>
      <c r="R30" s="93">
        <f t="shared" si="4"/>
        <v>57</v>
      </c>
      <c r="S30" s="73">
        <v>1</v>
      </c>
      <c r="T30" s="81"/>
      <c r="U30" s="85"/>
      <c r="V30" s="82" t="s">
        <v>884</v>
      </c>
      <c r="W30" s="73" t="s">
        <v>17</v>
      </c>
      <c r="X30" s="73" t="s">
        <v>11</v>
      </c>
      <c r="Y30" s="83">
        <v>57</v>
      </c>
      <c r="AD30" s="82"/>
      <c r="AG30" s="83"/>
      <c r="AL30" s="82"/>
      <c r="AO30" s="83"/>
      <c r="AP30" s="82"/>
      <c r="AS30" s="83"/>
      <c r="AW30" s="83"/>
      <c r="BA30" s="84"/>
    </row>
    <row r="31" spans="1:53" s="334" customFormat="1" x14ac:dyDescent="0.15">
      <c r="A31" s="334">
        <v>2001</v>
      </c>
      <c r="B31" s="361">
        <v>37096</v>
      </c>
      <c r="C31" s="812" t="s">
        <v>989</v>
      </c>
      <c r="D31" s="812"/>
      <c r="E31" s="386">
        <v>161</v>
      </c>
      <c r="F31" s="334">
        <v>1</v>
      </c>
      <c r="G31" s="419">
        <v>15</v>
      </c>
      <c r="I31" s="334">
        <v>2</v>
      </c>
      <c r="J31" s="435">
        <v>17</v>
      </c>
      <c r="K31" s="384">
        <f t="shared" si="0"/>
        <v>88.235294117647058</v>
      </c>
      <c r="L31" s="384">
        <f t="shared" si="1"/>
        <v>0</v>
      </c>
      <c r="M31" s="384">
        <f t="shared" si="2"/>
        <v>11.76470588235294</v>
      </c>
      <c r="N31" s="421">
        <f>SUM(K31:M31)</f>
        <v>100</v>
      </c>
      <c r="O31" s="383">
        <v>58.75</v>
      </c>
      <c r="P31" s="384"/>
      <c r="Q31" s="384">
        <v>20</v>
      </c>
      <c r="R31" s="385">
        <f t="shared" si="4"/>
        <v>78.75</v>
      </c>
      <c r="S31" s="334">
        <v>3</v>
      </c>
      <c r="T31" s="342">
        <v>37059</v>
      </c>
      <c r="U31" s="355">
        <v>37096</v>
      </c>
      <c r="V31" s="343" t="s">
        <v>990</v>
      </c>
      <c r="W31" s="334" t="s">
        <v>991</v>
      </c>
      <c r="X31" s="334" t="s">
        <v>11</v>
      </c>
      <c r="Y31" s="344">
        <v>50</v>
      </c>
      <c r="Z31" s="334" t="s">
        <v>992</v>
      </c>
      <c r="AA31" s="334" t="s">
        <v>90</v>
      </c>
      <c r="AB31" s="334" t="s">
        <v>11</v>
      </c>
      <c r="AC31" s="334">
        <v>8.8000000000000007</v>
      </c>
      <c r="AD31" s="343" t="s">
        <v>994</v>
      </c>
      <c r="AE31" s="334" t="s">
        <v>116</v>
      </c>
      <c r="AF31" s="334" t="s">
        <v>12</v>
      </c>
      <c r="AG31" s="344">
        <v>20</v>
      </c>
      <c r="AL31" s="343"/>
      <c r="AO31" s="344"/>
      <c r="AP31" s="343"/>
      <c r="AS31" s="344"/>
      <c r="AW31" s="344"/>
      <c r="BA31" s="345"/>
    </row>
    <row r="32" spans="1:53" s="334" customFormat="1" x14ac:dyDescent="0.15">
      <c r="A32" s="334">
        <v>2002</v>
      </c>
      <c r="B32" s="361"/>
      <c r="C32" s="812" t="s">
        <v>989</v>
      </c>
      <c r="D32" s="812"/>
      <c r="E32" s="439">
        <v>148</v>
      </c>
      <c r="G32" s="419">
        <v>15</v>
      </c>
      <c r="I32" s="334">
        <v>2</v>
      </c>
      <c r="J32" s="435">
        <v>17</v>
      </c>
      <c r="K32" s="384">
        <f t="shared" si="0"/>
        <v>88.235294117647058</v>
      </c>
      <c r="L32" s="384">
        <f t="shared" si="1"/>
        <v>0</v>
      </c>
      <c r="M32" s="384">
        <f t="shared" si="2"/>
        <v>11.76470588235294</v>
      </c>
      <c r="N32" s="421">
        <f t="shared" ref="N32:N60" si="5">SUM(K32:M32)</f>
        <v>100</v>
      </c>
      <c r="O32" s="383">
        <v>58.75</v>
      </c>
      <c r="P32" s="384"/>
      <c r="Q32" s="384">
        <v>20</v>
      </c>
      <c r="R32" s="385">
        <f t="shared" si="4"/>
        <v>78.75</v>
      </c>
      <c r="S32" s="334">
        <v>3</v>
      </c>
      <c r="T32" s="357"/>
      <c r="U32" s="355"/>
      <c r="V32" s="343" t="s">
        <v>990</v>
      </c>
      <c r="W32" s="334" t="s">
        <v>991</v>
      </c>
      <c r="X32" s="334" t="s">
        <v>11</v>
      </c>
      <c r="Y32" s="344">
        <v>50</v>
      </c>
      <c r="Z32" s="334" t="s">
        <v>992</v>
      </c>
      <c r="AA32" s="334" t="s">
        <v>90</v>
      </c>
      <c r="AB32" s="334" t="s">
        <v>11</v>
      </c>
      <c r="AC32" s="334">
        <v>8.8000000000000007</v>
      </c>
      <c r="AD32" s="343" t="s">
        <v>994</v>
      </c>
      <c r="AE32" s="334" t="s">
        <v>116</v>
      </c>
      <c r="AF32" s="334" t="s">
        <v>12</v>
      </c>
      <c r="AG32" s="344">
        <v>20</v>
      </c>
      <c r="AL32" s="343"/>
      <c r="AO32" s="344"/>
      <c r="AP32" s="343"/>
      <c r="AS32" s="344"/>
      <c r="AW32" s="344"/>
      <c r="BA32" s="345"/>
    </row>
    <row r="33" spans="1:53" s="334" customFormat="1" x14ac:dyDescent="0.15">
      <c r="A33" s="334">
        <v>2002</v>
      </c>
      <c r="B33" s="440">
        <v>37405</v>
      </c>
      <c r="C33" s="812" t="s">
        <v>989</v>
      </c>
      <c r="D33" s="812"/>
      <c r="E33" s="439">
        <f>365-E32</f>
        <v>217</v>
      </c>
      <c r="F33" s="441">
        <v>0</v>
      </c>
      <c r="G33" s="419">
        <v>16</v>
      </c>
      <c r="I33" s="334">
        <v>2</v>
      </c>
      <c r="J33" s="435">
        <v>18</v>
      </c>
      <c r="K33" s="384">
        <f t="shared" si="0"/>
        <v>88.888888888888886</v>
      </c>
      <c r="L33" s="384">
        <f t="shared" si="1"/>
        <v>0</v>
      </c>
      <c r="M33" s="384">
        <f t="shared" si="2"/>
        <v>11.111111111111111</v>
      </c>
      <c r="N33" s="421">
        <f t="shared" si="5"/>
        <v>100</v>
      </c>
      <c r="O33" s="383">
        <v>58.75</v>
      </c>
      <c r="P33" s="384"/>
      <c r="Q33" s="384">
        <v>20</v>
      </c>
      <c r="R33" s="385">
        <f t="shared" si="4"/>
        <v>78.75</v>
      </c>
      <c r="S33" s="334">
        <v>3</v>
      </c>
      <c r="T33" s="357"/>
      <c r="U33" s="355"/>
      <c r="V33" s="343" t="s">
        <v>990</v>
      </c>
      <c r="W33" s="334" t="s">
        <v>991</v>
      </c>
      <c r="X33" s="334" t="s">
        <v>11</v>
      </c>
      <c r="Y33" s="344">
        <v>50</v>
      </c>
      <c r="Z33" s="334" t="s">
        <v>992</v>
      </c>
      <c r="AA33" s="334" t="s">
        <v>90</v>
      </c>
      <c r="AB33" s="334" t="s">
        <v>11</v>
      </c>
      <c r="AC33" s="334">
        <v>8.8000000000000007</v>
      </c>
      <c r="AD33" s="343" t="s">
        <v>994</v>
      </c>
      <c r="AE33" s="334" t="s">
        <v>116</v>
      </c>
      <c r="AF33" s="334" t="s">
        <v>12</v>
      </c>
      <c r="AG33" s="344">
        <v>20</v>
      </c>
      <c r="AL33" s="343"/>
      <c r="AO33" s="344"/>
      <c r="AP33" s="343"/>
      <c r="AS33" s="344"/>
      <c r="AW33" s="344"/>
      <c r="BA33" s="345"/>
    </row>
    <row r="34" spans="1:53" s="334" customFormat="1" x14ac:dyDescent="0.15">
      <c r="A34" s="334">
        <v>2003</v>
      </c>
      <c r="B34" s="335"/>
      <c r="C34" s="812" t="s">
        <v>989</v>
      </c>
      <c r="D34" s="812"/>
      <c r="E34" s="439">
        <v>0</v>
      </c>
      <c r="G34" s="419">
        <v>16</v>
      </c>
      <c r="I34" s="334">
        <v>2</v>
      </c>
      <c r="J34" s="435">
        <v>18</v>
      </c>
      <c r="K34" s="384">
        <f t="shared" si="0"/>
        <v>88.888888888888886</v>
      </c>
      <c r="L34" s="384">
        <f t="shared" si="1"/>
        <v>0</v>
      </c>
      <c r="M34" s="384">
        <f t="shared" si="2"/>
        <v>11.111111111111111</v>
      </c>
      <c r="N34" s="421">
        <f t="shared" si="5"/>
        <v>100</v>
      </c>
      <c r="O34" s="383">
        <v>58.75</v>
      </c>
      <c r="P34" s="384"/>
      <c r="Q34" s="384">
        <v>20</v>
      </c>
      <c r="R34" s="385">
        <f t="shared" si="4"/>
        <v>78.75</v>
      </c>
      <c r="S34" s="334">
        <v>3</v>
      </c>
      <c r="T34" s="357"/>
      <c r="U34" s="355"/>
      <c r="V34" s="343" t="s">
        <v>990</v>
      </c>
      <c r="W34" s="334" t="s">
        <v>991</v>
      </c>
      <c r="X34" s="334" t="s">
        <v>11</v>
      </c>
      <c r="Y34" s="344">
        <v>50</v>
      </c>
      <c r="Z34" s="334" t="s">
        <v>992</v>
      </c>
      <c r="AA34" s="334" t="s">
        <v>90</v>
      </c>
      <c r="AB34" s="334" t="s">
        <v>11</v>
      </c>
      <c r="AC34" s="334">
        <v>8.8000000000000007</v>
      </c>
      <c r="AD34" s="343" t="s">
        <v>994</v>
      </c>
      <c r="AE34" s="334" t="s">
        <v>116</v>
      </c>
      <c r="AF34" s="334" t="s">
        <v>12</v>
      </c>
      <c r="AG34" s="344">
        <v>20</v>
      </c>
      <c r="AL34" s="343"/>
      <c r="AO34" s="344"/>
      <c r="AP34" s="343"/>
      <c r="AS34" s="344"/>
      <c r="AW34" s="344"/>
      <c r="BA34" s="345"/>
    </row>
    <row r="35" spans="1:53" s="334" customFormat="1" x14ac:dyDescent="0.15">
      <c r="A35" s="334">
        <v>2003</v>
      </c>
      <c r="B35" s="335"/>
      <c r="C35" s="812" t="s">
        <v>989</v>
      </c>
      <c r="D35" s="812"/>
      <c r="E35" s="439">
        <v>365</v>
      </c>
      <c r="G35" s="419">
        <v>16</v>
      </c>
      <c r="I35" s="334">
        <v>2</v>
      </c>
      <c r="J35" s="435">
        <v>18</v>
      </c>
      <c r="K35" s="384">
        <f t="shared" si="0"/>
        <v>88.888888888888886</v>
      </c>
      <c r="L35" s="384">
        <f t="shared" si="1"/>
        <v>0</v>
      </c>
      <c r="M35" s="384">
        <f t="shared" si="2"/>
        <v>11.111111111111111</v>
      </c>
      <c r="N35" s="421">
        <f t="shared" si="5"/>
        <v>100</v>
      </c>
      <c r="O35" s="383">
        <v>58.75</v>
      </c>
      <c r="P35" s="384"/>
      <c r="Q35" s="384">
        <v>20</v>
      </c>
      <c r="R35" s="385">
        <f t="shared" si="4"/>
        <v>78.75</v>
      </c>
      <c r="S35" s="334">
        <v>3</v>
      </c>
      <c r="T35" s="357"/>
      <c r="U35" s="355"/>
      <c r="V35" s="343" t="s">
        <v>990</v>
      </c>
      <c r="W35" s="334" t="s">
        <v>991</v>
      </c>
      <c r="X35" s="334" t="s">
        <v>11</v>
      </c>
      <c r="Y35" s="344">
        <v>50</v>
      </c>
      <c r="Z35" s="334" t="s">
        <v>992</v>
      </c>
      <c r="AA35" s="334" t="s">
        <v>90</v>
      </c>
      <c r="AB35" s="334" t="s">
        <v>11</v>
      </c>
      <c r="AC35" s="334">
        <v>8.8000000000000007</v>
      </c>
      <c r="AD35" s="343" t="s">
        <v>994</v>
      </c>
      <c r="AE35" s="334" t="s">
        <v>116</v>
      </c>
      <c r="AF35" s="334" t="s">
        <v>12</v>
      </c>
      <c r="AG35" s="344">
        <v>20</v>
      </c>
      <c r="AL35" s="343"/>
      <c r="AO35" s="344"/>
      <c r="AP35" s="343"/>
      <c r="AS35" s="344"/>
      <c r="AW35" s="344"/>
      <c r="BA35" s="345"/>
    </row>
    <row r="36" spans="1:53" s="334" customFormat="1" x14ac:dyDescent="0.15">
      <c r="A36" s="334">
        <v>2004</v>
      </c>
      <c r="B36" s="335"/>
      <c r="C36" s="812" t="s">
        <v>989</v>
      </c>
      <c r="D36" s="812"/>
      <c r="E36" s="439">
        <v>0</v>
      </c>
      <c r="G36" s="419">
        <v>16</v>
      </c>
      <c r="I36" s="334">
        <v>2</v>
      </c>
      <c r="J36" s="435">
        <v>18</v>
      </c>
      <c r="K36" s="384">
        <f t="shared" si="0"/>
        <v>88.888888888888886</v>
      </c>
      <c r="L36" s="384">
        <f t="shared" si="1"/>
        <v>0</v>
      </c>
      <c r="M36" s="384">
        <f t="shared" si="2"/>
        <v>11.111111111111111</v>
      </c>
      <c r="N36" s="421">
        <f t="shared" si="5"/>
        <v>100</v>
      </c>
      <c r="O36" s="383">
        <v>58.75</v>
      </c>
      <c r="P36" s="384"/>
      <c r="Q36" s="384">
        <v>20</v>
      </c>
      <c r="R36" s="385">
        <f t="shared" si="4"/>
        <v>78.75</v>
      </c>
      <c r="S36" s="334">
        <v>3</v>
      </c>
      <c r="T36" s="357"/>
      <c r="U36" s="355"/>
      <c r="V36" s="343" t="s">
        <v>990</v>
      </c>
      <c r="W36" s="334" t="s">
        <v>991</v>
      </c>
      <c r="X36" s="334" t="s">
        <v>11</v>
      </c>
      <c r="Y36" s="344">
        <v>50</v>
      </c>
      <c r="Z36" s="334" t="s">
        <v>992</v>
      </c>
      <c r="AA36" s="334" t="s">
        <v>90</v>
      </c>
      <c r="AB36" s="334" t="s">
        <v>11</v>
      </c>
      <c r="AC36" s="334">
        <v>8.8000000000000007</v>
      </c>
      <c r="AD36" s="343" t="s">
        <v>994</v>
      </c>
      <c r="AE36" s="334" t="s">
        <v>116</v>
      </c>
      <c r="AF36" s="334" t="s">
        <v>12</v>
      </c>
      <c r="AG36" s="344">
        <v>20</v>
      </c>
      <c r="AL36" s="343"/>
      <c r="AO36" s="344"/>
      <c r="AP36" s="343"/>
      <c r="AS36" s="344"/>
      <c r="AW36" s="344"/>
      <c r="BA36" s="345"/>
    </row>
    <row r="37" spans="1:53" s="334" customFormat="1" x14ac:dyDescent="0.15">
      <c r="A37" s="334">
        <v>2004</v>
      </c>
      <c r="B37" s="335"/>
      <c r="C37" s="812" t="s">
        <v>989</v>
      </c>
      <c r="D37" s="812"/>
      <c r="E37" s="439">
        <v>366</v>
      </c>
      <c r="G37" s="419">
        <v>16</v>
      </c>
      <c r="I37" s="334">
        <v>2</v>
      </c>
      <c r="J37" s="435">
        <v>18</v>
      </c>
      <c r="K37" s="384">
        <f t="shared" si="0"/>
        <v>88.888888888888886</v>
      </c>
      <c r="L37" s="384">
        <f t="shared" si="1"/>
        <v>0</v>
      </c>
      <c r="M37" s="384">
        <f t="shared" si="2"/>
        <v>11.111111111111111</v>
      </c>
      <c r="N37" s="421">
        <f t="shared" si="5"/>
        <v>100</v>
      </c>
      <c r="O37" s="383">
        <v>58.75</v>
      </c>
      <c r="P37" s="384"/>
      <c r="Q37" s="384">
        <v>20</v>
      </c>
      <c r="R37" s="385">
        <f t="shared" si="4"/>
        <v>78.75</v>
      </c>
      <c r="S37" s="334">
        <v>3</v>
      </c>
      <c r="T37" s="357"/>
      <c r="U37" s="355"/>
      <c r="V37" s="343" t="s">
        <v>990</v>
      </c>
      <c r="W37" s="334" t="s">
        <v>991</v>
      </c>
      <c r="X37" s="334" t="s">
        <v>11</v>
      </c>
      <c r="Y37" s="344">
        <v>50</v>
      </c>
      <c r="Z37" s="334" t="s">
        <v>992</v>
      </c>
      <c r="AA37" s="334" t="s">
        <v>90</v>
      </c>
      <c r="AB37" s="334" t="s">
        <v>11</v>
      </c>
      <c r="AC37" s="334">
        <v>8.8000000000000007</v>
      </c>
      <c r="AD37" s="343" t="s">
        <v>994</v>
      </c>
      <c r="AE37" s="334" t="s">
        <v>116</v>
      </c>
      <c r="AF37" s="334" t="s">
        <v>12</v>
      </c>
      <c r="AG37" s="344">
        <v>20</v>
      </c>
      <c r="AL37" s="343"/>
      <c r="AO37" s="344"/>
      <c r="AP37" s="343"/>
      <c r="AS37" s="344"/>
      <c r="AW37" s="344"/>
      <c r="BA37" s="345"/>
    </row>
    <row r="38" spans="1:53" s="334" customFormat="1" x14ac:dyDescent="0.15">
      <c r="A38" s="334">
        <v>2005</v>
      </c>
      <c r="B38" s="335"/>
      <c r="C38" s="812" t="s">
        <v>989</v>
      </c>
      <c r="D38" s="812"/>
      <c r="E38" s="442">
        <v>51</v>
      </c>
      <c r="G38" s="419">
        <v>16</v>
      </c>
      <c r="I38" s="334">
        <v>2</v>
      </c>
      <c r="J38" s="435">
        <v>18</v>
      </c>
      <c r="K38" s="384">
        <f t="shared" si="0"/>
        <v>88.888888888888886</v>
      </c>
      <c r="L38" s="384">
        <f t="shared" si="1"/>
        <v>0</v>
      </c>
      <c r="M38" s="384">
        <f t="shared" si="2"/>
        <v>11.111111111111111</v>
      </c>
      <c r="N38" s="421">
        <f t="shared" si="5"/>
        <v>100</v>
      </c>
      <c r="O38" s="383">
        <v>58.75</v>
      </c>
      <c r="P38" s="384"/>
      <c r="Q38" s="384">
        <v>20</v>
      </c>
      <c r="R38" s="385">
        <f t="shared" si="4"/>
        <v>78.75</v>
      </c>
      <c r="S38" s="334">
        <v>3</v>
      </c>
      <c r="T38" s="357"/>
      <c r="U38" s="355"/>
      <c r="V38" s="343" t="s">
        <v>990</v>
      </c>
      <c r="W38" s="334" t="s">
        <v>991</v>
      </c>
      <c r="X38" s="334" t="s">
        <v>11</v>
      </c>
      <c r="Y38" s="344">
        <v>50</v>
      </c>
      <c r="Z38" s="334" t="s">
        <v>992</v>
      </c>
      <c r="AA38" s="334" t="s">
        <v>90</v>
      </c>
      <c r="AB38" s="334" t="s">
        <v>11</v>
      </c>
      <c r="AC38" s="334">
        <v>8.8000000000000007</v>
      </c>
      <c r="AD38" s="343" t="s">
        <v>994</v>
      </c>
      <c r="AE38" s="334" t="s">
        <v>116</v>
      </c>
      <c r="AF38" s="334" t="s">
        <v>12</v>
      </c>
      <c r="AG38" s="344">
        <v>20</v>
      </c>
      <c r="AL38" s="343"/>
      <c r="AO38" s="344"/>
      <c r="AP38" s="343"/>
      <c r="AS38" s="344"/>
      <c r="AW38" s="344"/>
      <c r="BA38" s="345"/>
    </row>
    <row r="39" spans="1:53" s="334" customFormat="1" x14ac:dyDescent="0.15">
      <c r="A39" s="334">
        <v>2005</v>
      </c>
      <c r="B39" s="440">
        <v>38404</v>
      </c>
      <c r="C39" s="812" t="s">
        <v>989</v>
      </c>
      <c r="D39" s="812"/>
      <c r="E39" s="442">
        <f>365-E40-E38</f>
        <v>176</v>
      </c>
      <c r="F39" s="441">
        <v>0</v>
      </c>
      <c r="G39" s="419">
        <v>17</v>
      </c>
      <c r="I39" s="334">
        <v>2</v>
      </c>
      <c r="J39" s="435">
        <v>19</v>
      </c>
      <c r="K39" s="384">
        <f>G39/J39*100</f>
        <v>89.473684210526315</v>
      </c>
      <c r="L39" s="384">
        <f>H39/J39*100</f>
        <v>0</v>
      </c>
      <c r="M39" s="384">
        <f>I39/J39*100</f>
        <v>10.526315789473683</v>
      </c>
      <c r="N39" s="421">
        <f t="shared" si="5"/>
        <v>100</v>
      </c>
      <c r="O39" s="383">
        <v>58.75</v>
      </c>
      <c r="P39" s="384"/>
      <c r="Q39" s="384">
        <v>20</v>
      </c>
      <c r="R39" s="385">
        <f t="shared" si="4"/>
        <v>78.75</v>
      </c>
      <c r="S39" s="334">
        <v>3</v>
      </c>
      <c r="T39" s="342"/>
      <c r="U39" s="355"/>
      <c r="V39" s="343" t="s">
        <v>990</v>
      </c>
      <c r="W39" s="334" t="s">
        <v>991</v>
      </c>
      <c r="X39" s="334" t="s">
        <v>11</v>
      </c>
      <c r="Y39" s="344">
        <v>50</v>
      </c>
      <c r="Z39" s="334" t="s">
        <v>992</v>
      </c>
      <c r="AA39" s="334" t="s">
        <v>90</v>
      </c>
      <c r="AB39" s="334" t="s">
        <v>11</v>
      </c>
      <c r="AC39" s="334">
        <v>8.8000000000000007</v>
      </c>
      <c r="AD39" s="343" t="s">
        <v>994</v>
      </c>
      <c r="AE39" s="334" t="s">
        <v>116</v>
      </c>
      <c r="AF39" s="334" t="s">
        <v>12</v>
      </c>
      <c r="AG39" s="344">
        <v>20</v>
      </c>
      <c r="AL39" s="343"/>
      <c r="AO39" s="344"/>
      <c r="AP39" s="343"/>
      <c r="AS39" s="344"/>
      <c r="AW39" s="344"/>
      <c r="BA39" s="345"/>
    </row>
    <row r="40" spans="1:53" s="73" customFormat="1" x14ac:dyDescent="0.15">
      <c r="A40" s="73">
        <v>2005</v>
      </c>
      <c r="B40" s="121">
        <v>38580</v>
      </c>
      <c r="C40" s="811" t="s">
        <v>993</v>
      </c>
      <c r="D40" s="811"/>
      <c r="E40" s="153">
        <v>138</v>
      </c>
      <c r="F40" s="73">
        <v>1</v>
      </c>
      <c r="G40" s="123">
        <v>8</v>
      </c>
      <c r="I40" s="73">
        <v>9</v>
      </c>
      <c r="J40" s="134">
        <v>18</v>
      </c>
      <c r="K40" s="92">
        <f t="shared" si="0"/>
        <v>44.444444444444443</v>
      </c>
      <c r="L40" s="92">
        <f t="shared" si="1"/>
        <v>0</v>
      </c>
      <c r="M40" s="92">
        <f t="shared" si="2"/>
        <v>50</v>
      </c>
      <c r="N40" s="125">
        <f t="shared" si="5"/>
        <v>94.444444444444443</v>
      </c>
      <c r="O40" s="91">
        <v>35.869999999999997</v>
      </c>
      <c r="P40" s="92"/>
      <c r="Q40" s="92">
        <v>33.979999999999997</v>
      </c>
      <c r="R40" s="93">
        <f t="shared" si="4"/>
        <v>69.849999999999994</v>
      </c>
      <c r="S40" s="73">
        <v>3</v>
      </c>
      <c r="T40" s="95">
        <v>38528</v>
      </c>
      <c r="U40" s="85">
        <v>38580</v>
      </c>
      <c r="V40" s="82" t="s">
        <v>995</v>
      </c>
      <c r="W40" s="73" t="s">
        <v>116</v>
      </c>
      <c r="X40" s="73" t="s">
        <v>12</v>
      </c>
      <c r="Y40" s="83">
        <v>34</v>
      </c>
      <c r="Z40" s="73" t="s">
        <v>990</v>
      </c>
      <c r="AA40" s="73" t="s">
        <v>991</v>
      </c>
      <c r="AB40" s="73" t="s">
        <v>11</v>
      </c>
      <c r="AC40" s="73">
        <v>21.7</v>
      </c>
      <c r="AD40" s="82" t="s">
        <v>992</v>
      </c>
      <c r="AE40" s="73" t="s">
        <v>90</v>
      </c>
      <c r="AF40" s="73" t="s">
        <v>11</v>
      </c>
      <c r="AG40" s="83">
        <v>14.2</v>
      </c>
      <c r="AL40" s="82"/>
      <c r="AO40" s="83"/>
      <c r="AP40" s="82"/>
      <c r="AS40" s="83"/>
      <c r="AW40" s="83"/>
      <c r="BA40" s="84"/>
    </row>
    <row r="41" spans="1:53" s="73" customFormat="1" x14ac:dyDescent="0.15">
      <c r="A41" s="73">
        <v>2006</v>
      </c>
      <c r="B41" s="121"/>
      <c r="C41" s="811" t="s">
        <v>993</v>
      </c>
      <c r="D41" s="811"/>
      <c r="E41" s="153">
        <v>0</v>
      </c>
      <c r="G41" s="123">
        <v>8</v>
      </c>
      <c r="I41" s="73">
        <v>9</v>
      </c>
      <c r="J41" s="134">
        <v>18</v>
      </c>
      <c r="K41" s="92">
        <f t="shared" si="0"/>
        <v>44.444444444444443</v>
      </c>
      <c r="L41" s="92">
        <f t="shared" si="1"/>
        <v>0</v>
      </c>
      <c r="M41" s="92">
        <f t="shared" si="2"/>
        <v>50</v>
      </c>
      <c r="N41" s="125">
        <f t="shared" si="5"/>
        <v>94.444444444444443</v>
      </c>
      <c r="O41" s="91">
        <v>35.869999999999997</v>
      </c>
      <c r="P41" s="92"/>
      <c r="Q41" s="92">
        <v>33.979999999999997</v>
      </c>
      <c r="R41" s="93">
        <f t="shared" si="4"/>
        <v>69.849999999999994</v>
      </c>
      <c r="S41" s="73">
        <v>3</v>
      </c>
      <c r="T41" s="81"/>
      <c r="U41" s="85"/>
      <c r="V41" s="82" t="s">
        <v>995</v>
      </c>
      <c r="W41" s="73" t="s">
        <v>116</v>
      </c>
      <c r="X41" s="73" t="s">
        <v>12</v>
      </c>
      <c r="Y41" s="83">
        <v>34</v>
      </c>
      <c r="Z41" s="73" t="s">
        <v>990</v>
      </c>
      <c r="AA41" s="73" t="s">
        <v>991</v>
      </c>
      <c r="AB41" s="73" t="s">
        <v>11</v>
      </c>
      <c r="AC41" s="73">
        <v>21.7</v>
      </c>
      <c r="AD41" s="82" t="s">
        <v>992</v>
      </c>
      <c r="AE41" s="73" t="s">
        <v>90</v>
      </c>
      <c r="AF41" s="73" t="s">
        <v>11</v>
      </c>
      <c r="AG41" s="83">
        <v>14.2</v>
      </c>
      <c r="AL41" s="82"/>
      <c r="AO41" s="83"/>
      <c r="AP41" s="82"/>
      <c r="AS41" s="83"/>
      <c r="AW41" s="83"/>
      <c r="BA41" s="84"/>
    </row>
    <row r="42" spans="1:53" s="73" customFormat="1" x14ac:dyDescent="0.15">
      <c r="A42" s="73">
        <v>2006</v>
      </c>
      <c r="B42" s="121"/>
      <c r="C42" s="811" t="s">
        <v>993</v>
      </c>
      <c r="D42" s="811"/>
      <c r="E42" s="153">
        <v>365</v>
      </c>
      <c r="G42" s="123">
        <v>8</v>
      </c>
      <c r="I42" s="73">
        <v>9</v>
      </c>
      <c r="J42" s="134">
        <v>18</v>
      </c>
      <c r="K42" s="92">
        <f t="shared" si="0"/>
        <v>44.444444444444443</v>
      </c>
      <c r="L42" s="92">
        <f t="shared" si="1"/>
        <v>0</v>
      </c>
      <c r="M42" s="92">
        <f t="shared" si="2"/>
        <v>50</v>
      </c>
      <c r="N42" s="125">
        <f t="shared" si="5"/>
        <v>94.444444444444443</v>
      </c>
      <c r="O42" s="91">
        <v>35.869999999999997</v>
      </c>
      <c r="P42" s="92"/>
      <c r="Q42" s="92">
        <v>33.979999999999997</v>
      </c>
      <c r="R42" s="93">
        <f t="shared" si="4"/>
        <v>69.849999999999994</v>
      </c>
      <c r="S42" s="73">
        <v>3</v>
      </c>
      <c r="T42" s="81"/>
      <c r="U42" s="85"/>
      <c r="V42" s="82" t="s">
        <v>995</v>
      </c>
      <c r="W42" s="73" t="s">
        <v>116</v>
      </c>
      <c r="X42" s="73" t="s">
        <v>12</v>
      </c>
      <c r="Y42" s="83">
        <v>34</v>
      </c>
      <c r="Z42" s="73" t="s">
        <v>990</v>
      </c>
      <c r="AA42" s="73" t="s">
        <v>991</v>
      </c>
      <c r="AB42" s="73" t="s">
        <v>11</v>
      </c>
      <c r="AC42" s="73">
        <v>21.7</v>
      </c>
      <c r="AD42" s="82" t="s">
        <v>992</v>
      </c>
      <c r="AE42" s="73" t="s">
        <v>90</v>
      </c>
      <c r="AF42" s="73" t="s">
        <v>11</v>
      </c>
      <c r="AG42" s="83">
        <v>14.2</v>
      </c>
      <c r="AL42" s="82"/>
      <c r="AO42" s="83"/>
      <c r="AP42" s="82"/>
      <c r="AS42" s="83"/>
      <c r="AW42" s="83"/>
      <c r="BA42" s="84"/>
    </row>
    <row r="43" spans="1:53" s="73" customFormat="1" x14ac:dyDescent="0.15">
      <c r="A43" s="73">
        <v>2007</v>
      </c>
      <c r="B43" s="121"/>
      <c r="C43" s="811" t="s">
        <v>993</v>
      </c>
      <c r="D43" s="811"/>
      <c r="E43" s="153">
        <v>0</v>
      </c>
      <c r="G43" s="123">
        <v>8</v>
      </c>
      <c r="I43" s="73">
        <v>9</v>
      </c>
      <c r="J43" s="134">
        <v>18</v>
      </c>
      <c r="K43" s="92">
        <f t="shared" si="0"/>
        <v>44.444444444444443</v>
      </c>
      <c r="L43" s="92">
        <f t="shared" si="1"/>
        <v>0</v>
      </c>
      <c r="M43" s="92">
        <f t="shared" si="2"/>
        <v>50</v>
      </c>
      <c r="N43" s="125">
        <f t="shared" si="5"/>
        <v>94.444444444444443</v>
      </c>
      <c r="O43" s="91">
        <v>35.869999999999997</v>
      </c>
      <c r="P43" s="92"/>
      <c r="Q43" s="92">
        <v>33.979999999999997</v>
      </c>
      <c r="R43" s="93">
        <f t="shared" si="4"/>
        <v>69.849999999999994</v>
      </c>
      <c r="S43" s="73">
        <v>3</v>
      </c>
      <c r="T43" s="81"/>
      <c r="U43" s="85"/>
      <c r="V43" s="82" t="s">
        <v>995</v>
      </c>
      <c r="W43" s="73" t="s">
        <v>116</v>
      </c>
      <c r="X43" s="73" t="s">
        <v>12</v>
      </c>
      <c r="Y43" s="83">
        <v>34</v>
      </c>
      <c r="Z43" s="73" t="s">
        <v>990</v>
      </c>
      <c r="AA43" s="73" t="s">
        <v>991</v>
      </c>
      <c r="AB43" s="73" t="s">
        <v>11</v>
      </c>
      <c r="AC43" s="73">
        <v>21.7</v>
      </c>
      <c r="AD43" s="82" t="s">
        <v>992</v>
      </c>
      <c r="AE43" s="73" t="s">
        <v>90</v>
      </c>
      <c r="AF43" s="73" t="s">
        <v>11</v>
      </c>
      <c r="AG43" s="83">
        <v>14.2</v>
      </c>
      <c r="AL43" s="82"/>
      <c r="AO43" s="83"/>
      <c r="AP43" s="82"/>
      <c r="AS43" s="83"/>
      <c r="AW43" s="83"/>
      <c r="BA43" s="84"/>
    </row>
    <row r="44" spans="1:53" s="73" customFormat="1" x14ac:dyDescent="0.15">
      <c r="A44" s="73">
        <v>2007</v>
      </c>
      <c r="B44" s="121"/>
      <c r="C44" s="811" t="s">
        <v>993</v>
      </c>
      <c r="D44" s="811"/>
      <c r="E44" s="153">
        <v>365</v>
      </c>
      <c r="G44" s="123">
        <v>8</v>
      </c>
      <c r="I44" s="73">
        <v>9</v>
      </c>
      <c r="J44" s="134">
        <v>18</v>
      </c>
      <c r="K44" s="92">
        <f t="shared" si="0"/>
        <v>44.444444444444443</v>
      </c>
      <c r="L44" s="92">
        <f t="shared" si="1"/>
        <v>0</v>
      </c>
      <c r="M44" s="92">
        <f t="shared" si="2"/>
        <v>50</v>
      </c>
      <c r="N44" s="125">
        <f t="shared" si="5"/>
        <v>94.444444444444443</v>
      </c>
      <c r="O44" s="91">
        <v>35.869999999999997</v>
      </c>
      <c r="P44" s="92"/>
      <c r="Q44" s="92">
        <v>33.979999999999997</v>
      </c>
      <c r="R44" s="93">
        <f t="shared" si="4"/>
        <v>69.849999999999994</v>
      </c>
      <c r="S44" s="73">
        <v>3</v>
      </c>
      <c r="T44" s="81"/>
      <c r="U44" s="85"/>
      <c r="V44" s="82" t="s">
        <v>995</v>
      </c>
      <c r="W44" s="73" t="s">
        <v>116</v>
      </c>
      <c r="X44" s="73" t="s">
        <v>12</v>
      </c>
      <c r="Y44" s="83">
        <v>34</v>
      </c>
      <c r="Z44" s="73" t="s">
        <v>990</v>
      </c>
      <c r="AA44" s="73" t="s">
        <v>991</v>
      </c>
      <c r="AB44" s="73" t="s">
        <v>11</v>
      </c>
      <c r="AC44" s="73">
        <v>21.7</v>
      </c>
      <c r="AD44" s="82" t="s">
        <v>992</v>
      </c>
      <c r="AE44" s="73" t="s">
        <v>90</v>
      </c>
      <c r="AF44" s="73" t="s">
        <v>11</v>
      </c>
      <c r="AG44" s="83">
        <v>14.2</v>
      </c>
      <c r="AL44" s="82"/>
      <c r="AO44" s="83"/>
      <c r="AP44" s="82"/>
      <c r="AS44" s="83"/>
      <c r="AW44" s="83"/>
      <c r="BA44" s="84"/>
    </row>
    <row r="45" spans="1:53" s="73" customFormat="1" x14ac:dyDescent="0.15">
      <c r="A45" s="73">
        <v>2008</v>
      </c>
      <c r="B45" s="121"/>
      <c r="C45" s="811" t="s">
        <v>993</v>
      </c>
      <c r="D45" s="811"/>
      <c r="E45" s="153">
        <v>114</v>
      </c>
      <c r="G45" s="123">
        <v>8</v>
      </c>
      <c r="I45" s="73">
        <v>9</v>
      </c>
      <c r="J45" s="134">
        <v>18</v>
      </c>
      <c r="K45" s="92">
        <f t="shared" si="0"/>
        <v>44.444444444444443</v>
      </c>
      <c r="L45" s="92">
        <f t="shared" si="1"/>
        <v>0</v>
      </c>
      <c r="M45" s="92">
        <f t="shared" si="2"/>
        <v>50</v>
      </c>
      <c r="N45" s="125">
        <f t="shared" si="5"/>
        <v>94.444444444444443</v>
      </c>
      <c r="O45" s="91">
        <v>35.869999999999997</v>
      </c>
      <c r="P45" s="92"/>
      <c r="Q45" s="92">
        <v>33.979999999999997</v>
      </c>
      <c r="R45" s="93">
        <f t="shared" si="4"/>
        <v>69.849999999999994</v>
      </c>
      <c r="S45" s="73">
        <v>3</v>
      </c>
      <c r="T45" s="81"/>
      <c r="U45" s="85"/>
      <c r="V45" s="82" t="s">
        <v>995</v>
      </c>
      <c r="W45" s="73" t="s">
        <v>116</v>
      </c>
      <c r="X45" s="73" t="s">
        <v>12</v>
      </c>
      <c r="Y45" s="83">
        <v>34</v>
      </c>
      <c r="Z45" s="73" t="s">
        <v>990</v>
      </c>
      <c r="AA45" s="73" t="s">
        <v>991</v>
      </c>
      <c r="AB45" s="73" t="s">
        <v>11</v>
      </c>
      <c r="AC45" s="73">
        <v>21.7</v>
      </c>
      <c r="AD45" s="82" t="s">
        <v>992</v>
      </c>
      <c r="AE45" s="73" t="s">
        <v>90</v>
      </c>
      <c r="AF45" s="73" t="s">
        <v>11</v>
      </c>
      <c r="AG45" s="83">
        <v>14.2</v>
      </c>
      <c r="AL45" s="82"/>
      <c r="AO45" s="83"/>
      <c r="AP45" s="82"/>
      <c r="AS45" s="83"/>
      <c r="AW45" s="83"/>
      <c r="BA45" s="84"/>
    </row>
    <row r="46" spans="1:53" s="73" customFormat="1" x14ac:dyDescent="0.15">
      <c r="A46" s="73">
        <v>2008</v>
      </c>
      <c r="B46" s="154">
        <v>39562</v>
      </c>
      <c r="C46" s="811" t="s">
        <v>993</v>
      </c>
      <c r="D46" s="811"/>
      <c r="E46" s="153">
        <v>252</v>
      </c>
      <c r="F46" s="150">
        <v>0</v>
      </c>
      <c r="G46" s="123">
        <v>8</v>
      </c>
      <c r="I46" s="73">
        <v>10</v>
      </c>
      <c r="J46" s="134">
        <v>19</v>
      </c>
      <c r="K46" s="92">
        <f t="shared" si="0"/>
        <v>42.105263157894733</v>
      </c>
      <c r="L46" s="92">
        <f t="shared" si="1"/>
        <v>0</v>
      </c>
      <c r="M46" s="92">
        <f t="shared" si="2"/>
        <v>52.631578947368418</v>
      </c>
      <c r="N46" s="125">
        <f t="shared" si="5"/>
        <v>94.73684210526315</v>
      </c>
      <c r="O46" s="91">
        <v>35.869999999999997</v>
      </c>
      <c r="P46" s="92"/>
      <c r="Q46" s="92">
        <v>33.979999999999997</v>
      </c>
      <c r="R46" s="93">
        <f t="shared" si="4"/>
        <v>69.849999999999994</v>
      </c>
      <c r="S46" s="73">
        <v>3</v>
      </c>
      <c r="T46" s="81"/>
      <c r="U46" s="85"/>
      <c r="V46" s="82" t="s">
        <v>995</v>
      </c>
      <c r="W46" s="73" t="s">
        <v>116</v>
      </c>
      <c r="X46" s="73" t="s">
        <v>12</v>
      </c>
      <c r="Y46" s="83">
        <v>34</v>
      </c>
      <c r="Z46" s="73" t="s">
        <v>990</v>
      </c>
      <c r="AA46" s="73" t="s">
        <v>991</v>
      </c>
      <c r="AB46" s="73" t="s">
        <v>11</v>
      </c>
      <c r="AC46" s="73">
        <v>21.7</v>
      </c>
      <c r="AD46" s="82" t="s">
        <v>992</v>
      </c>
      <c r="AE46" s="73" t="s">
        <v>90</v>
      </c>
      <c r="AF46" s="73" t="s">
        <v>11</v>
      </c>
      <c r="AG46" s="83">
        <v>14.2</v>
      </c>
      <c r="AL46" s="82"/>
      <c r="AO46" s="83"/>
      <c r="AP46" s="82"/>
      <c r="AS46" s="83"/>
      <c r="AW46" s="83"/>
      <c r="BA46" s="84"/>
    </row>
    <row r="47" spans="1:53" s="291" customFormat="1" x14ac:dyDescent="0.15">
      <c r="A47" s="291">
        <v>2009</v>
      </c>
      <c r="B47" s="121"/>
      <c r="C47" s="811" t="s">
        <v>993</v>
      </c>
      <c r="D47" s="811"/>
      <c r="E47" s="153">
        <v>207</v>
      </c>
      <c r="G47" s="123">
        <v>8</v>
      </c>
      <c r="I47" s="291">
        <v>10</v>
      </c>
      <c r="J47" s="134">
        <v>19</v>
      </c>
      <c r="K47" s="92">
        <f t="shared" si="0"/>
        <v>42.105263157894733</v>
      </c>
      <c r="L47" s="92">
        <f t="shared" si="1"/>
        <v>0</v>
      </c>
      <c r="M47" s="92">
        <f t="shared" si="2"/>
        <v>52.631578947368418</v>
      </c>
      <c r="N47" s="125">
        <f t="shared" si="5"/>
        <v>94.73684210526315</v>
      </c>
      <c r="O47" s="91">
        <v>35.869999999999997</v>
      </c>
      <c r="P47" s="92"/>
      <c r="Q47" s="92">
        <v>33.979999999999997</v>
      </c>
      <c r="R47" s="93">
        <f t="shared" si="4"/>
        <v>69.849999999999994</v>
      </c>
      <c r="S47" s="291">
        <v>3</v>
      </c>
      <c r="T47" s="81"/>
      <c r="U47" s="290"/>
      <c r="V47" s="82" t="s">
        <v>995</v>
      </c>
      <c r="W47" s="291" t="s">
        <v>116</v>
      </c>
      <c r="X47" s="291" t="s">
        <v>12</v>
      </c>
      <c r="Y47" s="83">
        <v>34</v>
      </c>
      <c r="Z47" s="291" t="s">
        <v>990</v>
      </c>
      <c r="AA47" s="291" t="s">
        <v>991</v>
      </c>
      <c r="AB47" s="291" t="s">
        <v>11</v>
      </c>
      <c r="AC47" s="291">
        <v>21.7</v>
      </c>
      <c r="AD47" s="82" t="s">
        <v>992</v>
      </c>
      <c r="AE47" s="291" t="s">
        <v>90</v>
      </c>
      <c r="AF47" s="291" t="s">
        <v>11</v>
      </c>
      <c r="AG47" s="83">
        <v>14.2</v>
      </c>
      <c r="AL47" s="82"/>
      <c r="AO47" s="83"/>
      <c r="AP47" s="82"/>
      <c r="AS47" s="83"/>
      <c r="AW47" s="83"/>
      <c r="BA47" s="84"/>
    </row>
    <row r="48" spans="1:53" s="334" customFormat="1" x14ac:dyDescent="0.15">
      <c r="A48" s="334">
        <v>2009</v>
      </c>
      <c r="B48" s="335">
        <v>40021</v>
      </c>
      <c r="C48" s="812" t="s">
        <v>996</v>
      </c>
      <c r="D48" s="812"/>
      <c r="E48" s="443">
        <f>365-E47</f>
        <v>158</v>
      </c>
      <c r="F48" s="334">
        <v>1</v>
      </c>
      <c r="G48" s="419">
        <v>16</v>
      </c>
      <c r="J48" s="435">
        <v>17</v>
      </c>
      <c r="K48" s="384">
        <f t="shared" si="0"/>
        <v>94.117647058823522</v>
      </c>
      <c r="L48" s="384">
        <f t="shared" si="1"/>
        <v>0</v>
      </c>
      <c r="M48" s="384">
        <f t="shared" si="2"/>
        <v>0</v>
      </c>
      <c r="N48" s="421">
        <f t="shared" si="5"/>
        <v>94.117647058823522</v>
      </c>
      <c r="O48" s="383">
        <v>48.8</v>
      </c>
      <c r="P48" s="384"/>
      <c r="Q48" s="384"/>
      <c r="R48" s="385">
        <f t="shared" si="4"/>
        <v>48.8</v>
      </c>
      <c r="S48" s="334">
        <v>4</v>
      </c>
      <c r="T48" s="342">
        <v>39999</v>
      </c>
      <c r="U48" s="355">
        <v>40021</v>
      </c>
      <c r="V48" s="343" t="s">
        <v>997</v>
      </c>
      <c r="W48" s="334" t="s">
        <v>74</v>
      </c>
      <c r="X48" s="334" t="s">
        <v>11</v>
      </c>
      <c r="Y48" s="344">
        <v>48.8</v>
      </c>
      <c r="AD48" s="343"/>
      <c r="AG48" s="344"/>
      <c r="AL48" s="343"/>
      <c r="AO48" s="344"/>
      <c r="AP48" s="343"/>
      <c r="AS48" s="344"/>
      <c r="AW48" s="344"/>
      <c r="BA48" s="345"/>
    </row>
    <row r="49" spans="1:53" s="334" customFormat="1" x14ac:dyDescent="0.15">
      <c r="A49" s="334">
        <v>2010</v>
      </c>
      <c r="B49" s="335"/>
      <c r="C49" s="812" t="s">
        <v>996</v>
      </c>
      <c r="D49" s="812"/>
      <c r="E49" s="443">
        <v>76</v>
      </c>
      <c r="G49" s="419">
        <v>16</v>
      </c>
      <c r="J49" s="435">
        <v>17</v>
      </c>
      <c r="K49" s="384">
        <f>G49/J49*100</f>
        <v>94.117647058823522</v>
      </c>
      <c r="L49" s="384">
        <f>H49/J49*100</f>
        <v>0</v>
      </c>
      <c r="M49" s="384">
        <f>I49/J49*100</f>
        <v>0</v>
      </c>
      <c r="N49" s="421">
        <f t="shared" si="5"/>
        <v>94.117647058823522</v>
      </c>
      <c r="O49" s="383">
        <v>48.8</v>
      </c>
      <c r="P49" s="384"/>
      <c r="Q49" s="384"/>
      <c r="R49" s="385">
        <f t="shared" si="4"/>
        <v>48.8</v>
      </c>
      <c r="S49" s="334">
        <v>4</v>
      </c>
      <c r="T49" s="357"/>
      <c r="U49" s="355"/>
      <c r="V49" s="343" t="s">
        <v>997</v>
      </c>
      <c r="W49" s="334" t="s">
        <v>74</v>
      </c>
      <c r="X49" s="334" t="s">
        <v>11</v>
      </c>
      <c r="Y49" s="344">
        <v>48.8</v>
      </c>
      <c r="AD49" s="343"/>
      <c r="AG49" s="344"/>
      <c r="AL49" s="343"/>
      <c r="AO49" s="344"/>
      <c r="AP49" s="343"/>
      <c r="AS49" s="344"/>
      <c r="AW49" s="344"/>
      <c r="BA49" s="345"/>
    </row>
    <row r="50" spans="1:53" s="334" customFormat="1" x14ac:dyDescent="0.15">
      <c r="A50" s="334">
        <v>2010</v>
      </c>
      <c r="B50" s="440">
        <v>40255</v>
      </c>
      <c r="C50" s="812" t="s">
        <v>996</v>
      </c>
      <c r="D50" s="812"/>
      <c r="E50" s="443">
        <v>12</v>
      </c>
      <c r="F50" s="441">
        <v>0</v>
      </c>
      <c r="G50" s="419">
        <v>17</v>
      </c>
      <c r="J50" s="435">
        <v>18</v>
      </c>
      <c r="K50" s="384">
        <f>G50/J50*100</f>
        <v>94.444444444444443</v>
      </c>
      <c r="L50" s="384">
        <f>H50/J50*100</f>
        <v>0</v>
      </c>
      <c r="M50" s="384">
        <f>I50/J50*100</f>
        <v>0</v>
      </c>
      <c r="N50" s="421">
        <f t="shared" si="5"/>
        <v>94.444444444444443</v>
      </c>
      <c r="O50" s="383">
        <v>48.8</v>
      </c>
      <c r="P50" s="384"/>
      <c r="Q50" s="384"/>
      <c r="R50" s="385">
        <f t="shared" si="4"/>
        <v>48.8</v>
      </c>
      <c r="S50" s="334">
        <v>4</v>
      </c>
      <c r="T50" s="357"/>
      <c r="U50" s="355"/>
      <c r="V50" s="343" t="s">
        <v>997</v>
      </c>
      <c r="W50" s="334" t="s">
        <v>74</v>
      </c>
      <c r="X50" s="334" t="s">
        <v>11</v>
      </c>
      <c r="Y50" s="344">
        <v>48.8</v>
      </c>
      <c r="AD50" s="343"/>
      <c r="AG50" s="344"/>
      <c r="AL50" s="343"/>
      <c r="AO50" s="344"/>
      <c r="AP50" s="343"/>
      <c r="AS50" s="344"/>
      <c r="AW50" s="344"/>
      <c r="BA50" s="345"/>
    </row>
    <row r="51" spans="1:53" s="334" customFormat="1" x14ac:dyDescent="0.15">
      <c r="A51" s="334">
        <v>2010</v>
      </c>
      <c r="B51" s="440">
        <v>40267</v>
      </c>
      <c r="C51" s="812" t="s">
        <v>996</v>
      </c>
      <c r="D51" s="812"/>
      <c r="E51" s="443">
        <v>264</v>
      </c>
      <c r="F51" s="441">
        <v>0</v>
      </c>
      <c r="G51" s="419">
        <v>16</v>
      </c>
      <c r="J51" s="435">
        <v>18</v>
      </c>
      <c r="K51" s="384">
        <f t="shared" si="0"/>
        <v>88.888888888888886</v>
      </c>
      <c r="L51" s="384">
        <f t="shared" si="1"/>
        <v>0</v>
      </c>
      <c r="M51" s="384">
        <f t="shared" si="2"/>
        <v>0</v>
      </c>
      <c r="N51" s="421">
        <f t="shared" si="5"/>
        <v>88.888888888888886</v>
      </c>
      <c r="O51" s="383">
        <v>48.8</v>
      </c>
      <c r="P51" s="384"/>
      <c r="Q51" s="384"/>
      <c r="R51" s="385">
        <f t="shared" si="4"/>
        <v>48.8</v>
      </c>
      <c r="S51" s="334">
        <v>4</v>
      </c>
      <c r="T51" s="357"/>
      <c r="U51" s="355"/>
      <c r="V51" s="343" t="s">
        <v>997</v>
      </c>
      <c r="W51" s="334" t="s">
        <v>74</v>
      </c>
      <c r="X51" s="334" t="s">
        <v>11</v>
      </c>
      <c r="Y51" s="344">
        <v>48.8</v>
      </c>
      <c r="AD51" s="343"/>
      <c r="AG51" s="344"/>
      <c r="AL51" s="343"/>
      <c r="AO51" s="344"/>
      <c r="AP51" s="343"/>
      <c r="AS51" s="344"/>
      <c r="AW51" s="344"/>
      <c r="BA51" s="345"/>
    </row>
    <row r="52" spans="1:53" s="334" customFormat="1" x14ac:dyDescent="0.15">
      <c r="A52" s="334">
        <v>2010</v>
      </c>
      <c r="B52" s="440">
        <v>40531</v>
      </c>
      <c r="C52" s="812" t="s">
        <v>996</v>
      </c>
      <c r="D52" s="812"/>
      <c r="E52" s="443">
        <v>13</v>
      </c>
      <c r="F52" s="441">
        <v>0</v>
      </c>
      <c r="G52" s="419">
        <v>15</v>
      </c>
      <c r="J52" s="435">
        <v>17</v>
      </c>
      <c r="K52" s="384">
        <f t="shared" si="0"/>
        <v>88.235294117647058</v>
      </c>
      <c r="L52" s="384">
        <f t="shared" si="1"/>
        <v>0</v>
      </c>
      <c r="M52" s="384">
        <f t="shared" si="2"/>
        <v>0</v>
      </c>
      <c r="N52" s="421">
        <f t="shared" si="5"/>
        <v>88.235294117647058</v>
      </c>
      <c r="O52" s="383">
        <v>48.8</v>
      </c>
      <c r="P52" s="384"/>
      <c r="Q52" s="384"/>
      <c r="R52" s="385">
        <f t="shared" si="4"/>
        <v>48.8</v>
      </c>
      <c r="S52" s="334">
        <v>4</v>
      </c>
      <c r="T52" s="357"/>
      <c r="U52" s="355"/>
      <c r="V52" s="343" t="s">
        <v>997</v>
      </c>
      <c r="W52" s="334" t="s">
        <v>74</v>
      </c>
      <c r="X52" s="334" t="s">
        <v>11</v>
      </c>
      <c r="Y52" s="344">
        <v>48.8</v>
      </c>
      <c r="AD52" s="343"/>
      <c r="AG52" s="344"/>
      <c r="AL52" s="343"/>
      <c r="AO52" s="344"/>
      <c r="AP52" s="343"/>
      <c r="AS52" s="344"/>
      <c r="AW52" s="344"/>
      <c r="BA52" s="345"/>
    </row>
    <row r="53" spans="1:53" s="334" customFormat="1" x14ac:dyDescent="0.15">
      <c r="A53" s="334">
        <v>2011</v>
      </c>
      <c r="B53" s="440"/>
      <c r="C53" s="812" t="s">
        <v>996</v>
      </c>
      <c r="D53" s="812"/>
      <c r="E53" s="443">
        <v>0</v>
      </c>
      <c r="G53" s="419">
        <v>15</v>
      </c>
      <c r="J53" s="435">
        <v>17</v>
      </c>
      <c r="K53" s="384">
        <f t="shared" ref="K53:K60" si="6">G53/J53*100</f>
        <v>88.235294117647058</v>
      </c>
      <c r="L53" s="384">
        <f t="shared" ref="L53:L60" si="7">H53/J53*100</f>
        <v>0</v>
      </c>
      <c r="M53" s="384">
        <f t="shared" ref="M53:M60" si="8">I53/J53*100</f>
        <v>0</v>
      </c>
      <c r="N53" s="421">
        <f t="shared" si="5"/>
        <v>88.235294117647058</v>
      </c>
      <c r="O53" s="383">
        <v>48.8</v>
      </c>
      <c r="P53" s="384"/>
      <c r="Q53" s="384"/>
      <c r="R53" s="385">
        <f t="shared" si="4"/>
        <v>48.8</v>
      </c>
      <c r="S53" s="334">
        <v>4</v>
      </c>
      <c r="T53" s="357"/>
      <c r="U53" s="355"/>
      <c r="V53" s="343" t="s">
        <v>997</v>
      </c>
      <c r="W53" s="334" t="s">
        <v>74</v>
      </c>
      <c r="X53" s="334" t="s">
        <v>11</v>
      </c>
      <c r="Y53" s="344">
        <v>48.8</v>
      </c>
      <c r="AD53" s="343"/>
      <c r="AG53" s="344"/>
      <c r="AL53" s="343"/>
      <c r="AO53" s="344"/>
      <c r="AP53" s="343"/>
      <c r="AS53" s="344"/>
      <c r="AW53" s="344"/>
      <c r="BA53" s="345"/>
    </row>
    <row r="54" spans="1:53" s="334" customFormat="1" x14ac:dyDescent="0.15">
      <c r="A54" s="334">
        <v>2011</v>
      </c>
      <c r="B54" s="440"/>
      <c r="C54" s="812" t="s">
        <v>996</v>
      </c>
      <c r="D54" s="812"/>
      <c r="E54" s="443">
        <v>365</v>
      </c>
      <c r="F54" s="441"/>
      <c r="G54" s="419">
        <v>15</v>
      </c>
      <c r="J54" s="435">
        <v>17</v>
      </c>
      <c r="K54" s="384">
        <f t="shared" si="6"/>
        <v>88.235294117647058</v>
      </c>
      <c r="L54" s="384">
        <f t="shared" si="7"/>
        <v>0</v>
      </c>
      <c r="M54" s="384">
        <f t="shared" si="8"/>
        <v>0</v>
      </c>
      <c r="N54" s="421">
        <f t="shared" si="5"/>
        <v>88.235294117647058</v>
      </c>
      <c r="O54" s="383">
        <v>48.8</v>
      </c>
      <c r="P54" s="384"/>
      <c r="Q54" s="384"/>
      <c r="R54" s="385">
        <f t="shared" si="4"/>
        <v>48.8</v>
      </c>
      <c r="S54" s="334">
        <v>4</v>
      </c>
      <c r="T54" s="357"/>
      <c r="U54" s="355"/>
      <c r="V54" s="343" t="s">
        <v>997</v>
      </c>
      <c r="W54" s="334" t="s">
        <v>74</v>
      </c>
      <c r="X54" s="334" t="s">
        <v>11</v>
      </c>
      <c r="Y54" s="344">
        <v>48.8</v>
      </c>
      <c r="AD54" s="343"/>
      <c r="AG54" s="344"/>
      <c r="AL54" s="343"/>
      <c r="AO54" s="344"/>
      <c r="AP54" s="343"/>
      <c r="AS54" s="344"/>
      <c r="AW54" s="344"/>
      <c r="BA54" s="345"/>
    </row>
    <row r="55" spans="1:53" s="334" customFormat="1" x14ac:dyDescent="0.15">
      <c r="A55" s="334">
        <v>2012</v>
      </c>
      <c r="B55" s="440"/>
      <c r="C55" s="812" t="s">
        <v>996</v>
      </c>
      <c r="D55" s="812"/>
      <c r="E55" s="443">
        <v>80</v>
      </c>
      <c r="F55" s="345"/>
      <c r="G55" s="334">
        <v>15</v>
      </c>
      <c r="J55" s="435">
        <v>17</v>
      </c>
      <c r="K55" s="384">
        <f t="shared" si="6"/>
        <v>88.235294117647058</v>
      </c>
      <c r="L55" s="384">
        <f t="shared" si="7"/>
        <v>0</v>
      </c>
      <c r="M55" s="384">
        <f t="shared" si="8"/>
        <v>0</v>
      </c>
      <c r="N55" s="421">
        <f t="shared" si="5"/>
        <v>88.235294117647058</v>
      </c>
      <c r="O55" s="383">
        <v>48.8</v>
      </c>
      <c r="P55" s="384"/>
      <c r="Q55" s="384"/>
      <c r="R55" s="385">
        <f t="shared" si="4"/>
        <v>48.8</v>
      </c>
      <c r="S55" s="334">
        <v>4</v>
      </c>
      <c r="T55" s="357"/>
      <c r="U55" s="355"/>
      <c r="V55" s="343" t="s">
        <v>997</v>
      </c>
      <c r="W55" s="334" t="s">
        <v>74</v>
      </c>
      <c r="X55" s="334" t="s">
        <v>11</v>
      </c>
      <c r="Y55" s="344">
        <v>48.8</v>
      </c>
      <c r="AD55" s="343"/>
      <c r="AG55" s="344"/>
      <c r="AL55" s="343"/>
      <c r="AO55" s="344"/>
      <c r="AP55" s="343"/>
      <c r="AS55" s="344"/>
      <c r="AW55" s="344"/>
      <c r="BA55" s="345"/>
    </row>
    <row r="56" spans="1:53" s="334" customFormat="1" x14ac:dyDescent="0.15">
      <c r="A56" s="334">
        <v>2012</v>
      </c>
      <c r="B56" s="440">
        <v>40989</v>
      </c>
      <c r="C56" s="812" t="s">
        <v>996</v>
      </c>
      <c r="D56" s="812"/>
      <c r="E56" s="443">
        <v>286</v>
      </c>
      <c r="F56" s="444">
        <v>0</v>
      </c>
      <c r="G56" s="334">
        <v>16</v>
      </c>
      <c r="J56" s="435">
        <v>17</v>
      </c>
      <c r="K56" s="384">
        <f t="shared" si="6"/>
        <v>94.117647058823522</v>
      </c>
      <c r="L56" s="384">
        <f t="shared" si="7"/>
        <v>0</v>
      </c>
      <c r="M56" s="384">
        <f t="shared" si="8"/>
        <v>0</v>
      </c>
      <c r="N56" s="421">
        <f t="shared" si="5"/>
        <v>94.117647058823522</v>
      </c>
      <c r="O56" s="383">
        <v>48.8</v>
      </c>
      <c r="P56" s="384"/>
      <c r="Q56" s="384"/>
      <c r="R56" s="385">
        <f t="shared" si="4"/>
        <v>48.8</v>
      </c>
      <c r="S56" s="334">
        <v>4</v>
      </c>
      <c r="T56" s="357"/>
      <c r="U56" s="355"/>
      <c r="V56" s="343" t="s">
        <v>997</v>
      </c>
      <c r="W56" s="334" t="s">
        <v>74</v>
      </c>
      <c r="X56" s="334" t="s">
        <v>11</v>
      </c>
      <c r="Y56" s="344">
        <v>48.8</v>
      </c>
      <c r="AD56" s="343"/>
      <c r="AG56" s="344"/>
      <c r="AL56" s="343"/>
      <c r="AO56" s="344"/>
      <c r="AP56" s="343"/>
      <c r="AS56" s="344"/>
      <c r="AW56" s="344"/>
      <c r="BA56" s="345"/>
    </row>
    <row r="57" spans="1:53" s="334" customFormat="1" x14ac:dyDescent="0.15">
      <c r="A57" s="334">
        <v>2013</v>
      </c>
      <c r="B57" s="440"/>
      <c r="C57" s="812" t="s">
        <v>996</v>
      </c>
      <c r="D57" s="812"/>
      <c r="E57" s="443">
        <v>36</v>
      </c>
      <c r="F57" s="444"/>
      <c r="G57" s="334">
        <v>16</v>
      </c>
      <c r="J57" s="435">
        <v>17</v>
      </c>
      <c r="K57" s="384">
        <f t="shared" si="6"/>
        <v>94.117647058823522</v>
      </c>
      <c r="L57" s="384">
        <f t="shared" si="7"/>
        <v>0</v>
      </c>
      <c r="M57" s="384">
        <f t="shared" si="8"/>
        <v>0</v>
      </c>
      <c r="N57" s="421">
        <f t="shared" si="5"/>
        <v>94.117647058823522</v>
      </c>
      <c r="O57" s="383">
        <v>48.8</v>
      </c>
      <c r="P57" s="384"/>
      <c r="Q57" s="384"/>
      <c r="R57" s="385">
        <f t="shared" ref="R57:R64" si="9">SUM(O57:Q57)</f>
        <v>48.8</v>
      </c>
      <c r="S57" s="334">
        <v>4</v>
      </c>
      <c r="T57" s="357"/>
      <c r="U57" s="355"/>
      <c r="V57" s="343" t="s">
        <v>997</v>
      </c>
      <c r="W57" s="334" t="s">
        <v>74</v>
      </c>
      <c r="X57" s="334" t="s">
        <v>11</v>
      </c>
      <c r="Y57" s="344">
        <v>48.8</v>
      </c>
      <c r="AD57" s="343"/>
      <c r="AG57" s="344"/>
      <c r="AL57" s="343"/>
      <c r="AO57" s="344"/>
      <c r="AP57" s="343"/>
      <c r="AS57" s="344"/>
      <c r="AW57" s="344"/>
      <c r="BA57" s="345"/>
    </row>
    <row r="58" spans="1:53" s="334" customFormat="1" x14ac:dyDescent="0.15">
      <c r="A58" s="334">
        <v>2013</v>
      </c>
      <c r="B58" s="440">
        <v>41311</v>
      </c>
      <c r="C58" s="812" t="s">
        <v>996</v>
      </c>
      <c r="D58" s="812"/>
      <c r="E58" s="443">
        <v>35</v>
      </c>
      <c r="F58" s="444">
        <v>0</v>
      </c>
      <c r="G58" s="334">
        <v>15</v>
      </c>
      <c r="J58" s="435">
        <v>17</v>
      </c>
      <c r="K58" s="384">
        <f t="shared" si="6"/>
        <v>88.235294117647058</v>
      </c>
      <c r="L58" s="384">
        <f t="shared" si="7"/>
        <v>0</v>
      </c>
      <c r="M58" s="384">
        <f t="shared" si="8"/>
        <v>0</v>
      </c>
      <c r="N58" s="421">
        <f t="shared" si="5"/>
        <v>88.235294117647058</v>
      </c>
      <c r="O58" s="383">
        <v>48.8</v>
      </c>
      <c r="P58" s="384"/>
      <c r="Q58" s="384"/>
      <c r="R58" s="385">
        <f t="shared" si="9"/>
        <v>48.8</v>
      </c>
      <c r="S58" s="334">
        <v>4</v>
      </c>
      <c r="T58" s="357"/>
      <c r="U58" s="355"/>
      <c r="V58" s="343" t="s">
        <v>997</v>
      </c>
      <c r="W58" s="334" t="s">
        <v>74</v>
      </c>
      <c r="X58" s="334" t="s">
        <v>11</v>
      </c>
      <c r="Y58" s="344">
        <v>48.8</v>
      </c>
      <c r="AD58" s="343"/>
      <c r="AG58" s="344"/>
      <c r="AL58" s="343"/>
      <c r="AO58" s="344"/>
      <c r="AP58" s="343"/>
      <c r="AS58" s="344"/>
      <c r="AW58" s="344"/>
      <c r="BA58" s="345"/>
    </row>
    <row r="59" spans="1:53" s="321" customFormat="1" x14ac:dyDescent="0.15">
      <c r="A59" s="321">
        <v>2013</v>
      </c>
      <c r="B59" s="121">
        <v>41346</v>
      </c>
      <c r="C59" s="811" t="s">
        <v>1259</v>
      </c>
      <c r="D59" s="811"/>
      <c r="E59" s="153">
        <v>77</v>
      </c>
      <c r="F59" s="321">
        <v>2</v>
      </c>
      <c r="G59" s="123"/>
      <c r="J59" s="134">
        <v>17</v>
      </c>
      <c r="K59" s="92">
        <f t="shared" si="6"/>
        <v>0</v>
      </c>
      <c r="L59" s="92">
        <f t="shared" si="7"/>
        <v>0</v>
      </c>
      <c r="M59" s="92">
        <f t="shared" si="8"/>
        <v>0</v>
      </c>
      <c r="N59" s="125">
        <f t="shared" si="5"/>
        <v>0</v>
      </c>
      <c r="O59" s="91">
        <v>0</v>
      </c>
      <c r="P59" s="92">
        <v>0</v>
      </c>
      <c r="Q59" s="92">
        <v>0</v>
      </c>
      <c r="R59" s="93">
        <f t="shared" si="9"/>
        <v>0</v>
      </c>
      <c r="S59" s="321">
        <v>6</v>
      </c>
      <c r="T59" s="95"/>
      <c r="U59" s="320">
        <v>41346</v>
      </c>
      <c r="V59" s="322" t="s">
        <v>814</v>
      </c>
      <c r="Y59" s="83"/>
      <c r="AD59" s="82"/>
      <c r="AG59" s="83"/>
      <c r="AL59" s="82"/>
      <c r="AO59" s="83"/>
      <c r="AP59" s="82"/>
      <c r="AS59" s="83"/>
      <c r="AW59" s="83"/>
      <c r="BA59" s="84"/>
    </row>
    <row r="60" spans="1:53" s="334" customFormat="1" x14ac:dyDescent="0.15">
      <c r="A60" s="334">
        <v>2013</v>
      </c>
      <c r="B60" s="335">
        <v>41423</v>
      </c>
      <c r="C60" s="812" t="s">
        <v>1260</v>
      </c>
      <c r="D60" s="812"/>
      <c r="E60" s="443">
        <v>29</v>
      </c>
      <c r="F60" s="334">
        <v>1</v>
      </c>
      <c r="G60" s="419">
        <v>2</v>
      </c>
      <c r="I60" s="334">
        <v>4</v>
      </c>
      <c r="J60" s="435">
        <v>17</v>
      </c>
      <c r="K60" s="384">
        <f t="shared" si="6"/>
        <v>11.76470588235294</v>
      </c>
      <c r="L60" s="384">
        <f t="shared" si="7"/>
        <v>0</v>
      </c>
      <c r="M60" s="384">
        <f t="shared" si="8"/>
        <v>23.52941176470588</v>
      </c>
      <c r="N60" s="421">
        <f t="shared" si="5"/>
        <v>35.294117647058819</v>
      </c>
      <c r="O60" s="383">
        <v>15</v>
      </c>
      <c r="P60" s="384"/>
      <c r="Q60" s="384">
        <v>35</v>
      </c>
      <c r="R60" s="385">
        <f t="shared" si="9"/>
        <v>50</v>
      </c>
      <c r="S60" s="334">
        <v>5</v>
      </c>
      <c r="T60" s="342">
        <v>41406</v>
      </c>
      <c r="U60" s="355">
        <v>41423</v>
      </c>
      <c r="V60" s="343" t="s">
        <v>995</v>
      </c>
      <c r="W60" s="334" t="s">
        <v>116</v>
      </c>
      <c r="X60" s="334" t="s">
        <v>12</v>
      </c>
      <c r="Y60" s="344">
        <v>35</v>
      </c>
      <c r="Z60" s="334" t="s">
        <v>992</v>
      </c>
      <c r="AA60" s="334" t="s">
        <v>90</v>
      </c>
      <c r="AB60" s="334" t="s">
        <v>11</v>
      </c>
      <c r="AC60" s="334">
        <v>15</v>
      </c>
      <c r="AD60" s="343"/>
      <c r="AG60" s="344"/>
      <c r="AL60" s="343"/>
      <c r="AO60" s="344"/>
      <c r="AP60" s="343"/>
      <c r="AS60" s="344"/>
      <c r="AW60" s="344"/>
      <c r="BA60" s="345"/>
    </row>
    <row r="61" spans="1:53" s="334" customFormat="1" x14ac:dyDescent="0.15">
      <c r="A61" s="334">
        <v>2013</v>
      </c>
      <c r="B61" s="440">
        <v>41452</v>
      </c>
      <c r="C61" s="812" t="s">
        <v>1260</v>
      </c>
      <c r="D61" s="812"/>
      <c r="E61" s="443">
        <f>365-E60-E59-E58-E57</f>
        <v>188</v>
      </c>
      <c r="F61" s="441">
        <v>0</v>
      </c>
      <c r="G61" s="419">
        <v>2</v>
      </c>
      <c r="I61" s="334">
        <v>4</v>
      </c>
      <c r="J61" s="435">
        <v>18</v>
      </c>
      <c r="K61" s="384">
        <f t="shared" ref="K61:K66" si="10">G61/J61*100</f>
        <v>11.111111111111111</v>
      </c>
      <c r="L61" s="384">
        <f t="shared" ref="L61:L66" si="11">H61/J61*100</f>
        <v>0</v>
      </c>
      <c r="M61" s="384">
        <f t="shared" ref="M61:M66" si="12">I61/J61*100</f>
        <v>22.222222222222221</v>
      </c>
      <c r="N61" s="421">
        <f t="shared" ref="N61:N66" si="13">SUM(K61:M61)</f>
        <v>33.333333333333329</v>
      </c>
      <c r="O61" s="383">
        <v>15</v>
      </c>
      <c r="P61" s="384"/>
      <c r="Q61" s="384">
        <v>35</v>
      </c>
      <c r="R61" s="385">
        <f t="shared" si="9"/>
        <v>50</v>
      </c>
      <c r="S61" s="334">
        <v>5</v>
      </c>
      <c r="T61" s="342"/>
      <c r="U61" s="355"/>
      <c r="V61" s="343" t="s">
        <v>995</v>
      </c>
      <c r="W61" s="334" t="s">
        <v>116</v>
      </c>
      <c r="X61" s="334" t="s">
        <v>12</v>
      </c>
      <c r="Y61" s="344">
        <v>35</v>
      </c>
      <c r="Z61" s="334" t="s">
        <v>992</v>
      </c>
      <c r="AA61" s="334" t="s">
        <v>90</v>
      </c>
      <c r="AB61" s="334" t="s">
        <v>11</v>
      </c>
      <c r="AC61" s="334">
        <v>15</v>
      </c>
      <c r="AD61" s="343"/>
      <c r="AG61" s="344"/>
      <c r="AL61" s="343"/>
      <c r="AO61" s="344"/>
      <c r="AP61" s="343"/>
      <c r="AS61" s="344"/>
      <c r="AW61" s="344"/>
      <c r="BA61" s="345"/>
    </row>
    <row r="62" spans="1:53" s="519" customFormat="1" x14ac:dyDescent="0.15">
      <c r="A62" s="519">
        <v>2014</v>
      </c>
      <c r="B62" s="335"/>
      <c r="C62" s="812" t="s">
        <v>1260</v>
      </c>
      <c r="D62" s="812"/>
      <c r="E62" s="443">
        <v>217</v>
      </c>
      <c r="G62" s="497">
        <v>2</v>
      </c>
      <c r="I62" s="519">
        <v>4</v>
      </c>
      <c r="J62" s="499">
        <v>18</v>
      </c>
      <c r="K62" s="495">
        <f t="shared" si="10"/>
        <v>11.111111111111111</v>
      </c>
      <c r="L62" s="495">
        <f t="shared" si="11"/>
        <v>0</v>
      </c>
      <c r="M62" s="495">
        <f t="shared" si="12"/>
        <v>22.222222222222221</v>
      </c>
      <c r="N62" s="498">
        <f t="shared" si="13"/>
        <v>33.333333333333329</v>
      </c>
      <c r="O62" s="494">
        <v>15</v>
      </c>
      <c r="P62" s="495"/>
      <c r="Q62" s="495">
        <v>35</v>
      </c>
      <c r="R62" s="496">
        <f t="shared" si="9"/>
        <v>50</v>
      </c>
      <c r="S62" s="519">
        <v>5</v>
      </c>
      <c r="T62" s="487"/>
      <c r="U62" s="516"/>
      <c r="V62" s="488" t="s">
        <v>995</v>
      </c>
      <c r="W62" s="519" t="s">
        <v>116</v>
      </c>
      <c r="X62" s="519" t="s">
        <v>12</v>
      </c>
      <c r="Y62" s="489">
        <v>35</v>
      </c>
      <c r="Z62" s="519" t="s">
        <v>992</v>
      </c>
      <c r="AA62" s="519" t="s">
        <v>90</v>
      </c>
      <c r="AB62" s="519" t="s">
        <v>11</v>
      </c>
      <c r="AC62" s="519">
        <v>15</v>
      </c>
      <c r="AD62" s="488"/>
      <c r="AG62" s="489"/>
      <c r="AL62" s="488"/>
      <c r="AO62" s="489"/>
      <c r="AP62" s="488"/>
      <c r="AS62" s="489"/>
      <c r="AW62" s="489"/>
      <c r="BA62" s="490"/>
    </row>
    <row r="63" spans="1:53" s="518" customFormat="1" x14ac:dyDescent="0.15">
      <c r="A63" s="518">
        <v>2014</v>
      </c>
      <c r="B63" s="121"/>
      <c r="C63" s="811" t="s">
        <v>1300</v>
      </c>
      <c r="D63" s="811"/>
      <c r="E63" s="153">
        <v>93</v>
      </c>
      <c r="F63" s="518">
        <v>2</v>
      </c>
      <c r="G63" s="480"/>
      <c r="J63" s="482">
        <v>17</v>
      </c>
      <c r="K63" s="477">
        <f t="shared" si="10"/>
        <v>0</v>
      </c>
      <c r="L63" s="477">
        <f t="shared" si="11"/>
        <v>0</v>
      </c>
      <c r="M63" s="477">
        <f t="shared" si="12"/>
        <v>0</v>
      </c>
      <c r="N63" s="481">
        <f t="shared" si="13"/>
        <v>0</v>
      </c>
      <c r="O63" s="476">
        <v>0</v>
      </c>
      <c r="P63" s="477">
        <v>0</v>
      </c>
      <c r="Q63" s="477">
        <v>0</v>
      </c>
      <c r="R63" s="478">
        <f t="shared" si="9"/>
        <v>0</v>
      </c>
      <c r="S63" s="518">
        <v>6</v>
      </c>
      <c r="T63" s="479"/>
      <c r="U63" s="515">
        <v>41857</v>
      </c>
      <c r="V63" s="520" t="s">
        <v>814</v>
      </c>
      <c r="Y63" s="473"/>
      <c r="AD63" s="472"/>
      <c r="AG63" s="473"/>
      <c r="AL63" s="472"/>
      <c r="AO63" s="473"/>
      <c r="AP63" s="472"/>
      <c r="AS63" s="473"/>
      <c r="AW63" s="473"/>
      <c r="BA63" s="474"/>
    </row>
    <row r="64" spans="1:53" s="640" customFormat="1" x14ac:dyDescent="0.15">
      <c r="A64" s="640">
        <v>2014</v>
      </c>
      <c r="B64" s="335">
        <v>41950</v>
      </c>
      <c r="C64" s="812" t="s">
        <v>1301</v>
      </c>
      <c r="D64" s="812"/>
      <c r="E64" s="443">
        <v>55</v>
      </c>
      <c r="F64" s="640">
        <v>1</v>
      </c>
      <c r="G64" s="649">
        <v>19</v>
      </c>
      <c r="I64" s="640">
        <v>1</v>
      </c>
      <c r="J64" s="651">
        <v>20</v>
      </c>
      <c r="K64" s="647">
        <f t="shared" si="10"/>
        <v>95</v>
      </c>
      <c r="L64" s="647">
        <f t="shared" si="11"/>
        <v>0</v>
      </c>
      <c r="M64" s="647">
        <f t="shared" si="12"/>
        <v>5</v>
      </c>
      <c r="N64" s="650">
        <f t="shared" si="13"/>
        <v>100</v>
      </c>
      <c r="O64" s="646">
        <v>44.6</v>
      </c>
      <c r="P64" s="647"/>
      <c r="Q64" s="647">
        <v>4.5999999999999996</v>
      </c>
      <c r="R64" s="648">
        <f t="shared" si="9"/>
        <v>49.2</v>
      </c>
      <c r="S64" s="640">
        <v>5</v>
      </c>
      <c r="T64" s="487">
        <v>41917</v>
      </c>
      <c r="U64" s="644">
        <v>41950</v>
      </c>
      <c r="V64" s="641" t="s">
        <v>997</v>
      </c>
      <c r="W64" s="640" t="s">
        <v>74</v>
      </c>
      <c r="X64" s="640" t="s">
        <v>11</v>
      </c>
      <c r="Y64" s="642">
        <v>35</v>
      </c>
      <c r="Z64" s="640" t="s">
        <v>1302</v>
      </c>
      <c r="AA64" s="640" t="s">
        <v>80</v>
      </c>
      <c r="AB64" s="640" t="s">
        <v>11</v>
      </c>
      <c r="AC64" s="640">
        <v>9.6</v>
      </c>
      <c r="AD64" s="641" t="s">
        <v>1303</v>
      </c>
      <c r="AE64" s="640" t="s">
        <v>317</v>
      </c>
      <c r="AF64" s="640" t="s">
        <v>12</v>
      </c>
      <c r="AG64" s="642">
        <v>4.5999999999999996</v>
      </c>
      <c r="AL64" s="641"/>
      <c r="AO64" s="642"/>
      <c r="AP64" s="641"/>
      <c r="AS64" s="642"/>
      <c r="AW64" s="642"/>
      <c r="BA64" s="643"/>
    </row>
    <row r="65" spans="1:53" s="693" customFormat="1" x14ac:dyDescent="0.15">
      <c r="A65" s="693">
        <v>2015</v>
      </c>
      <c r="B65" s="335"/>
      <c r="C65" s="812" t="s">
        <v>1301</v>
      </c>
      <c r="D65" s="812"/>
      <c r="E65" s="443">
        <v>351</v>
      </c>
      <c r="G65" s="649">
        <v>19</v>
      </c>
      <c r="I65" s="693">
        <v>1</v>
      </c>
      <c r="J65" s="651">
        <v>20</v>
      </c>
      <c r="K65" s="647">
        <f t="shared" si="10"/>
        <v>95</v>
      </c>
      <c r="L65" s="647">
        <f t="shared" si="11"/>
        <v>0</v>
      </c>
      <c r="M65" s="647">
        <f t="shared" si="12"/>
        <v>5</v>
      </c>
      <c r="N65" s="650">
        <f t="shared" si="13"/>
        <v>100</v>
      </c>
      <c r="O65" s="646">
        <v>44.6</v>
      </c>
      <c r="P65" s="647"/>
      <c r="Q65" s="647">
        <v>4.5999999999999996</v>
      </c>
      <c r="R65" s="648">
        <f t="shared" ref="R65" si="14">SUM(O65:Q65)</f>
        <v>49.2</v>
      </c>
      <c r="S65" s="693">
        <v>5</v>
      </c>
      <c r="T65" s="487"/>
      <c r="U65" s="688"/>
      <c r="V65" s="641" t="s">
        <v>997</v>
      </c>
      <c r="W65" s="693" t="s">
        <v>74</v>
      </c>
      <c r="X65" s="693" t="s">
        <v>11</v>
      </c>
      <c r="Y65" s="642">
        <v>35</v>
      </c>
      <c r="Z65" s="693" t="s">
        <v>1302</v>
      </c>
      <c r="AA65" s="693" t="s">
        <v>80</v>
      </c>
      <c r="AB65" s="693" t="s">
        <v>11</v>
      </c>
      <c r="AC65" s="693">
        <v>9.6</v>
      </c>
      <c r="AD65" s="641" t="s">
        <v>1303</v>
      </c>
      <c r="AE65" s="693" t="s">
        <v>317</v>
      </c>
      <c r="AF65" s="693" t="s">
        <v>12</v>
      </c>
      <c r="AG65" s="642">
        <v>4.5999999999999996</v>
      </c>
      <c r="AL65" s="641"/>
      <c r="AO65" s="642"/>
      <c r="AP65" s="641"/>
      <c r="AS65" s="642"/>
      <c r="AW65" s="642"/>
      <c r="BA65" s="643"/>
    </row>
    <row r="66" spans="1:53" s="693" customFormat="1" x14ac:dyDescent="0.15">
      <c r="A66" s="693">
        <v>2015</v>
      </c>
      <c r="B66" s="440">
        <v>42356</v>
      </c>
      <c r="C66" s="812" t="s">
        <v>1301</v>
      </c>
      <c r="D66" s="812"/>
      <c r="E66" s="443">
        <v>14</v>
      </c>
      <c r="F66" s="501">
        <v>0</v>
      </c>
      <c r="G66" s="649">
        <v>18</v>
      </c>
      <c r="I66" s="693">
        <v>1</v>
      </c>
      <c r="J66" s="651">
        <v>20</v>
      </c>
      <c r="K66" s="647">
        <f t="shared" si="10"/>
        <v>90</v>
      </c>
      <c r="L66" s="647">
        <f t="shared" si="11"/>
        <v>0</v>
      </c>
      <c r="M66" s="647">
        <f t="shared" si="12"/>
        <v>5</v>
      </c>
      <c r="N66" s="650">
        <f t="shared" si="13"/>
        <v>95</v>
      </c>
      <c r="O66" s="646">
        <v>44.6</v>
      </c>
      <c r="P66" s="647"/>
      <c r="Q66" s="647">
        <v>4.5999999999999996</v>
      </c>
      <c r="R66" s="648">
        <f>SUM(O66:Q66)</f>
        <v>49.2</v>
      </c>
      <c r="S66" s="693">
        <v>5</v>
      </c>
      <c r="T66" s="487"/>
      <c r="U66" s="688"/>
      <c r="V66" s="641" t="s">
        <v>997</v>
      </c>
      <c r="W66" s="693" t="s">
        <v>74</v>
      </c>
      <c r="X66" s="693" t="s">
        <v>11</v>
      </c>
      <c r="Y66" s="642">
        <v>35</v>
      </c>
      <c r="Z66" s="693" t="s">
        <v>1302</v>
      </c>
      <c r="AA66" s="693" t="s">
        <v>80</v>
      </c>
      <c r="AB66" s="693" t="s">
        <v>11</v>
      </c>
      <c r="AC66" s="693">
        <v>9.6</v>
      </c>
      <c r="AD66" s="641" t="s">
        <v>1303</v>
      </c>
      <c r="AE66" s="693" t="s">
        <v>317</v>
      </c>
      <c r="AF66" s="693" t="s">
        <v>12</v>
      </c>
      <c r="AG66" s="642">
        <v>4.5999999999999996</v>
      </c>
      <c r="AL66" s="641"/>
      <c r="AO66" s="642"/>
      <c r="AP66" s="641"/>
      <c r="AS66" s="642"/>
      <c r="AW66" s="642"/>
      <c r="BA66" s="643"/>
    </row>
    <row r="68" spans="1:53" x14ac:dyDescent="0.15">
      <c r="B68" s="2"/>
      <c r="C68" s="2"/>
      <c r="D68" s="2"/>
      <c r="E68" s="2"/>
      <c r="F68" s="2"/>
      <c r="G68" s="2"/>
      <c r="H68" s="2"/>
      <c r="I68" s="2"/>
      <c r="J68" s="2"/>
      <c r="K68" s="2"/>
      <c r="L68" s="2"/>
      <c r="M68" s="2"/>
      <c r="N68" s="2"/>
    </row>
    <row r="69" spans="1:53" s="2" customFormat="1" ht="18" customHeight="1" x14ac:dyDescent="0.2">
      <c r="B69" s="22" t="s">
        <v>1284</v>
      </c>
    </row>
    <row r="70" spans="1:53" s="2" customFormat="1" ht="9" customHeight="1" x14ac:dyDescent="0.15"/>
    <row r="71" spans="1:53" s="364" customFormat="1" ht="9" customHeight="1" x14ac:dyDescent="0.15">
      <c r="A71" s="362"/>
      <c r="B71" s="363" t="s">
        <v>1235</v>
      </c>
      <c r="C71" s="363"/>
      <c r="D71" s="363"/>
      <c r="E71" s="363"/>
      <c r="F71" s="363"/>
      <c r="G71" s="363" t="s">
        <v>1236</v>
      </c>
      <c r="H71" s="363"/>
      <c r="I71" s="363"/>
      <c r="J71" s="363"/>
      <c r="K71" s="363"/>
      <c r="L71" s="363"/>
      <c r="M71" s="363"/>
      <c r="N71" s="363"/>
      <c r="R71" s="802" t="s">
        <v>1237</v>
      </c>
      <c r="S71" s="802"/>
      <c r="T71" s="802"/>
      <c r="U71" s="802"/>
      <c r="V71" s="802"/>
      <c r="W71" s="802"/>
      <c r="X71" s="365"/>
      <c r="Y71" s="365"/>
      <c r="AA71" s="365"/>
      <c r="AB71" s="365"/>
      <c r="AC71" s="365"/>
      <c r="AD71" s="365"/>
    </row>
    <row r="72" spans="1:53" s="369" customFormat="1" ht="9" customHeight="1" x14ac:dyDescent="0.15">
      <c r="A72" s="366"/>
      <c r="B72" s="367" t="s">
        <v>1239</v>
      </c>
      <c r="C72" s="368"/>
      <c r="D72" s="368"/>
      <c r="E72" s="368"/>
      <c r="F72" s="368"/>
      <c r="G72" s="367" t="s">
        <v>1238</v>
      </c>
      <c r="H72" s="368"/>
      <c r="I72" s="368"/>
      <c r="J72" s="368"/>
      <c r="K72" s="368"/>
      <c r="L72" s="368"/>
      <c r="M72" s="368"/>
      <c r="N72" s="368"/>
      <c r="R72" s="370" t="s">
        <v>1240</v>
      </c>
      <c r="S72" s="371"/>
      <c r="T72" s="372"/>
      <c r="U72" s="372"/>
      <c r="V72" s="372"/>
      <c r="W72" s="370" t="s">
        <v>1241</v>
      </c>
      <c r="X72" s="372"/>
      <c r="Y72" s="372"/>
      <c r="AA72" s="372"/>
      <c r="AB72" s="372"/>
      <c r="AC72" s="372"/>
      <c r="AD72" s="372"/>
    </row>
    <row r="73" spans="1:53" s="351" customFormat="1" ht="12" customHeight="1" x14ac:dyDescent="0.15">
      <c r="A73" s="373" t="s">
        <v>3</v>
      </c>
      <c r="B73" s="374" t="s">
        <v>8</v>
      </c>
      <c r="C73" s="374" t="s">
        <v>9</v>
      </c>
      <c r="D73" s="374" t="s">
        <v>10</v>
      </c>
      <c r="E73" s="375" t="s">
        <v>1215</v>
      </c>
      <c r="F73" s="374"/>
      <c r="G73" s="351" t="s">
        <v>3</v>
      </c>
      <c r="H73" s="803" t="s">
        <v>0</v>
      </c>
      <c r="I73" s="803"/>
      <c r="J73" s="803" t="s">
        <v>1</v>
      </c>
      <c r="K73" s="803"/>
      <c r="L73" s="803" t="s">
        <v>2</v>
      </c>
      <c r="M73" s="803"/>
      <c r="N73" s="804" t="s">
        <v>1215</v>
      </c>
      <c r="O73" s="804"/>
      <c r="P73" s="376"/>
      <c r="Q73" s="376"/>
      <c r="R73" s="377" t="s">
        <v>3</v>
      </c>
      <c r="S73" s="378" t="s">
        <v>136</v>
      </c>
      <c r="T73" s="376" t="s">
        <v>134</v>
      </c>
      <c r="U73" s="374" t="s">
        <v>135</v>
      </c>
      <c r="V73" s="376"/>
      <c r="W73" s="379" t="s">
        <v>26</v>
      </c>
    </row>
    <row r="74" spans="1:53" ht="9" customHeight="1" x14ac:dyDescent="0.15">
      <c r="A74" s="1">
        <v>1990</v>
      </c>
      <c r="B74" s="8">
        <f>(K7*($E7/103))+(K8*($E8/103))</f>
        <v>6.7421790722761603</v>
      </c>
      <c r="C74" s="8">
        <f>(L7*($E7/103))+(L8*($E8/103))</f>
        <v>0</v>
      </c>
      <c r="D74" s="8">
        <f>(M7*($E7/103))+(M8*($E8/103))</f>
        <v>86.515641855447683</v>
      </c>
      <c r="E74" s="63">
        <f>SUM(B74:D74)</f>
        <v>93.257820927723841</v>
      </c>
      <c r="G74" s="1">
        <v>1990</v>
      </c>
      <c r="H74" s="827">
        <f>(O7/$R7*100*($E7/103))+(O8/$R8*100*($E8/103))</f>
        <v>10.473287879263935</v>
      </c>
      <c r="I74" s="827"/>
      <c r="J74" s="827">
        <f>(P7/$R7*100*($E7/103))+(P8/$R8*100*($E8/103))</f>
        <v>0</v>
      </c>
      <c r="K74" s="827"/>
      <c r="L74" s="827">
        <f>(Q7/$R7*100*($E7/103))+(Q8/$R8*100*($E8/103))</f>
        <v>89.526712120736065</v>
      </c>
      <c r="M74" s="827"/>
      <c r="N74" s="828">
        <f t="shared" ref="N74:N96" si="15">SUM(H74:M74)</f>
        <v>100</v>
      </c>
      <c r="O74" s="828"/>
      <c r="R74" s="1">
        <v>1990</v>
      </c>
      <c r="S74" s="8">
        <f>(O7*($E7/103))+(O8*($E8/103))</f>
        <v>9.7087378640776691</v>
      </c>
      <c r="T74" s="8">
        <f>(P7*($E7/103))+(P8*($E8/103))</f>
        <v>0</v>
      </c>
      <c r="U74" s="8">
        <f>(Q7*($E7/103))+(Q8*($E8/103))</f>
        <v>52.7</v>
      </c>
      <c r="W74" s="7">
        <f>SUM(S74:U74)</f>
        <v>62.408737864077672</v>
      </c>
      <c r="Y74" s="72" t="s">
        <v>1159</v>
      </c>
    </row>
    <row r="75" spans="1:53" ht="9" customHeight="1" x14ac:dyDescent="0.15">
      <c r="A75" s="1">
        <v>1991</v>
      </c>
      <c r="B75" s="8">
        <f>(K9*($E9/365))+(K10*($E10/365))</f>
        <v>38.462709284627095</v>
      </c>
      <c r="C75" s="8">
        <f>(L9*($E9/365))+(L10*($E10/365))</f>
        <v>0</v>
      </c>
      <c r="D75" s="8">
        <f>(M9*($E9/365))+(M10*($E10/365))</f>
        <v>37.86910197869102</v>
      </c>
      <c r="E75" s="63">
        <f t="shared" ref="E75:E96" si="16">SUM(B75:D75)</f>
        <v>76.331811263318116</v>
      </c>
      <c r="G75" s="1">
        <v>1991</v>
      </c>
      <c r="H75" s="809">
        <f>(O9/$R9*100*($E9/365))+(O10/$R10*100*($E10/365))</f>
        <v>51.560638973858815</v>
      </c>
      <c r="I75" s="809"/>
      <c r="J75" s="809">
        <f>(P9/$R9*100*($E9/365))+(P10/$R10*100*($E10/365))</f>
        <v>0</v>
      </c>
      <c r="K75" s="809"/>
      <c r="L75" s="809">
        <f>(Q9/$R9*100*($E9/365))+(Q10/$R10*100*($E10/365))</f>
        <v>48.439361026141185</v>
      </c>
      <c r="M75" s="809"/>
      <c r="N75" s="810">
        <f t="shared" si="15"/>
        <v>100</v>
      </c>
      <c r="O75" s="810"/>
      <c r="R75" s="1">
        <v>1991</v>
      </c>
      <c r="S75" s="8">
        <f>(O9*($E9/365))+(O10*($E10/365))</f>
        <v>40.872876712328775</v>
      </c>
      <c r="T75" s="8">
        <f>(P9*($E9/365))+(P10*($E10/365))</f>
        <v>0</v>
      </c>
      <c r="U75" s="8">
        <f>(Q9*($E9/365))+(Q10*($E10/365))</f>
        <v>44.903287671232881</v>
      </c>
      <c r="W75" s="7">
        <f t="shared" ref="W75:W97" si="17">SUM(S75:U75)</f>
        <v>85.77616438356165</v>
      </c>
    </row>
    <row r="76" spans="1:53" ht="9" customHeight="1" x14ac:dyDescent="0.15">
      <c r="A76" s="1">
        <v>1992</v>
      </c>
      <c r="B76" s="8">
        <f>(K11*($E11/366))+(K12*($E12/366))</f>
        <v>99.453551912568301</v>
      </c>
      <c r="C76" s="8">
        <f>(L11*($E11/366))+(L12*($E12/366))</f>
        <v>0</v>
      </c>
      <c r="D76" s="8">
        <f>(M11*($E11/366))+(M12*($E12/366))</f>
        <v>0</v>
      </c>
      <c r="E76" s="63">
        <f t="shared" si="16"/>
        <v>99.453551912568301</v>
      </c>
      <c r="G76" s="1">
        <v>1992</v>
      </c>
      <c r="H76" s="809">
        <f>(O11/$R11*100*($E11/366))</f>
        <v>99.453551912568301</v>
      </c>
      <c r="I76" s="809"/>
      <c r="J76" s="809">
        <f>(P11/$R11*100*($E11/366))</f>
        <v>0</v>
      </c>
      <c r="K76" s="809"/>
      <c r="L76" s="809">
        <f>(Q11/$R11*100*($E11/366))</f>
        <v>0</v>
      </c>
      <c r="M76" s="809"/>
      <c r="N76" s="810">
        <f t="shared" si="15"/>
        <v>99.453551912568301</v>
      </c>
      <c r="O76" s="810"/>
      <c r="R76" s="1">
        <v>1992</v>
      </c>
      <c r="S76" s="8">
        <f>(O11*($E11/366))+(O12*($E12/366))</f>
        <v>45.649180327868848</v>
      </c>
      <c r="T76" s="8">
        <f>(P11*($E11/366))+(P12*($E12/366))</f>
        <v>0</v>
      </c>
      <c r="U76" s="8">
        <f>(Q11*($E11/366))+(Q12*($E12/366))</f>
        <v>0</v>
      </c>
      <c r="W76" s="7">
        <f t="shared" si="17"/>
        <v>45.649180327868848</v>
      </c>
    </row>
    <row r="77" spans="1:53" ht="9" customHeight="1" x14ac:dyDescent="0.15">
      <c r="A77" s="1">
        <v>1993</v>
      </c>
      <c r="B77" s="8">
        <f>(K13*($E13/365))+(K14*($E14/365))</f>
        <v>0</v>
      </c>
      <c r="C77" s="8">
        <f>(L13*($E13/365))+(L14*($E14/365))</f>
        <v>0</v>
      </c>
      <c r="D77" s="8">
        <f>(M13*($E13/365))+(M14*($E14/365))</f>
        <v>0</v>
      </c>
      <c r="E77" s="63">
        <f t="shared" si="16"/>
        <v>0</v>
      </c>
      <c r="G77" s="1">
        <v>1993</v>
      </c>
      <c r="H77" s="822">
        <v>0</v>
      </c>
      <c r="I77" s="822"/>
      <c r="J77" s="822">
        <v>0</v>
      </c>
      <c r="K77" s="822"/>
      <c r="L77" s="822">
        <v>0</v>
      </c>
      <c r="M77" s="822"/>
      <c r="N77" s="810">
        <f t="shared" si="15"/>
        <v>0</v>
      </c>
      <c r="O77" s="810"/>
      <c r="R77" s="1">
        <v>1993</v>
      </c>
      <c r="S77" s="8">
        <f>(O13*($E13/365))+(O14*($E14/365))</f>
        <v>0</v>
      </c>
      <c r="T77" s="8">
        <f>(P13*($E13/365))+(P14*($E14/365))</f>
        <v>0</v>
      </c>
      <c r="U77" s="8">
        <f>(Q13*($E13/365))+(Q14*($E14/365))</f>
        <v>0</v>
      </c>
      <c r="W77" s="7">
        <f t="shared" si="17"/>
        <v>0</v>
      </c>
    </row>
    <row r="78" spans="1:53" ht="9" customHeight="1" x14ac:dyDescent="0.15">
      <c r="A78" s="1">
        <v>1994</v>
      </c>
      <c r="B78" s="8">
        <f>(K15*($E15/365))+(K16*($E16/365))</f>
        <v>0</v>
      </c>
      <c r="C78" s="8">
        <f>(L15*($E15/365))+(L16*($E16/365))</f>
        <v>0</v>
      </c>
      <c r="D78" s="8">
        <f>(M15*($E15/365))+(M16*($E16/365))</f>
        <v>0</v>
      </c>
      <c r="E78" s="63">
        <f t="shared" si="16"/>
        <v>0</v>
      </c>
      <c r="G78" s="1">
        <v>1994</v>
      </c>
      <c r="H78" s="822">
        <v>0</v>
      </c>
      <c r="I78" s="822"/>
      <c r="J78" s="822">
        <v>0</v>
      </c>
      <c r="K78" s="822"/>
      <c r="L78" s="822">
        <v>0</v>
      </c>
      <c r="M78" s="822"/>
      <c r="N78" s="810">
        <f t="shared" si="15"/>
        <v>0</v>
      </c>
      <c r="O78" s="810"/>
      <c r="R78" s="1">
        <v>1994</v>
      </c>
      <c r="S78" s="8">
        <f>(O15*($E15/365))+(O16*($E16/365))</f>
        <v>0</v>
      </c>
      <c r="T78" s="8">
        <f>(P15*($E15/365))+(P16*($E16/365))</f>
        <v>0</v>
      </c>
      <c r="U78" s="8">
        <f>(Q15*($E15/365))+(Q16*($E16/365))</f>
        <v>0</v>
      </c>
      <c r="W78" s="7">
        <f t="shared" si="17"/>
        <v>0</v>
      </c>
    </row>
    <row r="79" spans="1:53" ht="9" customHeight="1" x14ac:dyDescent="0.15">
      <c r="A79" s="1">
        <v>1995</v>
      </c>
      <c r="B79" s="8">
        <f>(K17*($E17/365))+(K18*($E18/365))</f>
        <v>0</v>
      </c>
      <c r="C79" s="8">
        <f>(L17*($E17/365))+(L18*($E18/365))</f>
        <v>0</v>
      </c>
      <c r="D79" s="8">
        <f>(M17*($E17/365))+(M18*($E18/365))</f>
        <v>51.902587519025879</v>
      </c>
      <c r="E79" s="63">
        <f t="shared" si="16"/>
        <v>51.902587519025879</v>
      </c>
      <c r="G79" s="1">
        <v>1995</v>
      </c>
      <c r="H79" s="809">
        <f>(O18/$R18*100*($E18/365))</f>
        <v>0</v>
      </c>
      <c r="I79" s="809"/>
      <c r="J79" s="809">
        <f>(P18/$R18*100*($E18/365))</f>
        <v>0</v>
      </c>
      <c r="K79" s="809"/>
      <c r="L79" s="809">
        <f>(Q18/$R18*100*($E18/365))</f>
        <v>93.424657534246577</v>
      </c>
      <c r="M79" s="809"/>
      <c r="N79" s="810">
        <f t="shared" si="15"/>
        <v>93.424657534246577</v>
      </c>
      <c r="O79" s="810"/>
      <c r="R79" s="1">
        <v>1995</v>
      </c>
      <c r="S79" s="8">
        <f>(O17*($E17/365))+(O18*($E18/365))</f>
        <v>0</v>
      </c>
      <c r="T79" s="8">
        <f>(P17*($E17/365))+(P18*($E18/365))</f>
        <v>0</v>
      </c>
      <c r="U79" s="8">
        <f>(Q17*($E17/365))+(Q18*($E18/365))</f>
        <v>48.674246575342472</v>
      </c>
      <c r="W79" s="7">
        <f t="shared" si="17"/>
        <v>48.674246575342472</v>
      </c>
    </row>
    <row r="80" spans="1:53" ht="9" customHeight="1" x14ac:dyDescent="0.15">
      <c r="A80" s="1">
        <v>1996</v>
      </c>
      <c r="B80" s="8">
        <f>(K19*($E19/366))+(K20*($E20/366))</f>
        <v>0</v>
      </c>
      <c r="C80" s="8">
        <f>(L19*($E19/366))+(L20*($E20/366))</f>
        <v>0</v>
      </c>
      <c r="D80" s="8">
        <f>(M19*($E19/366))+(M20*($E20/366))</f>
        <v>55.555555555555557</v>
      </c>
      <c r="E80" s="63">
        <f t="shared" si="16"/>
        <v>55.555555555555557</v>
      </c>
      <c r="G80" s="1">
        <v>1996</v>
      </c>
      <c r="H80" s="809">
        <f>(O19/$R19*100*($E19/366))+(O20/$R20*100*($E20/366))</f>
        <v>0</v>
      </c>
      <c r="I80" s="809"/>
      <c r="J80" s="809">
        <f>(P19/$R19*100*($E19/366))+(P20/$R20*100*($E20/366))</f>
        <v>0</v>
      </c>
      <c r="K80" s="809"/>
      <c r="L80" s="809">
        <f>(Q19/$R19*100*($E19/366))+(Q20/$R20*100*($E20/366))</f>
        <v>100</v>
      </c>
      <c r="M80" s="809"/>
      <c r="N80" s="810">
        <f t="shared" si="15"/>
        <v>100</v>
      </c>
      <c r="O80" s="810"/>
      <c r="R80" s="1">
        <v>1996</v>
      </c>
      <c r="S80" s="8">
        <f>(O19*($E19/366))+(O20*($E20/366))</f>
        <v>0</v>
      </c>
      <c r="T80" s="8">
        <f>(P19*($E19/366))+(P20*($E20/366))</f>
        <v>0</v>
      </c>
      <c r="U80" s="8">
        <f>(Q19*($E19/366))+(Q20*($E20/366))</f>
        <v>52.1</v>
      </c>
      <c r="W80" s="7">
        <f t="shared" si="17"/>
        <v>52.1</v>
      </c>
    </row>
    <row r="81" spans="1:23" ht="9" customHeight="1" x14ac:dyDescent="0.15">
      <c r="A81" s="1">
        <v>1997</v>
      </c>
      <c r="B81" s="8">
        <f>(K21*($E21/365))+(K22*($E22/365))+(K23*($E23/365))</f>
        <v>63.223207091055606</v>
      </c>
      <c r="C81" s="8">
        <f>(L21*($E21/365))+(L22*($E22/365))+(L23*($E23/365))</f>
        <v>0</v>
      </c>
      <c r="D81" s="8">
        <f>(M21*($E21/365))+(M22*($E22/365))+(M23*($E23/365))</f>
        <v>6.3926940639269407</v>
      </c>
      <c r="E81" s="63">
        <f t="shared" si="16"/>
        <v>69.615901154982552</v>
      </c>
      <c r="G81" s="1">
        <v>1997</v>
      </c>
      <c r="H81" s="809">
        <f>(O21/$R21*100*($E21/365))+(O22/$R22*100*($E22/365))+(O23/$R23*100*($E23/365))</f>
        <v>88.493150684931507</v>
      </c>
      <c r="I81" s="809"/>
      <c r="J81" s="809">
        <f>(P21/$R21*100*($E21/365))+(P22/$R22*100*($E22/365))+(P23/$R23*100*($E23/365))</f>
        <v>0</v>
      </c>
      <c r="K81" s="809"/>
      <c r="L81" s="809">
        <f>(Q21/$R21*100*($E21/365))+(Q22/$R22*100*($E22/365))+(Q23/$R23*100*($E23/365))</f>
        <v>11.506849315068493</v>
      </c>
      <c r="M81" s="809"/>
      <c r="N81" s="810">
        <f t="shared" si="15"/>
        <v>100</v>
      </c>
      <c r="O81" s="810"/>
      <c r="R81" s="1">
        <v>1997</v>
      </c>
      <c r="S81" s="8">
        <f>(O21*($E21/365))+(O22*($E22/365))+(O23*($E23/365))</f>
        <v>42.869589041095892</v>
      </c>
      <c r="T81" s="8">
        <f>(P21*($E21/365))+(P22*($E22/365))+(P23*($E23/365))</f>
        <v>0</v>
      </c>
      <c r="U81" s="8">
        <f>(Q21*($E21/365))+(Q22*($E22/365))+(Q23*($E23/365))</f>
        <v>5.9950684931506855</v>
      </c>
      <c r="W81" s="7">
        <f t="shared" si="17"/>
        <v>48.864657534246575</v>
      </c>
    </row>
    <row r="82" spans="1:23" ht="9" customHeight="1" x14ac:dyDescent="0.15">
      <c r="A82" s="1">
        <v>1998</v>
      </c>
      <c r="B82" s="8">
        <f>(K24*($E24/365))+(K25*($E25/365))</f>
        <v>100</v>
      </c>
      <c r="C82" s="8">
        <f>(L24*($E24/365))+(L25*($E25/365))</f>
        <v>0</v>
      </c>
      <c r="D82" s="8">
        <f>(M24*($E24/365))+(M25*($E25/365))</f>
        <v>0</v>
      </c>
      <c r="E82" s="63">
        <f t="shared" si="16"/>
        <v>100</v>
      </c>
      <c r="G82" s="1">
        <v>1998</v>
      </c>
      <c r="H82" s="809">
        <f>(O24/$R24*100*($E24/365))+(O25/$R25*100*($E25/365))</f>
        <v>100</v>
      </c>
      <c r="I82" s="809"/>
      <c r="J82" s="809">
        <f>(P24/$R24*100*($E24/365))+(P25/$R25*100*($E25/365))</f>
        <v>0</v>
      </c>
      <c r="K82" s="809"/>
      <c r="L82" s="809">
        <f>(Q24/$R24*100*($E24/365))+(Q25/$R25*100*($E25/365))</f>
        <v>0</v>
      </c>
      <c r="M82" s="809"/>
      <c r="N82" s="810">
        <f t="shared" si="15"/>
        <v>100</v>
      </c>
      <c r="O82" s="810"/>
      <c r="R82" s="1">
        <v>1998</v>
      </c>
      <c r="S82" s="8">
        <f>(O24*($E24/365))+(O25*($E25/365))</f>
        <v>57</v>
      </c>
      <c r="T82" s="8">
        <f>(P24*($E24/365))+(P25*($E25/365))</f>
        <v>0</v>
      </c>
      <c r="U82" s="8">
        <f>(Q24*($E24/365))+(Q25*($E25/365))</f>
        <v>0</v>
      </c>
      <c r="W82" s="7">
        <f t="shared" si="17"/>
        <v>57</v>
      </c>
    </row>
    <row r="83" spans="1:23" ht="9" customHeight="1" x14ac:dyDescent="0.15">
      <c r="A83" s="1">
        <v>1999</v>
      </c>
      <c r="B83" s="8">
        <f>(K26*($E26/365))+(K27*($E27/365))</f>
        <v>98.493150684931507</v>
      </c>
      <c r="C83" s="8">
        <f>(L26*($E26/365))+(L27*($E27/365))</f>
        <v>0.37671232876712329</v>
      </c>
      <c r="D83" s="8">
        <f>(M26*($E26/365))+(M27*($E27/365))</f>
        <v>0</v>
      </c>
      <c r="E83" s="63">
        <f t="shared" si="16"/>
        <v>98.869863013698634</v>
      </c>
      <c r="G83" s="1">
        <v>1999</v>
      </c>
      <c r="H83" s="809">
        <f>(O26/$R26*100*($E26/365))+(O27/$R27*100*($E27/365))</f>
        <v>100</v>
      </c>
      <c r="I83" s="809"/>
      <c r="J83" s="809">
        <f>(P26/$R26*100*($E26/365))+(P27/$R27*100*($E27/365))</f>
        <v>0</v>
      </c>
      <c r="K83" s="809"/>
      <c r="L83" s="809">
        <f>(Q26/$R26*100*($E26/365))+(Q27/$R27*100*($E27/365))</f>
        <v>0</v>
      </c>
      <c r="M83" s="809"/>
      <c r="N83" s="810">
        <f t="shared" si="15"/>
        <v>100</v>
      </c>
      <c r="O83" s="810"/>
      <c r="R83" s="1">
        <v>1999</v>
      </c>
      <c r="S83" s="8">
        <f>(O26*($E26/365))+(O27*($E27/365))</f>
        <v>57</v>
      </c>
      <c r="T83" s="8">
        <f>(P26*($E26/365))+(P27*($E27/365))</f>
        <v>0</v>
      </c>
      <c r="U83" s="8">
        <f>(Q26*($E26/365))+(Q27*($E27/365))</f>
        <v>0</v>
      </c>
      <c r="W83" s="7">
        <f t="shared" si="17"/>
        <v>57</v>
      </c>
    </row>
    <row r="84" spans="1:23" ht="9" customHeight="1" x14ac:dyDescent="0.15">
      <c r="A84" s="1">
        <v>2000</v>
      </c>
      <c r="B84" s="8">
        <f>(K28*($E28/366))+(K29*($E29/366))</f>
        <v>50</v>
      </c>
      <c r="C84" s="8">
        <f>(L28*($E28/366))+(L29*($E29/366))</f>
        <v>12.5</v>
      </c>
      <c r="D84" s="8">
        <f>(M28*($E28/366))+(M29*($E29/366))</f>
        <v>0</v>
      </c>
      <c r="E84" s="63">
        <f t="shared" si="16"/>
        <v>62.5</v>
      </c>
      <c r="G84" s="1">
        <v>2000</v>
      </c>
      <c r="H84" s="809">
        <f>(O28/$R28*100*($E28/366))+(O29/$R29*100*($E29/366))</f>
        <v>100</v>
      </c>
      <c r="I84" s="809"/>
      <c r="J84" s="809">
        <f>(P28/$R28*100*($E28/366))+(P29/$R29*100*($E29/366))</f>
        <v>0</v>
      </c>
      <c r="K84" s="809"/>
      <c r="L84" s="809">
        <f>(Q28/$R28*100*($E28/366))+(Q29/$R29*100*($E29/366))</f>
        <v>0</v>
      </c>
      <c r="M84" s="809"/>
      <c r="N84" s="810">
        <f t="shared" si="15"/>
        <v>100</v>
      </c>
      <c r="O84" s="810"/>
      <c r="R84" s="1">
        <v>2000</v>
      </c>
      <c r="S84" s="8">
        <f>(O28*($E28/366))+(O29*($E29/366))</f>
        <v>57</v>
      </c>
      <c r="T84" s="8">
        <f>(P28*($E28/366))+(P29*($E29/366))</f>
        <v>0</v>
      </c>
      <c r="U84" s="8">
        <f>(Q28*($E28/366))+(Q29*($E29/366))</f>
        <v>0</v>
      </c>
      <c r="W84" s="7">
        <f t="shared" si="17"/>
        <v>57</v>
      </c>
    </row>
    <row r="85" spans="1:23" ht="9" customHeight="1" x14ac:dyDescent="0.15">
      <c r="A85" s="1">
        <v>2001</v>
      </c>
      <c r="B85" s="8">
        <f>(K30*($E30/365))+(K31*($E31/365))</f>
        <v>66.865431103948424</v>
      </c>
      <c r="C85" s="8">
        <f>(L30*($E30/365))+(L31*($E31/365))</f>
        <v>6.9863013698630141</v>
      </c>
      <c r="D85" s="8">
        <f>(M30*($E30/365))+(M31*($E31/365))</f>
        <v>5.1893634165995159</v>
      </c>
      <c r="E85" s="63">
        <f t="shared" si="16"/>
        <v>79.041095890410958</v>
      </c>
      <c r="G85" s="1">
        <v>2001</v>
      </c>
      <c r="H85" s="809">
        <f>(O30/$R30*100*($E30/365))+(O31/$R31*100*($E31/365))</f>
        <v>88.797564687975651</v>
      </c>
      <c r="I85" s="809"/>
      <c r="J85" s="809">
        <f>(P30/$R30*100*($E30/365))+(P31/$R31*100*($E31/365))</f>
        <v>0</v>
      </c>
      <c r="K85" s="809"/>
      <c r="L85" s="809">
        <f>(Q30/$R30*100*($E30/365))+(Q31/$R31*100*($E31/365))</f>
        <v>11.202435312024352</v>
      </c>
      <c r="M85" s="809"/>
      <c r="N85" s="810">
        <f t="shared" si="15"/>
        <v>100</v>
      </c>
      <c r="O85" s="810"/>
      <c r="R85" s="1">
        <v>2001</v>
      </c>
      <c r="S85" s="8">
        <f>(O30*($E30/365))+(O31*($E31/365))</f>
        <v>57.771917808219186</v>
      </c>
      <c r="T85" s="8">
        <f>(P30*($E30/365))+(P31*($E31/365))</f>
        <v>0</v>
      </c>
      <c r="U85" s="8">
        <f>(Q30*($E30/365))+(Q31*($E31/365))</f>
        <v>8.8219178082191778</v>
      </c>
      <c r="W85" s="7">
        <f t="shared" si="17"/>
        <v>66.593835616438369</v>
      </c>
    </row>
    <row r="86" spans="1:23" ht="9" customHeight="1" x14ac:dyDescent="0.15">
      <c r="A86" s="1">
        <v>2002</v>
      </c>
      <c r="B86" s="8">
        <f>(K32*($E32/365))+(K33*($E33/365))</f>
        <v>88.623869639179873</v>
      </c>
      <c r="C86" s="8">
        <f>(L32*($E32/365))+(L33*($E33/365))</f>
        <v>0</v>
      </c>
      <c r="D86" s="8">
        <f>(M32*($E32/365))+(M33*($E33/365))</f>
        <v>11.376130360820127</v>
      </c>
      <c r="E86" s="63">
        <f t="shared" si="16"/>
        <v>100</v>
      </c>
      <c r="G86" s="1">
        <v>2002</v>
      </c>
      <c r="H86" s="809">
        <f>(O32/$R32*100*($E32/365))+(O33/$R33*100*($E33/365))</f>
        <v>74.603174603174608</v>
      </c>
      <c r="I86" s="809"/>
      <c r="J86" s="809">
        <f>(P32/$R32*100*($E32/365))+(P33/$R33*100*($E33/365))</f>
        <v>0</v>
      </c>
      <c r="K86" s="809"/>
      <c r="L86" s="809">
        <f>(Q32/$R32*100*($E32/365))+(Q33/$R33*100*($E33/365))</f>
        <v>25.396825396825395</v>
      </c>
      <c r="M86" s="809"/>
      <c r="N86" s="810">
        <f t="shared" si="15"/>
        <v>100</v>
      </c>
      <c r="O86" s="810"/>
      <c r="R86" s="1">
        <v>2002</v>
      </c>
      <c r="S86" s="8">
        <f>(O32*($E32/365))+(O33*($E33/365))</f>
        <v>58.75</v>
      </c>
      <c r="T86" s="8">
        <f>(P32*($E32/365))+(P33*($E33/365))</f>
        <v>0</v>
      </c>
      <c r="U86" s="8">
        <f>(Q32*($E32/365))+(Q33*($E33/365))</f>
        <v>20</v>
      </c>
      <c r="W86" s="7">
        <f t="shared" si="17"/>
        <v>78.75</v>
      </c>
    </row>
    <row r="87" spans="1:23" ht="9" customHeight="1" x14ac:dyDescent="0.15">
      <c r="A87" s="1">
        <v>2003</v>
      </c>
      <c r="B87" s="8">
        <f>(K34*($E34/365))+(K35*($E35/365))</f>
        <v>88.888888888888886</v>
      </c>
      <c r="C87" s="8">
        <f>(L34*($E34/365))+(L35*($E35/365))</f>
        <v>0</v>
      </c>
      <c r="D87" s="8">
        <f>(M34*($E34/365))+(M35*($E35/365))</f>
        <v>11.111111111111111</v>
      </c>
      <c r="E87" s="63">
        <f t="shared" si="16"/>
        <v>100</v>
      </c>
      <c r="G87" s="1">
        <v>2003</v>
      </c>
      <c r="H87" s="809">
        <f>(O34/$R34*100*($E34/365))+(O35/$R35*100*($E35/365))</f>
        <v>74.603174603174608</v>
      </c>
      <c r="I87" s="809"/>
      <c r="J87" s="809">
        <f>(P34/$R34*100*($E34/365))+(P35/$R35*100*($E35/365))</f>
        <v>0</v>
      </c>
      <c r="K87" s="809"/>
      <c r="L87" s="809">
        <f>(Q34/$R34*100*($E34/365))+(Q35/$R35*100*($E35/365))</f>
        <v>25.396825396825395</v>
      </c>
      <c r="M87" s="809"/>
      <c r="N87" s="810">
        <f t="shared" si="15"/>
        <v>100</v>
      </c>
      <c r="O87" s="810"/>
      <c r="R87" s="1">
        <v>2003</v>
      </c>
      <c r="S87" s="8">
        <f>(O34*($E34/365))+(O35*($E35/365))</f>
        <v>58.75</v>
      </c>
      <c r="T87" s="8">
        <f>(P34*($E34/365))+(P35*($E35/365))</f>
        <v>0</v>
      </c>
      <c r="U87" s="8">
        <f>(Q34*($E34/365))+(Q35*($E35/365))</f>
        <v>20</v>
      </c>
      <c r="W87" s="7">
        <f t="shared" si="17"/>
        <v>78.75</v>
      </c>
    </row>
    <row r="88" spans="1:23" ht="9" customHeight="1" x14ac:dyDescent="0.15">
      <c r="A88" s="1">
        <v>2004</v>
      </c>
      <c r="B88" s="8">
        <f>(K36*($E36/366))+(K37*($E37/366))</f>
        <v>88.888888888888886</v>
      </c>
      <c r="C88" s="8">
        <f>(L36*($E36/366))+(L37*($E37/366))</f>
        <v>0</v>
      </c>
      <c r="D88" s="8">
        <f>(M36*($E36/366))+(M37*($E37/366))</f>
        <v>11.111111111111111</v>
      </c>
      <c r="E88" s="63">
        <f t="shared" si="16"/>
        <v>100</v>
      </c>
      <c r="G88" s="1">
        <v>2004</v>
      </c>
      <c r="H88" s="809">
        <f>(O36/$R36*100*($E36/366))+(O37/$R37*100*($E37/366))</f>
        <v>74.603174603174608</v>
      </c>
      <c r="I88" s="809"/>
      <c r="J88" s="809">
        <f>(P36/$R36*100*($E36/366))+(P37/$R37*100*($E37/366))</f>
        <v>0</v>
      </c>
      <c r="K88" s="809"/>
      <c r="L88" s="809">
        <f>(Q36/$R36*100*($E36/366))+(Q37/$R37*100*($E37/366))</f>
        <v>25.396825396825395</v>
      </c>
      <c r="M88" s="809"/>
      <c r="N88" s="810">
        <f t="shared" si="15"/>
        <v>100</v>
      </c>
      <c r="O88" s="810"/>
      <c r="R88" s="1">
        <v>2004</v>
      </c>
      <c r="S88" s="8">
        <f>(O36*($E36/366))+(O37*($E37/366))</f>
        <v>58.75</v>
      </c>
      <c r="T88" s="8">
        <f>(P36*($E36/366))+(P37*($E37/366))</f>
        <v>0</v>
      </c>
      <c r="U88" s="8">
        <f>(Q36*($E36/366))+(Q37*($E37/366))</f>
        <v>20</v>
      </c>
      <c r="W88" s="7">
        <f t="shared" si="17"/>
        <v>78.75</v>
      </c>
    </row>
    <row r="89" spans="1:23" ht="9" customHeight="1" x14ac:dyDescent="0.15">
      <c r="A89" s="1">
        <v>2005</v>
      </c>
      <c r="B89" s="8">
        <f>(K38*($E38/365))+(K39*($E39/365))+(K40*($E40/365))</f>
        <v>72.367219418409036</v>
      </c>
      <c r="C89" s="8">
        <f>(L38*($E38/365))+(L39*($E39/365))+(L40*($E40/365))</f>
        <v>0</v>
      </c>
      <c r="D89" s="8">
        <f>(M38*($E38/365))+(M39*($E39/365))+(M40*($E40/365))</f>
        <v>25.532323960586396</v>
      </c>
      <c r="E89" s="63">
        <f t="shared" si="16"/>
        <v>97.899543378995432</v>
      </c>
      <c r="G89" s="1">
        <v>2005</v>
      </c>
      <c r="H89" s="809">
        <f>(O38/$R38*100*($E38/365))+(O39/$R39*100*($E39/365))+(O40/$R40*100*($E40/365))</f>
        <v>65.812659469870127</v>
      </c>
      <c r="I89" s="809"/>
      <c r="J89" s="809">
        <f>(P38/$R38*100*($E38/365))+(P39/$R39*100*($E39/365))+(P40/$R40*100*($E40/365))</f>
        <v>0</v>
      </c>
      <c r="K89" s="809"/>
      <c r="L89" s="809">
        <f>(Q38/$R38*100*($E38/365))+(Q39/$R39*100*($E39/365))+(Q40/$R40*100*($E40/365))</f>
        <v>34.187340530129873</v>
      </c>
      <c r="M89" s="809"/>
      <c r="N89" s="810">
        <f t="shared" si="15"/>
        <v>100</v>
      </c>
      <c r="O89" s="810"/>
      <c r="R89" s="1">
        <v>2005</v>
      </c>
      <c r="S89" s="8">
        <f>(O38*($E38/365))+(O39*($E39/365))+(O40*($E40/365))</f>
        <v>50.099479452054801</v>
      </c>
      <c r="T89" s="8">
        <f>(P38*($E38/365))+(P39*($E39/365))+(P40*($E40/365))</f>
        <v>0</v>
      </c>
      <c r="U89" s="8">
        <f>(Q38*($E38/365))+(Q39*($E39/365))+(Q40*($E40/365))</f>
        <v>25.285589041095889</v>
      </c>
      <c r="W89" s="7">
        <f t="shared" si="17"/>
        <v>75.385068493150698</v>
      </c>
    </row>
    <row r="90" spans="1:23" ht="9" customHeight="1" x14ac:dyDescent="0.15">
      <c r="A90" s="1">
        <v>2006</v>
      </c>
      <c r="B90" s="8">
        <f>(K41*($E41/365))+(K42*($E42/365))</f>
        <v>44.444444444444443</v>
      </c>
      <c r="C90" s="8">
        <f>(L41*($E41/365))+(L42*($E42/365))</f>
        <v>0</v>
      </c>
      <c r="D90" s="8">
        <f>(M41*($E41/365))+(M42*($E42/365))</f>
        <v>50</v>
      </c>
      <c r="E90" s="63">
        <f t="shared" si="16"/>
        <v>94.444444444444443</v>
      </c>
      <c r="G90" s="1">
        <v>2006</v>
      </c>
      <c r="H90" s="809">
        <f>(O41/$R41*100*($E41/365))+(O42/$R42*100*($E42/365))</f>
        <v>51.3528990694345</v>
      </c>
      <c r="I90" s="809"/>
      <c r="J90" s="809">
        <f>(P41/$R41*100*($E41/365))+(P42/$R42*100*($E42/365))</f>
        <v>0</v>
      </c>
      <c r="K90" s="809"/>
      <c r="L90" s="809">
        <f>(Q41/$R41*100*($E41/365))+(Q42/$R42*100*($E42/365))</f>
        <v>48.647100930565493</v>
      </c>
      <c r="M90" s="809"/>
      <c r="N90" s="810">
        <f t="shared" si="15"/>
        <v>100</v>
      </c>
      <c r="O90" s="810"/>
      <c r="R90" s="1">
        <v>2006</v>
      </c>
      <c r="S90" s="8">
        <f>(O41*($E41/365))+(O42*($E42/365))</f>
        <v>35.869999999999997</v>
      </c>
      <c r="T90" s="8">
        <f>(P41*($E41/365))+(P42*($E42/365))</f>
        <v>0</v>
      </c>
      <c r="U90" s="8">
        <f>(Q41*($E41/365))+(Q42*($E42/365))</f>
        <v>33.979999999999997</v>
      </c>
      <c r="W90" s="7">
        <f t="shared" si="17"/>
        <v>69.849999999999994</v>
      </c>
    </row>
    <row r="91" spans="1:23" ht="9" customHeight="1" x14ac:dyDescent="0.15">
      <c r="A91" s="1">
        <v>2007</v>
      </c>
      <c r="B91" s="7">
        <f>(K43*($E43/365))+(K44*($E44/365))</f>
        <v>44.444444444444443</v>
      </c>
      <c r="C91" s="7">
        <f>(L43*($E43/365))+(L44*($E44/365))</f>
        <v>0</v>
      </c>
      <c r="D91" s="7">
        <f>(M43*($E43/365))+(M44*($E44/365))</f>
        <v>50</v>
      </c>
      <c r="E91" s="63">
        <f t="shared" si="16"/>
        <v>94.444444444444443</v>
      </c>
      <c r="G91" s="1">
        <v>2007</v>
      </c>
      <c r="H91" s="809">
        <f>(O43/$R43*100*($E43/365))+(O44/$R44*100*($E44/365))</f>
        <v>51.3528990694345</v>
      </c>
      <c r="I91" s="809"/>
      <c r="J91" s="809">
        <f>(P43/$R43*100*($E43/365))+(P44/$R44*100*($E44/365))</f>
        <v>0</v>
      </c>
      <c r="K91" s="809"/>
      <c r="L91" s="809">
        <f>(Q43/$R43*100*($E43/365))+(Q44/$R44*100*($E44/365))</f>
        <v>48.647100930565493</v>
      </c>
      <c r="M91" s="809"/>
      <c r="N91" s="810">
        <f t="shared" si="15"/>
        <v>100</v>
      </c>
      <c r="O91" s="810"/>
      <c r="R91" s="1">
        <v>2007</v>
      </c>
      <c r="S91" s="7">
        <f>(O43*($E43/365))+(O44*($E44/365))</f>
        <v>35.869999999999997</v>
      </c>
      <c r="T91" s="7">
        <f>(P43*($E43/365))+(P44*($E44/365))</f>
        <v>0</v>
      </c>
      <c r="U91" s="7">
        <f>(Q43*($E43/365))+(Q44*($E44/365))</f>
        <v>33.979999999999997</v>
      </c>
      <c r="W91" s="7">
        <f t="shared" si="17"/>
        <v>69.849999999999994</v>
      </c>
    </row>
    <row r="92" spans="1:23" ht="9" customHeight="1" x14ac:dyDescent="0.15">
      <c r="A92" s="1">
        <v>2008</v>
      </c>
      <c r="B92" s="7">
        <f>(K45*($E45/366))+(K46*($E46/366))</f>
        <v>42.833860607803658</v>
      </c>
      <c r="C92" s="7">
        <f>(L45*($E45/366))+(L46*($E46/366))</f>
        <v>0</v>
      </c>
      <c r="D92" s="7">
        <f>(M45*($E45/366))+(M46*($E46/366))</f>
        <v>51.811906816220876</v>
      </c>
      <c r="E92" s="63">
        <f t="shared" si="16"/>
        <v>94.645767424024541</v>
      </c>
      <c r="G92" s="1">
        <v>2008</v>
      </c>
      <c r="H92" s="809">
        <f>(O45/$R45*100*($E45/366))+(O46/$R46*100*($E46/366))</f>
        <v>51.3528990694345</v>
      </c>
      <c r="I92" s="809"/>
      <c r="J92" s="809">
        <f>(P45/$R45*100*($E45/366))+(P46/$R46*100*($E46/366))</f>
        <v>0</v>
      </c>
      <c r="K92" s="809"/>
      <c r="L92" s="809">
        <f>(Q45/$R45*100*($E45/366))+(Q46/$R46*100*($E46/366))</f>
        <v>48.647100930565493</v>
      </c>
      <c r="M92" s="809"/>
      <c r="N92" s="810">
        <f t="shared" si="15"/>
        <v>100</v>
      </c>
      <c r="O92" s="810"/>
      <c r="R92" s="1">
        <v>2008</v>
      </c>
      <c r="S92" s="7">
        <f>(O45*($E45/366))+(O46*($E46/366))</f>
        <v>35.869999999999997</v>
      </c>
      <c r="T92" s="7">
        <f>(P45*($E45/366))+(P46*($E46/366))</f>
        <v>0</v>
      </c>
      <c r="U92" s="7">
        <f>(Q45*($E45/366))+(Q46*($E46/366))</f>
        <v>33.979999999999997</v>
      </c>
      <c r="W92" s="7">
        <f t="shared" si="17"/>
        <v>69.849999999999994</v>
      </c>
    </row>
    <row r="93" spans="1:23" ht="9" customHeight="1" x14ac:dyDescent="0.15">
      <c r="A93" s="1">
        <v>2009</v>
      </c>
      <c r="B93" s="7">
        <f>(K47*($E47/365))+(K48*($E48/365))</f>
        <v>64.620212901310481</v>
      </c>
      <c r="C93" s="7">
        <f>(L47*($E47/365))+(L48*($E48/365))</f>
        <v>0</v>
      </c>
      <c r="D93" s="7">
        <f>(M47*($E47/365))+(M48*($E48/365))</f>
        <v>29.848594087959622</v>
      </c>
      <c r="E93" s="63">
        <f t="shared" si="16"/>
        <v>94.468806989270107</v>
      </c>
      <c r="G93" s="1">
        <v>2009</v>
      </c>
      <c r="H93" s="809">
        <f>(O47/$R47*100*($E47/365))+(O48/$R48*100*($E48/365))</f>
        <v>72.4110961845834</v>
      </c>
      <c r="I93" s="809"/>
      <c r="J93" s="809">
        <f>(P47/$R47*100*($E47/365))+(P48/$R48*100*($E48/365))</f>
        <v>0</v>
      </c>
      <c r="K93" s="809"/>
      <c r="L93" s="809">
        <f>(Q47/$R47*100*($E47/365))+(Q48/$R48*100*($E48/365))</f>
        <v>27.588903815416593</v>
      </c>
      <c r="M93" s="809"/>
      <c r="N93" s="810">
        <f t="shared" si="15"/>
        <v>100</v>
      </c>
      <c r="O93" s="810"/>
      <c r="R93" s="1">
        <v>2009</v>
      </c>
      <c r="S93" s="7">
        <f>(O47*($E47/365))+(O48*($E48/365))</f>
        <v>41.46709589041096</v>
      </c>
      <c r="T93" s="7">
        <f>(P47*($E47/365))+(P48*($E48/365))</f>
        <v>0</v>
      </c>
      <c r="U93" s="7">
        <f>(Q47*($E47/365))+(Q48*($E48/365))</f>
        <v>19.270849315068492</v>
      </c>
      <c r="W93" s="7">
        <f t="shared" si="17"/>
        <v>60.737945205479448</v>
      </c>
    </row>
    <row r="94" spans="1:23" ht="9" customHeight="1" x14ac:dyDescent="0.15">
      <c r="A94" s="1">
        <v>2010</v>
      </c>
      <c r="B94" s="7">
        <f>(K49*($E49/365))+(K50*($E50/365))+(K51*($E51/365))+(K52*($E52/365))</f>
        <v>90.136986301369859</v>
      </c>
      <c r="C94" s="7">
        <f>(L49*($E49/365))+(L50*($E50/365))+(L51*($E51/365))+(L52*($E52/365))</f>
        <v>0</v>
      </c>
      <c r="D94" s="7">
        <f>(M49*($E49/365))+(M50*($E50/365))+(M51*($E51/365))+(M52*($E52/365))</f>
        <v>0</v>
      </c>
      <c r="E94" s="63">
        <f t="shared" si="16"/>
        <v>90.136986301369859</v>
      </c>
      <c r="G94" s="1">
        <v>2010</v>
      </c>
      <c r="H94" s="809">
        <f>(O49/$R49*100*($E49/365))+(O50/$R50*100*($E50/365))+(O51/$R51*100*($E51/365))+(O52/$R52*100*($E52/365))</f>
        <v>100</v>
      </c>
      <c r="I94" s="809"/>
      <c r="J94" s="809">
        <f>(P49/$R49*100*($E49/365))+(P50/$R50*100*($E50/365))+(P51/$R51*100*($E51/365))+(P52/$R52*100*($E52/365))</f>
        <v>0</v>
      </c>
      <c r="K94" s="809"/>
      <c r="L94" s="809">
        <f>(Q49/$R49*100*($E49/365))+(Q50/$R50*100*($E50/365))+(Q51/$R51*100*($E51/365))+(Q52/$R52*100*($E52/365))</f>
        <v>0</v>
      </c>
      <c r="M94" s="809"/>
      <c r="N94" s="810">
        <f t="shared" si="15"/>
        <v>100</v>
      </c>
      <c r="O94" s="810"/>
      <c r="R94" s="1">
        <v>2010</v>
      </c>
      <c r="S94" s="7">
        <f>(O49*($E49/365))+(O50*($E50/365))+(O51*($E51/365))+(O52*($E52/365))</f>
        <v>48.8</v>
      </c>
      <c r="T94" s="7">
        <f>(P49*($E49/365))+(P50*($E50/365))+(P51*($E51/365))+(P52*($E52/365))</f>
        <v>0</v>
      </c>
      <c r="U94" s="7">
        <f>(Q49*($E49/365))+(Q50*($E50/365))+(Q51*($E51/365))+(Q52*($E52/365))</f>
        <v>0</v>
      </c>
      <c r="W94" s="7">
        <f t="shared" si="17"/>
        <v>48.8</v>
      </c>
    </row>
    <row r="95" spans="1:23" ht="9" customHeight="1" x14ac:dyDescent="0.15">
      <c r="A95" s="1">
        <v>2011</v>
      </c>
      <c r="B95" s="7">
        <f>(K53*($E53/365))+(K54*($E54/365))</f>
        <v>88.235294117647058</v>
      </c>
      <c r="C95" s="7">
        <f>(L53*($E53/365))+(L54*($E54/365))</f>
        <v>0</v>
      </c>
      <c r="D95" s="7">
        <f>(M53*($E53/365))+(M54*($E54/365))</f>
        <v>0</v>
      </c>
      <c r="E95" s="63">
        <f t="shared" si="16"/>
        <v>88.235294117647058</v>
      </c>
      <c r="G95" s="1">
        <v>2011</v>
      </c>
      <c r="H95" s="809">
        <f>(O53/$R53*100*($E53/365))+(O54/$R54*100*($E54/365))</f>
        <v>100</v>
      </c>
      <c r="I95" s="809"/>
      <c r="J95" s="809">
        <f>(P53/$R53*100*($E53/365))+(P54/$R54*100*($E54/365))</f>
        <v>0</v>
      </c>
      <c r="K95" s="809"/>
      <c r="L95" s="809">
        <f>(Q53/$R53*100*($E53/365))+(Q54/$R54*100*($E54/365))</f>
        <v>0</v>
      </c>
      <c r="M95" s="809"/>
      <c r="N95" s="810">
        <f t="shared" si="15"/>
        <v>100</v>
      </c>
      <c r="O95" s="810"/>
      <c r="R95" s="1">
        <v>2011</v>
      </c>
      <c r="S95" s="7">
        <f>(O53*($E53/365))+(O54*($E54/365))</f>
        <v>48.8</v>
      </c>
      <c r="T95" s="7">
        <f>(P53*($E53/365))+(P54*($E54/365))</f>
        <v>0</v>
      </c>
      <c r="U95" s="7">
        <f>(Q53*($E53/365))+(Q54*($E54/365))</f>
        <v>0</v>
      </c>
      <c r="W95" s="7">
        <f t="shared" si="17"/>
        <v>48.8</v>
      </c>
    </row>
    <row r="96" spans="1:23" ht="9" customHeight="1" x14ac:dyDescent="0.15">
      <c r="A96" s="1">
        <v>2012</v>
      </c>
      <c r="B96" s="7">
        <f>(K55*($E55/366))+(K56*($E56/366))</f>
        <v>92.831886853101878</v>
      </c>
      <c r="C96" s="7">
        <f>(L55*($E55/366))+(L56*($E56/366))</f>
        <v>0</v>
      </c>
      <c r="D96" s="7">
        <f>(M55*($E55/366))+(M56*($E56/366))</f>
        <v>0</v>
      </c>
      <c r="E96" s="63">
        <f t="shared" si="16"/>
        <v>92.831886853101878</v>
      </c>
      <c r="G96" s="1">
        <v>2012</v>
      </c>
      <c r="H96" s="809">
        <f>(O55/$R55*100*($E55/366))+(O56/$R56*100*($E56/366))</f>
        <v>100</v>
      </c>
      <c r="I96" s="809"/>
      <c r="J96" s="809">
        <f>(P55/$R55*100*($E55/366))+(P56/$R56*100*($E56/366))</f>
        <v>0</v>
      </c>
      <c r="K96" s="809"/>
      <c r="L96" s="809">
        <f>(Q55/$R55*100*($E55/366))+(Q56/$R56*100*($E56/366))</f>
        <v>0</v>
      </c>
      <c r="M96" s="809"/>
      <c r="N96" s="810">
        <f t="shared" si="15"/>
        <v>100</v>
      </c>
      <c r="O96" s="810"/>
      <c r="R96" s="1">
        <v>2012</v>
      </c>
      <c r="S96" s="7">
        <f>(O55*($E55/366))+(O56*($E56/366))</f>
        <v>48.8</v>
      </c>
      <c r="T96" s="7">
        <f>(P55*($E55/366))+(P56*($E56/366))</f>
        <v>0</v>
      </c>
      <c r="U96" s="7">
        <f>(Q55*($E55/366))+(Q56*($E56/366))</f>
        <v>0</v>
      </c>
      <c r="W96" s="7">
        <f t="shared" si="17"/>
        <v>48.8</v>
      </c>
    </row>
    <row r="97" spans="1:23" ht="9" customHeight="1" x14ac:dyDescent="0.15">
      <c r="A97" s="1">
        <v>2013</v>
      </c>
      <c r="B97" s="7">
        <f>(K57*($E57/365))+(K58*($E58/365))+(K59*($E59/365))+(K60*($E60/365))+(K61*($E61/365))</f>
        <v>24.401468349897034</v>
      </c>
      <c r="C97" s="7">
        <f>(L57*($E57/365))+(L58*($E58/365))+(L59*($E59/365))+(L60*($E60/365))+(L61*($E61/365))</f>
        <v>0</v>
      </c>
      <c r="D97" s="7">
        <f>(M57*($E57/365))+(M58*($E58/365))+(M59*($E59/365))+(M60*($E60/365))+(M61*($E61/365))</f>
        <v>13.315426627271913</v>
      </c>
      <c r="E97" s="292">
        <f>SUM(B97:D97)</f>
        <v>37.716894977168948</v>
      </c>
      <c r="G97" s="1">
        <v>2013</v>
      </c>
      <c r="H97" s="809">
        <f>(O57/$R57*100*($E57/365))+(O58/$R58*100*($E58/365))+(O60/$R60*100*($E60/365))+(O61/$R61*100*($E61/365))</f>
        <v>37.287671232876711</v>
      </c>
      <c r="I97" s="809"/>
      <c r="J97" s="809">
        <f>(P57/$R57*100*($E57/365))+(P58/$R58*100*($E58/365))+(P60/$R60*100*($E60/365))+(P61/$R61*100*($E61/365))</f>
        <v>0</v>
      </c>
      <c r="K97" s="809"/>
      <c r="L97" s="809">
        <f>(Q57/$R57*100*($E57/365))+(Q58/$R58*100*($E58/365))+(Q60/$R60*100*($E60/365))+(Q61/$R61*100*($E61/365))</f>
        <v>41.61643835616438</v>
      </c>
      <c r="M97" s="809"/>
      <c r="N97" s="810">
        <f>SUM(H97:M97)</f>
        <v>78.904109589041099</v>
      </c>
      <c r="O97" s="810"/>
      <c r="R97" s="1">
        <v>2013</v>
      </c>
      <c r="S97" s="7">
        <f>(O57*($E57/365))+(O58*($E58/365))+(O59*($E59/365))+(O60*($E60/365))+(O61*($E61/365))</f>
        <v>18.410410958904109</v>
      </c>
      <c r="T97" s="7">
        <f>(P57*($E57/365))+(P58*($E58/365))+(P59*($E59/365))+(P60*($E60/365))+(P61*($E61/365))</f>
        <v>0</v>
      </c>
      <c r="U97" s="7">
        <f>(Q57*($E57/365))+(Q58*($E58/365))+(Q59*($E59/365))+(Q60*($E60/365))+(Q61*($E61/365))</f>
        <v>20.80821917808219</v>
      </c>
      <c r="W97" s="7">
        <f t="shared" si="17"/>
        <v>39.218630136986299</v>
      </c>
    </row>
    <row r="98" spans="1:23" ht="9" customHeight="1" x14ac:dyDescent="0.15">
      <c r="A98" s="1">
        <v>2014</v>
      </c>
      <c r="B98" s="7">
        <f>(K62*($E62/365))+(K63*($E63/365))+(K64*($E64/365))</f>
        <v>20.920852359208524</v>
      </c>
      <c r="C98" s="7">
        <f>(L62*($E62/365))+(L63*($E63/365))+(L64*($E64/365))</f>
        <v>0</v>
      </c>
      <c r="D98" s="7">
        <f>(M62*($E62/365))+(M63*($E63/365))+(M64*($E64/365))</f>
        <v>13.964992389649924</v>
      </c>
      <c r="E98" s="639">
        <f>SUM(B98:D98)</f>
        <v>34.885844748858446</v>
      </c>
      <c r="G98" s="1">
        <v>2014</v>
      </c>
      <c r="H98" s="809">
        <f>(O62/$R62*100*($E62/365))+(O64/$R64*100*($E64/365))</f>
        <v>31.495266733489252</v>
      </c>
      <c r="I98" s="809"/>
      <c r="J98" s="809">
        <f>(P62/$R62*100*($E62/365))+(P64/$R64*100*($E64/365))</f>
        <v>0</v>
      </c>
      <c r="K98" s="809"/>
      <c r="L98" s="809">
        <f>(Q62/$R62*100*($E62/365))+(Q64/$R64*100*($E64/365))</f>
        <v>43.025281211716226</v>
      </c>
      <c r="M98" s="809"/>
      <c r="N98" s="810">
        <f>SUM(H98:M98)</f>
        <v>74.520547945205479</v>
      </c>
      <c r="O98" s="810"/>
      <c r="R98" s="1">
        <v>2014</v>
      </c>
      <c r="S98" s="7">
        <f>(O62*($E62/365))+(O63*($E63/365))+(O64*($E64/365))</f>
        <v>15.638356164383563</v>
      </c>
      <c r="T98" s="7">
        <f>(P62*($E62/365))+(P63*($E63/365))+(P64*($E64/365))</f>
        <v>0</v>
      </c>
      <c r="U98" s="7">
        <f>(Q62*($E62/365))+(Q63*($E63/365))+(Q64*($E64/365))</f>
        <v>21.501369863013696</v>
      </c>
      <c r="W98" s="7">
        <f>SUM(S98:U98)</f>
        <v>37.139726027397259</v>
      </c>
    </row>
    <row r="99" spans="1:23" s="696" customFormat="1" ht="9" customHeight="1" x14ac:dyDescent="0.15">
      <c r="A99" s="696">
        <v>2015</v>
      </c>
      <c r="B99" s="695">
        <f>(K65*($E65/365))+(K66*($E66/365))</f>
        <v>94.808219178082197</v>
      </c>
      <c r="C99" s="695">
        <f>(L65*($E65/365))+(L66*($E66/365))</f>
        <v>0</v>
      </c>
      <c r="D99" s="695">
        <f>(M65*($E65/365))+(M66*($E66/365))</f>
        <v>5</v>
      </c>
      <c r="E99" s="691">
        <f>SUM(B99:D99)</f>
        <v>99.808219178082197</v>
      </c>
      <c r="G99" s="696">
        <v>2015</v>
      </c>
      <c r="H99" s="809">
        <f>(O65/$R65*100*($E65/365))+(O66/$R66*100*($E66/365))</f>
        <v>90.650406504065046</v>
      </c>
      <c r="I99" s="809"/>
      <c r="J99" s="809">
        <f>(P65/$R65*100*($E65/365))+(P66/$R66*100*($E66/365))</f>
        <v>0</v>
      </c>
      <c r="K99" s="809"/>
      <c r="L99" s="809">
        <f>(Q65/$R65*100*($E65/365))+(Q66/$R66*100*($E66/365))</f>
        <v>9.3495934959349576</v>
      </c>
      <c r="M99" s="809"/>
      <c r="N99" s="810">
        <f>SUM(H99:M99)</f>
        <v>100</v>
      </c>
      <c r="O99" s="810"/>
      <c r="R99" s="696">
        <v>2015</v>
      </c>
      <c r="S99" s="695">
        <f>(O65*($E65/365))+(O66*($E66/365))</f>
        <v>44.6</v>
      </c>
      <c r="T99" s="695">
        <f>(P65*($E65/365))+(P66*($E66/365))</f>
        <v>0</v>
      </c>
      <c r="U99" s="695">
        <f>(Q65*($E65/365))+(Q66*($E66/365))</f>
        <v>4.5999999999999996</v>
      </c>
      <c r="W99" s="695">
        <f>SUM(S99:U99)</f>
        <v>49.2</v>
      </c>
    </row>
    <row r="100" spans="1:23" s="696" customFormat="1" ht="9" customHeight="1" x14ac:dyDescent="0.15">
      <c r="B100" s="695"/>
      <c r="C100" s="695"/>
      <c r="D100" s="695"/>
      <c r="E100" s="691"/>
      <c r="H100" s="809"/>
      <c r="I100" s="809"/>
      <c r="J100" s="809"/>
      <c r="K100" s="809"/>
      <c r="L100" s="809"/>
      <c r="M100" s="809"/>
      <c r="N100" s="810"/>
      <c r="O100" s="810"/>
      <c r="S100" s="695"/>
      <c r="T100" s="695"/>
      <c r="U100" s="695"/>
      <c r="W100" s="695"/>
    </row>
    <row r="101" spans="1:23" s="696" customFormat="1" ht="9" customHeight="1" x14ac:dyDescent="0.15"/>
    <row r="102" spans="1:23" s="696" customFormat="1" ht="9" customHeight="1" x14ac:dyDescent="0.15">
      <c r="B102" s="695"/>
      <c r="C102" s="695"/>
      <c r="D102" s="695"/>
      <c r="E102" s="691"/>
      <c r="H102" s="809"/>
      <c r="I102" s="809"/>
      <c r="J102" s="809"/>
      <c r="K102" s="809"/>
      <c r="L102" s="809"/>
      <c r="M102" s="809"/>
      <c r="N102" s="810"/>
      <c r="O102" s="810"/>
      <c r="S102" s="695"/>
      <c r="T102" s="695"/>
      <c r="U102" s="695"/>
      <c r="W102" s="695"/>
    </row>
    <row r="103" spans="1:23" s="696" customFormat="1" ht="9" customHeight="1" x14ac:dyDescent="0.15">
      <c r="B103" s="695"/>
      <c r="C103" s="695"/>
      <c r="D103" s="695"/>
      <c r="E103" s="691"/>
      <c r="H103" s="809"/>
      <c r="I103" s="809"/>
      <c r="J103" s="809"/>
      <c r="K103" s="809"/>
      <c r="L103" s="809"/>
      <c r="M103" s="809"/>
      <c r="N103" s="810"/>
      <c r="O103" s="810"/>
      <c r="S103" s="695"/>
      <c r="T103" s="695"/>
      <c r="U103" s="695"/>
      <c r="W103" s="695"/>
    </row>
    <row r="104" spans="1:23" s="696" customFormat="1" ht="9" customHeight="1" x14ac:dyDescent="0.15">
      <c r="B104" s="695"/>
      <c r="C104" s="695"/>
      <c r="D104" s="695"/>
      <c r="E104" s="691"/>
      <c r="H104" s="809"/>
      <c r="I104" s="809"/>
      <c r="J104" s="809"/>
      <c r="K104" s="809"/>
      <c r="L104" s="809"/>
      <c r="M104" s="809"/>
      <c r="N104" s="810"/>
      <c r="O104" s="810"/>
      <c r="S104" s="695"/>
      <c r="T104" s="695"/>
      <c r="U104" s="695"/>
      <c r="W104" s="695"/>
    </row>
  </sheetData>
  <mergeCells count="207">
    <mergeCell ref="H102:I102"/>
    <mergeCell ref="J102:K102"/>
    <mergeCell ref="L102:M102"/>
    <mergeCell ref="N102:O102"/>
    <mergeCell ref="H103:I103"/>
    <mergeCell ref="J103:K103"/>
    <mergeCell ref="L103:M103"/>
    <mergeCell ref="N103:O103"/>
    <mergeCell ref="H104:I104"/>
    <mergeCell ref="J104:K104"/>
    <mergeCell ref="L104:M104"/>
    <mergeCell ref="N104:O104"/>
    <mergeCell ref="H100:I100"/>
    <mergeCell ref="J100:K100"/>
    <mergeCell ref="L100:M100"/>
    <mergeCell ref="N100:O100"/>
    <mergeCell ref="H99:I99"/>
    <mergeCell ref="J99:K99"/>
    <mergeCell ref="L99:M99"/>
    <mergeCell ref="N99:O99"/>
    <mergeCell ref="AT4:AW4"/>
    <mergeCell ref="H88:I88"/>
    <mergeCell ref="H89:I89"/>
    <mergeCell ref="H90:I90"/>
    <mergeCell ref="L93:M93"/>
    <mergeCell ref="H92:I92"/>
    <mergeCell ref="L90:M90"/>
    <mergeCell ref="L91:M91"/>
    <mergeCell ref="L92:M92"/>
    <mergeCell ref="J78:K78"/>
    <mergeCell ref="J79:K79"/>
    <mergeCell ref="J82:K82"/>
    <mergeCell ref="J83:K83"/>
    <mergeCell ref="J88:K88"/>
    <mergeCell ref="J89:K89"/>
    <mergeCell ref="H78:I78"/>
    <mergeCell ref="AX4:BA4"/>
    <mergeCell ref="L78:M78"/>
    <mergeCell ref="L79:M79"/>
    <mergeCell ref="L82:M82"/>
    <mergeCell ref="L83:M83"/>
    <mergeCell ref="AH4:AK4"/>
    <mergeCell ref="AL4:AO4"/>
    <mergeCell ref="AP4:AS4"/>
    <mergeCell ref="L75:M75"/>
    <mergeCell ref="Z4:AC4"/>
    <mergeCell ref="AD4:AG4"/>
    <mergeCell ref="N80:O80"/>
    <mergeCell ref="L81:M81"/>
    <mergeCell ref="H79:I79"/>
    <mergeCell ref="L88:M88"/>
    <mergeCell ref="G3:M3"/>
    <mergeCell ref="O3:Q3"/>
    <mergeCell ref="V4:Y4"/>
    <mergeCell ref="H74:I74"/>
    <mergeCell ref="T4:T5"/>
    <mergeCell ref="U4:U5"/>
    <mergeCell ref="N78:O78"/>
    <mergeCell ref="N74:O74"/>
    <mergeCell ref="N75:O75"/>
    <mergeCell ref="J74:K74"/>
    <mergeCell ref="L74:M74"/>
    <mergeCell ref="H77:I77"/>
    <mergeCell ref="A4:A5"/>
    <mergeCell ref="B4:B5"/>
    <mergeCell ref="C4:D5"/>
    <mergeCell ref="E4:E5"/>
    <mergeCell ref="F4:F5"/>
    <mergeCell ref="C6:D6"/>
    <mergeCell ref="C8:D8"/>
    <mergeCell ref="C9:D9"/>
    <mergeCell ref="S4:S5"/>
    <mergeCell ref="K4:N4"/>
    <mergeCell ref="O4:R4"/>
    <mergeCell ref="C7:D7"/>
    <mergeCell ref="G4:J4"/>
    <mergeCell ref="C10:D10"/>
    <mergeCell ref="C11:D11"/>
    <mergeCell ref="C12:D12"/>
    <mergeCell ref="C13:D13"/>
    <mergeCell ref="C14:D14"/>
    <mergeCell ref="C15:D15"/>
    <mergeCell ref="C16:D16"/>
    <mergeCell ref="C17:D17"/>
    <mergeCell ref="C18:D18"/>
    <mergeCell ref="C19:D19"/>
    <mergeCell ref="C20:D20"/>
    <mergeCell ref="C21:D21"/>
    <mergeCell ref="C23:D23"/>
    <mergeCell ref="C24:D24"/>
    <mergeCell ref="C25:D25"/>
    <mergeCell ref="C26:D26"/>
    <mergeCell ref="C27:D27"/>
    <mergeCell ref="C28:D28"/>
    <mergeCell ref="C22:D22"/>
    <mergeCell ref="C29:D29"/>
    <mergeCell ref="C30:D30"/>
    <mergeCell ref="C31:D31"/>
    <mergeCell ref="C32:D32"/>
    <mergeCell ref="C33:D33"/>
    <mergeCell ref="C34:D34"/>
    <mergeCell ref="C35:D35"/>
    <mergeCell ref="C36:D36"/>
    <mergeCell ref="C37:D37"/>
    <mergeCell ref="C38:D38"/>
    <mergeCell ref="C40:D40"/>
    <mergeCell ref="C41:D41"/>
    <mergeCell ref="C48:D48"/>
    <mergeCell ref="C51:D51"/>
    <mergeCell ref="C52:D52"/>
    <mergeCell ref="C53:D53"/>
    <mergeCell ref="C54:D54"/>
    <mergeCell ref="C42:D42"/>
    <mergeCell ref="C43:D43"/>
    <mergeCell ref="C44:D44"/>
    <mergeCell ref="C45:D45"/>
    <mergeCell ref="C46:D46"/>
    <mergeCell ref="C39:D39"/>
    <mergeCell ref="C49:D49"/>
    <mergeCell ref="C50:D50"/>
    <mergeCell ref="C47:D47"/>
    <mergeCell ref="N96:O96"/>
    <mergeCell ref="C55:D55"/>
    <mergeCell ref="C56:D56"/>
    <mergeCell ref="R71:W71"/>
    <mergeCell ref="H73:I73"/>
    <mergeCell ref="J73:K73"/>
    <mergeCell ref="L73:M73"/>
    <mergeCell ref="N73:O73"/>
    <mergeCell ref="H75:I75"/>
    <mergeCell ref="J75:K75"/>
    <mergeCell ref="H93:I93"/>
    <mergeCell ref="H91:I91"/>
    <mergeCell ref="N81:O81"/>
    <mergeCell ref="N79:O79"/>
    <mergeCell ref="H80:I80"/>
    <mergeCell ref="J90:K90"/>
    <mergeCell ref="J93:K93"/>
    <mergeCell ref="H81:I81"/>
    <mergeCell ref="J81:K81"/>
    <mergeCell ref="N87:O87"/>
    <mergeCell ref="J91:K91"/>
    <mergeCell ref="J92:K92"/>
    <mergeCell ref="N95:O95"/>
    <mergeCell ref="H95:I95"/>
    <mergeCell ref="L95:M95"/>
    <mergeCell ref="J95:K95"/>
    <mergeCell ref="L89:M89"/>
    <mergeCell ref="N82:O82"/>
    <mergeCell ref="N83:O83"/>
    <mergeCell ref="H84:I84"/>
    <mergeCell ref="J84:K84"/>
    <mergeCell ref="L84:M84"/>
    <mergeCell ref="H85:I85"/>
    <mergeCell ref="J85:K85"/>
    <mergeCell ref="L85:M85"/>
    <mergeCell ref="H82:I82"/>
    <mergeCell ref="H83:I83"/>
    <mergeCell ref="N92:O92"/>
    <mergeCell ref="N93:O93"/>
    <mergeCell ref="N84:O84"/>
    <mergeCell ref="N85:O85"/>
    <mergeCell ref="J86:K86"/>
    <mergeCell ref="L86:M86"/>
    <mergeCell ref="N91:O91"/>
    <mergeCell ref="N88:O88"/>
    <mergeCell ref="J87:K87"/>
    <mergeCell ref="L87:M87"/>
    <mergeCell ref="N86:O86"/>
    <mergeCell ref="C57:D57"/>
    <mergeCell ref="C58:D58"/>
    <mergeCell ref="C59:D59"/>
    <mergeCell ref="N76:O76"/>
    <mergeCell ref="N77:O77"/>
    <mergeCell ref="C60:D60"/>
    <mergeCell ref="H76:I76"/>
    <mergeCell ref="J76:K76"/>
    <mergeCell ref="L76:M76"/>
    <mergeCell ref="C61:D61"/>
    <mergeCell ref="J77:K77"/>
    <mergeCell ref="L77:M77"/>
    <mergeCell ref="C65:D65"/>
    <mergeCell ref="C66:D66"/>
    <mergeCell ref="J98:K98"/>
    <mergeCell ref="L98:M98"/>
    <mergeCell ref="N98:O98"/>
    <mergeCell ref="C62:D62"/>
    <mergeCell ref="C63:D63"/>
    <mergeCell ref="C64:D64"/>
    <mergeCell ref="N97:O97"/>
    <mergeCell ref="H97:I97"/>
    <mergeCell ref="H98:I98"/>
    <mergeCell ref="J97:K97"/>
    <mergeCell ref="L97:M97"/>
    <mergeCell ref="H96:I96"/>
    <mergeCell ref="J96:K96"/>
    <mergeCell ref="L96:M96"/>
    <mergeCell ref="H94:I94"/>
    <mergeCell ref="J94:K94"/>
    <mergeCell ref="L94:M94"/>
    <mergeCell ref="H86:I86"/>
    <mergeCell ref="J80:K80"/>
    <mergeCell ref="L80:M80"/>
    <mergeCell ref="N89:O89"/>
    <mergeCell ref="N94:O94"/>
    <mergeCell ref="N90:O90"/>
    <mergeCell ref="H87:I87"/>
  </mergeCells>
  <pageMargins left="0.78740157480314965" right="0.78740157480314965" top="0.98425196850393704" bottom="0.98425196850393704" header="0.51181102362204722" footer="0.51181102362204722"/>
  <pageSetup paperSize="9" scale="105" orientation="landscape" r:id="rId1"/>
  <headerFooter alignWithMargins="0"/>
  <ignoredErrors>
    <ignoredError sqref="N77:N78" formulaRange="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91"/>
  <sheetViews>
    <sheetView zoomScale="120" zoomScaleNormal="120" workbookViewId="0">
      <pane xSplit="1" ySplit="5" topLeftCell="B92" activePane="bottomRight" state="frozen"/>
      <selection pane="topRight" activeCell="B1" sqref="B1"/>
      <selection pane="bottomLeft" activeCell="A6" sqref="A6"/>
      <selection pane="bottomRight" activeCell="W185" sqref="W185"/>
    </sheetView>
  </sheetViews>
  <sheetFormatPr baseColWidth="10" defaultColWidth="10.7109375" defaultRowHeight="9" x14ac:dyDescent="0.15"/>
  <cols>
    <col min="1" max="1" width="5.85546875" style="1" customWidth="1"/>
    <col min="2" max="6" width="7.85546875" style="1" customWidth="1"/>
    <col min="7" max="18" width="4.5703125" style="1" customWidth="1"/>
    <col min="19" max="21" width="7.85546875" style="1" customWidth="1"/>
    <col min="22" max="53" width="5.7109375" style="1" customWidth="1"/>
    <col min="54" max="16384" width="10.7109375" style="1"/>
  </cols>
  <sheetData>
    <row r="1" spans="1:53" s="2" customFormat="1" ht="15" customHeight="1" x14ac:dyDescent="0.2">
      <c r="B1" s="22" t="s">
        <v>14</v>
      </c>
    </row>
    <row r="2" spans="1:53" s="2" customFormat="1" ht="15" customHeight="1" x14ac:dyDescent="0.2">
      <c r="B2" s="22" t="s">
        <v>50</v>
      </c>
    </row>
    <row r="3" spans="1:53" s="2" customFormat="1" x14ac:dyDescent="0.15">
      <c r="G3" s="814"/>
      <c r="H3" s="814"/>
      <c r="I3" s="814"/>
      <c r="J3" s="814"/>
      <c r="K3" s="814"/>
      <c r="L3" s="814"/>
      <c r="M3" s="814"/>
      <c r="O3" s="814"/>
      <c r="P3" s="814"/>
      <c r="Q3" s="814"/>
      <c r="R3" s="6"/>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1" t="s">
        <v>23</v>
      </c>
      <c r="AU5" s="351" t="s">
        <v>24</v>
      </c>
      <c r="AV5" s="351" t="s">
        <v>25</v>
      </c>
      <c r="AW5" s="353" t="s">
        <v>1217</v>
      </c>
      <c r="AX5" s="351" t="s">
        <v>23</v>
      </c>
      <c r="AY5" s="351" t="s">
        <v>24</v>
      </c>
      <c r="AZ5" s="351" t="s">
        <v>25</v>
      </c>
      <c r="BA5" s="354" t="s">
        <v>1217</v>
      </c>
    </row>
    <row r="6" spans="1:53" s="257" customFormat="1" x14ac:dyDescent="0.15">
      <c r="A6" s="263">
        <v>1959</v>
      </c>
      <c r="B6" s="252"/>
      <c r="C6" s="798" t="s">
        <v>233</v>
      </c>
      <c r="D6" s="798"/>
      <c r="E6" s="257">
        <v>0</v>
      </c>
      <c r="G6" s="265">
        <v>21</v>
      </c>
      <c r="J6" s="272">
        <v>21</v>
      </c>
      <c r="K6" s="248">
        <f>G6/J6*100</f>
        <v>100</v>
      </c>
      <c r="L6" s="248">
        <f>H6/J6*100</f>
        <v>0</v>
      </c>
      <c r="M6" s="248">
        <f>I6/J6*100</f>
        <v>0</v>
      </c>
      <c r="N6" s="267">
        <f>SUM(K6:M6)</f>
        <v>100</v>
      </c>
      <c r="O6" s="247">
        <v>78.5</v>
      </c>
      <c r="P6" s="248"/>
      <c r="Q6" s="248"/>
      <c r="R6" s="249">
        <f>SUM(O6:Q6)</f>
        <v>78.5</v>
      </c>
      <c r="S6" s="254">
        <v>1</v>
      </c>
      <c r="T6" s="251"/>
      <c r="U6" s="252"/>
      <c r="V6" s="256" t="s">
        <v>101</v>
      </c>
      <c r="W6" s="257" t="s">
        <v>74</v>
      </c>
      <c r="X6" s="257" t="s">
        <v>11</v>
      </c>
      <c r="Y6" s="258">
        <v>78.5</v>
      </c>
      <c r="AD6" s="256"/>
      <c r="AG6" s="258"/>
      <c r="AL6" s="256"/>
      <c r="AO6" s="258"/>
      <c r="AP6" s="256"/>
      <c r="AS6" s="258"/>
      <c r="AW6" s="258"/>
      <c r="BA6" s="259"/>
    </row>
    <row r="7" spans="1:53" s="257" customFormat="1" x14ac:dyDescent="0.15">
      <c r="A7" s="263">
        <v>1959</v>
      </c>
      <c r="B7" s="252"/>
      <c r="C7" s="798" t="s">
        <v>233</v>
      </c>
      <c r="D7" s="798"/>
      <c r="E7" s="257">
        <v>365</v>
      </c>
      <c r="G7" s="265">
        <v>21</v>
      </c>
      <c r="J7" s="272">
        <v>21</v>
      </c>
      <c r="K7" s="248">
        <f>G7/J7*100</f>
        <v>100</v>
      </c>
      <c r="L7" s="248">
        <f>H7/J7*100</f>
        <v>0</v>
      </c>
      <c r="M7" s="248">
        <f>I7/J7*100</f>
        <v>0</v>
      </c>
      <c r="N7" s="267">
        <f>SUM(K7:M7)</f>
        <v>100</v>
      </c>
      <c r="O7" s="247">
        <v>78.5</v>
      </c>
      <c r="P7" s="248"/>
      <c r="Q7" s="248"/>
      <c r="R7" s="249">
        <f>SUM(O7:Q7)</f>
        <v>78.5</v>
      </c>
      <c r="S7" s="254">
        <v>1</v>
      </c>
      <c r="T7" s="251"/>
      <c r="U7" s="252"/>
      <c r="V7" s="256" t="s">
        <v>101</v>
      </c>
      <c r="W7" s="257" t="s">
        <v>74</v>
      </c>
      <c r="X7" s="257" t="s">
        <v>11</v>
      </c>
      <c r="Y7" s="258">
        <v>78.5</v>
      </c>
      <c r="AD7" s="256"/>
      <c r="AG7" s="258"/>
      <c r="AL7" s="256"/>
      <c r="AO7" s="258"/>
      <c r="AP7" s="256"/>
      <c r="AS7" s="258"/>
      <c r="AW7" s="258"/>
      <c r="BA7" s="259"/>
    </row>
    <row r="8" spans="1:53" s="73" customFormat="1" x14ac:dyDescent="0.15">
      <c r="A8" s="102">
        <v>1960</v>
      </c>
      <c r="B8" s="85"/>
      <c r="C8" s="786" t="s">
        <v>233</v>
      </c>
      <c r="D8" s="786"/>
      <c r="E8" s="73">
        <v>0</v>
      </c>
      <c r="G8" s="123">
        <v>21</v>
      </c>
      <c r="J8" s="134">
        <v>21</v>
      </c>
      <c r="K8" s="92">
        <f>G8/J8*100</f>
        <v>100</v>
      </c>
      <c r="L8" s="92">
        <f>H8/J8*100</f>
        <v>0</v>
      </c>
      <c r="M8" s="92">
        <f>I8/J8*100</f>
        <v>0</v>
      </c>
      <c r="N8" s="125">
        <f>SUM(K8:M8)</f>
        <v>100</v>
      </c>
      <c r="O8" s="91">
        <v>78.5</v>
      </c>
      <c r="P8" s="92"/>
      <c r="Q8" s="92"/>
      <c r="R8" s="93">
        <f>SUM(O8:Q8)</f>
        <v>78.5</v>
      </c>
      <c r="S8" s="97">
        <v>1</v>
      </c>
      <c r="T8" s="95"/>
      <c r="U8" s="85"/>
      <c r="V8" s="82" t="s">
        <v>101</v>
      </c>
      <c r="W8" s="73" t="s">
        <v>74</v>
      </c>
      <c r="X8" s="73" t="s">
        <v>11</v>
      </c>
      <c r="Y8" s="83">
        <v>78.5</v>
      </c>
      <c r="AD8" s="82"/>
      <c r="AG8" s="83"/>
      <c r="AL8" s="82"/>
      <c r="AO8" s="83"/>
      <c r="AP8" s="82"/>
      <c r="AS8" s="83"/>
      <c r="AW8" s="83"/>
      <c r="BA8" s="84"/>
    </row>
    <row r="9" spans="1:53" s="73" customFormat="1" x14ac:dyDescent="0.15">
      <c r="A9" s="102">
        <v>1960</v>
      </c>
      <c r="B9" s="85"/>
      <c r="C9" s="786" t="s">
        <v>233</v>
      </c>
      <c r="D9" s="786"/>
      <c r="E9" s="73">
        <v>366</v>
      </c>
      <c r="G9" s="123">
        <v>21</v>
      </c>
      <c r="J9" s="134">
        <v>21</v>
      </c>
      <c r="K9" s="92">
        <f t="shared" ref="K9:K14" si="0">G9/J9*100</f>
        <v>100</v>
      </c>
      <c r="L9" s="92">
        <f t="shared" ref="L9:L14" si="1">H9/J9*100</f>
        <v>0</v>
      </c>
      <c r="M9" s="92">
        <f t="shared" ref="M9:M14" si="2">I9/J9*100</f>
        <v>0</v>
      </c>
      <c r="N9" s="125">
        <f t="shared" ref="N9:N72" si="3">SUM(K9:M9)</f>
        <v>100</v>
      </c>
      <c r="O9" s="91">
        <v>78.5</v>
      </c>
      <c r="P9" s="92"/>
      <c r="Q9" s="92"/>
      <c r="R9" s="93">
        <f t="shared" ref="R9:R72" si="4">SUM(O9:Q9)</f>
        <v>78.5</v>
      </c>
      <c r="S9" s="97">
        <v>1</v>
      </c>
      <c r="T9" s="95"/>
      <c r="U9" s="85"/>
      <c r="V9" s="82" t="s">
        <v>101</v>
      </c>
      <c r="W9" s="73" t="s">
        <v>74</v>
      </c>
      <c r="X9" s="73" t="s">
        <v>11</v>
      </c>
      <c r="Y9" s="83">
        <v>78.5</v>
      </c>
      <c r="AD9" s="82"/>
      <c r="AG9" s="83"/>
      <c r="AL9" s="82"/>
      <c r="AO9" s="83"/>
      <c r="AP9" s="82"/>
      <c r="AS9" s="83"/>
      <c r="AW9" s="83"/>
      <c r="BA9" s="84"/>
    </row>
    <row r="10" spans="1:53" s="73" customFormat="1" x14ac:dyDescent="0.15">
      <c r="A10" s="102">
        <v>1961</v>
      </c>
      <c r="B10" s="85"/>
      <c r="C10" s="786" t="s">
        <v>233</v>
      </c>
      <c r="D10" s="786"/>
      <c r="E10" s="73">
        <v>0</v>
      </c>
      <c r="G10" s="123">
        <v>21</v>
      </c>
      <c r="J10" s="134">
        <v>21</v>
      </c>
      <c r="K10" s="92">
        <f t="shared" si="0"/>
        <v>100</v>
      </c>
      <c r="L10" s="92">
        <f t="shared" si="1"/>
        <v>0</v>
      </c>
      <c r="M10" s="92">
        <f t="shared" si="2"/>
        <v>0</v>
      </c>
      <c r="N10" s="125">
        <f t="shared" si="3"/>
        <v>100</v>
      </c>
      <c r="O10" s="91">
        <v>78.5</v>
      </c>
      <c r="P10" s="92"/>
      <c r="Q10" s="92"/>
      <c r="R10" s="93">
        <f t="shared" si="4"/>
        <v>78.5</v>
      </c>
      <c r="S10" s="97">
        <v>1</v>
      </c>
      <c r="T10" s="95"/>
      <c r="U10" s="85"/>
      <c r="V10" s="82" t="s">
        <v>101</v>
      </c>
      <c r="W10" s="73" t="s">
        <v>74</v>
      </c>
      <c r="X10" s="73" t="s">
        <v>11</v>
      </c>
      <c r="Y10" s="83">
        <v>78.5</v>
      </c>
      <c r="AD10" s="82"/>
      <c r="AG10" s="83"/>
      <c r="AL10" s="82"/>
      <c r="AO10" s="83"/>
      <c r="AP10" s="82"/>
      <c r="AS10" s="83"/>
      <c r="AW10" s="83"/>
      <c r="BA10" s="84"/>
    </row>
    <row r="11" spans="1:53" s="73" customFormat="1" x14ac:dyDescent="0.15">
      <c r="A11" s="102">
        <v>1961</v>
      </c>
      <c r="B11" s="85"/>
      <c r="C11" s="786" t="s">
        <v>233</v>
      </c>
      <c r="D11" s="786"/>
      <c r="E11" s="73">
        <f>365-E10</f>
        <v>365</v>
      </c>
      <c r="G11" s="123">
        <v>21</v>
      </c>
      <c r="J11" s="134">
        <v>21</v>
      </c>
      <c r="K11" s="92">
        <f t="shared" si="0"/>
        <v>100</v>
      </c>
      <c r="L11" s="92">
        <f t="shared" si="1"/>
        <v>0</v>
      </c>
      <c r="M11" s="92">
        <f t="shared" si="2"/>
        <v>0</v>
      </c>
      <c r="N11" s="125">
        <f t="shared" si="3"/>
        <v>100</v>
      </c>
      <c r="O11" s="91">
        <v>78.5</v>
      </c>
      <c r="P11" s="92"/>
      <c r="Q11" s="92"/>
      <c r="R11" s="93">
        <f t="shared" si="4"/>
        <v>78.5</v>
      </c>
      <c r="S11" s="97">
        <v>1</v>
      </c>
      <c r="T11" s="95"/>
      <c r="U11" s="85"/>
      <c r="V11" s="82" t="s">
        <v>101</v>
      </c>
      <c r="W11" s="73" t="s">
        <v>74</v>
      </c>
      <c r="X11" s="73" t="s">
        <v>11</v>
      </c>
      <c r="Y11" s="83">
        <v>78.5</v>
      </c>
      <c r="AD11" s="82"/>
      <c r="AG11" s="83"/>
      <c r="AL11" s="82"/>
      <c r="AO11" s="83"/>
      <c r="AP11" s="82"/>
      <c r="AS11" s="83"/>
      <c r="AW11" s="83"/>
      <c r="BA11" s="84"/>
    </row>
    <row r="12" spans="1:53" s="73" customFormat="1" x14ac:dyDescent="0.15">
      <c r="A12" s="102">
        <v>1962</v>
      </c>
      <c r="B12" s="85"/>
      <c r="C12" s="786" t="s">
        <v>233</v>
      </c>
      <c r="D12" s="786"/>
      <c r="E12" s="73">
        <v>220</v>
      </c>
      <c r="G12" s="123">
        <v>21</v>
      </c>
      <c r="J12" s="134">
        <v>21</v>
      </c>
      <c r="K12" s="92">
        <f t="shared" si="0"/>
        <v>100</v>
      </c>
      <c r="L12" s="92">
        <f t="shared" si="1"/>
        <v>0</v>
      </c>
      <c r="M12" s="92">
        <f t="shared" si="2"/>
        <v>0</v>
      </c>
      <c r="N12" s="125">
        <f t="shared" si="3"/>
        <v>100</v>
      </c>
      <c r="O12" s="91">
        <v>78.5</v>
      </c>
      <c r="P12" s="92"/>
      <c r="Q12" s="92"/>
      <c r="R12" s="93">
        <f t="shared" si="4"/>
        <v>78.5</v>
      </c>
      <c r="S12" s="97">
        <v>1</v>
      </c>
      <c r="T12" s="95"/>
      <c r="U12" s="85"/>
      <c r="V12" s="82" t="s">
        <v>101</v>
      </c>
      <c r="W12" s="73" t="s">
        <v>74</v>
      </c>
      <c r="X12" s="73" t="s">
        <v>11</v>
      </c>
      <c r="Y12" s="83">
        <v>78.5</v>
      </c>
      <c r="AD12" s="82"/>
      <c r="AG12" s="83"/>
      <c r="AL12" s="82"/>
      <c r="AO12" s="83"/>
      <c r="AP12" s="82"/>
      <c r="AS12" s="83"/>
      <c r="AW12" s="83"/>
      <c r="BA12" s="84"/>
    </row>
    <row r="13" spans="1:53" s="334" customFormat="1" x14ac:dyDescent="0.15">
      <c r="A13" s="386">
        <v>1962</v>
      </c>
      <c r="B13" s="355">
        <v>22867</v>
      </c>
      <c r="C13" s="785" t="s">
        <v>232</v>
      </c>
      <c r="D13" s="785"/>
      <c r="E13" s="334">
        <f>365-E12</f>
        <v>145</v>
      </c>
      <c r="F13" s="334">
        <v>1</v>
      </c>
      <c r="G13" s="419">
        <v>20</v>
      </c>
      <c r="J13" s="435">
        <v>20</v>
      </c>
      <c r="K13" s="384">
        <f t="shared" si="0"/>
        <v>100</v>
      </c>
      <c r="L13" s="384">
        <f t="shared" si="1"/>
        <v>0</v>
      </c>
      <c r="M13" s="384">
        <f t="shared" si="2"/>
        <v>0</v>
      </c>
      <c r="N13" s="421">
        <f t="shared" si="3"/>
        <v>100</v>
      </c>
      <c r="O13" s="383">
        <v>43.8</v>
      </c>
      <c r="P13" s="384"/>
      <c r="Q13" s="384"/>
      <c r="R13" s="385">
        <f t="shared" si="4"/>
        <v>43.8</v>
      </c>
      <c r="S13" s="388">
        <v>4</v>
      </c>
      <c r="T13" s="342">
        <v>22815</v>
      </c>
      <c r="U13" s="355">
        <v>22867</v>
      </c>
      <c r="V13" s="343" t="s">
        <v>101</v>
      </c>
      <c r="W13" s="334" t="s">
        <v>74</v>
      </c>
      <c r="X13" s="334" t="s">
        <v>11</v>
      </c>
      <c r="Y13" s="344">
        <v>43.8</v>
      </c>
      <c r="AD13" s="343"/>
      <c r="AG13" s="344"/>
      <c r="AL13" s="343"/>
      <c r="AO13" s="344"/>
      <c r="AP13" s="343"/>
      <c r="AS13" s="344"/>
      <c r="AW13" s="344"/>
      <c r="BA13" s="345"/>
    </row>
    <row r="14" spans="1:53" s="334" customFormat="1" x14ac:dyDescent="0.15">
      <c r="A14" s="386">
        <v>1962.6</v>
      </c>
      <c r="B14" s="355"/>
      <c r="C14" s="785" t="s">
        <v>232</v>
      </c>
      <c r="D14" s="785"/>
      <c r="E14" s="334">
        <v>111</v>
      </c>
      <c r="G14" s="419">
        <v>20</v>
      </c>
      <c r="J14" s="435">
        <v>20</v>
      </c>
      <c r="K14" s="384">
        <f t="shared" si="0"/>
        <v>100</v>
      </c>
      <c r="L14" s="384">
        <f t="shared" si="1"/>
        <v>0</v>
      </c>
      <c r="M14" s="384">
        <f t="shared" si="2"/>
        <v>0</v>
      </c>
      <c r="N14" s="421">
        <f t="shared" si="3"/>
        <v>100</v>
      </c>
      <c r="O14" s="383">
        <v>43.8</v>
      </c>
      <c r="P14" s="384"/>
      <c r="Q14" s="384"/>
      <c r="R14" s="385">
        <f t="shared" si="4"/>
        <v>43.8</v>
      </c>
      <c r="S14" s="388">
        <v>4</v>
      </c>
      <c r="T14" s="342"/>
      <c r="U14" s="355"/>
      <c r="V14" s="343" t="s">
        <v>101</v>
      </c>
      <c r="W14" s="334" t="s">
        <v>74</v>
      </c>
      <c r="X14" s="334" t="s">
        <v>11</v>
      </c>
      <c r="Y14" s="344">
        <v>43.8</v>
      </c>
      <c r="AD14" s="343"/>
      <c r="AG14" s="344"/>
      <c r="AL14" s="343"/>
      <c r="AO14" s="344"/>
      <c r="AP14" s="343"/>
      <c r="AS14" s="344"/>
      <c r="AW14" s="344"/>
      <c r="BA14" s="345"/>
    </row>
    <row r="15" spans="1:53" s="73" customFormat="1" x14ac:dyDescent="0.15">
      <c r="A15" s="102">
        <v>1963.05714285714</v>
      </c>
      <c r="B15" s="85">
        <v>23123</v>
      </c>
      <c r="C15" s="786" t="s">
        <v>234</v>
      </c>
      <c r="D15" s="786"/>
      <c r="E15" s="73">
        <v>254</v>
      </c>
      <c r="F15" s="73">
        <v>5</v>
      </c>
      <c r="G15" s="123"/>
      <c r="H15" s="73">
        <v>24</v>
      </c>
      <c r="J15" s="134">
        <v>24</v>
      </c>
      <c r="K15" s="92">
        <f>G15/J15*100</f>
        <v>0</v>
      </c>
      <c r="L15" s="92">
        <f>H15/J15*100</f>
        <v>100</v>
      </c>
      <c r="M15" s="92">
        <f>I15/J15*100</f>
        <v>0</v>
      </c>
      <c r="N15" s="125">
        <f t="shared" si="3"/>
        <v>100</v>
      </c>
      <c r="O15" s="91"/>
      <c r="P15" s="92">
        <v>48.7</v>
      </c>
      <c r="Q15" s="92"/>
      <c r="R15" s="93">
        <f t="shared" si="4"/>
        <v>48.7</v>
      </c>
      <c r="S15" s="97">
        <v>4</v>
      </c>
      <c r="T15" s="95">
        <v>23109</v>
      </c>
      <c r="U15" s="85">
        <v>23123</v>
      </c>
      <c r="V15" s="82" t="s">
        <v>72</v>
      </c>
      <c r="W15" s="73" t="s">
        <v>22</v>
      </c>
      <c r="X15" s="73" t="s">
        <v>18</v>
      </c>
      <c r="Y15" s="83">
        <v>48.7</v>
      </c>
      <c r="AD15" s="82"/>
      <c r="AG15" s="83"/>
      <c r="AL15" s="82"/>
      <c r="AO15" s="83"/>
      <c r="AP15" s="82"/>
      <c r="AS15" s="83"/>
      <c r="AW15" s="83"/>
      <c r="BA15" s="84"/>
    </row>
    <row r="16" spans="1:53" s="73" customFormat="1" x14ac:dyDescent="0.15">
      <c r="A16" s="102">
        <v>1963.5142857142901</v>
      </c>
      <c r="B16" s="85"/>
      <c r="C16" s="786" t="s">
        <v>234</v>
      </c>
      <c r="D16" s="786"/>
      <c r="E16" s="73">
        <v>0</v>
      </c>
      <c r="G16" s="123"/>
      <c r="H16" s="73">
        <v>24</v>
      </c>
      <c r="J16" s="134">
        <v>24</v>
      </c>
      <c r="K16" s="92">
        <f t="shared" ref="K16:K21" si="5">G16/J16*100</f>
        <v>0</v>
      </c>
      <c r="L16" s="92">
        <f t="shared" ref="L16:L21" si="6">H16/J16*100</f>
        <v>100</v>
      </c>
      <c r="M16" s="92">
        <f t="shared" ref="M16:M21" si="7">I16/J16*100</f>
        <v>0</v>
      </c>
      <c r="N16" s="125">
        <f t="shared" si="3"/>
        <v>100</v>
      </c>
      <c r="O16" s="91"/>
      <c r="P16" s="92">
        <v>48.7</v>
      </c>
      <c r="Q16" s="92"/>
      <c r="R16" s="93">
        <f t="shared" si="4"/>
        <v>48.7</v>
      </c>
      <c r="S16" s="97">
        <v>4</v>
      </c>
      <c r="T16" s="95"/>
      <c r="U16" s="85"/>
      <c r="V16" s="82" t="s">
        <v>72</v>
      </c>
      <c r="W16" s="73" t="s">
        <v>22</v>
      </c>
      <c r="X16" s="73" t="s">
        <v>18</v>
      </c>
      <c r="Y16" s="83">
        <v>48.7</v>
      </c>
      <c r="AD16" s="82"/>
      <c r="AG16" s="83"/>
      <c r="AL16" s="82"/>
      <c r="AO16" s="83"/>
      <c r="AP16" s="82"/>
      <c r="AS16" s="83"/>
      <c r="AW16" s="83"/>
      <c r="BA16" s="84"/>
    </row>
    <row r="17" spans="1:53" s="73" customFormat="1" x14ac:dyDescent="0.15">
      <c r="A17" s="102">
        <v>1963.9714285714299</v>
      </c>
      <c r="B17" s="85"/>
      <c r="C17" s="786" t="s">
        <v>234</v>
      </c>
      <c r="D17" s="786"/>
      <c r="E17" s="73">
        <v>366</v>
      </c>
      <c r="G17" s="123"/>
      <c r="H17" s="73">
        <v>24</v>
      </c>
      <c r="J17" s="134">
        <v>24</v>
      </c>
      <c r="K17" s="92">
        <f t="shared" si="5"/>
        <v>0</v>
      </c>
      <c r="L17" s="92">
        <f t="shared" si="6"/>
        <v>100</v>
      </c>
      <c r="M17" s="92">
        <f t="shared" si="7"/>
        <v>0</v>
      </c>
      <c r="N17" s="125">
        <f t="shared" si="3"/>
        <v>100</v>
      </c>
      <c r="O17" s="91"/>
      <c r="P17" s="92">
        <v>48.7</v>
      </c>
      <c r="Q17" s="92"/>
      <c r="R17" s="93">
        <f t="shared" si="4"/>
        <v>48.7</v>
      </c>
      <c r="S17" s="97">
        <v>4</v>
      </c>
      <c r="T17" s="95"/>
      <c r="U17" s="85"/>
      <c r="V17" s="82" t="s">
        <v>72</v>
      </c>
      <c r="W17" s="73" t="s">
        <v>22</v>
      </c>
      <c r="X17" s="73" t="s">
        <v>18</v>
      </c>
      <c r="Y17" s="83">
        <v>48.7</v>
      </c>
      <c r="AD17" s="82"/>
      <c r="AG17" s="83"/>
      <c r="AL17" s="82"/>
      <c r="AO17" s="83"/>
      <c r="AP17" s="82"/>
      <c r="AS17" s="83"/>
      <c r="AW17" s="83"/>
      <c r="BA17" s="84"/>
    </row>
    <row r="18" spans="1:53" s="73" customFormat="1" x14ac:dyDescent="0.15">
      <c r="A18" s="102">
        <v>1965</v>
      </c>
      <c r="B18" s="85"/>
      <c r="C18" s="786" t="s">
        <v>234</v>
      </c>
      <c r="D18" s="786"/>
      <c r="E18" s="73">
        <v>351</v>
      </c>
      <c r="G18" s="123"/>
      <c r="H18" s="73">
        <v>24</v>
      </c>
      <c r="J18" s="134">
        <v>24</v>
      </c>
      <c r="K18" s="92">
        <f t="shared" si="5"/>
        <v>0</v>
      </c>
      <c r="L18" s="92">
        <f t="shared" si="6"/>
        <v>100</v>
      </c>
      <c r="M18" s="92">
        <f t="shared" si="7"/>
        <v>0</v>
      </c>
      <c r="N18" s="125">
        <f t="shared" si="3"/>
        <v>100</v>
      </c>
      <c r="O18" s="91"/>
      <c r="P18" s="92">
        <v>48.7</v>
      </c>
      <c r="Q18" s="92"/>
      <c r="R18" s="93">
        <f t="shared" si="4"/>
        <v>48.7</v>
      </c>
      <c r="S18" s="97">
        <v>4</v>
      </c>
      <c r="T18" s="95"/>
      <c r="U18" s="85"/>
      <c r="V18" s="82" t="s">
        <v>72</v>
      </c>
      <c r="W18" s="73" t="s">
        <v>22</v>
      </c>
      <c r="X18" s="73" t="s">
        <v>18</v>
      </c>
      <c r="Y18" s="83">
        <v>48.7</v>
      </c>
      <c r="AD18" s="82"/>
      <c r="AG18" s="83"/>
      <c r="AL18" s="82"/>
      <c r="AO18" s="83"/>
      <c r="AP18" s="82"/>
      <c r="AS18" s="83"/>
      <c r="AW18" s="83"/>
      <c r="BA18" s="84"/>
    </row>
    <row r="19" spans="1:53" s="334" customFormat="1" x14ac:dyDescent="0.15">
      <c r="A19" s="386">
        <v>1964.88571428572</v>
      </c>
      <c r="B19" s="355">
        <v>24094</v>
      </c>
      <c r="C19" s="785" t="s">
        <v>235</v>
      </c>
      <c r="D19" s="785"/>
      <c r="E19" s="334">
        <v>14</v>
      </c>
      <c r="F19" s="334">
        <v>1</v>
      </c>
      <c r="G19" s="419"/>
      <c r="H19" s="334">
        <v>23</v>
      </c>
      <c r="J19" s="435">
        <v>23</v>
      </c>
      <c r="K19" s="384">
        <f t="shared" si="5"/>
        <v>0</v>
      </c>
      <c r="L19" s="384">
        <f t="shared" si="6"/>
        <v>100</v>
      </c>
      <c r="M19" s="384">
        <f t="shared" si="7"/>
        <v>0</v>
      </c>
      <c r="N19" s="421">
        <f t="shared" si="3"/>
        <v>100</v>
      </c>
      <c r="O19" s="383"/>
      <c r="P19" s="384">
        <v>49.4</v>
      </c>
      <c r="Q19" s="384"/>
      <c r="R19" s="385">
        <f t="shared" si="4"/>
        <v>49.4</v>
      </c>
      <c r="S19" s="388">
        <v>4</v>
      </c>
      <c r="T19" s="342">
        <v>24054</v>
      </c>
      <c r="U19" s="355">
        <v>24094</v>
      </c>
      <c r="V19" s="343" t="s">
        <v>72</v>
      </c>
      <c r="W19" s="334" t="s">
        <v>22</v>
      </c>
      <c r="X19" s="334" t="s">
        <v>18</v>
      </c>
      <c r="Y19" s="344">
        <v>49.4</v>
      </c>
      <c r="AD19" s="343"/>
      <c r="AG19" s="344"/>
      <c r="AL19" s="343"/>
      <c r="AO19" s="344"/>
      <c r="AP19" s="343"/>
      <c r="AS19" s="344"/>
      <c r="AW19" s="344"/>
      <c r="BA19" s="345"/>
    </row>
    <row r="20" spans="1:53" s="334" customFormat="1" x14ac:dyDescent="0.15">
      <c r="A20" s="386">
        <v>1966</v>
      </c>
      <c r="B20" s="355"/>
      <c r="C20" s="785" t="s">
        <v>235</v>
      </c>
      <c r="D20" s="785"/>
      <c r="E20" s="334">
        <v>0</v>
      </c>
      <c r="G20" s="419"/>
      <c r="H20" s="334">
        <v>23</v>
      </c>
      <c r="J20" s="435">
        <v>23</v>
      </c>
      <c r="K20" s="384">
        <f t="shared" si="5"/>
        <v>0</v>
      </c>
      <c r="L20" s="384">
        <f t="shared" si="6"/>
        <v>100</v>
      </c>
      <c r="M20" s="384">
        <f t="shared" si="7"/>
        <v>0</v>
      </c>
      <c r="N20" s="421">
        <f t="shared" si="3"/>
        <v>100</v>
      </c>
      <c r="O20" s="383"/>
      <c r="P20" s="384">
        <v>49.4</v>
      </c>
      <c r="Q20" s="384"/>
      <c r="R20" s="385">
        <f t="shared" si="4"/>
        <v>49.4</v>
      </c>
      <c r="S20" s="388">
        <v>4</v>
      </c>
      <c r="T20" s="342"/>
      <c r="U20" s="355"/>
      <c r="V20" s="343" t="s">
        <v>72</v>
      </c>
      <c r="W20" s="334" t="s">
        <v>22</v>
      </c>
      <c r="X20" s="334" t="s">
        <v>18</v>
      </c>
      <c r="Y20" s="344">
        <v>49.4</v>
      </c>
      <c r="AD20" s="343"/>
      <c r="AG20" s="344"/>
      <c r="AL20" s="343"/>
      <c r="AO20" s="344"/>
      <c r="AP20" s="343"/>
      <c r="AS20" s="344"/>
      <c r="AW20" s="344"/>
      <c r="BA20" s="345"/>
    </row>
    <row r="21" spans="1:53" s="334" customFormat="1" x14ac:dyDescent="0.15">
      <c r="A21" s="386">
        <v>1965.8</v>
      </c>
      <c r="B21" s="355"/>
      <c r="C21" s="785" t="s">
        <v>235</v>
      </c>
      <c r="D21" s="785"/>
      <c r="E21" s="334">
        <v>365</v>
      </c>
      <c r="G21" s="419"/>
      <c r="H21" s="334">
        <v>23</v>
      </c>
      <c r="J21" s="435">
        <v>23</v>
      </c>
      <c r="K21" s="384">
        <f t="shared" si="5"/>
        <v>0</v>
      </c>
      <c r="L21" s="384">
        <f t="shared" si="6"/>
        <v>100</v>
      </c>
      <c r="M21" s="384">
        <f t="shared" si="7"/>
        <v>0</v>
      </c>
      <c r="N21" s="421">
        <f t="shared" si="3"/>
        <v>100</v>
      </c>
      <c r="O21" s="383"/>
      <c r="P21" s="384">
        <v>49.4</v>
      </c>
      <c r="Q21" s="384"/>
      <c r="R21" s="385">
        <f t="shared" si="4"/>
        <v>49.4</v>
      </c>
      <c r="S21" s="388">
        <v>4</v>
      </c>
      <c r="T21" s="342"/>
      <c r="U21" s="355"/>
      <c r="V21" s="343" t="s">
        <v>72</v>
      </c>
      <c r="W21" s="334" t="s">
        <v>22</v>
      </c>
      <c r="X21" s="334" t="s">
        <v>18</v>
      </c>
      <c r="Y21" s="344">
        <v>49.4</v>
      </c>
      <c r="AD21" s="343"/>
      <c r="AG21" s="344"/>
      <c r="AL21" s="343"/>
      <c r="AO21" s="344"/>
      <c r="AP21" s="343"/>
      <c r="AS21" s="344"/>
      <c r="AW21" s="344"/>
      <c r="BA21" s="345"/>
    </row>
    <row r="22" spans="1:53" s="334" customFormat="1" x14ac:dyDescent="0.15">
      <c r="A22" s="386">
        <v>1967</v>
      </c>
      <c r="B22" s="355"/>
      <c r="C22" s="785" t="s">
        <v>235</v>
      </c>
      <c r="D22" s="785"/>
      <c r="E22" s="334">
        <v>0</v>
      </c>
      <c r="G22" s="419"/>
      <c r="H22" s="334">
        <v>23</v>
      </c>
      <c r="J22" s="435">
        <v>23</v>
      </c>
      <c r="K22" s="384">
        <f>G22/J22*100</f>
        <v>0</v>
      </c>
      <c r="L22" s="384">
        <f>H22/J22*100</f>
        <v>100</v>
      </c>
      <c r="M22" s="384">
        <f>I22/J22*100</f>
        <v>0</v>
      </c>
      <c r="N22" s="421">
        <f t="shared" si="3"/>
        <v>100</v>
      </c>
      <c r="O22" s="383"/>
      <c r="P22" s="384">
        <v>49.4</v>
      </c>
      <c r="Q22" s="384"/>
      <c r="R22" s="385">
        <f t="shared" si="4"/>
        <v>49.4</v>
      </c>
      <c r="S22" s="388">
        <v>4</v>
      </c>
      <c r="T22" s="342"/>
      <c r="U22" s="355"/>
      <c r="V22" s="343" t="s">
        <v>72</v>
      </c>
      <c r="W22" s="334" t="s">
        <v>22</v>
      </c>
      <c r="X22" s="334" t="s">
        <v>18</v>
      </c>
      <c r="Y22" s="344">
        <v>49.4</v>
      </c>
      <c r="AD22" s="343"/>
      <c r="AG22" s="344"/>
      <c r="AL22" s="343"/>
      <c r="AO22" s="344"/>
      <c r="AP22" s="343"/>
      <c r="AS22" s="344"/>
      <c r="AW22" s="344"/>
      <c r="BA22" s="345"/>
    </row>
    <row r="23" spans="1:53" s="334" customFormat="1" x14ac:dyDescent="0.15">
      <c r="A23" s="386">
        <v>1966.7142857142901</v>
      </c>
      <c r="B23" s="355"/>
      <c r="C23" s="785" t="s">
        <v>235</v>
      </c>
      <c r="D23" s="785"/>
      <c r="E23" s="334">
        <f>365-E22</f>
        <v>365</v>
      </c>
      <c r="G23" s="419"/>
      <c r="H23" s="334">
        <v>23</v>
      </c>
      <c r="J23" s="435">
        <v>23</v>
      </c>
      <c r="K23" s="384">
        <f t="shared" ref="K23:K29" si="8">G23/J23*100</f>
        <v>0</v>
      </c>
      <c r="L23" s="384">
        <f t="shared" ref="L23:L29" si="9">H23/J23*100</f>
        <v>100</v>
      </c>
      <c r="M23" s="384">
        <f t="shared" ref="M23:M29" si="10">I23/J23*100</f>
        <v>0</v>
      </c>
      <c r="N23" s="421">
        <f t="shared" si="3"/>
        <v>100</v>
      </c>
      <c r="O23" s="383"/>
      <c r="P23" s="384">
        <v>49.4</v>
      </c>
      <c r="Q23" s="384"/>
      <c r="R23" s="385">
        <f t="shared" si="4"/>
        <v>49.4</v>
      </c>
      <c r="S23" s="388">
        <v>4</v>
      </c>
      <c r="T23" s="342"/>
      <c r="U23" s="355"/>
      <c r="V23" s="343" t="s">
        <v>72</v>
      </c>
      <c r="W23" s="334" t="s">
        <v>22</v>
      </c>
      <c r="X23" s="334" t="s">
        <v>18</v>
      </c>
      <c r="Y23" s="344">
        <v>49.4</v>
      </c>
      <c r="AD23" s="343"/>
      <c r="AG23" s="344"/>
      <c r="AL23" s="343"/>
      <c r="AO23" s="344"/>
      <c r="AP23" s="343"/>
      <c r="AS23" s="344"/>
      <c r="AW23" s="344"/>
      <c r="BA23" s="345"/>
    </row>
    <row r="24" spans="1:53" s="334" customFormat="1" x14ac:dyDescent="0.15">
      <c r="A24" s="386">
        <v>1968</v>
      </c>
      <c r="B24" s="355"/>
      <c r="C24" s="785" t="s">
        <v>235</v>
      </c>
      <c r="D24" s="785"/>
      <c r="E24" s="334">
        <v>111</v>
      </c>
      <c r="G24" s="419"/>
      <c r="H24" s="334">
        <v>23</v>
      </c>
      <c r="J24" s="435">
        <v>23</v>
      </c>
      <c r="K24" s="384">
        <f t="shared" si="8"/>
        <v>0</v>
      </c>
      <c r="L24" s="384">
        <f t="shared" si="9"/>
        <v>100</v>
      </c>
      <c r="M24" s="384">
        <f t="shared" si="10"/>
        <v>0</v>
      </c>
      <c r="N24" s="421">
        <f t="shared" si="3"/>
        <v>100</v>
      </c>
      <c r="O24" s="383"/>
      <c r="P24" s="384">
        <v>49.4</v>
      </c>
      <c r="Q24" s="384"/>
      <c r="R24" s="385">
        <f t="shared" si="4"/>
        <v>49.4</v>
      </c>
      <c r="S24" s="388">
        <v>4</v>
      </c>
      <c r="T24" s="342"/>
      <c r="U24" s="355"/>
      <c r="V24" s="343" t="s">
        <v>72</v>
      </c>
      <c r="W24" s="334" t="s">
        <v>22</v>
      </c>
      <c r="X24" s="334" t="s">
        <v>18</v>
      </c>
      <c r="Y24" s="344">
        <v>49.4</v>
      </c>
      <c r="AD24" s="343"/>
      <c r="AG24" s="344"/>
      <c r="AL24" s="343"/>
      <c r="AO24" s="344"/>
      <c r="AP24" s="343"/>
      <c r="AS24" s="344"/>
      <c r="AW24" s="344"/>
      <c r="BA24" s="345"/>
    </row>
    <row r="25" spans="1:53" s="73" customFormat="1" x14ac:dyDescent="0.15">
      <c r="A25" s="102">
        <v>1967.62857142857</v>
      </c>
      <c r="B25" s="85">
        <v>24949</v>
      </c>
      <c r="C25" s="786" t="s">
        <v>236</v>
      </c>
      <c r="D25" s="786"/>
      <c r="E25" s="73">
        <v>77</v>
      </c>
      <c r="F25" s="73">
        <v>2</v>
      </c>
      <c r="G25" s="123"/>
      <c r="H25" s="73">
        <v>25</v>
      </c>
      <c r="J25" s="134">
        <v>25</v>
      </c>
      <c r="K25" s="92">
        <f>G25/J25*100</f>
        <v>0</v>
      </c>
      <c r="L25" s="92">
        <f>H25/J25*100</f>
        <v>100</v>
      </c>
      <c r="M25" s="92">
        <f>I25/J25*100</f>
        <v>0</v>
      </c>
      <c r="N25" s="125">
        <f t="shared" si="3"/>
        <v>100</v>
      </c>
      <c r="O25" s="91"/>
      <c r="P25" s="92">
        <v>49.4</v>
      </c>
      <c r="Q25" s="92"/>
      <c r="R25" s="93">
        <f t="shared" si="4"/>
        <v>49.4</v>
      </c>
      <c r="S25" s="97">
        <v>4</v>
      </c>
      <c r="T25" s="95"/>
      <c r="U25" s="85">
        <v>24949</v>
      </c>
      <c r="V25" s="82" t="s">
        <v>72</v>
      </c>
      <c r="W25" s="73" t="s">
        <v>22</v>
      </c>
      <c r="X25" s="73" t="s">
        <v>18</v>
      </c>
      <c r="Y25" s="83">
        <v>49.4</v>
      </c>
      <c r="AD25" s="82"/>
      <c r="AG25" s="83"/>
      <c r="AL25" s="82"/>
      <c r="AO25" s="83"/>
      <c r="AP25" s="82"/>
      <c r="AS25" s="83"/>
      <c r="AW25" s="83"/>
      <c r="BA25" s="84"/>
    </row>
    <row r="26" spans="1:53" s="334" customFormat="1" x14ac:dyDescent="0.15">
      <c r="A26" s="386">
        <v>1967.62857142857</v>
      </c>
      <c r="B26" s="355">
        <v>25026</v>
      </c>
      <c r="C26" s="785" t="s">
        <v>237</v>
      </c>
      <c r="D26" s="785"/>
      <c r="E26" s="334">
        <v>178</v>
      </c>
      <c r="F26" s="334">
        <v>1</v>
      </c>
      <c r="G26" s="419"/>
      <c r="H26" s="334">
        <v>28</v>
      </c>
      <c r="J26" s="435">
        <v>28</v>
      </c>
      <c r="K26" s="384">
        <f t="shared" si="8"/>
        <v>0</v>
      </c>
      <c r="L26" s="384">
        <f t="shared" si="9"/>
        <v>100</v>
      </c>
      <c r="M26" s="384">
        <f t="shared" si="10"/>
        <v>0</v>
      </c>
      <c r="N26" s="421">
        <f t="shared" si="3"/>
        <v>100</v>
      </c>
      <c r="O26" s="383"/>
      <c r="P26" s="384">
        <v>58.7</v>
      </c>
      <c r="Q26" s="384"/>
      <c r="R26" s="385">
        <f t="shared" si="4"/>
        <v>58.7</v>
      </c>
      <c r="S26" s="388">
        <v>1</v>
      </c>
      <c r="T26" s="342">
        <v>25014</v>
      </c>
      <c r="U26" s="355">
        <v>25026</v>
      </c>
      <c r="V26" s="343" t="s">
        <v>72</v>
      </c>
      <c r="W26" s="334" t="s">
        <v>22</v>
      </c>
      <c r="X26" s="334" t="s">
        <v>18</v>
      </c>
      <c r="Y26" s="344">
        <v>58.7</v>
      </c>
      <c r="AD26" s="343"/>
      <c r="AG26" s="344"/>
      <c r="AL26" s="343"/>
      <c r="AO26" s="344"/>
      <c r="AP26" s="343"/>
      <c r="AS26" s="344"/>
      <c r="AW26" s="344"/>
      <c r="BA26" s="345"/>
    </row>
    <row r="27" spans="1:53" s="334" customFormat="1" x14ac:dyDescent="0.15">
      <c r="A27" s="386">
        <v>1969</v>
      </c>
      <c r="B27" s="355"/>
      <c r="C27" s="785" t="s">
        <v>237</v>
      </c>
      <c r="D27" s="785"/>
      <c r="E27" s="334">
        <v>0</v>
      </c>
      <c r="G27" s="419"/>
      <c r="H27" s="334">
        <v>28</v>
      </c>
      <c r="J27" s="435">
        <v>28</v>
      </c>
      <c r="K27" s="384">
        <f t="shared" si="8"/>
        <v>0</v>
      </c>
      <c r="L27" s="384">
        <f t="shared" si="9"/>
        <v>100</v>
      </c>
      <c r="M27" s="384">
        <f t="shared" si="10"/>
        <v>0</v>
      </c>
      <c r="N27" s="421">
        <f t="shared" si="3"/>
        <v>100</v>
      </c>
      <c r="O27" s="383"/>
      <c r="P27" s="384">
        <v>58.7</v>
      </c>
      <c r="Q27" s="384"/>
      <c r="R27" s="385">
        <f t="shared" si="4"/>
        <v>58.7</v>
      </c>
      <c r="S27" s="388">
        <v>1</v>
      </c>
      <c r="T27" s="342"/>
      <c r="U27" s="355"/>
      <c r="V27" s="343" t="s">
        <v>72</v>
      </c>
      <c r="W27" s="334" t="s">
        <v>22</v>
      </c>
      <c r="X27" s="334" t="s">
        <v>18</v>
      </c>
      <c r="Y27" s="344">
        <v>58.7</v>
      </c>
      <c r="AD27" s="343"/>
      <c r="AG27" s="344"/>
      <c r="AL27" s="343"/>
      <c r="AO27" s="344"/>
      <c r="AP27" s="343"/>
      <c r="AS27" s="344"/>
      <c r="AW27" s="344"/>
      <c r="BA27" s="345"/>
    </row>
    <row r="28" spans="1:53" s="334" customFormat="1" x14ac:dyDescent="0.15">
      <c r="A28" s="386">
        <v>1968.5428571428599</v>
      </c>
      <c r="B28" s="355"/>
      <c r="C28" s="785" t="s">
        <v>237</v>
      </c>
      <c r="D28" s="785"/>
      <c r="E28" s="334">
        <f>365-E27</f>
        <v>365</v>
      </c>
      <c r="G28" s="419"/>
      <c r="H28" s="334">
        <v>28</v>
      </c>
      <c r="J28" s="435">
        <v>28</v>
      </c>
      <c r="K28" s="384">
        <f t="shared" si="8"/>
        <v>0</v>
      </c>
      <c r="L28" s="384">
        <f t="shared" si="9"/>
        <v>100</v>
      </c>
      <c r="M28" s="384">
        <f t="shared" si="10"/>
        <v>0</v>
      </c>
      <c r="N28" s="421">
        <f t="shared" si="3"/>
        <v>100</v>
      </c>
      <c r="O28" s="383"/>
      <c r="P28" s="384">
        <v>58.7</v>
      </c>
      <c r="Q28" s="384"/>
      <c r="R28" s="385">
        <f t="shared" si="4"/>
        <v>58.7</v>
      </c>
      <c r="S28" s="388">
        <v>1</v>
      </c>
      <c r="T28" s="342"/>
      <c r="U28" s="355"/>
      <c r="V28" s="343" t="s">
        <v>72</v>
      </c>
      <c r="W28" s="334" t="s">
        <v>22</v>
      </c>
      <c r="X28" s="334" t="s">
        <v>18</v>
      </c>
      <c r="Y28" s="344">
        <v>58.7</v>
      </c>
      <c r="AD28" s="343"/>
      <c r="AG28" s="344"/>
      <c r="AL28" s="343"/>
      <c r="AO28" s="344"/>
      <c r="AP28" s="343"/>
      <c r="AS28" s="344"/>
      <c r="AW28" s="344"/>
      <c r="BA28" s="345"/>
    </row>
    <row r="29" spans="1:53" s="334" customFormat="1" x14ac:dyDescent="0.15">
      <c r="A29" s="386">
        <v>1970</v>
      </c>
      <c r="B29" s="355"/>
      <c r="C29" s="785" t="s">
        <v>237</v>
      </c>
      <c r="D29" s="785"/>
      <c r="E29" s="334">
        <v>0</v>
      </c>
      <c r="G29" s="419"/>
      <c r="H29" s="334">
        <v>28</v>
      </c>
      <c r="J29" s="435">
        <v>28</v>
      </c>
      <c r="K29" s="384">
        <f t="shared" si="8"/>
        <v>0</v>
      </c>
      <c r="L29" s="384">
        <f t="shared" si="9"/>
        <v>100</v>
      </c>
      <c r="M29" s="384">
        <f t="shared" si="10"/>
        <v>0</v>
      </c>
      <c r="N29" s="421">
        <f t="shared" si="3"/>
        <v>100</v>
      </c>
      <c r="O29" s="383"/>
      <c r="P29" s="384">
        <v>58.7</v>
      </c>
      <c r="Q29" s="384"/>
      <c r="R29" s="385">
        <f t="shared" si="4"/>
        <v>58.7</v>
      </c>
      <c r="S29" s="388">
        <v>1</v>
      </c>
      <c r="T29" s="342"/>
      <c r="U29" s="355"/>
      <c r="V29" s="343" t="s">
        <v>72</v>
      </c>
      <c r="W29" s="334" t="s">
        <v>22</v>
      </c>
      <c r="X29" s="334" t="s">
        <v>18</v>
      </c>
      <c r="Y29" s="344">
        <v>58.7</v>
      </c>
      <c r="AD29" s="343"/>
      <c r="AG29" s="344"/>
      <c r="AL29" s="343"/>
      <c r="AO29" s="344"/>
      <c r="AP29" s="343"/>
      <c r="AS29" s="344"/>
      <c r="AW29" s="344"/>
      <c r="BA29" s="345"/>
    </row>
    <row r="30" spans="1:53" s="334" customFormat="1" x14ac:dyDescent="0.15">
      <c r="A30" s="386">
        <v>1970</v>
      </c>
      <c r="B30" s="355"/>
      <c r="C30" s="785" t="s">
        <v>237</v>
      </c>
      <c r="D30" s="785"/>
      <c r="E30" s="334">
        <v>365</v>
      </c>
      <c r="G30" s="419"/>
      <c r="H30" s="334">
        <v>28</v>
      </c>
      <c r="J30" s="435">
        <v>28</v>
      </c>
      <c r="K30" s="384">
        <f>G30/J30*100</f>
        <v>0</v>
      </c>
      <c r="L30" s="384">
        <f>H30/J30*100</f>
        <v>100</v>
      </c>
      <c r="M30" s="384">
        <f>I30/J30*100</f>
        <v>0</v>
      </c>
      <c r="N30" s="421">
        <f t="shared" si="3"/>
        <v>100</v>
      </c>
      <c r="O30" s="383"/>
      <c r="P30" s="384">
        <v>58.7</v>
      </c>
      <c r="Q30" s="384"/>
      <c r="R30" s="385">
        <f t="shared" si="4"/>
        <v>58.7</v>
      </c>
      <c r="S30" s="388">
        <v>1</v>
      </c>
      <c r="T30" s="342"/>
      <c r="U30" s="355"/>
      <c r="V30" s="343" t="s">
        <v>72</v>
      </c>
      <c r="W30" s="334" t="s">
        <v>22</v>
      </c>
      <c r="X30" s="334" t="s">
        <v>18</v>
      </c>
      <c r="Y30" s="344">
        <v>58.7</v>
      </c>
      <c r="AD30" s="343"/>
      <c r="AG30" s="344"/>
      <c r="AL30" s="343"/>
      <c r="AO30" s="344"/>
      <c r="AP30" s="343"/>
      <c r="AS30" s="344"/>
      <c r="AW30" s="344"/>
      <c r="BA30" s="345"/>
    </row>
    <row r="31" spans="1:53" s="334" customFormat="1" x14ac:dyDescent="0.15">
      <c r="A31" s="386">
        <v>1971</v>
      </c>
      <c r="B31" s="355"/>
      <c r="C31" s="785" t="s">
        <v>237</v>
      </c>
      <c r="D31" s="785"/>
      <c r="E31" s="334">
        <f>365-E30</f>
        <v>0</v>
      </c>
      <c r="G31" s="419"/>
      <c r="H31" s="334">
        <v>28</v>
      </c>
      <c r="J31" s="435">
        <v>28</v>
      </c>
      <c r="K31" s="384">
        <f t="shared" ref="K31:K36" si="11">G31/J31*100</f>
        <v>0</v>
      </c>
      <c r="L31" s="384">
        <f t="shared" ref="L31:L36" si="12">H31/J31*100</f>
        <v>100</v>
      </c>
      <c r="M31" s="384">
        <f t="shared" ref="M31:M36" si="13">I31/J31*100</f>
        <v>0</v>
      </c>
      <c r="N31" s="421">
        <f t="shared" si="3"/>
        <v>100</v>
      </c>
      <c r="O31" s="383"/>
      <c r="P31" s="384">
        <v>58.7</v>
      </c>
      <c r="Q31" s="384"/>
      <c r="R31" s="385">
        <f t="shared" si="4"/>
        <v>58.7</v>
      </c>
      <c r="S31" s="388">
        <v>1</v>
      </c>
      <c r="T31" s="342"/>
      <c r="U31" s="355"/>
      <c r="V31" s="343" t="s">
        <v>72</v>
      </c>
      <c r="W31" s="334" t="s">
        <v>22</v>
      </c>
      <c r="X31" s="334" t="s">
        <v>18</v>
      </c>
      <c r="Y31" s="344">
        <v>58.7</v>
      </c>
      <c r="AD31" s="343"/>
      <c r="AG31" s="344"/>
      <c r="AL31" s="343"/>
      <c r="AO31" s="344"/>
      <c r="AP31" s="343"/>
      <c r="AS31" s="344"/>
      <c r="AW31" s="344"/>
      <c r="BA31" s="345"/>
    </row>
    <row r="32" spans="1:53" s="334" customFormat="1" x14ac:dyDescent="0.15">
      <c r="A32" s="386">
        <v>1971</v>
      </c>
      <c r="B32" s="355"/>
      <c r="C32" s="785" t="s">
        <v>237</v>
      </c>
      <c r="D32" s="785"/>
      <c r="E32" s="334">
        <v>365</v>
      </c>
      <c r="G32" s="419"/>
      <c r="H32" s="334">
        <v>28</v>
      </c>
      <c r="J32" s="435">
        <v>28</v>
      </c>
      <c r="K32" s="384">
        <f t="shared" si="11"/>
        <v>0</v>
      </c>
      <c r="L32" s="384">
        <f t="shared" si="12"/>
        <v>100</v>
      </c>
      <c r="M32" s="384">
        <f t="shared" si="13"/>
        <v>0</v>
      </c>
      <c r="N32" s="421">
        <f t="shared" si="3"/>
        <v>100</v>
      </c>
      <c r="O32" s="383"/>
      <c r="P32" s="384">
        <v>58.7</v>
      </c>
      <c r="Q32" s="384"/>
      <c r="R32" s="385">
        <f t="shared" si="4"/>
        <v>58.7</v>
      </c>
      <c r="S32" s="388">
        <v>1</v>
      </c>
      <c r="T32" s="342"/>
      <c r="U32" s="355"/>
      <c r="V32" s="343" t="s">
        <v>72</v>
      </c>
      <c r="W32" s="334" t="s">
        <v>22</v>
      </c>
      <c r="X32" s="334" t="s">
        <v>18</v>
      </c>
      <c r="Y32" s="344">
        <v>58.7</v>
      </c>
      <c r="AD32" s="343"/>
      <c r="AG32" s="344"/>
      <c r="AL32" s="343"/>
      <c r="AO32" s="344"/>
      <c r="AP32" s="343"/>
      <c r="AS32" s="344"/>
      <c r="AW32" s="344"/>
      <c r="BA32" s="345"/>
    </row>
    <row r="33" spans="1:53" s="334" customFormat="1" x14ac:dyDescent="0.15">
      <c r="A33" s="386">
        <v>1972</v>
      </c>
      <c r="B33" s="355"/>
      <c r="C33" s="785" t="s">
        <v>237</v>
      </c>
      <c r="D33" s="785"/>
      <c r="E33" s="334">
        <v>331</v>
      </c>
      <c r="G33" s="419"/>
      <c r="H33" s="334">
        <v>28</v>
      </c>
      <c r="J33" s="435">
        <v>28</v>
      </c>
      <c r="K33" s="384">
        <f t="shared" si="11"/>
        <v>0</v>
      </c>
      <c r="L33" s="384">
        <f t="shared" si="12"/>
        <v>100</v>
      </c>
      <c r="M33" s="384">
        <f t="shared" si="13"/>
        <v>0</v>
      </c>
      <c r="N33" s="421">
        <f t="shared" si="3"/>
        <v>100</v>
      </c>
      <c r="O33" s="383"/>
      <c r="P33" s="384">
        <v>58.7</v>
      </c>
      <c r="Q33" s="384"/>
      <c r="R33" s="385">
        <f t="shared" si="4"/>
        <v>58.7</v>
      </c>
      <c r="S33" s="388">
        <v>1</v>
      </c>
      <c r="T33" s="342"/>
      <c r="U33" s="355"/>
      <c r="V33" s="343" t="s">
        <v>72</v>
      </c>
      <c r="W33" s="334" t="s">
        <v>22</v>
      </c>
      <c r="X33" s="334" t="s">
        <v>18</v>
      </c>
      <c r="Y33" s="344">
        <v>58.7</v>
      </c>
      <c r="AD33" s="343"/>
      <c r="AG33" s="344"/>
      <c r="AL33" s="343"/>
      <c r="AO33" s="344"/>
      <c r="AP33" s="343"/>
      <c r="AS33" s="344"/>
      <c r="AW33" s="344"/>
      <c r="BA33" s="345"/>
    </row>
    <row r="34" spans="1:53" s="73" customFormat="1" x14ac:dyDescent="0.15">
      <c r="A34" s="102">
        <v>1972</v>
      </c>
      <c r="B34" s="85">
        <v>26630</v>
      </c>
      <c r="C34" s="786" t="s">
        <v>238</v>
      </c>
      <c r="D34" s="786"/>
      <c r="E34" s="73">
        <v>35</v>
      </c>
      <c r="F34" s="73">
        <v>1</v>
      </c>
      <c r="G34" s="123"/>
      <c r="H34" s="73">
        <v>27</v>
      </c>
      <c r="J34" s="134">
        <v>27</v>
      </c>
      <c r="K34" s="92">
        <f t="shared" si="11"/>
        <v>0</v>
      </c>
      <c r="L34" s="92">
        <f t="shared" si="12"/>
        <v>100</v>
      </c>
      <c r="M34" s="92">
        <f t="shared" si="13"/>
        <v>0</v>
      </c>
      <c r="N34" s="125">
        <f t="shared" si="3"/>
        <v>100</v>
      </c>
      <c r="O34" s="91"/>
      <c r="P34" s="92">
        <v>41.3</v>
      </c>
      <c r="Q34" s="92"/>
      <c r="R34" s="93">
        <f t="shared" si="4"/>
        <v>41.3</v>
      </c>
      <c r="S34" s="97">
        <v>4</v>
      </c>
      <c r="T34" s="95">
        <v>26602</v>
      </c>
      <c r="U34" s="85">
        <v>26630</v>
      </c>
      <c r="V34" s="82" t="s">
        <v>72</v>
      </c>
      <c r="W34" s="73" t="s">
        <v>22</v>
      </c>
      <c r="X34" s="73" t="s">
        <v>18</v>
      </c>
      <c r="Y34" s="83">
        <v>41.3</v>
      </c>
      <c r="AD34" s="82"/>
      <c r="AG34" s="83"/>
      <c r="AL34" s="82"/>
      <c r="AO34" s="83"/>
      <c r="AP34" s="82"/>
      <c r="AS34" s="83"/>
      <c r="AW34" s="83"/>
      <c r="BA34" s="84"/>
    </row>
    <row r="35" spans="1:53" s="73" customFormat="1" x14ac:dyDescent="0.15">
      <c r="A35" s="102">
        <v>1973</v>
      </c>
      <c r="B35" s="85"/>
      <c r="C35" s="786" t="s">
        <v>238</v>
      </c>
      <c r="D35" s="786"/>
      <c r="E35" s="73">
        <v>0</v>
      </c>
      <c r="G35" s="123"/>
      <c r="H35" s="73">
        <v>27</v>
      </c>
      <c r="J35" s="134">
        <v>27</v>
      </c>
      <c r="K35" s="92">
        <f t="shared" si="11"/>
        <v>0</v>
      </c>
      <c r="L35" s="92">
        <f t="shared" si="12"/>
        <v>100</v>
      </c>
      <c r="M35" s="92">
        <f t="shared" si="13"/>
        <v>0</v>
      </c>
      <c r="N35" s="125">
        <f t="shared" si="3"/>
        <v>100</v>
      </c>
      <c r="O35" s="91"/>
      <c r="P35" s="92">
        <v>41.3</v>
      </c>
      <c r="Q35" s="92"/>
      <c r="R35" s="93">
        <f t="shared" si="4"/>
        <v>41.3</v>
      </c>
      <c r="S35" s="97">
        <v>4</v>
      </c>
      <c r="T35" s="95"/>
      <c r="U35" s="85"/>
      <c r="V35" s="82" t="s">
        <v>72</v>
      </c>
      <c r="W35" s="73" t="s">
        <v>22</v>
      </c>
      <c r="X35" s="73" t="s">
        <v>18</v>
      </c>
      <c r="Y35" s="83">
        <v>41.3</v>
      </c>
      <c r="AD35" s="82"/>
      <c r="AG35" s="83"/>
      <c r="AL35" s="82"/>
      <c r="AO35" s="83"/>
      <c r="AP35" s="82"/>
      <c r="AS35" s="83"/>
      <c r="AW35" s="83"/>
      <c r="BA35" s="84"/>
    </row>
    <row r="36" spans="1:53" s="73" customFormat="1" x14ac:dyDescent="0.15">
      <c r="A36" s="102">
        <v>1973</v>
      </c>
      <c r="B36" s="85"/>
      <c r="C36" s="786" t="s">
        <v>238</v>
      </c>
      <c r="D36" s="786"/>
      <c r="E36" s="73">
        <v>365</v>
      </c>
      <c r="G36" s="123"/>
      <c r="H36" s="73">
        <v>27</v>
      </c>
      <c r="J36" s="134">
        <v>27</v>
      </c>
      <c r="K36" s="92">
        <f t="shared" si="11"/>
        <v>0</v>
      </c>
      <c r="L36" s="92">
        <f t="shared" si="12"/>
        <v>100</v>
      </c>
      <c r="M36" s="92">
        <f t="shared" si="13"/>
        <v>0</v>
      </c>
      <c r="N36" s="125">
        <f t="shared" si="3"/>
        <v>100</v>
      </c>
      <c r="O36" s="91"/>
      <c r="P36" s="92">
        <v>41.3</v>
      </c>
      <c r="Q36" s="92"/>
      <c r="R36" s="93">
        <f t="shared" si="4"/>
        <v>41.3</v>
      </c>
      <c r="S36" s="97">
        <v>4</v>
      </c>
      <c r="T36" s="95"/>
      <c r="U36" s="85"/>
      <c r="V36" s="82" t="s">
        <v>72</v>
      </c>
      <c r="W36" s="73" t="s">
        <v>22</v>
      </c>
      <c r="X36" s="73" t="s">
        <v>18</v>
      </c>
      <c r="Y36" s="83">
        <v>41.3</v>
      </c>
      <c r="AD36" s="82"/>
      <c r="AG36" s="83"/>
      <c r="AL36" s="82"/>
      <c r="AO36" s="83"/>
      <c r="AP36" s="82"/>
      <c r="AS36" s="83"/>
      <c r="AW36" s="83"/>
      <c r="BA36" s="84"/>
    </row>
    <row r="37" spans="1:53" s="73" customFormat="1" x14ac:dyDescent="0.15">
      <c r="A37" s="102">
        <v>1974</v>
      </c>
      <c r="B37" s="85"/>
      <c r="C37" s="786" t="s">
        <v>238</v>
      </c>
      <c r="D37" s="786"/>
      <c r="E37" s="73">
        <v>219</v>
      </c>
      <c r="G37" s="123"/>
      <c r="H37" s="73">
        <v>27</v>
      </c>
      <c r="J37" s="134">
        <v>27</v>
      </c>
      <c r="K37" s="92">
        <f>G37/J37*100</f>
        <v>0</v>
      </c>
      <c r="L37" s="92">
        <f>H37/J37*100</f>
        <v>100</v>
      </c>
      <c r="M37" s="92">
        <f>I37/J37*100</f>
        <v>0</v>
      </c>
      <c r="N37" s="125">
        <f t="shared" si="3"/>
        <v>100</v>
      </c>
      <c r="O37" s="91"/>
      <c r="P37" s="92">
        <v>41.3</v>
      </c>
      <c r="Q37" s="92"/>
      <c r="R37" s="93">
        <f t="shared" si="4"/>
        <v>41.3</v>
      </c>
      <c r="S37" s="97">
        <v>4</v>
      </c>
      <c r="T37" s="95"/>
      <c r="U37" s="85"/>
      <c r="V37" s="82" t="s">
        <v>72</v>
      </c>
      <c r="W37" s="73" t="s">
        <v>22</v>
      </c>
      <c r="X37" s="73" t="s">
        <v>18</v>
      </c>
      <c r="Y37" s="83">
        <v>41.3</v>
      </c>
      <c r="AD37" s="82"/>
      <c r="AG37" s="83"/>
      <c r="AL37" s="82"/>
      <c r="AO37" s="83"/>
      <c r="AP37" s="82"/>
      <c r="AS37" s="83"/>
      <c r="AW37" s="83"/>
      <c r="BA37" s="84"/>
    </row>
    <row r="38" spans="1:53" s="334" customFormat="1" x14ac:dyDescent="0.15">
      <c r="A38" s="386">
        <v>1974</v>
      </c>
      <c r="B38" s="355">
        <v>27249</v>
      </c>
      <c r="C38" s="785" t="s">
        <v>239</v>
      </c>
      <c r="D38" s="785"/>
      <c r="E38" s="334">
        <v>146</v>
      </c>
      <c r="F38" s="334">
        <v>5</v>
      </c>
      <c r="G38" s="419"/>
      <c r="H38" s="334">
        <v>28</v>
      </c>
      <c r="J38" s="435">
        <v>28</v>
      </c>
      <c r="K38" s="384">
        <f t="shared" ref="K38:K43" si="14">G38/J38*100</f>
        <v>0</v>
      </c>
      <c r="L38" s="384">
        <f t="shared" ref="L38:L43" si="15">H38/J38*100</f>
        <v>100</v>
      </c>
      <c r="M38" s="384">
        <f t="shared" ref="M38:M43" si="16">I38/J38*100</f>
        <v>0</v>
      </c>
      <c r="N38" s="421">
        <f t="shared" si="3"/>
        <v>100</v>
      </c>
      <c r="O38" s="383"/>
      <c r="P38" s="384">
        <v>53.4</v>
      </c>
      <c r="Q38" s="384"/>
      <c r="R38" s="385">
        <f t="shared" si="4"/>
        <v>53.4</v>
      </c>
      <c r="S38" s="388">
        <v>1</v>
      </c>
      <c r="T38" s="342">
        <v>27218</v>
      </c>
      <c r="U38" s="355">
        <v>27249</v>
      </c>
      <c r="V38" s="343" t="s">
        <v>72</v>
      </c>
      <c r="W38" s="334" t="s">
        <v>22</v>
      </c>
      <c r="X38" s="334" t="s">
        <v>18</v>
      </c>
      <c r="Y38" s="344">
        <v>53.4</v>
      </c>
      <c r="AD38" s="343"/>
      <c r="AG38" s="344"/>
      <c r="AL38" s="343"/>
      <c r="AO38" s="344"/>
      <c r="AP38" s="343"/>
      <c r="AS38" s="344"/>
      <c r="AW38" s="344"/>
      <c r="BA38" s="345"/>
    </row>
    <row r="39" spans="1:53" s="334" customFormat="1" x14ac:dyDescent="0.15">
      <c r="A39" s="386">
        <v>1975</v>
      </c>
      <c r="B39" s="355"/>
      <c r="C39" s="785" t="s">
        <v>239</v>
      </c>
      <c r="D39" s="785"/>
      <c r="E39" s="334">
        <v>0</v>
      </c>
      <c r="G39" s="419"/>
      <c r="H39" s="334">
        <v>28</v>
      </c>
      <c r="J39" s="435">
        <v>28</v>
      </c>
      <c r="K39" s="384">
        <f t="shared" si="14"/>
        <v>0</v>
      </c>
      <c r="L39" s="384">
        <f t="shared" si="15"/>
        <v>100</v>
      </c>
      <c r="M39" s="384">
        <f t="shared" si="16"/>
        <v>0</v>
      </c>
      <c r="N39" s="421">
        <f t="shared" si="3"/>
        <v>100</v>
      </c>
      <c r="O39" s="383"/>
      <c r="P39" s="384">
        <v>53.4</v>
      </c>
      <c r="Q39" s="384"/>
      <c r="R39" s="385">
        <f t="shared" si="4"/>
        <v>53.4</v>
      </c>
      <c r="S39" s="388">
        <v>1</v>
      </c>
      <c r="T39" s="342"/>
      <c r="U39" s="355"/>
      <c r="V39" s="343" t="s">
        <v>72</v>
      </c>
      <c r="W39" s="334" t="s">
        <v>22</v>
      </c>
      <c r="X39" s="334" t="s">
        <v>18</v>
      </c>
      <c r="Y39" s="344">
        <v>53.4</v>
      </c>
      <c r="AD39" s="343"/>
      <c r="AG39" s="344"/>
      <c r="AL39" s="343"/>
      <c r="AO39" s="344"/>
      <c r="AP39" s="343"/>
      <c r="AS39" s="344"/>
      <c r="AW39" s="344"/>
      <c r="BA39" s="345"/>
    </row>
    <row r="40" spans="1:53" s="334" customFormat="1" x14ac:dyDescent="0.15">
      <c r="A40" s="386">
        <v>1975</v>
      </c>
      <c r="B40" s="355"/>
      <c r="C40" s="785" t="s">
        <v>239</v>
      </c>
      <c r="D40" s="785"/>
      <c r="E40" s="334">
        <f>365-E39</f>
        <v>365</v>
      </c>
      <c r="G40" s="419"/>
      <c r="H40" s="334">
        <v>28</v>
      </c>
      <c r="J40" s="435">
        <v>28</v>
      </c>
      <c r="K40" s="384">
        <f t="shared" si="14"/>
        <v>0</v>
      </c>
      <c r="L40" s="384">
        <f t="shared" si="15"/>
        <v>100</v>
      </c>
      <c r="M40" s="384">
        <f t="shared" si="16"/>
        <v>0</v>
      </c>
      <c r="N40" s="421">
        <f t="shared" si="3"/>
        <v>100</v>
      </c>
      <c r="O40" s="383"/>
      <c r="P40" s="384">
        <v>53.4</v>
      </c>
      <c r="Q40" s="384"/>
      <c r="R40" s="385">
        <f t="shared" si="4"/>
        <v>53.4</v>
      </c>
      <c r="S40" s="388">
        <v>1</v>
      </c>
      <c r="T40" s="342"/>
      <c r="U40" s="355"/>
      <c r="V40" s="343" t="s">
        <v>72</v>
      </c>
      <c r="W40" s="334" t="s">
        <v>22</v>
      </c>
      <c r="X40" s="334" t="s">
        <v>18</v>
      </c>
      <c r="Y40" s="344">
        <v>53.4</v>
      </c>
      <c r="AD40" s="343"/>
      <c r="AG40" s="344"/>
      <c r="AL40" s="343"/>
      <c r="AO40" s="344"/>
      <c r="AP40" s="343"/>
      <c r="AS40" s="344"/>
      <c r="AW40" s="344"/>
      <c r="BA40" s="345"/>
    </row>
    <row r="41" spans="1:53" s="334" customFormat="1" x14ac:dyDescent="0.15">
      <c r="A41" s="386">
        <v>1976</v>
      </c>
      <c r="B41" s="355"/>
      <c r="C41" s="785" t="s">
        <v>239</v>
      </c>
      <c r="D41" s="785"/>
      <c r="E41" s="334">
        <v>0</v>
      </c>
      <c r="G41" s="419"/>
      <c r="H41" s="334">
        <v>28</v>
      </c>
      <c r="J41" s="435">
        <v>28</v>
      </c>
      <c r="K41" s="384">
        <f t="shared" si="14"/>
        <v>0</v>
      </c>
      <c r="L41" s="384">
        <f t="shared" si="15"/>
        <v>100</v>
      </c>
      <c r="M41" s="384">
        <f t="shared" si="16"/>
        <v>0</v>
      </c>
      <c r="N41" s="421">
        <f t="shared" si="3"/>
        <v>100</v>
      </c>
      <c r="O41" s="383"/>
      <c r="P41" s="384">
        <v>53.4</v>
      </c>
      <c r="Q41" s="384"/>
      <c r="R41" s="385">
        <f t="shared" si="4"/>
        <v>53.4</v>
      </c>
      <c r="S41" s="388">
        <v>1</v>
      </c>
      <c r="T41" s="342"/>
      <c r="U41" s="355"/>
      <c r="V41" s="343" t="s">
        <v>72</v>
      </c>
      <c r="W41" s="334" t="s">
        <v>22</v>
      </c>
      <c r="X41" s="334" t="s">
        <v>18</v>
      </c>
      <c r="Y41" s="344">
        <v>53.4</v>
      </c>
      <c r="AD41" s="343"/>
      <c r="AG41" s="344"/>
      <c r="AL41" s="343"/>
      <c r="AO41" s="344"/>
      <c r="AP41" s="343"/>
      <c r="AS41" s="344"/>
      <c r="AW41" s="344"/>
      <c r="BA41" s="345"/>
    </row>
    <row r="42" spans="1:53" s="334" customFormat="1" x14ac:dyDescent="0.15">
      <c r="A42" s="386">
        <v>1976</v>
      </c>
      <c r="B42" s="355"/>
      <c r="C42" s="785" t="s">
        <v>239</v>
      </c>
      <c r="D42" s="785"/>
      <c r="E42" s="334">
        <v>366</v>
      </c>
      <c r="G42" s="419"/>
      <c r="H42" s="334">
        <v>28</v>
      </c>
      <c r="J42" s="435">
        <v>28</v>
      </c>
      <c r="K42" s="384">
        <f t="shared" si="14"/>
        <v>0</v>
      </c>
      <c r="L42" s="384">
        <f t="shared" si="15"/>
        <v>100</v>
      </c>
      <c r="M42" s="384">
        <f t="shared" si="16"/>
        <v>0</v>
      </c>
      <c r="N42" s="421">
        <f t="shared" si="3"/>
        <v>100</v>
      </c>
      <c r="O42" s="383"/>
      <c r="P42" s="384">
        <v>53.4</v>
      </c>
      <c r="Q42" s="384"/>
      <c r="R42" s="385">
        <f t="shared" si="4"/>
        <v>53.4</v>
      </c>
      <c r="S42" s="388">
        <v>1</v>
      </c>
      <c r="T42" s="342"/>
      <c r="U42" s="355"/>
      <c r="V42" s="343" t="s">
        <v>72</v>
      </c>
      <c r="W42" s="334" t="s">
        <v>22</v>
      </c>
      <c r="X42" s="334" t="s">
        <v>18</v>
      </c>
      <c r="Y42" s="344">
        <v>53.4</v>
      </c>
      <c r="AD42" s="343"/>
      <c r="AG42" s="344"/>
      <c r="AL42" s="343"/>
      <c r="AO42" s="344"/>
      <c r="AP42" s="343"/>
      <c r="AS42" s="344"/>
      <c r="AW42" s="344"/>
      <c r="BA42" s="345"/>
    </row>
    <row r="43" spans="1:53" s="334" customFormat="1" x14ac:dyDescent="0.15">
      <c r="A43" s="386">
        <v>1977</v>
      </c>
      <c r="B43" s="355"/>
      <c r="C43" s="785" t="s">
        <v>239</v>
      </c>
      <c r="D43" s="785"/>
      <c r="E43" s="334">
        <v>0</v>
      </c>
      <c r="G43" s="419"/>
      <c r="H43" s="334">
        <v>28</v>
      </c>
      <c r="J43" s="435">
        <v>28</v>
      </c>
      <c r="K43" s="384">
        <f t="shared" si="14"/>
        <v>0</v>
      </c>
      <c r="L43" s="384">
        <f t="shared" si="15"/>
        <v>100</v>
      </c>
      <c r="M43" s="384">
        <f t="shared" si="16"/>
        <v>0</v>
      </c>
      <c r="N43" s="421">
        <f t="shared" si="3"/>
        <v>100</v>
      </c>
      <c r="O43" s="383"/>
      <c r="P43" s="384">
        <v>53.4</v>
      </c>
      <c r="Q43" s="384"/>
      <c r="R43" s="385">
        <f t="shared" si="4"/>
        <v>53.4</v>
      </c>
      <c r="S43" s="388">
        <v>1</v>
      </c>
      <c r="T43" s="342"/>
      <c r="U43" s="355"/>
      <c r="V43" s="343" t="s">
        <v>72</v>
      </c>
      <c r="W43" s="334" t="s">
        <v>22</v>
      </c>
      <c r="X43" s="334" t="s">
        <v>18</v>
      </c>
      <c r="Y43" s="344">
        <v>53.4</v>
      </c>
      <c r="AD43" s="343"/>
      <c r="AG43" s="344"/>
      <c r="AL43" s="343"/>
      <c r="AO43" s="344"/>
      <c r="AP43" s="343"/>
      <c r="AS43" s="344"/>
      <c r="AW43" s="344"/>
      <c r="BA43" s="345"/>
    </row>
    <row r="44" spans="1:53" s="334" customFormat="1" x14ac:dyDescent="0.15">
      <c r="A44" s="386">
        <v>1977</v>
      </c>
      <c r="B44" s="355"/>
      <c r="C44" s="785" t="s">
        <v>239</v>
      </c>
      <c r="D44" s="785"/>
      <c r="E44" s="334">
        <v>365</v>
      </c>
      <c r="G44" s="419"/>
      <c r="H44" s="334">
        <v>28</v>
      </c>
      <c r="J44" s="435">
        <v>28</v>
      </c>
      <c r="K44" s="384">
        <f>G44/J44*100</f>
        <v>0</v>
      </c>
      <c r="L44" s="384">
        <f>H44/J44*100</f>
        <v>100</v>
      </c>
      <c r="M44" s="384">
        <f>I44/J44*100</f>
        <v>0</v>
      </c>
      <c r="N44" s="421">
        <f t="shared" si="3"/>
        <v>100</v>
      </c>
      <c r="O44" s="383"/>
      <c r="P44" s="384">
        <v>53.4</v>
      </c>
      <c r="Q44" s="384"/>
      <c r="R44" s="385">
        <f t="shared" si="4"/>
        <v>53.4</v>
      </c>
      <c r="S44" s="388">
        <v>1</v>
      </c>
      <c r="T44" s="342"/>
      <c r="U44" s="355"/>
      <c r="V44" s="343" t="s">
        <v>72</v>
      </c>
      <c r="W44" s="334" t="s">
        <v>22</v>
      </c>
      <c r="X44" s="334" t="s">
        <v>18</v>
      </c>
      <c r="Y44" s="344">
        <v>53.4</v>
      </c>
      <c r="AD44" s="343"/>
      <c r="AG44" s="344"/>
      <c r="AL44" s="343"/>
      <c r="AO44" s="344"/>
      <c r="AP44" s="343"/>
      <c r="AS44" s="344"/>
      <c r="AW44" s="344"/>
      <c r="BA44" s="345"/>
    </row>
    <row r="45" spans="1:53" s="334" customFormat="1" x14ac:dyDescent="0.15">
      <c r="A45" s="386">
        <v>1978</v>
      </c>
      <c r="B45" s="355"/>
      <c r="C45" s="785" t="s">
        <v>239</v>
      </c>
      <c r="D45" s="785"/>
      <c r="E45" s="334">
        <v>0</v>
      </c>
      <c r="G45" s="419"/>
      <c r="H45" s="334">
        <v>28</v>
      </c>
      <c r="J45" s="435">
        <v>28</v>
      </c>
      <c r="K45" s="384">
        <f t="shared" ref="K45:K50" si="17">G45/J45*100</f>
        <v>0</v>
      </c>
      <c r="L45" s="384">
        <f t="shared" ref="L45:L50" si="18">H45/J45*100</f>
        <v>100</v>
      </c>
      <c r="M45" s="384">
        <f t="shared" ref="M45:M50" si="19">I45/J45*100</f>
        <v>0</v>
      </c>
      <c r="N45" s="421">
        <f t="shared" si="3"/>
        <v>100</v>
      </c>
      <c r="O45" s="383"/>
      <c r="P45" s="384">
        <v>53.4</v>
      </c>
      <c r="Q45" s="384"/>
      <c r="R45" s="385">
        <f t="shared" si="4"/>
        <v>53.4</v>
      </c>
      <c r="S45" s="388">
        <v>1</v>
      </c>
      <c r="T45" s="342"/>
      <c r="U45" s="355"/>
      <c r="V45" s="343" t="s">
        <v>72</v>
      </c>
      <c r="W45" s="334" t="s">
        <v>22</v>
      </c>
      <c r="X45" s="334" t="s">
        <v>18</v>
      </c>
      <c r="Y45" s="344">
        <v>53.4</v>
      </c>
      <c r="AD45" s="343"/>
      <c r="AG45" s="344"/>
      <c r="AL45" s="343"/>
      <c r="AO45" s="344"/>
      <c r="AP45" s="343"/>
      <c r="AS45" s="344"/>
      <c r="AW45" s="344"/>
      <c r="BA45" s="345"/>
    </row>
    <row r="46" spans="1:53" s="334" customFormat="1" x14ac:dyDescent="0.15">
      <c r="A46" s="386">
        <v>1978</v>
      </c>
      <c r="B46" s="355"/>
      <c r="C46" s="785" t="s">
        <v>239</v>
      </c>
      <c r="D46" s="785"/>
      <c r="E46" s="334">
        <v>365</v>
      </c>
      <c r="G46" s="419"/>
      <c r="H46" s="334">
        <v>28</v>
      </c>
      <c r="J46" s="435">
        <v>28</v>
      </c>
      <c r="K46" s="384">
        <f t="shared" si="17"/>
        <v>0</v>
      </c>
      <c r="L46" s="384">
        <f t="shared" si="18"/>
        <v>100</v>
      </c>
      <c r="M46" s="384">
        <f t="shared" si="19"/>
        <v>0</v>
      </c>
      <c r="N46" s="421">
        <f t="shared" si="3"/>
        <v>100</v>
      </c>
      <c r="O46" s="383"/>
      <c r="P46" s="384">
        <v>53.4</v>
      </c>
      <c r="Q46" s="384"/>
      <c r="R46" s="385">
        <f t="shared" si="4"/>
        <v>53.4</v>
      </c>
      <c r="S46" s="388">
        <v>1</v>
      </c>
      <c r="T46" s="342"/>
      <c r="U46" s="355"/>
      <c r="V46" s="343" t="s">
        <v>72</v>
      </c>
      <c r="W46" s="334" t="s">
        <v>22</v>
      </c>
      <c r="X46" s="334" t="s">
        <v>18</v>
      </c>
      <c r="Y46" s="344">
        <v>53.4</v>
      </c>
      <c r="AD46" s="343"/>
      <c r="AG46" s="344"/>
      <c r="AL46" s="343"/>
      <c r="AO46" s="344"/>
      <c r="AP46" s="343"/>
      <c r="AS46" s="344"/>
      <c r="AW46" s="344"/>
      <c r="BA46" s="345"/>
    </row>
    <row r="47" spans="1:53" s="334" customFormat="1" x14ac:dyDescent="0.15">
      <c r="A47" s="386">
        <v>1979</v>
      </c>
      <c r="B47" s="355"/>
      <c r="C47" s="785" t="s">
        <v>239</v>
      </c>
      <c r="D47" s="785"/>
      <c r="E47" s="334">
        <v>154</v>
      </c>
      <c r="G47" s="419"/>
      <c r="H47" s="334">
        <v>28</v>
      </c>
      <c r="J47" s="435">
        <v>28</v>
      </c>
      <c r="K47" s="384">
        <f t="shared" si="17"/>
        <v>0</v>
      </c>
      <c r="L47" s="384">
        <f t="shared" si="18"/>
        <v>100</v>
      </c>
      <c r="M47" s="384">
        <f t="shared" si="19"/>
        <v>0</v>
      </c>
      <c r="N47" s="421">
        <f t="shared" si="3"/>
        <v>100</v>
      </c>
      <c r="O47" s="383"/>
      <c r="P47" s="384">
        <v>53.4</v>
      </c>
      <c r="Q47" s="384"/>
      <c r="R47" s="385">
        <f t="shared" si="4"/>
        <v>53.4</v>
      </c>
      <c r="S47" s="388">
        <v>1</v>
      </c>
      <c r="T47" s="342"/>
      <c r="U47" s="355"/>
      <c r="V47" s="343" t="s">
        <v>72</v>
      </c>
      <c r="W47" s="334" t="s">
        <v>22</v>
      </c>
      <c r="X47" s="334" t="s">
        <v>18</v>
      </c>
      <c r="Y47" s="344">
        <v>53.4</v>
      </c>
      <c r="AD47" s="343"/>
      <c r="AG47" s="344"/>
      <c r="AL47" s="343"/>
      <c r="AO47" s="344"/>
      <c r="AP47" s="343"/>
      <c r="AS47" s="344"/>
      <c r="AW47" s="344"/>
      <c r="BA47" s="345"/>
    </row>
    <row r="48" spans="1:53" s="73" customFormat="1" x14ac:dyDescent="0.15">
      <c r="A48" s="102">
        <v>1979</v>
      </c>
      <c r="B48" s="85">
        <v>29010</v>
      </c>
      <c r="C48" s="786" t="s">
        <v>240</v>
      </c>
      <c r="D48" s="786"/>
      <c r="E48" s="73">
        <v>211</v>
      </c>
      <c r="F48" s="73">
        <v>1</v>
      </c>
      <c r="G48" s="123">
        <v>11</v>
      </c>
      <c r="J48" s="134">
        <v>11</v>
      </c>
      <c r="K48" s="92">
        <f t="shared" si="17"/>
        <v>100</v>
      </c>
      <c r="L48" s="92">
        <f t="shared" si="18"/>
        <v>0</v>
      </c>
      <c r="M48" s="92">
        <f t="shared" si="19"/>
        <v>0</v>
      </c>
      <c r="N48" s="125">
        <f t="shared" si="3"/>
        <v>100</v>
      </c>
      <c r="O48" s="91">
        <v>48.2</v>
      </c>
      <c r="P48" s="92"/>
      <c r="Q48" s="92"/>
      <c r="R48" s="93">
        <f t="shared" si="4"/>
        <v>48.2</v>
      </c>
      <c r="S48" s="97">
        <v>4</v>
      </c>
      <c r="T48" s="95">
        <v>28997</v>
      </c>
      <c r="U48" s="85">
        <v>29010</v>
      </c>
      <c r="V48" s="82" t="s">
        <v>101</v>
      </c>
      <c r="W48" s="73" t="s">
        <v>74</v>
      </c>
      <c r="X48" s="73" t="s">
        <v>11</v>
      </c>
      <c r="Y48" s="83">
        <v>48.2</v>
      </c>
      <c r="AD48" s="82"/>
      <c r="AG48" s="83"/>
      <c r="AL48" s="82"/>
      <c r="AO48" s="83"/>
      <c r="AP48" s="82"/>
      <c r="AS48" s="83"/>
      <c r="AW48" s="83"/>
      <c r="BA48" s="84"/>
    </row>
    <row r="49" spans="1:53" s="73" customFormat="1" x14ac:dyDescent="0.15">
      <c r="A49" s="102">
        <v>1980</v>
      </c>
      <c r="B49" s="85"/>
      <c r="C49" s="786" t="s">
        <v>240</v>
      </c>
      <c r="D49" s="786"/>
      <c r="E49" s="73">
        <v>62</v>
      </c>
      <c r="G49" s="123">
        <v>11</v>
      </c>
      <c r="J49" s="134">
        <v>11</v>
      </c>
      <c r="K49" s="92">
        <f t="shared" si="17"/>
        <v>100</v>
      </c>
      <c r="L49" s="92">
        <f t="shared" si="18"/>
        <v>0</v>
      </c>
      <c r="M49" s="92">
        <f t="shared" si="19"/>
        <v>0</v>
      </c>
      <c r="N49" s="125">
        <f t="shared" si="3"/>
        <v>100</v>
      </c>
      <c r="O49" s="91">
        <v>48.2</v>
      </c>
      <c r="P49" s="92"/>
      <c r="Q49" s="92"/>
      <c r="R49" s="93">
        <f t="shared" si="4"/>
        <v>48.2</v>
      </c>
      <c r="S49" s="97">
        <v>4</v>
      </c>
      <c r="T49" s="95"/>
      <c r="U49" s="85"/>
      <c r="V49" s="82" t="s">
        <v>101</v>
      </c>
      <c r="W49" s="73" t="s">
        <v>74</v>
      </c>
      <c r="X49" s="73" t="s">
        <v>11</v>
      </c>
      <c r="Y49" s="83">
        <v>48.2</v>
      </c>
      <c r="AD49" s="82"/>
      <c r="AG49" s="83"/>
      <c r="AL49" s="82"/>
      <c r="AO49" s="83"/>
      <c r="AP49" s="82"/>
      <c r="AS49" s="83"/>
      <c r="AW49" s="83"/>
      <c r="BA49" s="84"/>
    </row>
    <row r="50" spans="1:53" s="334" customFormat="1" x14ac:dyDescent="0.15">
      <c r="A50" s="386">
        <v>1980</v>
      </c>
      <c r="B50" s="355">
        <v>29283</v>
      </c>
      <c r="C50" s="785" t="s">
        <v>241</v>
      </c>
      <c r="D50" s="785"/>
      <c r="E50" s="334">
        <v>304</v>
      </c>
      <c r="F50" s="334">
        <v>5</v>
      </c>
      <c r="G50" s="419"/>
      <c r="H50" s="334">
        <v>27</v>
      </c>
      <c r="J50" s="435">
        <v>27</v>
      </c>
      <c r="K50" s="384">
        <f t="shared" si="17"/>
        <v>0</v>
      </c>
      <c r="L50" s="384">
        <f t="shared" si="18"/>
        <v>100</v>
      </c>
      <c r="M50" s="384">
        <f t="shared" si="19"/>
        <v>0</v>
      </c>
      <c r="N50" s="421">
        <f t="shared" si="3"/>
        <v>100</v>
      </c>
      <c r="O50" s="383"/>
      <c r="P50" s="384">
        <v>52.1</v>
      </c>
      <c r="Q50" s="384"/>
      <c r="R50" s="385">
        <f t="shared" si="4"/>
        <v>52.1</v>
      </c>
      <c r="S50" s="388">
        <v>1</v>
      </c>
      <c r="T50" s="342">
        <v>29269</v>
      </c>
      <c r="U50" s="355">
        <v>29283</v>
      </c>
      <c r="V50" s="343" t="s">
        <v>72</v>
      </c>
      <c r="W50" s="334" t="s">
        <v>22</v>
      </c>
      <c r="X50" s="334" t="s">
        <v>18</v>
      </c>
      <c r="Y50" s="344">
        <v>52.1</v>
      </c>
      <c r="AD50" s="343"/>
      <c r="AG50" s="344"/>
      <c r="AL50" s="343"/>
      <c r="AO50" s="344"/>
      <c r="AP50" s="343"/>
      <c r="AS50" s="344"/>
      <c r="AW50" s="344"/>
      <c r="BA50" s="345"/>
    </row>
    <row r="51" spans="1:53" s="334" customFormat="1" x14ac:dyDescent="0.15">
      <c r="A51" s="386">
        <v>1981</v>
      </c>
      <c r="B51" s="355"/>
      <c r="C51" s="785" t="s">
        <v>241</v>
      </c>
      <c r="D51" s="785"/>
      <c r="E51" s="334">
        <v>0</v>
      </c>
      <c r="G51" s="419"/>
      <c r="H51" s="334">
        <v>27</v>
      </c>
      <c r="J51" s="435">
        <v>27</v>
      </c>
      <c r="K51" s="384">
        <f>G51/J51*100</f>
        <v>0</v>
      </c>
      <c r="L51" s="384">
        <f>H51/J51*100</f>
        <v>100</v>
      </c>
      <c r="M51" s="384">
        <f>I51/J51*100</f>
        <v>0</v>
      </c>
      <c r="N51" s="421">
        <f t="shared" si="3"/>
        <v>100</v>
      </c>
      <c r="O51" s="383"/>
      <c r="P51" s="384">
        <v>52.1</v>
      </c>
      <c r="Q51" s="384"/>
      <c r="R51" s="385">
        <f t="shared" si="4"/>
        <v>52.1</v>
      </c>
      <c r="S51" s="388">
        <v>1</v>
      </c>
      <c r="T51" s="342"/>
      <c r="U51" s="355"/>
      <c r="V51" s="343" t="s">
        <v>72</v>
      </c>
      <c r="W51" s="334" t="s">
        <v>22</v>
      </c>
      <c r="X51" s="334" t="s">
        <v>18</v>
      </c>
      <c r="Y51" s="344">
        <v>52.1</v>
      </c>
      <c r="AD51" s="343"/>
      <c r="AG51" s="344"/>
      <c r="AL51" s="343"/>
      <c r="AO51" s="344"/>
      <c r="AP51" s="343"/>
      <c r="AS51" s="344"/>
      <c r="AW51" s="344"/>
      <c r="BA51" s="345"/>
    </row>
    <row r="52" spans="1:53" s="334" customFormat="1" x14ac:dyDescent="0.15">
      <c r="A52" s="386">
        <v>1981</v>
      </c>
      <c r="B52" s="355"/>
      <c r="C52" s="785" t="s">
        <v>241</v>
      </c>
      <c r="D52" s="785"/>
      <c r="E52" s="334">
        <f>365-E51</f>
        <v>365</v>
      </c>
      <c r="G52" s="419"/>
      <c r="H52" s="334">
        <v>27</v>
      </c>
      <c r="J52" s="435">
        <v>27</v>
      </c>
      <c r="K52" s="384">
        <f t="shared" ref="K52:K57" si="20">G52/J52*100</f>
        <v>0</v>
      </c>
      <c r="L52" s="384">
        <f t="shared" ref="L52:L57" si="21">H52/J52*100</f>
        <v>100</v>
      </c>
      <c r="M52" s="384">
        <f t="shared" ref="M52:M57" si="22">I52/J52*100</f>
        <v>0</v>
      </c>
      <c r="N52" s="421">
        <f t="shared" si="3"/>
        <v>100</v>
      </c>
      <c r="O52" s="383"/>
      <c r="P52" s="384">
        <v>52.1</v>
      </c>
      <c r="Q52" s="384"/>
      <c r="R52" s="385">
        <f t="shared" si="4"/>
        <v>52.1</v>
      </c>
      <c r="S52" s="388">
        <v>1</v>
      </c>
      <c r="T52" s="342"/>
      <c r="U52" s="355"/>
      <c r="V52" s="343" t="s">
        <v>72</v>
      </c>
      <c r="W52" s="334" t="s">
        <v>22</v>
      </c>
      <c r="X52" s="334" t="s">
        <v>18</v>
      </c>
      <c r="Y52" s="344">
        <v>52.1</v>
      </c>
      <c r="AD52" s="343"/>
      <c r="AG52" s="344"/>
      <c r="AL52" s="343"/>
      <c r="AO52" s="344"/>
      <c r="AP52" s="343"/>
      <c r="AS52" s="344"/>
      <c r="AW52" s="344"/>
      <c r="BA52" s="345"/>
    </row>
    <row r="53" spans="1:53" s="334" customFormat="1" x14ac:dyDescent="0.15">
      <c r="A53" s="386">
        <v>1982</v>
      </c>
      <c r="B53" s="355"/>
      <c r="C53" s="785" t="s">
        <v>241</v>
      </c>
      <c r="D53" s="785"/>
      <c r="E53" s="334">
        <v>0</v>
      </c>
      <c r="G53" s="419"/>
      <c r="H53" s="334">
        <v>27</v>
      </c>
      <c r="J53" s="435">
        <v>27</v>
      </c>
      <c r="K53" s="384">
        <f t="shared" si="20"/>
        <v>0</v>
      </c>
      <c r="L53" s="384">
        <f t="shared" si="21"/>
        <v>100</v>
      </c>
      <c r="M53" s="384">
        <f t="shared" si="22"/>
        <v>0</v>
      </c>
      <c r="N53" s="421">
        <f t="shared" si="3"/>
        <v>100</v>
      </c>
      <c r="O53" s="383"/>
      <c r="P53" s="384">
        <v>52.1</v>
      </c>
      <c r="Q53" s="384"/>
      <c r="R53" s="385">
        <f t="shared" si="4"/>
        <v>52.1</v>
      </c>
      <c r="S53" s="388">
        <v>1</v>
      </c>
      <c r="T53" s="342"/>
      <c r="U53" s="355"/>
      <c r="V53" s="343" t="s">
        <v>72</v>
      </c>
      <c r="W53" s="334" t="s">
        <v>22</v>
      </c>
      <c r="X53" s="334" t="s">
        <v>18</v>
      </c>
      <c r="Y53" s="344">
        <v>52.1</v>
      </c>
      <c r="AD53" s="343"/>
      <c r="AG53" s="344"/>
      <c r="AL53" s="343"/>
      <c r="AO53" s="344"/>
      <c r="AP53" s="343"/>
      <c r="AS53" s="344"/>
      <c r="AW53" s="344"/>
      <c r="BA53" s="345"/>
    </row>
    <row r="54" spans="1:53" s="334" customFormat="1" x14ac:dyDescent="0.15">
      <c r="A54" s="386">
        <v>1982</v>
      </c>
      <c r="B54" s="355"/>
      <c r="C54" s="785" t="s">
        <v>241</v>
      </c>
      <c r="D54" s="785"/>
      <c r="E54" s="334">
        <f>365-E53</f>
        <v>365</v>
      </c>
      <c r="G54" s="419"/>
      <c r="H54" s="334">
        <v>27</v>
      </c>
      <c r="J54" s="435">
        <v>27</v>
      </c>
      <c r="K54" s="384">
        <f t="shared" si="20"/>
        <v>0</v>
      </c>
      <c r="L54" s="384">
        <f t="shared" si="21"/>
        <v>100</v>
      </c>
      <c r="M54" s="384">
        <f t="shared" si="22"/>
        <v>0</v>
      </c>
      <c r="N54" s="421">
        <f t="shared" si="3"/>
        <v>100</v>
      </c>
      <c r="O54" s="383"/>
      <c r="P54" s="384">
        <v>52.1</v>
      </c>
      <c r="Q54" s="384"/>
      <c r="R54" s="385">
        <f t="shared" si="4"/>
        <v>52.1</v>
      </c>
      <c r="S54" s="388">
        <v>1</v>
      </c>
      <c r="T54" s="342"/>
      <c r="U54" s="355"/>
      <c r="V54" s="343" t="s">
        <v>72</v>
      </c>
      <c r="W54" s="334" t="s">
        <v>22</v>
      </c>
      <c r="X54" s="334" t="s">
        <v>18</v>
      </c>
      <c r="Y54" s="344">
        <v>52.1</v>
      </c>
      <c r="AD54" s="343"/>
      <c r="AG54" s="344"/>
      <c r="AL54" s="343"/>
      <c r="AO54" s="344"/>
      <c r="AP54" s="343"/>
      <c r="AS54" s="344"/>
      <c r="AW54" s="344"/>
      <c r="BA54" s="345"/>
    </row>
    <row r="55" spans="1:53" s="334" customFormat="1" x14ac:dyDescent="0.15">
      <c r="A55" s="386">
        <v>1983</v>
      </c>
      <c r="B55" s="355"/>
      <c r="C55" s="785" t="s">
        <v>241</v>
      </c>
      <c r="D55" s="785"/>
      <c r="E55" s="334">
        <v>180</v>
      </c>
      <c r="G55" s="419"/>
      <c r="H55" s="334">
        <v>27</v>
      </c>
      <c r="J55" s="435">
        <v>27</v>
      </c>
      <c r="K55" s="384">
        <f t="shared" si="20"/>
        <v>0</v>
      </c>
      <c r="L55" s="384">
        <f t="shared" si="21"/>
        <v>100</v>
      </c>
      <c r="M55" s="384">
        <f t="shared" si="22"/>
        <v>0</v>
      </c>
      <c r="N55" s="421">
        <f t="shared" si="3"/>
        <v>100</v>
      </c>
      <c r="O55" s="383"/>
      <c r="P55" s="384">
        <v>52.1</v>
      </c>
      <c r="Q55" s="384"/>
      <c r="R55" s="385">
        <f t="shared" si="4"/>
        <v>52.1</v>
      </c>
      <c r="S55" s="388">
        <v>1</v>
      </c>
      <c r="T55" s="342"/>
      <c r="U55" s="355"/>
      <c r="V55" s="343" t="s">
        <v>72</v>
      </c>
      <c r="W55" s="334" t="s">
        <v>22</v>
      </c>
      <c r="X55" s="334" t="s">
        <v>18</v>
      </c>
      <c r="Y55" s="344">
        <v>52.1</v>
      </c>
      <c r="AD55" s="343"/>
      <c r="AG55" s="344"/>
      <c r="AL55" s="343"/>
      <c r="AO55" s="344"/>
      <c r="AP55" s="343"/>
      <c r="AS55" s="344"/>
      <c r="AW55" s="344"/>
      <c r="BA55" s="345"/>
    </row>
    <row r="56" spans="1:53" s="73" customFormat="1" x14ac:dyDescent="0.15">
      <c r="A56" s="102">
        <v>1983</v>
      </c>
      <c r="B56" s="85">
        <v>30497</v>
      </c>
      <c r="C56" s="786" t="s">
        <v>242</v>
      </c>
      <c r="D56" s="786"/>
      <c r="E56" s="73">
        <f>365-E55</f>
        <v>185</v>
      </c>
      <c r="F56" s="73">
        <v>2</v>
      </c>
      <c r="G56" s="123"/>
      <c r="H56" s="73">
        <v>25</v>
      </c>
      <c r="J56" s="134">
        <v>25</v>
      </c>
      <c r="K56" s="92">
        <f t="shared" si="20"/>
        <v>0</v>
      </c>
      <c r="L56" s="92">
        <f t="shared" si="21"/>
        <v>100</v>
      </c>
      <c r="M56" s="92">
        <f t="shared" si="22"/>
        <v>0</v>
      </c>
      <c r="N56" s="125">
        <f t="shared" si="3"/>
        <v>100</v>
      </c>
      <c r="O56" s="91"/>
      <c r="P56" s="92">
        <v>52.1</v>
      </c>
      <c r="Q56" s="92"/>
      <c r="R56" s="93">
        <f t="shared" si="4"/>
        <v>52.1</v>
      </c>
      <c r="S56" s="97">
        <v>1</v>
      </c>
      <c r="T56" s="95"/>
      <c r="U56" s="85">
        <v>30497</v>
      </c>
      <c r="V56" s="82" t="s">
        <v>72</v>
      </c>
      <c r="W56" s="73" t="s">
        <v>22</v>
      </c>
      <c r="X56" s="73" t="s">
        <v>18</v>
      </c>
      <c r="Y56" s="83">
        <v>52.1</v>
      </c>
      <c r="AD56" s="82"/>
      <c r="AG56" s="83"/>
      <c r="AL56" s="82"/>
      <c r="AO56" s="83"/>
      <c r="AP56" s="82"/>
      <c r="AS56" s="83"/>
      <c r="AW56" s="83"/>
      <c r="BA56" s="84"/>
    </row>
    <row r="57" spans="1:53" s="73" customFormat="1" x14ac:dyDescent="0.15">
      <c r="A57" s="102">
        <v>1984</v>
      </c>
      <c r="B57" s="85"/>
      <c r="C57" s="786" t="s">
        <v>242</v>
      </c>
      <c r="D57" s="786"/>
      <c r="E57" s="73">
        <v>260</v>
      </c>
      <c r="G57" s="123"/>
      <c r="H57" s="73">
        <v>25</v>
      </c>
      <c r="J57" s="134">
        <v>25</v>
      </c>
      <c r="K57" s="92">
        <f t="shared" si="20"/>
        <v>0</v>
      </c>
      <c r="L57" s="92">
        <f t="shared" si="21"/>
        <v>100</v>
      </c>
      <c r="M57" s="92">
        <f t="shared" si="22"/>
        <v>0</v>
      </c>
      <c r="N57" s="125">
        <f t="shared" si="3"/>
        <v>100</v>
      </c>
      <c r="O57" s="91"/>
      <c r="P57" s="92">
        <v>52.1</v>
      </c>
      <c r="Q57" s="92"/>
      <c r="R57" s="93">
        <f t="shared" si="4"/>
        <v>52.1</v>
      </c>
      <c r="S57" s="97">
        <v>1</v>
      </c>
      <c r="T57" s="95"/>
      <c r="U57" s="85"/>
      <c r="V57" s="82" t="s">
        <v>72</v>
      </c>
      <c r="W57" s="73" t="s">
        <v>22</v>
      </c>
      <c r="X57" s="73" t="s">
        <v>18</v>
      </c>
      <c r="Y57" s="83">
        <v>52.1</v>
      </c>
      <c r="AD57" s="82"/>
      <c r="AG57" s="83"/>
      <c r="AL57" s="82"/>
      <c r="AO57" s="83"/>
      <c r="AP57" s="82"/>
      <c r="AS57" s="83"/>
      <c r="AW57" s="83"/>
      <c r="BA57" s="84"/>
    </row>
    <row r="58" spans="1:53" s="334" customFormat="1" x14ac:dyDescent="0.15">
      <c r="A58" s="386">
        <v>1984</v>
      </c>
      <c r="B58" s="355">
        <v>30942</v>
      </c>
      <c r="C58" s="785" t="s">
        <v>243</v>
      </c>
      <c r="D58" s="785"/>
      <c r="E58" s="334">
        <v>106</v>
      </c>
      <c r="F58" s="334">
        <v>1</v>
      </c>
      <c r="G58" s="419">
        <v>30</v>
      </c>
      <c r="J58" s="435">
        <v>30</v>
      </c>
      <c r="K58" s="384">
        <f>G58/J58*100</f>
        <v>100</v>
      </c>
      <c r="L58" s="384">
        <f>H58/J58*100</f>
        <v>0</v>
      </c>
      <c r="M58" s="384">
        <f>I58/J58*100</f>
        <v>0</v>
      </c>
      <c r="N58" s="421">
        <f t="shared" si="3"/>
        <v>100</v>
      </c>
      <c r="O58" s="383">
        <v>74.8</v>
      </c>
      <c r="P58" s="384"/>
      <c r="Q58" s="384"/>
      <c r="R58" s="385">
        <f t="shared" si="4"/>
        <v>74.8</v>
      </c>
      <c r="S58" s="388">
        <v>1</v>
      </c>
      <c r="T58" s="342">
        <v>30929</v>
      </c>
      <c r="U58" s="355">
        <v>30942</v>
      </c>
      <c r="V58" s="343" t="s">
        <v>101</v>
      </c>
      <c r="W58" s="334" t="s">
        <v>74</v>
      </c>
      <c r="X58" s="334" t="s">
        <v>11</v>
      </c>
      <c r="Y58" s="344">
        <v>74.8</v>
      </c>
      <c r="AD58" s="343"/>
      <c r="AG58" s="344"/>
      <c r="AL58" s="343"/>
      <c r="AO58" s="344"/>
      <c r="AP58" s="343"/>
      <c r="AS58" s="344"/>
      <c r="AW58" s="344"/>
      <c r="BA58" s="345"/>
    </row>
    <row r="59" spans="1:53" s="334" customFormat="1" x14ac:dyDescent="0.15">
      <c r="A59" s="386">
        <v>1985</v>
      </c>
      <c r="B59" s="355"/>
      <c r="C59" s="785" t="s">
        <v>243</v>
      </c>
      <c r="D59" s="785"/>
      <c r="E59" s="334">
        <v>0</v>
      </c>
      <c r="G59" s="419">
        <v>30</v>
      </c>
      <c r="J59" s="435">
        <v>30</v>
      </c>
      <c r="K59" s="384">
        <f t="shared" ref="K59:K64" si="23">G59/J59*100</f>
        <v>100</v>
      </c>
      <c r="L59" s="384">
        <f t="shared" ref="L59:L64" si="24">H59/J59*100</f>
        <v>0</v>
      </c>
      <c r="M59" s="384">
        <f t="shared" ref="M59:M64" si="25">I59/J59*100</f>
        <v>0</v>
      </c>
      <c r="N59" s="421">
        <f t="shared" si="3"/>
        <v>100</v>
      </c>
      <c r="O59" s="383">
        <v>74.8</v>
      </c>
      <c r="P59" s="384"/>
      <c r="Q59" s="384"/>
      <c r="R59" s="385">
        <f t="shared" si="4"/>
        <v>74.8</v>
      </c>
      <c r="S59" s="388">
        <v>1</v>
      </c>
      <c r="T59" s="342"/>
      <c r="U59" s="355"/>
      <c r="V59" s="343" t="s">
        <v>101</v>
      </c>
      <c r="W59" s="334" t="s">
        <v>74</v>
      </c>
      <c r="X59" s="334" t="s">
        <v>11</v>
      </c>
      <c r="Y59" s="344">
        <v>74.8</v>
      </c>
      <c r="AD59" s="343"/>
      <c r="AG59" s="344"/>
      <c r="AL59" s="343"/>
      <c r="AO59" s="344"/>
      <c r="AP59" s="343"/>
      <c r="AS59" s="344"/>
      <c r="AW59" s="344"/>
      <c r="BA59" s="345"/>
    </row>
    <row r="60" spans="1:53" s="334" customFormat="1" x14ac:dyDescent="0.15">
      <c r="A60" s="386">
        <v>1985</v>
      </c>
      <c r="B60" s="355"/>
      <c r="C60" s="785" t="s">
        <v>243</v>
      </c>
      <c r="D60" s="785"/>
      <c r="E60" s="334">
        <v>365</v>
      </c>
      <c r="G60" s="419">
        <v>30</v>
      </c>
      <c r="J60" s="435">
        <v>30</v>
      </c>
      <c r="K60" s="384">
        <f t="shared" si="23"/>
        <v>100</v>
      </c>
      <c r="L60" s="384">
        <f t="shared" si="24"/>
        <v>0</v>
      </c>
      <c r="M60" s="384">
        <f t="shared" si="25"/>
        <v>0</v>
      </c>
      <c r="N60" s="421">
        <f t="shared" si="3"/>
        <v>100</v>
      </c>
      <c r="O60" s="383">
        <v>74.8</v>
      </c>
      <c r="P60" s="384"/>
      <c r="Q60" s="384"/>
      <c r="R60" s="385">
        <f t="shared" si="4"/>
        <v>74.8</v>
      </c>
      <c r="S60" s="388">
        <v>1</v>
      </c>
      <c r="T60" s="342"/>
      <c r="U60" s="355"/>
      <c r="V60" s="343" t="s">
        <v>101</v>
      </c>
      <c r="W60" s="334" t="s">
        <v>74</v>
      </c>
      <c r="X60" s="334" t="s">
        <v>11</v>
      </c>
      <c r="Y60" s="344">
        <v>74.8</v>
      </c>
      <c r="AD60" s="343"/>
      <c r="AG60" s="344"/>
      <c r="AL60" s="343"/>
      <c r="AO60" s="344"/>
      <c r="AP60" s="343"/>
      <c r="AS60" s="344"/>
      <c r="AW60" s="344"/>
      <c r="BA60" s="345"/>
    </row>
    <row r="61" spans="1:53" s="334" customFormat="1" x14ac:dyDescent="0.15">
      <c r="A61" s="386">
        <v>1986</v>
      </c>
      <c r="B61" s="355"/>
      <c r="C61" s="785" t="s">
        <v>243</v>
      </c>
      <c r="D61" s="785"/>
      <c r="E61" s="334">
        <f>365-E60</f>
        <v>0</v>
      </c>
      <c r="G61" s="419">
        <v>30</v>
      </c>
      <c r="J61" s="435">
        <v>30</v>
      </c>
      <c r="K61" s="384">
        <f t="shared" si="23"/>
        <v>100</v>
      </c>
      <c r="L61" s="384">
        <f t="shared" si="24"/>
        <v>0</v>
      </c>
      <c r="M61" s="384">
        <f t="shared" si="25"/>
        <v>0</v>
      </c>
      <c r="N61" s="421">
        <f t="shared" si="3"/>
        <v>100</v>
      </c>
      <c r="O61" s="383">
        <v>74.8</v>
      </c>
      <c r="P61" s="384"/>
      <c r="Q61" s="384"/>
      <c r="R61" s="385">
        <f t="shared" si="4"/>
        <v>74.8</v>
      </c>
      <c r="S61" s="388">
        <v>1</v>
      </c>
      <c r="T61" s="342"/>
      <c r="U61" s="355"/>
      <c r="V61" s="343" t="s">
        <v>101</v>
      </c>
      <c r="W61" s="334" t="s">
        <v>74</v>
      </c>
      <c r="X61" s="334" t="s">
        <v>11</v>
      </c>
      <c r="Y61" s="344">
        <v>74.8</v>
      </c>
      <c r="AD61" s="343"/>
      <c r="AG61" s="344"/>
      <c r="AL61" s="343"/>
      <c r="AO61" s="344"/>
      <c r="AP61" s="343"/>
      <c r="AS61" s="344"/>
      <c r="AW61" s="344"/>
      <c r="BA61" s="345"/>
    </row>
    <row r="62" spans="1:53" s="334" customFormat="1" x14ac:dyDescent="0.15">
      <c r="A62" s="386">
        <v>1986</v>
      </c>
      <c r="B62" s="355"/>
      <c r="C62" s="785" t="s">
        <v>243</v>
      </c>
      <c r="D62" s="785"/>
      <c r="E62" s="334">
        <v>365</v>
      </c>
      <c r="G62" s="419">
        <v>30</v>
      </c>
      <c r="J62" s="435">
        <v>30</v>
      </c>
      <c r="K62" s="384">
        <f t="shared" si="23"/>
        <v>100</v>
      </c>
      <c r="L62" s="384">
        <f t="shared" si="24"/>
        <v>0</v>
      </c>
      <c r="M62" s="384">
        <f t="shared" si="25"/>
        <v>0</v>
      </c>
      <c r="N62" s="421">
        <f t="shared" si="3"/>
        <v>100</v>
      </c>
      <c r="O62" s="383">
        <v>74.8</v>
      </c>
      <c r="P62" s="384"/>
      <c r="Q62" s="384"/>
      <c r="R62" s="385">
        <f t="shared" si="4"/>
        <v>74.8</v>
      </c>
      <c r="S62" s="388">
        <v>1</v>
      </c>
      <c r="T62" s="342"/>
      <c r="U62" s="355"/>
      <c r="V62" s="343" t="s">
        <v>101</v>
      </c>
      <c r="W62" s="334" t="s">
        <v>74</v>
      </c>
      <c r="X62" s="334" t="s">
        <v>11</v>
      </c>
      <c r="Y62" s="344">
        <v>74.8</v>
      </c>
      <c r="AD62" s="343"/>
      <c r="AG62" s="344"/>
      <c r="AL62" s="343"/>
      <c r="AO62" s="344"/>
      <c r="AP62" s="343"/>
      <c r="AS62" s="344"/>
      <c r="AW62" s="344"/>
      <c r="BA62" s="345"/>
    </row>
    <row r="63" spans="1:53" s="334" customFormat="1" x14ac:dyDescent="0.15">
      <c r="A63" s="386">
        <v>1987</v>
      </c>
      <c r="B63" s="355"/>
      <c r="C63" s="785" t="s">
        <v>243</v>
      </c>
      <c r="D63" s="785"/>
      <c r="E63" s="334">
        <f>365-E62</f>
        <v>0</v>
      </c>
      <c r="G63" s="419">
        <v>30</v>
      </c>
      <c r="J63" s="435">
        <v>30</v>
      </c>
      <c r="K63" s="384">
        <f t="shared" si="23"/>
        <v>100</v>
      </c>
      <c r="L63" s="384">
        <f t="shared" si="24"/>
        <v>0</v>
      </c>
      <c r="M63" s="384">
        <f t="shared" si="25"/>
        <v>0</v>
      </c>
      <c r="N63" s="421">
        <f t="shared" si="3"/>
        <v>100</v>
      </c>
      <c r="O63" s="383">
        <v>74.8</v>
      </c>
      <c r="P63" s="384"/>
      <c r="Q63" s="384"/>
      <c r="R63" s="385">
        <f t="shared" si="4"/>
        <v>74.8</v>
      </c>
      <c r="S63" s="388">
        <v>1</v>
      </c>
      <c r="T63" s="342"/>
      <c r="U63" s="355"/>
      <c r="V63" s="343" t="s">
        <v>101</v>
      </c>
      <c r="W63" s="334" t="s">
        <v>74</v>
      </c>
      <c r="X63" s="334" t="s">
        <v>11</v>
      </c>
      <c r="Y63" s="344">
        <v>74.8</v>
      </c>
      <c r="AD63" s="343"/>
      <c r="AG63" s="344"/>
      <c r="AL63" s="343"/>
      <c r="AO63" s="344"/>
      <c r="AP63" s="343"/>
      <c r="AS63" s="344"/>
      <c r="AW63" s="344"/>
      <c r="BA63" s="345"/>
    </row>
    <row r="64" spans="1:53" s="334" customFormat="1" x14ac:dyDescent="0.15">
      <c r="A64" s="386">
        <v>1987</v>
      </c>
      <c r="B64" s="355"/>
      <c r="C64" s="785" t="s">
        <v>243</v>
      </c>
      <c r="D64" s="785"/>
      <c r="E64" s="334">
        <v>365</v>
      </c>
      <c r="G64" s="419">
        <v>30</v>
      </c>
      <c r="J64" s="435">
        <v>30</v>
      </c>
      <c r="K64" s="384">
        <f t="shared" si="23"/>
        <v>100</v>
      </c>
      <c r="L64" s="384">
        <f t="shared" si="24"/>
        <v>0</v>
      </c>
      <c r="M64" s="384">
        <f t="shared" si="25"/>
        <v>0</v>
      </c>
      <c r="N64" s="421">
        <f t="shared" si="3"/>
        <v>100</v>
      </c>
      <c r="O64" s="383">
        <v>74.8</v>
      </c>
      <c r="P64" s="384"/>
      <c r="Q64" s="384"/>
      <c r="R64" s="385">
        <f t="shared" si="4"/>
        <v>74.8</v>
      </c>
      <c r="S64" s="388">
        <v>1</v>
      </c>
      <c r="T64" s="342"/>
      <c r="U64" s="355"/>
      <c r="V64" s="343" t="s">
        <v>101</v>
      </c>
      <c r="W64" s="334" t="s">
        <v>74</v>
      </c>
      <c r="X64" s="334" t="s">
        <v>11</v>
      </c>
      <c r="Y64" s="344">
        <v>74.8</v>
      </c>
      <c r="AD64" s="343"/>
      <c r="AG64" s="344"/>
      <c r="AL64" s="343"/>
      <c r="AO64" s="344"/>
      <c r="AP64" s="343"/>
      <c r="AS64" s="344"/>
      <c r="AW64" s="344"/>
      <c r="BA64" s="345"/>
    </row>
    <row r="65" spans="1:53" s="334" customFormat="1" x14ac:dyDescent="0.15">
      <c r="A65" s="386">
        <v>1988</v>
      </c>
      <c r="B65" s="355"/>
      <c r="C65" s="785" t="s">
        <v>243</v>
      </c>
      <c r="D65" s="785"/>
      <c r="E65" s="334">
        <v>341</v>
      </c>
      <c r="G65" s="419">
        <v>30</v>
      </c>
      <c r="J65" s="435">
        <v>30</v>
      </c>
      <c r="K65" s="384">
        <f>G65/J65*100</f>
        <v>100</v>
      </c>
      <c r="L65" s="384">
        <f>H65/J65*100</f>
        <v>0</v>
      </c>
      <c r="M65" s="384">
        <f>I65/J65*100</f>
        <v>0</v>
      </c>
      <c r="N65" s="421">
        <f t="shared" si="3"/>
        <v>100</v>
      </c>
      <c r="O65" s="383">
        <v>74.8</v>
      </c>
      <c r="P65" s="384"/>
      <c r="Q65" s="384"/>
      <c r="R65" s="385">
        <f t="shared" si="4"/>
        <v>74.8</v>
      </c>
      <c r="S65" s="388">
        <v>1</v>
      </c>
      <c r="T65" s="342"/>
      <c r="U65" s="355"/>
      <c r="V65" s="343" t="s">
        <v>101</v>
      </c>
      <c r="W65" s="334" t="s">
        <v>74</v>
      </c>
      <c r="X65" s="334" t="s">
        <v>11</v>
      </c>
      <c r="Y65" s="344">
        <v>74.8</v>
      </c>
      <c r="AD65" s="343"/>
      <c r="AG65" s="344"/>
      <c r="AL65" s="343"/>
      <c r="AO65" s="344"/>
      <c r="AP65" s="343"/>
      <c r="AS65" s="344"/>
      <c r="AW65" s="344"/>
      <c r="BA65" s="345"/>
    </row>
    <row r="66" spans="1:53" s="73" customFormat="1" x14ac:dyDescent="0.15">
      <c r="A66" s="102">
        <v>1988</v>
      </c>
      <c r="B66" s="85">
        <v>32484</v>
      </c>
      <c r="C66" s="786" t="s">
        <v>244</v>
      </c>
      <c r="D66" s="786"/>
      <c r="E66" s="73">
        <v>25</v>
      </c>
      <c r="F66" s="73">
        <v>1</v>
      </c>
      <c r="G66" s="123">
        <v>22</v>
      </c>
      <c r="J66" s="134">
        <v>22</v>
      </c>
      <c r="K66" s="92">
        <f>G66/J66*100</f>
        <v>100</v>
      </c>
      <c r="L66" s="92">
        <f>H66/J66*100</f>
        <v>0</v>
      </c>
      <c r="M66" s="92">
        <f>I66/J66*100</f>
        <v>0</v>
      </c>
      <c r="N66" s="125">
        <f t="shared" si="3"/>
        <v>100</v>
      </c>
      <c r="O66" s="91">
        <v>57.3</v>
      </c>
      <c r="P66" s="92"/>
      <c r="Q66" s="92"/>
      <c r="R66" s="93">
        <f t="shared" si="4"/>
        <v>57.3</v>
      </c>
      <c r="S66" s="97">
        <v>1</v>
      </c>
      <c r="T66" s="95">
        <v>32468</v>
      </c>
      <c r="U66" s="85">
        <v>32484</v>
      </c>
      <c r="V66" s="82" t="s">
        <v>101</v>
      </c>
      <c r="W66" s="73" t="s">
        <v>74</v>
      </c>
      <c r="X66" s="73" t="s">
        <v>11</v>
      </c>
      <c r="Y66" s="83">
        <v>57.3</v>
      </c>
      <c r="AD66" s="82"/>
      <c r="AG66" s="83"/>
      <c r="AL66" s="82"/>
      <c r="AO66" s="83"/>
      <c r="AP66" s="82"/>
      <c r="AS66" s="83"/>
      <c r="AW66" s="83"/>
      <c r="BA66" s="84"/>
    </row>
    <row r="67" spans="1:53" s="73" customFormat="1" x14ac:dyDescent="0.15">
      <c r="A67" s="73">
        <v>1989</v>
      </c>
      <c r="B67" s="85"/>
      <c r="C67" s="786" t="s">
        <v>244</v>
      </c>
      <c r="D67" s="786"/>
      <c r="E67" s="73">
        <v>0</v>
      </c>
      <c r="G67" s="123">
        <v>22</v>
      </c>
      <c r="J67" s="134">
        <v>22</v>
      </c>
      <c r="K67" s="92">
        <f>G67/J67*100</f>
        <v>100</v>
      </c>
      <c r="L67" s="92">
        <f>H67/J67*100</f>
        <v>0</v>
      </c>
      <c r="M67" s="92">
        <f>I67/J67*100</f>
        <v>0</v>
      </c>
      <c r="N67" s="125">
        <f t="shared" si="3"/>
        <v>100</v>
      </c>
      <c r="O67" s="91">
        <v>57.3</v>
      </c>
      <c r="P67" s="92"/>
      <c r="Q67" s="92"/>
      <c r="R67" s="93">
        <f t="shared" si="4"/>
        <v>57.3</v>
      </c>
      <c r="S67" s="97">
        <v>1</v>
      </c>
      <c r="T67" s="95"/>
      <c r="U67" s="85"/>
      <c r="V67" s="82" t="s">
        <v>101</v>
      </c>
      <c r="W67" s="73" t="s">
        <v>74</v>
      </c>
      <c r="X67" s="73" t="s">
        <v>11</v>
      </c>
      <c r="Y67" s="83">
        <v>57.3</v>
      </c>
      <c r="AD67" s="82"/>
      <c r="AG67" s="83"/>
      <c r="AL67" s="82"/>
      <c r="AO67" s="83"/>
      <c r="AP67" s="82"/>
      <c r="AS67" s="83"/>
      <c r="AW67" s="83"/>
      <c r="BA67" s="84"/>
    </row>
    <row r="68" spans="1:53" s="136" customFormat="1" x14ac:dyDescent="0.15">
      <c r="A68" s="136">
        <v>1989</v>
      </c>
      <c r="B68" s="137"/>
      <c r="C68" s="821" t="s">
        <v>244</v>
      </c>
      <c r="D68" s="821"/>
      <c r="E68" s="136">
        <f>365-E67</f>
        <v>365</v>
      </c>
      <c r="G68" s="138">
        <v>22</v>
      </c>
      <c r="J68" s="139">
        <v>22</v>
      </c>
      <c r="K68" s="140">
        <f>G68/J68*100</f>
        <v>100</v>
      </c>
      <c r="L68" s="140">
        <f>H68/J68*100</f>
        <v>0</v>
      </c>
      <c r="M68" s="140">
        <f>I68/J68*100</f>
        <v>0</v>
      </c>
      <c r="N68" s="141">
        <f t="shared" si="3"/>
        <v>100</v>
      </c>
      <c r="O68" s="142">
        <v>57.3</v>
      </c>
      <c r="P68" s="140"/>
      <c r="Q68" s="140"/>
      <c r="R68" s="143">
        <f t="shared" si="4"/>
        <v>57.3</v>
      </c>
      <c r="S68" s="144">
        <v>1</v>
      </c>
      <c r="T68" s="145"/>
      <c r="U68" s="137"/>
      <c r="V68" s="146" t="s">
        <v>101</v>
      </c>
      <c r="W68" s="136" t="s">
        <v>74</v>
      </c>
      <c r="X68" s="136" t="s">
        <v>11</v>
      </c>
      <c r="Y68" s="147">
        <v>57.3</v>
      </c>
      <c r="AD68" s="146"/>
      <c r="AG68" s="147"/>
      <c r="AL68" s="146"/>
      <c r="AO68" s="147"/>
      <c r="AP68" s="146"/>
      <c r="AS68" s="147"/>
      <c r="AW68" s="147"/>
      <c r="BA68" s="148"/>
    </row>
    <row r="69" spans="1:53" s="73" customFormat="1" x14ac:dyDescent="0.15">
      <c r="A69" s="73">
        <v>1990</v>
      </c>
      <c r="B69" s="85"/>
      <c r="C69" s="786" t="s">
        <v>244</v>
      </c>
      <c r="D69" s="786"/>
      <c r="E69" s="73">
        <v>0</v>
      </c>
      <c r="G69" s="123">
        <v>22</v>
      </c>
      <c r="J69" s="134">
        <v>22</v>
      </c>
      <c r="K69" s="92">
        <v>100</v>
      </c>
      <c r="L69" s="92">
        <v>0</v>
      </c>
      <c r="M69" s="92">
        <v>0</v>
      </c>
      <c r="N69" s="125">
        <f t="shared" si="3"/>
        <v>100</v>
      </c>
      <c r="O69" s="91">
        <v>57.3</v>
      </c>
      <c r="P69" s="92"/>
      <c r="Q69" s="92"/>
      <c r="R69" s="93">
        <f t="shared" si="4"/>
        <v>57.3</v>
      </c>
      <c r="S69" s="97">
        <v>1</v>
      </c>
      <c r="T69" s="95"/>
      <c r="U69" s="85"/>
      <c r="V69" s="82" t="s">
        <v>101</v>
      </c>
      <c r="W69" s="73" t="s">
        <v>74</v>
      </c>
      <c r="X69" s="73" t="s">
        <v>11</v>
      </c>
      <c r="Y69" s="83">
        <v>57.3</v>
      </c>
      <c r="AD69" s="82"/>
      <c r="AG69" s="83"/>
      <c r="AL69" s="82"/>
      <c r="AO69" s="83"/>
      <c r="AP69" s="82"/>
      <c r="AS69" s="83"/>
      <c r="AW69" s="83"/>
      <c r="BA69" s="84"/>
    </row>
    <row r="70" spans="1:53" s="73" customFormat="1" x14ac:dyDescent="0.15">
      <c r="A70" s="73">
        <v>1990</v>
      </c>
      <c r="B70" s="85"/>
      <c r="C70" s="786" t="s">
        <v>244</v>
      </c>
      <c r="D70" s="786"/>
      <c r="E70" s="73">
        <f>365-E69</f>
        <v>365</v>
      </c>
      <c r="G70" s="123">
        <v>22</v>
      </c>
      <c r="J70" s="134">
        <v>22</v>
      </c>
      <c r="K70" s="92">
        <v>100</v>
      </c>
      <c r="L70" s="92">
        <v>0</v>
      </c>
      <c r="M70" s="92">
        <v>0</v>
      </c>
      <c r="N70" s="125">
        <f t="shared" si="3"/>
        <v>100</v>
      </c>
      <c r="O70" s="91">
        <v>57.3</v>
      </c>
      <c r="P70" s="92"/>
      <c r="Q70" s="92"/>
      <c r="R70" s="93">
        <f t="shared" si="4"/>
        <v>57.3</v>
      </c>
      <c r="S70" s="97">
        <v>1</v>
      </c>
      <c r="T70" s="95"/>
      <c r="U70" s="85"/>
      <c r="V70" s="82" t="s">
        <v>101</v>
      </c>
      <c r="W70" s="73" t="s">
        <v>74</v>
      </c>
      <c r="X70" s="73" t="s">
        <v>11</v>
      </c>
      <c r="Y70" s="83">
        <v>57.3</v>
      </c>
      <c r="AD70" s="82"/>
      <c r="AG70" s="83"/>
      <c r="AL70" s="82"/>
      <c r="AO70" s="83"/>
      <c r="AP70" s="82"/>
      <c r="AS70" s="83"/>
      <c r="AW70" s="83"/>
      <c r="BA70" s="84"/>
    </row>
    <row r="71" spans="1:53" s="73" customFormat="1" x14ac:dyDescent="0.15">
      <c r="A71" s="73">
        <v>1991</v>
      </c>
      <c r="B71" s="85"/>
      <c r="C71" s="786" t="s">
        <v>244</v>
      </c>
      <c r="D71" s="786"/>
      <c r="E71" s="73">
        <v>0</v>
      </c>
      <c r="G71" s="123">
        <v>22</v>
      </c>
      <c r="J71" s="134">
        <v>22</v>
      </c>
      <c r="K71" s="92">
        <f>G71/J71*100</f>
        <v>100</v>
      </c>
      <c r="L71" s="92">
        <f>H71/J71*100</f>
        <v>0</v>
      </c>
      <c r="M71" s="92">
        <f>I71/J71*100</f>
        <v>0</v>
      </c>
      <c r="N71" s="125">
        <f t="shared" si="3"/>
        <v>100</v>
      </c>
      <c r="O71" s="91">
        <v>57.3</v>
      </c>
      <c r="P71" s="92"/>
      <c r="Q71" s="92"/>
      <c r="R71" s="93">
        <f t="shared" si="4"/>
        <v>57.3</v>
      </c>
      <c r="S71" s="97">
        <v>1</v>
      </c>
      <c r="T71" s="95"/>
      <c r="U71" s="85"/>
      <c r="V71" s="82" t="s">
        <v>101</v>
      </c>
      <c r="W71" s="73" t="s">
        <v>74</v>
      </c>
      <c r="X71" s="73" t="s">
        <v>11</v>
      </c>
      <c r="Y71" s="83">
        <v>57.3</v>
      </c>
      <c r="AD71" s="82"/>
      <c r="AG71" s="83"/>
      <c r="AL71" s="82"/>
      <c r="AO71" s="83"/>
      <c r="AP71" s="82"/>
      <c r="AS71" s="83"/>
      <c r="AW71" s="83"/>
      <c r="BA71" s="84"/>
    </row>
    <row r="72" spans="1:53" s="73" customFormat="1" x14ac:dyDescent="0.15">
      <c r="A72" s="73">
        <v>1991</v>
      </c>
      <c r="B72" s="85"/>
      <c r="C72" s="786" t="s">
        <v>244</v>
      </c>
      <c r="D72" s="786"/>
      <c r="E72" s="73">
        <f>365-E71</f>
        <v>365</v>
      </c>
      <c r="G72" s="123">
        <v>22</v>
      </c>
      <c r="J72" s="134">
        <v>22</v>
      </c>
      <c r="K72" s="92">
        <f>G72/J72*100</f>
        <v>100</v>
      </c>
      <c r="L72" s="92">
        <f>H72/J72*100</f>
        <v>0</v>
      </c>
      <c r="M72" s="92">
        <f>I72/J72*100</f>
        <v>0</v>
      </c>
      <c r="N72" s="125">
        <f t="shared" si="3"/>
        <v>100</v>
      </c>
      <c r="O72" s="91">
        <v>57.3</v>
      </c>
      <c r="P72" s="92"/>
      <c r="Q72" s="92"/>
      <c r="R72" s="93">
        <f t="shared" si="4"/>
        <v>57.3</v>
      </c>
      <c r="S72" s="97">
        <v>1</v>
      </c>
      <c r="T72" s="95"/>
      <c r="U72" s="85"/>
      <c r="V72" s="82" t="s">
        <v>101</v>
      </c>
      <c r="W72" s="73" t="s">
        <v>74</v>
      </c>
      <c r="X72" s="73" t="s">
        <v>11</v>
      </c>
      <c r="Y72" s="83">
        <v>57.3</v>
      </c>
      <c r="AD72" s="82"/>
      <c r="AG72" s="83"/>
      <c r="AL72" s="82"/>
      <c r="AO72" s="83"/>
      <c r="AP72" s="82"/>
      <c r="AS72" s="83"/>
      <c r="AW72" s="83"/>
      <c r="BA72" s="84"/>
    </row>
    <row r="73" spans="1:53" s="73" customFormat="1" x14ac:dyDescent="0.15">
      <c r="A73" s="73">
        <v>1992</v>
      </c>
      <c r="B73" s="85"/>
      <c r="C73" s="786" t="s">
        <v>244</v>
      </c>
      <c r="D73" s="786"/>
      <c r="E73" s="73">
        <v>0</v>
      </c>
      <c r="G73" s="123">
        <v>22</v>
      </c>
      <c r="J73" s="134">
        <v>22</v>
      </c>
      <c r="K73" s="92">
        <f>G73/J73*100</f>
        <v>100</v>
      </c>
      <c r="L73" s="92">
        <f>H73/J73*100</f>
        <v>0</v>
      </c>
      <c r="M73" s="92">
        <f>I73/J73*100</f>
        <v>0</v>
      </c>
      <c r="N73" s="125">
        <f t="shared" ref="N73:N117" si="26">SUM(K73:M73)</f>
        <v>100</v>
      </c>
      <c r="O73" s="91">
        <v>57.3</v>
      </c>
      <c r="P73" s="92"/>
      <c r="Q73" s="92"/>
      <c r="R73" s="93">
        <f t="shared" ref="R73:R117" si="27">SUM(O73:Q73)</f>
        <v>57.3</v>
      </c>
      <c r="S73" s="97">
        <v>1</v>
      </c>
      <c r="T73" s="95"/>
      <c r="U73" s="85"/>
      <c r="V73" s="82" t="s">
        <v>101</v>
      </c>
      <c r="W73" s="73" t="s">
        <v>74</v>
      </c>
      <c r="X73" s="73" t="s">
        <v>11</v>
      </c>
      <c r="Y73" s="83">
        <v>57.3</v>
      </c>
      <c r="AD73" s="82"/>
      <c r="AG73" s="83"/>
      <c r="AL73" s="82"/>
      <c r="AO73" s="83"/>
      <c r="AP73" s="82"/>
      <c r="AS73" s="83"/>
      <c r="AW73" s="83"/>
      <c r="BA73" s="84"/>
    </row>
    <row r="74" spans="1:53" s="73" customFormat="1" x14ac:dyDescent="0.15">
      <c r="A74" s="73">
        <v>1992</v>
      </c>
      <c r="B74" s="85"/>
      <c r="C74" s="786" t="s">
        <v>244</v>
      </c>
      <c r="D74" s="786"/>
      <c r="E74" s="73">
        <v>366</v>
      </c>
      <c r="G74" s="123">
        <v>22</v>
      </c>
      <c r="J74" s="134">
        <v>22</v>
      </c>
      <c r="K74" s="92">
        <f>G74/J74*100</f>
        <v>100</v>
      </c>
      <c r="L74" s="92">
        <f>H74/J74*100</f>
        <v>0</v>
      </c>
      <c r="M74" s="92">
        <f>I74/J74*100</f>
        <v>0</v>
      </c>
      <c r="N74" s="125">
        <f t="shared" si="26"/>
        <v>100</v>
      </c>
      <c r="O74" s="91">
        <v>57.3</v>
      </c>
      <c r="P74" s="92"/>
      <c r="Q74" s="92"/>
      <c r="R74" s="93">
        <f t="shared" si="27"/>
        <v>57.3</v>
      </c>
      <c r="S74" s="97">
        <v>1</v>
      </c>
      <c r="T74" s="95"/>
      <c r="U74" s="85"/>
      <c r="V74" s="82" t="s">
        <v>101</v>
      </c>
      <c r="W74" s="73" t="s">
        <v>74</v>
      </c>
      <c r="X74" s="73" t="s">
        <v>11</v>
      </c>
      <c r="Y74" s="83">
        <v>57.3</v>
      </c>
      <c r="AD74" s="82"/>
      <c r="AG74" s="83"/>
      <c r="AL74" s="82"/>
      <c r="AO74" s="83"/>
      <c r="AP74" s="82"/>
      <c r="AS74" s="83"/>
      <c r="AW74" s="83"/>
      <c r="BA74" s="84"/>
    </row>
    <row r="75" spans="1:53" s="73" customFormat="1" x14ac:dyDescent="0.15">
      <c r="A75" s="73">
        <v>1993</v>
      </c>
      <c r="B75" s="85"/>
      <c r="C75" s="786" t="s">
        <v>244</v>
      </c>
      <c r="D75" s="786"/>
      <c r="E75" s="73">
        <v>175</v>
      </c>
      <c r="G75" s="123">
        <v>22</v>
      </c>
      <c r="J75" s="134">
        <v>22</v>
      </c>
      <c r="K75" s="92">
        <f>G75/J75*100</f>
        <v>100</v>
      </c>
      <c r="L75" s="92">
        <f>H75/J75*100</f>
        <v>0</v>
      </c>
      <c r="M75" s="92">
        <f>I75/J75*100</f>
        <v>0</v>
      </c>
      <c r="N75" s="125">
        <f t="shared" si="26"/>
        <v>100</v>
      </c>
      <c r="O75" s="91">
        <v>57.3</v>
      </c>
      <c r="P75" s="92"/>
      <c r="Q75" s="92"/>
      <c r="R75" s="93">
        <f>SUM(O75:Q75)</f>
        <v>57.3</v>
      </c>
      <c r="S75" s="97">
        <v>1</v>
      </c>
      <c r="T75" s="95"/>
      <c r="U75" s="85"/>
      <c r="V75" s="82" t="s">
        <v>101</v>
      </c>
      <c r="W75" s="73" t="s">
        <v>74</v>
      </c>
      <c r="X75" s="73" t="s">
        <v>11</v>
      </c>
      <c r="Y75" s="83">
        <v>57.3</v>
      </c>
      <c r="AD75" s="82"/>
      <c r="AG75" s="83"/>
      <c r="AL75" s="82"/>
      <c r="AO75" s="83"/>
      <c r="AP75" s="82"/>
      <c r="AS75" s="83"/>
      <c r="AW75" s="83"/>
      <c r="BA75" s="84"/>
    </row>
    <row r="76" spans="1:53" s="334" customFormat="1" x14ac:dyDescent="0.15">
      <c r="A76" s="334">
        <v>1993</v>
      </c>
      <c r="B76" s="355">
        <v>34145</v>
      </c>
      <c r="C76" s="785" t="s">
        <v>245</v>
      </c>
      <c r="D76" s="785"/>
      <c r="E76" s="334">
        <v>132</v>
      </c>
      <c r="F76" s="334">
        <v>2</v>
      </c>
      <c r="G76" s="419">
        <v>25</v>
      </c>
      <c r="J76" s="435">
        <v>25</v>
      </c>
      <c r="K76" s="384">
        <f t="shared" ref="K76:K99" si="28">G76/J76*100</f>
        <v>100</v>
      </c>
      <c r="L76" s="384">
        <f t="shared" ref="L76:L99" si="29">H76/J76*100</f>
        <v>0</v>
      </c>
      <c r="M76" s="384">
        <f t="shared" ref="M76:M99" si="30">I76/J76*100</f>
        <v>0</v>
      </c>
      <c r="N76" s="421">
        <f t="shared" si="26"/>
        <v>100</v>
      </c>
      <c r="O76" s="383">
        <v>57.3</v>
      </c>
      <c r="P76" s="384"/>
      <c r="Q76" s="384"/>
      <c r="R76" s="385">
        <f t="shared" si="27"/>
        <v>57.3</v>
      </c>
      <c r="S76" s="388">
        <v>1</v>
      </c>
      <c r="T76" s="342"/>
      <c r="U76" s="355"/>
      <c r="V76" s="343" t="s">
        <v>101</v>
      </c>
      <c r="W76" s="334" t="s">
        <v>74</v>
      </c>
      <c r="X76" s="334" t="s">
        <v>11</v>
      </c>
      <c r="Y76" s="344">
        <v>57.3</v>
      </c>
      <c r="AD76" s="343"/>
      <c r="AG76" s="344"/>
      <c r="AL76" s="343"/>
      <c r="AO76" s="344"/>
      <c r="AP76" s="343"/>
      <c r="AS76" s="344"/>
      <c r="AW76" s="344"/>
      <c r="BA76" s="345"/>
    </row>
    <row r="77" spans="1:53" s="73" customFormat="1" x14ac:dyDescent="0.15">
      <c r="A77" s="73">
        <v>1993</v>
      </c>
      <c r="B77" s="85">
        <v>34277</v>
      </c>
      <c r="C77" s="811" t="s">
        <v>246</v>
      </c>
      <c r="D77" s="811"/>
      <c r="E77" s="73">
        <v>58</v>
      </c>
      <c r="F77" s="73">
        <v>1</v>
      </c>
      <c r="G77" s="123"/>
      <c r="H77" s="73">
        <v>23</v>
      </c>
      <c r="J77" s="134">
        <v>23</v>
      </c>
      <c r="K77" s="92">
        <f t="shared" si="28"/>
        <v>0</v>
      </c>
      <c r="L77" s="92">
        <f t="shared" si="29"/>
        <v>100</v>
      </c>
      <c r="M77" s="92">
        <f t="shared" si="30"/>
        <v>0</v>
      </c>
      <c r="N77" s="125">
        <f t="shared" si="26"/>
        <v>100</v>
      </c>
      <c r="O77" s="91"/>
      <c r="P77" s="92">
        <v>60</v>
      </c>
      <c r="Q77" s="92"/>
      <c r="R77" s="93">
        <f t="shared" si="27"/>
        <v>60</v>
      </c>
      <c r="S77" s="97">
        <v>1</v>
      </c>
      <c r="T77" s="95">
        <v>34267</v>
      </c>
      <c r="U77" s="85">
        <v>34277</v>
      </c>
      <c r="V77" s="82" t="s">
        <v>72</v>
      </c>
      <c r="W77" s="73" t="s">
        <v>22</v>
      </c>
      <c r="X77" s="73" t="s">
        <v>18</v>
      </c>
      <c r="Y77" s="83">
        <v>60</v>
      </c>
      <c r="AD77" s="82"/>
      <c r="AG77" s="83"/>
      <c r="AL77" s="82"/>
      <c r="AO77" s="83"/>
      <c r="AP77" s="82"/>
      <c r="AS77" s="83"/>
      <c r="AW77" s="83"/>
      <c r="BA77" s="84"/>
    </row>
    <row r="78" spans="1:53" s="73" customFormat="1" x14ac:dyDescent="0.15">
      <c r="A78" s="73">
        <v>1994</v>
      </c>
      <c r="B78" s="85"/>
      <c r="C78" s="811" t="s">
        <v>246</v>
      </c>
      <c r="D78" s="811"/>
      <c r="E78" s="73">
        <v>0</v>
      </c>
      <c r="G78" s="123"/>
      <c r="H78" s="73">
        <v>23</v>
      </c>
      <c r="J78" s="134">
        <v>23</v>
      </c>
      <c r="K78" s="92">
        <f t="shared" si="28"/>
        <v>0</v>
      </c>
      <c r="L78" s="92">
        <f t="shared" si="29"/>
        <v>100</v>
      </c>
      <c r="M78" s="92">
        <f t="shared" si="30"/>
        <v>0</v>
      </c>
      <c r="N78" s="125">
        <f t="shared" si="26"/>
        <v>100</v>
      </c>
      <c r="O78" s="91"/>
      <c r="P78" s="92">
        <v>60</v>
      </c>
      <c r="Q78" s="92"/>
      <c r="R78" s="93">
        <f t="shared" si="27"/>
        <v>60</v>
      </c>
      <c r="S78" s="97">
        <v>1</v>
      </c>
      <c r="T78" s="95"/>
      <c r="U78" s="85"/>
      <c r="V78" s="82" t="s">
        <v>72</v>
      </c>
      <c r="W78" s="73" t="s">
        <v>22</v>
      </c>
      <c r="X78" s="73" t="s">
        <v>18</v>
      </c>
      <c r="Y78" s="83">
        <v>60</v>
      </c>
      <c r="AD78" s="82"/>
      <c r="AG78" s="83"/>
      <c r="AL78" s="82"/>
      <c r="AO78" s="83"/>
      <c r="AP78" s="82"/>
      <c r="AS78" s="83"/>
      <c r="AW78" s="83"/>
      <c r="BA78" s="84"/>
    </row>
    <row r="79" spans="1:53" s="73" customFormat="1" x14ac:dyDescent="0.15">
      <c r="A79" s="73">
        <v>1994</v>
      </c>
      <c r="B79" s="85"/>
      <c r="C79" s="811" t="s">
        <v>246</v>
      </c>
      <c r="D79" s="811"/>
      <c r="E79" s="73">
        <f>365-E78</f>
        <v>365</v>
      </c>
      <c r="G79" s="123"/>
      <c r="H79" s="73">
        <v>23</v>
      </c>
      <c r="J79" s="134">
        <v>23</v>
      </c>
      <c r="K79" s="92">
        <f t="shared" si="28"/>
        <v>0</v>
      </c>
      <c r="L79" s="92">
        <f t="shared" si="29"/>
        <v>100</v>
      </c>
      <c r="M79" s="92">
        <f t="shared" si="30"/>
        <v>0</v>
      </c>
      <c r="N79" s="125">
        <f t="shared" si="26"/>
        <v>100</v>
      </c>
      <c r="O79" s="91"/>
      <c r="P79" s="92">
        <v>60</v>
      </c>
      <c r="Q79" s="92"/>
      <c r="R79" s="93">
        <f t="shared" si="27"/>
        <v>60</v>
      </c>
      <c r="S79" s="97">
        <v>1</v>
      </c>
      <c r="T79" s="95"/>
      <c r="U79" s="85"/>
      <c r="V79" s="82" t="s">
        <v>72</v>
      </c>
      <c r="W79" s="73" t="s">
        <v>22</v>
      </c>
      <c r="X79" s="73" t="s">
        <v>18</v>
      </c>
      <c r="Y79" s="83">
        <v>60</v>
      </c>
      <c r="AD79" s="82"/>
      <c r="AG79" s="83"/>
      <c r="AL79" s="82"/>
      <c r="AO79" s="83"/>
      <c r="AP79" s="82"/>
      <c r="AS79" s="83"/>
      <c r="AW79" s="83"/>
      <c r="BA79" s="84"/>
    </row>
    <row r="80" spans="1:53" s="73" customFormat="1" x14ac:dyDescent="0.15">
      <c r="A80" s="73">
        <v>1995</v>
      </c>
      <c r="B80" s="85"/>
      <c r="C80" s="811" t="s">
        <v>246</v>
      </c>
      <c r="D80" s="811"/>
      <c r="E80" s="73">
        <v>0</v>
      </c>
      <c r="G80" s="123"/>
      <c r="H80" s="73">
        <v>23</v>
      </c>
      <c r="J80" s="134">
        <v>23</v>
      </c>
      <c r="K80" s="92">
        <f t="shared" si="28"/>
        <v>0</v>
      </c>
      <c r="L80" s="92">
        <f t="shared" si="29"/>
        <v>100</v>
      </c>
      <c r="M80" s="92">
        <f t="shared" si="30"/>
        <v>0</v>
      </c>
      <c r="N80" s="125">
        <f t="shared" si="26"/>
        <v>100</v>
      </c>
      <c r="O80" s="91"/>
      <c r="P80" s="92">
        <v>60</v>
      </c>
      <c r="Q80" s="92"/>
      <c r="R80" s="93">
        <f t="shared" si="27"/>
        <v>60</v>
      </c>
      <c r="S80" s="97">
        <v>1</v>
      </c>
      <c r="T80" s="95"/>
      <c r="U80" s="85"/>
      <c r="V80" s="82" t="s">
        <v>72</v>
      </c>
      <c r="W80" s="73" t="s">
        <v>22</v>
      </c>
      <c r="X80" s="73" t="s">
        <v>18</v>
      </c>
      <c r="Y80" s="83">
        <v>60</v>
      </c>
      <c r="AD80" s="82"/>
      <c r="AG80" s="83"/>
      <c r="AL80" s="82"/>
      <c r="AO80" s="83"/>
      <c r="AP80" s="82"/>
      <c r="AS80" s="83"/>
      <c r="AW80" s="83"/>
      <c r="BA80" s="84"/>
    </row>
    <row r="81" spans="1:53" s="73" customFormat="1" x14ac:dyDescent="0.15">
      <c r="A81" s="73">
        <v>1995</v>
      </c>
      <c r="B81" s="85"/>
      <c r="C81" s="811" t="s">
        <v>246</v>
      </c>
      <c r="D81" s="811"/>
      <c r="E81" s="73">
        <f>365-E80</f>
        <v>365</v>
      </c>
      <c r="G81" s="123"/>
      <c r="H81" s="73">
        <v>23</v>
      </c>
      <c r="J81" s="134">
        <v>23</v>
      </c>
      <c r="K81" s="92">
        <f t="shared" si="28"/>
        <v>0</v>
      </c>
      <c r="L81" s="92">
        <f t="shared" si="29"/>
        <v>100</v>
      </c>
      <c r="M81" s="92">
        <f t="shared" si="30"/>
        <v>0</v>
      </c>
      <c r="N81" s="125">
        <f t="shared" si="26"/>
        <v>100</v>
      </c>
      <c r="O81" s="91"/>
      <c r="P81" s="92">
        <v>60</v>
      </c>
      <c r="Q81" s="92"/>
      <c r="R81" s="93">
        <f t="shared" si="27"/>
        <v>60</v>
      </c>
      <c r="S81" s="97">
        <v>1</v>
      </c>
      <c r="T81" s="95"/>
      <c r="U81" s="85"/>
      <c r="V81" s="82" t="s">
        <v>72</v>
      </c>
      <c r="W81" s="73" t="s">
        <v>22</v>
      </c>
      <c r="X81" s="73" t="s">
        <v>18</v>
      </c>
      <c r="Y81" s="83">
        <v>60</v>
      </c>
      <c r="AD81" s="82"/>
      <c r="AG81" s="83"/>
      <c r="AL81" s="82"/>
      <c r="AO81" s="83"/>
      <c r="AP81" s="82"/>
      <c r="AS81" s="83"/>
      <c r="AW81" s="83"/>
      <c r="BA81" s="84"/>
    </row>
    <row r="82" spans="1:53" s="73" customFormat="1" x14ac:dyDescent="0.15">
      <c r="A82" s="73">
        <v>1996</v>
      </c>
      <c r="B82" s="85"/>
      <c r="C82" s="811" t="s">
        <v>246</v>
      </c>
      <c r="D82" s="811"/>
      <c r="E82" s="73">
        <v>0</v>
      </c>
      <c r="G82" s="123"/>
      <c r="H82" s="73">
        <v>23</v>
      </c>
      <c r="J82" s="134">
        <v>23</v>
      </c>
      <c r="K82" s="92">
        <f t="shared" si="28"/>
        <v>0</v>
      </c>
      <c r="L82" s="92">
        <f t="shared" si="29"/>
        <v>100</v>
      </c>
      <c r="M82" s="92">
        <f t="shared" si="30"/>
        <v>0</v>
      </c>
      <c r="N82" s="125">
        <f t="shared" si="26"/>
        <v>100</v>
      </c>
      <c r="O82" s="91"/>
      <c r="P82" s="92">
        <v>60</v>
      </c>
      <c r="Q82" s="92"/>
      <c r="R82" s="93">
        <f t="shared" si="27"/>
        <v>60</v>
      </c>
      <c r="S82" s="97">
        <v>1</v>
      </c>
      <c r="T82" s="95"/>
      <c r="U82" s="85"/>
      <c r="V82" s="82" t="s">
        <v>72</v>
      </c>
      <c r="W82" s="73" t="s">
        <v>22</v>
      </c>
      <c r="X82" s="73" t="s">
        <v>18</v>
      </c>
      <c r="Y82" s="83">
        <v>60</v>
      </c>
      <c r="AD82" s="82"/>
      <c r="AG82" s="83"/>
      <c r="AL82" s="82"/>
      <c r="AO82" s="83"/>
      <c r="AP82" s="82"/>
      <c r="AS82" s="83"/>
      <c r="AW82" s="83"/>
      <c r="BA82" s="84"/>
    </row>
    <row r="83" spans="1:53" s="73" customFormat="1" x14ac:dyDescent="0.15">
      <c r="A83" s="73">
        <v>1996</v>
      </c>
      <c r="B83" s="85"/>
      <c r="C83" s="811" t="s">
        <v>246</v>
      </c>
      <c r="D83" s="811"/>
      <c r="E83" s="73">
        <v>366</v>
      </c>
      <c r="G83" s="123"/>
      <c r="H83" s="73">
        <v>25</v>
      </c>
      <c r="J83" s="134">
        <v>25</v>
      </c>
      <c r="K83" s="92">
        <f t="shared" si="28"/>
        <v>0</v>
      </c>
      <c r="L83" s="92">
        <f t="shared" si="29"/>
        <v>100</v>
      </c>
      <c r="M83" s="92">
        <f t="shared" si="30"/>
        <v>0</v>
      </c>
      <c r="N83" s="125">
        <f t="shared" si="26"/>
        <v>100</v>
      </c>
      <c r="O83" s="91"/>
      <c r="P83" s="92">
        <v>60</v>
      </c>
      <c r="Q83" s="92"/>
      <c r="R83" s="93">
        <f t="shared" si="27"/>
        <v>60</v>
      </c>
      <c r="S83" s="97">
        <v>1</v>
      </c>
      <c r="T83" s="95"/>
      <c r="U83" s="85"/>
      <c r="V83" s="82" t="s">
        <v>72</v>
      </c>
      <c r="W83" s="73" t="s">
        <v>22</v>
      </c>
      <c r="X83" s="73" t="s">
        <v>18</v>
      </c>
      <c r="Y83" s="83">
        <v>60</v>
      </c>
      <c r="AD83" s="82"/>
      <c r="AG83" s="83"/>
      <c r="AL83" s="82"/>
      <c r="AO83" s="83"/>
      <c r="AP83" s="82"/>
      <c r="AS83" s="83"/>
      <c r="AW83" s="83"/>
      <c r="BA83" s="84"/>
    </row>
    <row r="84" spans="1:53" s="73" customFormat="1" x14ac:dyDescent="0.15">
      <c r="A84" s="73">
        <v>1997</v>
      </c>
      <c r="B84" s="85"/>
      <c r="C84" s="811" t="s">
        <v>246</v>
      </c>
      <c r="D84" s="811"/>
      <c r="E84" s="73">
        <v>161</v>
      </c>
      <c r="G84" s="123"/>
      <c r="H84" s="73">
        <v>25</v>
      </c>
      <c r="J84" s="134">
        <v>25</v>
      </c>
      <c r="K84" s="92">
        <f t="shared" si="28"/>
        <v>0</v>
      </c>
      <c r="L84" s="92">
        <f t="shared" si="29"/>
        <v>100</v>
      </c>
      <c r="M84" s="92">
        <f t="shared" si="30"/>
        <v>0</v>
      </c>
      <c r="N84" s="125">
        <f t="shared" si="26"/>
        <v>100</v>
      </c>
      <c r="O84" s="91"/>
      <c r="P84" s="92">
        <v>60</v>
      </c>
      <c r="Q84" s="92"/>
      <c r="R84" s="93">
        <f t="shared" si="27"/>
        <v>60</v>
      </c>
      <c r="S84" s="97">
        <v>1</v>
      </c>
      <c r="T84" s="95"/>
      <c r="U84" s="85"/>
      <c r="V84" s="82" t="s">
        <v>72</v>
      </c>
      <c r="W84" s="73" t="s">
        <v>22</v>
      </c>
      <c r="X84" s="73" t="s">
        <v>18</v>
      </c>
      <c r="Y84" s="83">
        <v>60</v>
      </c>
      <c r="AD84" s="82"/>
      <c r="AG84" s="83"/>
      <c r="AL84" s="82"/>
      <c r="AO84" s="83"/>
      <c r="AP84" s="82"/>
      <c r="AS84" s="83"/>
      <c r="AW84" s="83"/>
      <c r="BA84" s="84"/>
    </row>
    <row r="85" spans="1:53" s="334" customFormat="1" x14ac:dyDescent="0.15">
      <c r="A85" s="334">
        <v>1997</v>
      </c>
      <c r="B85" s="355">
        <v>35592</v>
      </c>
      <c r="C85" s="812" t="s">
        <v>247</v>
      </c>
      <c r="D85" s="812"/>
      <c r="E85" s="334">
        <v>204</v>
      </c>
      <c r="F85" s="334">
        <v>1</v>
      </c>
      <c r="G85" s="419"/>
      <c r="H85" s="334">
        <v>28</v>
      </c>
      <c r="J85" s="435">
        <v>28</v>
      </c>
      <c r="K85" s="384">
        <f t="shared" si="28"/>
        <v>0</v>
      </c>
      <c r="L85" s="384">
        <f t="shared" si="29"/>
        <v>100</v>
      </c>
      <c r="M85" s="384">
        <f t="shared" si="30"/>
        <v>0</v>
      </c>
      <c r="N85" s="421">
        <f t="shared" si="26"/>
        <v>100</v>
      </c>
      <c r="O85" s="383"/>
      <c r="P85" s="384">
        <v>51.5</v>
      </c>
      <c r="Q85" s="384"/>
      <c r="R85" s="385">
        <f t="shared" si="27"/>
        <v>51.5</v>
      </c>
      <c r="S85" s="388">
        <v>1</v>
      </c>
      <c r="T85" s="342">
        <v>35583</v>
      </c>
      <c r="U85" s="355">
        <v>35592</v>
      </c>
      <c r="V85" s="343" t="s">
        <v>72</v>
      </c>
      <c r="W85" s="334" t="s">
        <v>22</v>
      </c>
      <c r="X85" s="334" t="s">
        <v>18</v>
      </c>
      <c r="Y85" s="344">
        <v>51.5</v>
      </c>
      <c r="AD85" s="343"/>
      <c r="AG85" s="344"/>
      <c r="AL85" s="343"/>
      <c r="AO85" s="344"/>
      <c r="AP85" s="343"/>
      <c r="AS85" s="344"/>
      <c r="AW85" s="344"/>
      <c r="BA85" s="345"/>
    </row>
    <row r="86" spans="1:53" s="334" customFormat="1" x14ac:dyDescent="0.15">
      <c r="A86" s="334">
        <v>1998</v>
      </c>
      <c r="B86" s="355"/>
      <c r="C86" s="812" t="s">
        <v>247</v>
      </c>
      <c r="D86" s="812"/>
      <c r="E86" s="334">
        <v>0</v>
      </c>
      <c r="G86" s="419"/>
      <c r="H86" s="334">
        <v>28</v>
      </c>
      <c r="J86" s="435">
        <v>28</v>
      </c>
      <c r="K86" s="384">
        <f t="shared" si="28"/>
        <v>0</v>
      </c>
      <c r="L86" s="384">
        <f t="shared" si="29"/>
        <v>100</v>
      </c>
      <c r="M86" s="384">
        <f t="shared" si="30"/>
        <v>0</v>
      </c>
      <c r="N86" s="421">
        <f t="shared" si="26"/>
        <v>100</v>
      </c>
      <c r="O86" s="383"/>
      <c r="P86" s="384">
        <v>51.5</v>
      </c>
      <c r="Q86" s="384"/>
      <c r="R86" s="385">
        <f t="shared" si="27"/>
        <v>51.5</v>
      </c>
      <c r="S86" s="388">
        <v>1</v>
      </c>
      <c r="T86" s="342"/>
      <c r="U86" s="355"/>
      <c r="V86" s="343" t="s">
        <v>72</v>
      </c>
      <c r="W86" s="334" t="s">
        <v>22</v>
      </c>
      <c r="X86" s="334" t="s">
        <v>18</v>
      </c>
      <c r="Y86" s="344">
        <v>51.5</v>
      </c>
      <c r="AD86" s="343"/>
      <c r="AG86" s="344"/>
      <c r="AL86" s="343"/>
      <c r="AO86" s="344"/>
      <c r="AP86" s="343"/>
      <c r="AS86" s="344"/>
      <c r="AW86" s="344"/>
      <c r="BA86" s="345"/>
    </row>
    <row r="87" spans="1:53" s="334" customFormat="1" x14ac:dyDescent="0.15">
      <c r="A87" s="334">
        <v>1998</v>
      </c>
      <c r="B87" s="355"/>
      <c r="C87" s="812" t="s">
        <v>247</v>
      </c>
      <c r="D87" s="812"/>
      <c r="E87" s="334">
        <f>365-E86</f>
        <v>365</v>
      </c>
      <c r="G87" s="419"/>
      <c r="H87" s="334">
        <v>28</v>
      </c>
      <c r="J87" s="435">
        <v>28</v>
      </c>
      <c r="K87" s="384">
        <f t="shared" si="28"/>
        <v>0</v>
      </c>
      <c r="L87" s="384">
        <f t="shared" si="29"/>
        <v>100</v>
      </c>
      <c r="M87" s="384">
        <f t="shared" si="30"/>
        <v>0</v>
      </c>
      <c r="N87" s="421">
        <f t="shared" si="26"/>
        <v>100</v>
      </c>
      <c r="O87" s="383"/>
      <c r="P87" s="384">
        <v>51.5</v>
      </c>
      <c r="Q87" s="384"/>
      <c r="R87" s="385">
        <f t="shared" si="27"/>
        <v>51.5</v>
      </c>
      <c r="S87" s="388">
        <v>1</v>
      </c>
      <c r="T87" s="342"/>
      <c r="U87" s="355"/>
      <c r="V87" s="343" t="s">
        <v>72</v>
      </c>
      <c r="W87" s="334" t="s">
        <v>22</v>
      </c>
      <c r="X87" s="334" t="s">
        <v>18</v>
      </c>
      <c r="Y87" s="344">
        <v>51.5</v>
      </c>
      <c r="AD87" s="343"/>
      <c r="AG87" s="344"/>
      <c r="AL87" s="343"/>
      <c r="AO87" s="344"/>
      <c r="AP87" s="343"/>
      <c r="AS87" s="344"/>
      <c r="AW87" s="344"/>
      <c r="BA87" s="345"/>
    </row>
    <row r="88" spans="1:53" s="334" customFormat="1" x14ac:dyDescent="0.15">
      <c r="A88" s="334">
        <v>1999</v>
      </c>
      <c r="B88" s="355"/>
      <c r="C88" s="812" t="s">
        <v>247</v>
      </c>
      <c r="D88" s="812"/>
      <c r="E88" s="334">
        <v>0</v>
      </c>
      <c r="G88" s="419"/>
      <c r="H88" s="334">
        <v>28</v>
      </c>
      <c r="J88" s="435">
        <v>28</v>
      </c>
      <c r="K88" s="384">
        <f t="shared" si="28"/>
        <v>0</v>
      </c>
      <c r="L88" s="384">
        <f t="shared" si="29"/>
        <v>100</v>
      </c>
      <c r="M88" s="384">
        <f t="shared" si="30"/>
        <v>0</v>
      </c>
      <c r="N88" s="421">
        <f t="shared" si="26"/>
        <v>100</v>
      </c>
      <c r="O88" s="383"/>
      <c r="P88" s="384">
        <v>51.5</v>
      </c>
      <c r="Q88" s="384"/>
      <c r="R88" s="385">
        <f t="shared" si="27"/>
        <v>51.5</v>
      </c>
      <c r="S88" s="388">
        <v>1</v>
      </c>
      <c r="T88" s="342"/>
      <c r="U88" s="355"/>
      <c r="V88" s="343" t="s">
        <v>72</v>
      </c>
      <c r="W88" s="334" t="s">
        <v>22</v>
      </c>
      <c r="X88" s="334" t="s">
        <v>18</v>
      </c>
      <c r="Y88" s="344">
        <v>51.5</v>
      </c>
      <c r="AD88" s="343"/>
      <c r="AG88" s="344"/>
      <c r="AL88" s="343"/>
      <c r="AO88" s="344"/>
      <c r="AP88" s="343"/>
      <c r="AS88" s="344"/>
      <c r="AW88" s="344"/>
      <c r="BA88" s="345"/>
    </row>
    <row r="89" spans="1:53" s="334" customFormat="1" x14ac:dyDescent="0.15">
      <c r="A89" s="334">
        <v>1999</v>
      </c>
      <c r="B89" s="355"/>
      <c r="C89" s="812" t="s">
        <v>247</v>
      </c>
      <c r="D89" s="812"/>
      <c r="E89" s="334">
        <f>365-E88</f>
        <v>365</v>
      </c>
      <c r="G89" s="419"/>
      <c r="H89" s="334">
        <v>28</v>
      </c>
      <c r="J89" s="435">
        <v>28</v>
      </c>
      <c r="K89" s="384">
        <f t="shared" si="28"/>
        <v>0</v>
      </c>
      <c r="L89" s="384">
        <f t="shared" si="29"/>
        <v>100</v>
      </c>
      <c r="M89" s="384">
        <f t="shared" si="30"/>
        <v>0</v>
      </c>
      <c r="N89" s="421">
        <f t="shared" si="26"/>
        <v>100</v>
      </c>
      <c r="O89" s="383"/>
      <c r="P89" s="384">
        <v>51.5</v>
      </c>
      <c r="Q89" s="384"/>
      <c r="R89" s="385">
        <f t="shared" si="27"/>
        <v>51.5</v>
      </c>
      <c r="S89" s="388">
        <v>1</v>
      </c>
      <c r="T89" s="342"/>
      <c r="U89" s="355"/>
      <c r="V89" s="343" t="s">
        <v>72</v>
      </c>
      <c r="W89" s="334" t="s">
        <v>22</v>
      </c>
      <c r="X89" s="334" t="s">
        <v>18</v>
      </c>
      <c r="Y89" s="344">
        <v>51.5</v>
      </c>
      <c r="AD89" s="343"/>
      <c r="AG89" s="344"/>
      <c r="AL89" s="343"/>
      <c r="AO89" s="344"/>
      <c r="AP89" s="343"/>
      <c r="AS89" s="344"/>
      <c r="AW89" s="344"/>
      <c r="BA89" s="345"/>
    </row>
    <row r="90" spans="1:53" s="334" customFormat="1" x14ac:dyDescent="0.15">
      <c r="A90" s="334">
        <v>2000</v>
      </c>
      <c r="B90" s="355"/>
      <c r="C90" s="812" t="s">
        <v>247</v>
      </c>
      <c r="D90" s="812"/>
      <c r="E90" s="334">
        <v>331</v>
      </c>
      <c r="G90" s="419"/>
      <c r="H90" s="334">
        <v>28</v>
      </c>
      <c r="J90" s="435">
        <v>28</v>
      </c>
      <c r="K90" s="384">
        <f t="shared" si="28"/>
        <v>0</v>
      </c>
      <c r="L90" s="384">
        <f t="shared" si="29"/>
        <v>100</v>
      </c>
      <c r="M90" s="384">
        <f t="shared" si="30"/>
        <v>0</v>
      </c>
      <c r="N90" s="421">
        <f t="shared" si="26"/>
        <v>100</v>
      </c>
      <c r="O90" s="383"/>
      <c r="P90" s="384">
        <v>51.5</v>
      </c>
      <c r="Q90" s="384"/>
      <c r="R90" s="385">
        <f t="shared" si="27"/>
        <v>51.5</v>
      </c>
      <c r="S90" s="388">
        <v>1</v>
      </c>
      <c r="T90" s="342"/>
      <c r="U90" s="355"/>
      <c r="V90" s="343" t="s">
        <v>72</v>
      </c>
      <c r="W90" s="334" t="s">
        <v>22</v>
      </c>
      <c r="X90" s="334" t="s">
        <v>18</v>
      </c>
      <c r="Y90" s="344">
        <v>51.5</v>
      </c>
      <c r="AD90" s="343"/>
      <c r="AG90" s="344"/>
      <c r="AL90" s="343"/>
      <c r="AO90" s="344"/>
      <c r="AP90" s="343"/>
      <c r="AS90" s="344"/>
      <c r="AW90" s="344"/>
      <c r="BA90" s="345"/>
    </row>
    <row r="91" spans="1:53" s="73" customFormat="1" x14ac:dyDescent="0.15">
      <c r="A91" s="73">
        <v>2000</v>
      </c>
      <c r="B91" s="85">
        <v>36857</v>
      </c>
      <c r="C91" s="811" t="s">
        <v>248</v>
      </c>
      <c r="D91" s="811"/>
      <c r="E91" s="73">
        <v>35</v>
      </c>
      <c r="F91" s="73">
        <v>1</v>
      </c>
      <c r="G91" s="123"/>
      <c r="H91" s="73">
        <v>28</v>
      </c>
      <c r="J91" s="134">
        <v>28</v>
      </c>
      <c r="K91" s="92">
        <f t="shared" si="28"/>
        <v>0</v>
      </c>
      <c r="L91" s="92">
        <f t="shared" si="29"/>
        <v>100</v>
      </c>
      <c r="M91" s="92">
        <f t="shared" si="30"/>
        <v>0</v>
      </c>
      <c r="N91" s="125">
        <f t="shared" si="26"/>
        <v>100</v>
      </c>
      <c r="O91" s="91"/>
      <c r="P91" s="92">
        <v>57.1</v>
      </c>
      <c r="Q91" s="92"/>
      <c r="R91" s="93">
        <f t="shared" si="27"/>
        <v>57.1</v>
      </c>
      <c r="S91" s="97">
        <v>1</v>
      </c>
      <c r="T91" s="95">
        <v>36857</v>
      </c>
      <c r="U91" s="85">
        <v>36857</v>
      </c>
      <c r="V91" s="82" t="s">
        <v>72</v>
      </c>
      <c r="W91" s="73" t="s">
        <v>22</v>
      </c>
      <c r="X91" s="73" t="s">
        <v>18</v>
      </c>
      <c r="Y91" s="83">
        <v>57.1</v>
      </c>
      <c r="AD91" s="82"/>
      <c r="AG91" s="83"/>
      <c r="AL91" s="82"/>
      <c r="AO91" s="83"/>
      <c r="AP91" s="82"/>
      <c r="AS91" s="83"/>
      <c r="AW91" s="83"/>
      <c r="BA91" s="84"/>
    </row>
    <row r="92" spans="1:53" s="73" customFormat="1" x14ac:dyDescent="0.15">
      <c r="A92" s="73">
        <v>2001</v>
      </c>
      <c r="B92" s="85"/>
      <c r="C92" s="811" t="s">
        <v>248</v>
      </c>
      <c r="D92" s="811"/>
      <c r="E92" s="73">
        <v>0</v>
      </c>
      <c r="G92" s="123"/>
      <c r="H92" s="73">
        <v>28</v>
      </c>
      <c r="J92" s="134">
        <v>28</v>
      </c>
      <c r="K92" s="92">
        <f t="shared" si="28"/>
        <v>0</v>
      </c>
      <c r="L92" s="92">
        <f t="shared" si="29"/>
        <v>100</v>
      </c>
      <c r="M92" s="92">
        <f t="shared" si="30"/>
        <v>0</v>
      </c>
      <c r="N92" s="125">
        <f t="shared" si="26"/>
        <v>100</v>
      </c>
      <c r="O92" s="91"/>
      <c r="P92" s="92">
        <v>57.1</v>
      </c>
      <c r="Q92" s="92"/>
      <c r="R92" s="93">
        <f t="shared" si="27"/>
        <v>57.1</v>
      </c>
      <c r="S92" s="97">
        <v>1</v>
      </c>
      <c r="T92" s="95"/>
      <c r="U92" s="85"/>
      <c r="V92" s="82" t="s">
        <v>72</v>
      </c>
      <c r="W92" s="73" t="s">
        <v>22</v>
      </c>
      <c r="X92" s="73" t="s">
        <v>18</v>
      </c>
      <c r="Y92" s="83">
        <v>57.1</v>
      </c>
      <c r="AD92" s="82"/>
      <c r="AG92" s="83"/>
      <c r="AL92" s="82"/>
      <c r="AO92" s="83"/>
      <c r="AP92" s="82"/>
      <c r="AS92" s="83"/>
      <c r="AW92" s="83"/>
      <c r="BA92" s="84"/>
    </row>
    <row r="93" spans="1:53" s="73" customFormat="1" x14ac:dyDescent="0.15">
      <c r="A93" s="73">
        <v>2001</v>
      </c>
      <c r="B93" s="85"/>
      <c r="C93" s="811" t="s">
        <v>248</v>
      </c>
      <c r="D93" s="811"/>
      <c r="E93" s="73">
        <f>365-E92</f>
        <v>365</v>
      </c>
      <c r="G93" s="123"/>
      <c r="H93" s="73">
        <v>28</v>
      </c>
      <c r="J93" s="134">
        <v>28</v>
      </c>
      <c r="K93" s="92">
        <f t="shared" si="28"/>
        <v>0</v>
      </c>
      <c r="L93" s="92">
        <f t="shared" si="29"/>
        <v>100</v>
      </c>
      <c r="M93" s="92">
        <f t="shared" si="30"/>
        <v>0</v>
      </c>
      <c r="N93" s="125">
        <f t="shared" si="26"/>
        <v>100</v>
      </c>
      <c r="O93" s="91"/>
      <c r="P93" s="92">
        <v>57.1</v>
      </c>
      <c r="Q93" s="92"/>
      <c r="R93" s="93">
        <f t="shared" si="27"/>
        <v>57.1</v>
      </c>
      <c r="S93" s="97">
        <v>1</v>
      </c>
      <c r="T93" s="95"/>
      <c r="U93" s="85"/>
      <c r="V93" s="82" t="s">
        <v>72</v>
      </c>
      <c r="W93" s="73" t="s">
        <v>22</v>
      </c>
      <c r="X93" s="73" t="s">
        <v>18</v>
      </c>
      <c r="Y93" s="83">
        <v>57.1</v>
      </c>
      <c r="AD93" s="82"/>
      <c r="AG93" s="83"/>
      <c r="AL93" s="82"/>
      <c r="AO93" s="83"/>
      <c r="AP93" s="82"/>
      <c r="AS93" s="83"/>
      <c r="AW93" s="83"/>
      <c r="BA93" s="84"/>
    </row>
    <row r="94" spans="1:53" s="73" customFormat="1" x14ac:dyDescent="0.15">
      <c r="A94" s="73">
        <v>2002</v>
      </c>
      <c r="B94" s="85"/>
      <c r="C94" s="811" t="s">
        <v>248</v>
      </c>
      <c r="D94" s="811"/>
      <c r="E94" s="73">
        <v>0</v>
      </c>
      <c r="G94" s="123"/>
      <c r="H94" s="73">
        <v>28</v>
      </c>
      <c r="J94" s="134">
        <v>28</v>
      </c>
      <c r="K94" s="92">
        <f t="shared" si="28"/>
        <v>0</v>
      </c>
      <c r="L94" s="92">
        <f t="shared" si="29"/>
        <v>100</v>
      </c>
      <c r="M94" s="92">
        <f t="shared" si="30"/>
        <v>0</v>
      </c>
      <c r="N94" s="125">
        <f t="shared" si="26"/>
        <v>100</v>
      </c>
      <c r="O94" s="91"/>
      <c r="P94" s="92">
        <v>57.1</v>
      </c>
      <c r="Q94" s="92"/>
      <c r="R94" s="93">
        <f t="shared" si="27"/>
        <v>57.1</v>
      </c>
      <c r="S94" s="97">
        <v>1</v>
      </c>
      <c r="T94" s="95"/>
      <c r="U94" s="85"/>
      <c r="V94" s="82" t="s">
        <v>72</v>
      </c>
      <c r="W94" s="73" t="s">
        <v>22</v>
      </c>
      <c r="X94" s="73" t="s">
        <v>18</v>
      </c>
      <c r="Y94" s="83">
        <v>57.1</v>
      </c>
      <c r="AD94" s="82"/>
      <c r="AG94" s="83"/>
      <c r="AL94" s="82"/>
      <c r="AO94" s="83"/>
      <c r="AP94" s="82"/>
      <c r="AS94" s="83"/>
      <c r="AW94" s="83"/>
      <c r="BA94" s="84"/>
    </row>
    <row r="95" spans="1:53" s="73" customFormat="1" x14ac:dyDescent="0.15">
      <c r="A95" s="73">
        <v>2002</v>
      </c>
      <c r="B95" s="85"/>
      <c r="C95" s="811" t="s">
        <v>248</v>
      </c>
      <c r="D95" s="811"/>
      <c r="E95" s="73">
        <f>365-E94</f>
        <v>365</v>
      </c>
      <c r="G95" s="123"/>
      <c r="H95" s="73">
        <v>28</v>
      </c>
      <c r="J95" s="134">
        <v>28</v>
      </c>
      <c r="K95" s="92">
        <f t="shared" si="28"/>
        <v>0</v>
      </c>
      <c r="L95" s="92">
        <f t="shared" si="29"/>
        <v>100</v>
      </c>
      <c r="M95" s="92">
        <f t="shared" si="30"/>
        <v>0</v>
      </c>
      <c r="N95" s="125">
        <f t="shared" si="26"/>
        <v>100</v>
      </c>
      <c r="O95" s="91"/>
      <c r="P95" s="92">
        <v>57.1</v>
      </c>
      <c r="Q95" s="92"/>
      <c r="R95" s="93">
        <f t="shared" si="27"/>
        <v>57.1</v>
      </c>
      <c r="S95" s="97">
        <v>1</v>
      </c>
      <c r="T95" s="95"/>
      <c r="U95" s="85"/>
      <c r="V95" s="82" t="s">
        <v>72</v>
      </c>
      <c r="W95" s="73" t="s">
        <v>22</v>
      </c>
      <c r="X95" s="73" t="s">
        <v>18</v>
      </c>
      <c r="Y95" s="83">
        <v>57.1</v>
      </c>
      <c r="AD95" s="82"/>
      <c r="AG95" s="83"/>
      <c r="AL95" s="82"/>
      <c r="AO95" s="83"/>
      <c r="AP95" s="82"/>
      <c r="AS95" s="83"/>
      <c r="AW95" s="83"/>
      <c r="BA95" s="84"/>
    </row>
    <row r="96" spans="1:53" s="73" customFormat="1" x14ac:dyDescent="0.15">
      <c r="A96" s="73">
        <v>2003</v>
      </c>
      <c r="B96" s="85"/>
      <c r="C96" s="811" t="s">
        <v>248</v>
      </c>
      <c r="D96" s="811"/>
      <c r="E96" s="73">
        <v>345</v>
      </c>
      <c r="G96" s="123"/>
      <c r="H96" s="73">
        <v>28</v>
      </c>
      <c r="J96" s="134">
        <v>28</v>
      </c>
      <c r="K96" s="92">
        <f t="shared" si="28"/>
        <v>0</v>
      </c>
      <c r="L96" s="92">
        <f t="shared" si="29"/>
        <v>100</v>
      </c>
      <c r="M96" s="92">
        <f t="shared" si="30"/>
        <v>0</v>
      </c>
      <c r="N96" s="125">
        <f t="shared" si="26"/>
        <v>100</v>
      </c>
      <c r="O96" s="91"/>
      <c r="P96" s="92">
        <v>57.1</v>
      </c>
      <c r="Q96" s="92"/>
      <c r="R96" s="93">
        <f t="shared" si="27"/>
        <v>57.1</v>
      </c>
      <c r="S96" s="97">
        <v>1</v>
      </c>
      <c r="T96" s="95"/>
      <c r="U96" s="85"/>
      <c r="V96" s="82" t="s">
        <v>72</v>
      </c>
      <c r="W96" s="73" t="s">
        <v>22</v>
      </c>
      <c r="X96" s="73" t="s">
        <v>18</v>
      </c>
      <c r="Y96" s="83">
        <v>57.1</v>
      </c>
      <c r="AD96" s="82"/>
      <c r="AG96" s="83"/>
      <c r="AL96" s="82"/>
      <c r="AO96" s="83"/>
      <c r="AP96" s="82"/>
      <c r="AS96" s="83"/>
      <c r="AW96" s="83"/>
      <c r="BA96" s="84"/>
    </row>
    <row r="97" spans="1:53" s="334" customFormat="1" x14ac:dyDescent="0.15">
      <c r="A97" s="334">
        <v>2003</v>
      </c>
      <c r="B97" s="355">
        <v>37967</v>
      </c>
      <c r="C97" s="812" t="s">
        <v>249</v>
      </c>
      <c r="D97" s="812"/>
      <c r="E97" s="334">
        <f>365-E96</f>
        <v>20</v>
      </c>
      <c r="F97" s="334">
        <v>2</v>
      </c>
      <c r="G97" s="419"/>
      <c r="H97" s="334">
        <v>28</v>
      </c>
      <c r="J97" s="435">
        <v>28</v>
      </c>
      <c r="K97" s="384">
        <f t="shared" si="28"/>
        <v>0</v>
      </c>
      <c r="L97" s="384">
        <f t="shared" si="29"/>
        <v>100</v>
      </c>
      <c r="M97" s="384">
        <f t="shared" si="30"/>
        <v>0</v>
      </c>
      <c r="N97" s="421">
        <f t="shared" si="26"/>
        <v>100</v>
      </c>
      <c r="O97" s="383"/>
      <c r="P97" s="384">
        <v>57.1</v>
      </c>
      <c r="Q97" s="384"/>
      <c r="R97" s="385">
        <f t="shared" si="27"/>
        <v>57.1</v>
      </c>
      <c r="S97" s="388">
        <v>1</v>
      </c>
      <c r="T97" s="342"/>
      <c r="U97" s="355">
        <v>37967</v>
      </c>
      <c r="V97" s="343" t="s">
        <v>72</v>
      </c>
      <c r="W97" s="334" t="s">
        <v>22</v>
      </c>
      <c r="X97" s="334" t="s">
        <v>18</v>
      </c>
      <c r="Y97" s="344">
        <v>57.1</v>
      </c>
      <c r="AD97" s="343"/>
      <c r="AG97" s="344"/>
      <c r="AL97" s="343"/>
      <c r="AO97" s="344"/>
      <c r="AP97" s="343"/>
      <c r="AS97" s="344"/>
      <c r="AW97" s="344"/>
      <c r="BA97" s="345"/>
    </row>
    <row r="98" spans="1:53" s="334" customFormat="1" x14ac:dyDescent="0.15">
      <c r="A98" s="334">
        <v>2004</v>
      </c>
      <c r="B98" s="355"/>
      <c r="C98" s="812" t="s">
        <v>249</v>
      </c>
      <c r="D98" s="812"/>
      <c r="E98" s="334">
        <v>201</v>
      </c>
      <c r="G98" s="419"/>
      <c r="H98" s="334">
        <v>28</v>
      </c>
      <c r="J98" s="435">
        <v>28</v>
      </c>
      <c r="K98" s="384">
        <f t="shared" si="28"/>
        <v>0</v>
      </c>
      <c r="L98" s="384">
        <f t="shared" si="29"/>
        <v>100</v>
      </c>
      <c r="M98" s="384">
        <f t="shared" si="30"/>
        <v>0</v>
      </c>
      <c r="N98" s="421">
        <f t="shared" si="26"/>
        <v>100</v>
      </c>
      <c r="O98" s="383"/>
      <c r="P98" s="384">
        <v>57.1</v>
      </c>
      <c r="Q98" s="384"/>
      <c r="R98" s="385">
        <f t="shared" si="27"/>
        <v>57.1</v>
      </c>
      <c r="S98" s="388">
        <v>1</v>
      </c>
      <c r="T98" s="342"/>
      <c r="U98" s="355"/>
      <c r="V98" s="343" t="s">
        <v>72</v>
      </c>
      <c r="W98" s="334" t="s">
        <v>22</v>
      </c>
      <c r="X98" s="334" t="s">
        <v>18</v>
      </c>
      <c r="Y98" s="344">
        <v>57.1</v>
      </c>
      <c r="AD98" s="343"/>
      <c r="AG98" s="344"/>
      <c r="AL98" s="343"/>
      <c r="AO98" s="344"/>
      <c r="AP98" s="343"/>
      <c r="AS98" s="344"/>
      <c r="AW98" s="344"/>
      <c r="BA98" s="345"/>
    </row>
    <row r="99" spans="1:53" s="73" customFormat="1" x14ac:dyDescent="0.15">
      <c r="A99" s="73">
        <v>2004</v>
      </c>
      <c r="B99" s="85">
        <v>38188</v>
      </c>
      <c r="C99" s="811" t="s">
        <v>250</v>
      </c>
      <c r="D99" s="811"/>
      <c r="E99" s="73">
        <v>165</v>
      </c>
      <c r="F99" s="73">
        <v>1</v>
      </c>
      <c r="G99" s="123"/>
      <c r="H99" s="73">
        <v>39</v>
      </c>
      <c r="J99" s="134">
        <v>39</v>
      </c>
      <c r="K99" s="92">
        <f t="shared" si="28"/>
        <v>0</v>
      </c>
      <c r="L99" s="92">
        <f t="shared" si="29"/>
        <v>100</v>
      </c>
      <c r="M99" s="92">
        <f t="shared" si="30"/>
        <v>0</v>
      </c>
      <c r="N99" s="125">
        <f t="shared" si="26"/>
        <v>100</v>
      </c>
      <c r="O99" s="91"/>
      <c r="P99" s="92">
        <v>43.8</v>
      </c>
      <c r="Q99" s="92"/>
      <c r="R99" s="93">
        <f t="shared" si="27"/>
        <v>43.8</v>
      </c>
      <c r="S99" s="97">
        <v>4</v>
      </c>
      <c r="T99" s="95">
        <v>38166</v>
      </c>
      <c r="U99" s="85">
        <v>38188</v>
      </c>
      <c r="V99" s="82" t="s">
        <v>72</v>
      </c>
      <c r="W99" s="73" t="s">
        <v>22</v>
      </c>
      <c r="X99" s="73" t="s">
        <v>18</v>
      </c>
      <c r="Y99" s="83">
        <v>43.8</v>
      </c>
      <c r="AD99" s="82"/>
      <c r="AG99" s="83"/>
      <c r="AL99" s="82"/>
      <c r="AO99" s="83"/>
      <c r="AP99" s="82"/>
      <c r="AS99" s="83"/>
      <c r="AW99" s="83"/>
      <c r="BA99" s="84"/>
    </row>
    <row r="100" spans="1:53" s="73" customFormat="1" x14ac:dyDescent="0.15">
      <c r="A100" s="73">
        <v>2005</v>
      </c>
      <c r="B100" s="85"/>
      <c r="C100" s="811" t="s">
        <v>250</v>
      </c>
      <c r="D100" s="811"/>
      <c r="E100" s="73">
        <v>0</v>
      </c>
      <c r="G100" s="123"/>
      <c r="H100" s="73">
        <v>39</v>
      </c>
      <c r="J100" s="134">
        <v>39</v>
      </c>
      <c r="K100" s="92">
        <f>G100/J100*100</f>
        <v>0</v>
      </c>
      <c r="L100" s="92">
        <f>H100/J100*100</f>
        <v>100</v>
      </c>
      <c r="M100" s="92">
        <f>I100/J100*100</f>
        <v>0</v>
      </c>
      <c r="N100" s="125">
        <f t="shared" si="26"/>
        <v>100</v>
      </c>
      <c r="O100" s="91"/>
      <c r="P100" s="92">
        <v>43.8</v>
      </c>
      <c r="Q100" s="92"/>
      <c r="R100" s="93">
        <f t="shared" si="27"/>
        <v>43.8</v>
      </c>
      <c r="S100" s="97">
        <v>4</v>
      </c>
      <c r="T100" s="95"/>
      <c r="U100" s="85"/>
      <c r="V100" s="82" t="s">
        <v>72</v>
      </c>
      <c r="W100" s="73" t="s">
        <v>22</v>
      </c>
      <c r="X100" s="73" t="s">
        <v>18</v>
      </c>
      <c r="Y100" s="83">
        <v>43.8</v>
      </c>
      <c r="AD100" s="82"/>
      <c r="AG100" s="83"/>
      <c r="AL100" s="82"/>
      <c r="AO100" s="83"/>
      <c r="AP100" s="82"/>
      <c r="AS100" s="83"/>
      <c r="AW100" s="83"/>
      <c r="BA100" s="84"/>
    </row>
    <row r="101" spans="1:53" s="73" customFormat="1" x14ac:dyDescent="0.15">
      <c r="A101" s="73">
        <v>2005</v>
      </c>
      <c r="B101" s="85"/>
      <c r="C101" s="811" t="s">
        <v>250</v>
      </c>
      <c r="D101" s="811"/>
      <c r="E101" s="73">
        <f>365-E100</f>
        <v>365</v>
      </c>
      <c r="G101" s="123"/>
      <c r="H101" s="73">
        <v>39</v>
      </c>
      <c r="J101" s="134">
        <v>39</v>
      </c>
      <c r="K101" s="92">
        <f>G101/J101*100</f>
        <v>0</v>
      </c>
      <c r="L101" s="92">
        <f>H101/J101*100</f>
        <v>100</v>
      </c>
      <c r="M101" s="92">
        <f>I101/J101*100</f>
        <v>0</v>
      </c>
      <c r="N101" s="125">
        <f>SUM(K101:M101)</f>
        <v>100</v>
      </c>
      <c r="O101" s="91"/>
      <c r="P101" s="92">
        <v>43.8</v>
      </c>
      <c r="Q101" s="92"/>
      <c r="R101" s="93">
        <f t="shared" si="27"/>
        <v>43.8</v>
      </c>
      <c r="S101" s="97">
        <v>4</v>
      </c>
      <c r="T101" s="95"/>
      <c r="U101" s="85"/>
      <c r="V101" s="82" t="s">
        <v>72</v>
      </c>
      <c r="W101" s="73" t="s">
        <v>22</v>
      </c>
      <c r="X101" s="73" t="s">
        <v>18</v>
      </c>
      <c r="Y101" s="83">
        <v>43.8</v>
      </c>
      <c r="AD101" s="82"/>
      <c r="AG101" s="83"/>
      <c r="AL101" s="82"/>
      <c r="AO101" s="83"/>
      <c r="AP101" s="82"/>
      <c r="AS101" s="83"/>
      <c r="AW101" s="83"/>
      <c r="BA101" s="84"/>
    </row>
    <row r="102" spans="1:53" s="73" customFormat="1" x14ac:dyDescent="0.15">
      <c r="A102" s="73">
        <v>2006</v>
      </c>
      <c r="B102" s="85"/>
      <c r="C102" s="811" t="s">
        <v>250</v>
      </c>
      <c r="D102" s="811"/>
      <c r="E102" s="73">
        <v>36</v>
      </c>
      <c r="G102" s="123"/>
      <c r="H102" s="73">
        <v>39</v>
      </c>
      <c r="J102" s="134">
        <v>39</v>
      </c>
      <c r="K102" s="92">
        <f>G102/J102*100</f>
        <v>0</v>
      </c>
      <c r="L102" s="92">
        <f>H102/J102*100</f>
        <v>100</v>
      </c>
      <c r="M102" s="92">
        <f>I102/J102*100</f>
        <v>0</v>
      </c>
      <c r="N102" s="125">
        <f t="shared" si="26"/>
        <v>100</v>
      </c>
      <c r="O102" s="91"/>
      <c r="P102" s="92">
        <v>43.8</v>
      </c>
      <c r="Q102" s="92"/>
      <c r="R102" s="93">
        <f t="shared" si="27"/>
        <v>43.8</v>
      </c>
      <c r="S102" s="97">
        <v>4</v>
      </c>
      <c r="T102" s="95"/>
      <c r="U102" s="85"/>
      <c r="V102" s="82" t="s">
        <v>72</v>
      </c>
      <c r="W102" s="73" t="s">
        <v>22</v>
      </c>
      <c r="X102" s="73" t="s">
        <v>18</v>
      </c>
      <c r="Y102" s="83">
        <v>43.8</v>
      </c>
      <c r="AD102" s="82"/>
      <c r="AG102" s="83"/>
      <c r="AL102" s="82"/>
      <c r="AO102" s="83"/>
      <c r="AP102" s="82"/>
      <c r="AS102" s="83"/>
      <c r="AW102" s="83"/>
      <c r="BA102" s="84"/>
    </row>
    <row r="103" spans="1:53" s="334" customFormat="1" x14ac:dyDescent="0.15">
      <c r="A103" s="334">
        <v>2006</v>
      </c>
      <c r="B103" s="355">
        <v>38754</v>
      </c>
      <c r="C103" s="812" t="s">
        <v>251</v>
      </c>
      <c r="D103" s="812"/>
      <c r="E103" s="334">
        <f>365-E102</f>
        <v>329</v>
      </c>
      <c r="F103" s="334">
        <v>5</v>
      </c>
      <c r="G103" s="419">
        <v>27</v>
      </c>
      <c r="J103" s="435">
        <v>27</v>
      </c>
      <c r="K103" s="384">
        <f t="shared" ref="K103:K108" si="31">G103/J103*100</f>
        <v>100</v>
      </c>
      <c r="L103" s="384">
        <f t="shared" ref="L103:L111" si="32">H103/J103*100</f>
        <v>0</v>
      </c>
      <c r="M103" s="384">
        <f t="shared" ref="M103:M111" si="33">I103/J103*100</f>
        <v>0</v>
      </c>
      <c r="N103" s="421">
        <f t="shared" si="26"/>
        <v>100</v>
      </c>
      <c r="O103" s="383">
        <v>40.299999999999997</v>
      </c>
      <c r="P103" s="384"/>
      <c r="Q103" s="384"/>
      <c r="R103" s="385">
        <f t="shared" si="27"/>
        <v>40.299999999999997</v>
      </c>
      <c r="S103" s="388">
        <v>4</v>
      </c>
      <c r="T103" s="342">
        <v>38740</v>
      </c>
      <c r="U103" s="355">
        <v>38754</v>
      </c>
      <c r="V103" s="343" t="s">
        <v>101</v>
      </c>
      <c r="W103" s="334" t="s">
        <v>74</v>
      </c>
      <c r="X103" s="334" t="s">
        <v>11</v>
      </c>
      <c r="Y103" s="344">
        <v>40.299999999999997</v>
      </c>
      <c r="AD103" s="343"/>
      <c r="AG103" s="344"/>
      <c r="AL103" s="343"/>
      <c r="AO103" s="344"/>
      <c r="AP103" s="343"/>
      <c r="AS103" s="344"/>
      <c r="AW103" s="344"/>
      <c r="BA103" s="345"/>
    </row>
    <row r="104" spans="1:53" s="334" customFormat="1" x14ac:dyDescent="0.15">
      <c r="A104" s="334">
        <v>2007</v>
      </c>
      <c r="B104" s="355"/>
      <c r="C104" s="812" t="s">
        <v>251</v>
      </c>
      <c r="D104" s="812"/>
      <c r="E104" s="334">
        <v>0</v>
      </c>
      <c r="G104" s="419">
        <v>27</v>
      </c>
      <c r="J104" s="435">
        <v>27</v>
      </c>
      <c r="K104" s="384">
        <f t="shared" si="31"/>
        <v>100</v>
      </c>
      <c r="L104" s="384">
        <f t="shared" si="32"/>
        <v>0</v>
      </c>
      <c r="M104" s="384">
        <f t="shared" si="33"/>
        <v>0</v>
      </c>
      <c r="N104" s="421">
        <f t="shared" si="26"/>
        <v>100</v>
      </c>
      <c r="O104" s="383">
        <v>40.299999999999997</v>
      </c>
      <c r="P104" s="384"/>
      <c r="Q104" s="384"/>
      <c r="R104" s="385">
        <f t="shared" si="27"/>
        <v>40.299999999999997</v>
      </c>
      <c r="S104" s="388">
        <v>4</v>
      </c>
      <c r="T104" s="342"/>
      <c r="U104" s="355"/>
      <c r="V104" s="343" t="s">
        <v>101</v>
      </c>
      <c r="W104" s="334" t="s">
        <v>74</v>
      </c>
      <c r="X104" s="334" t="s">
        <v>11</v>
      </c>
      <c r="Y104" s="344">
        <v>40.299999999999997</v>
      </c>
      <c r="AD104" s="343"/>
      <c r="AG104" s="344"/>
      <c r="AL104" s="343"/>
      <c r="AO104" s="344"/>
      <c r="AP104" s="343"/>
      <c r="AS104" s="344"/>
      <c r="AW104" s="344"/>
      <c r="BA104" s="345"/>
    </row>
    <row r="105" spans="1:53" s="334" customFormat="1" x14ac:dyDescent="0.15">
      <c r="A105" s="334">
        <v>2007</v>
      </c>
      <c r="B105" s="355"/>
      <c r="C105" s="812" t="s">
        <v>251</v>
      </c>
      <c r="D105" s="812"/>
      <c r="E105" s="334">
        <f>365-E104</f>
        <v>365</v>
      </c>
      <c r="G105" s="419">
        <v>27</v>
      </c>
      <c r="J105" s="435">
        <v>27</v>
      </c>
      <c r="K105" s="384">
        <f t="shared" si="31"/>
        <v>100</v>
      </c>
      <c r="L105" s="384">
        <f t="shared" si="32"/>
        <v>0</v>
      </c>
      <c r="M105" s="384">
        <f t="shared" si="33"/>
        <v>0</v>
      </c>
      <c r="N105" s="421">
        <f t="shared" si="26"/>
        <v>100</v>
      </c>
      <c r="O105" s="383">
        <v>40.299999999999997</v>
      </c>
      <c r="P105" s="384"/>
      <c r="Q105" s="384"/>
      <c r="R105" s="385">
        <f t="shared" si="27"/>
        <v>40.299999999999997</v>
      </c>
      <c r="S105" s="388">
        <v>4</v>
      </c>
      <c r="T105" s="342"/>
      <c r="U105" s="355"/>
      <c r="V105" s="343" t="s">
        <v>101</v>
      </c>
      <c r="W105" s="334" t="s">
        <v>74</v>
      </c>
      <c r="X105" s="334" t="s">
        <v>11</v>
      </c>
      <c r="Y105" s="344">
        <v>40.299999999999997</v>
      </c>
      <c r="AD105" s="343"/>
      <c r="AG105" s="344"/>
      <c r="AL105" s="343"/>
      <c r="AO105" s="344"/>
      <c r="AP105" s="343"/>
      <c r="AS105" s="344"/>
      <c r="AW105" s="344"/>
      <c r="BA105" s="345"/>
    </row>
    <row r="106" spans="1:53" s="334" customFormat="1" x14ac:dyDescent="0.15">
      <c r="A106" s="334">
        <v>2008</v>
      </c>
      <c r="B106" s="355"/>
      <c r="C106" s="812" t="s">
        <v>251</v>
      </c>
      <c r="D106" s="812"/>
      <c r="E106" s="334">
        <v>303</v>
      </c>
      <c r="G106" s="419">
        <v>27</v>
      </c>
      <c r="J106" s="435">
        <v>27</v>
      </c>
      <c r="K106" s="384">
        <f t="shared" si="31"/>
        <v>100</v>
      </c>
      <c r="L106" s="384">
        <f t="shared" si="32"/>
        <v>0</v>
      </c>
      <c r="M106" s="384">
        <f t="shared" si="33"/>
        <v>0</v>
      </c>
      <c r="N106" s="421">
        <f t="shared" si="26"/>
        <v>100</v>
      </c>
      <c r="O106" s="383">
        <v>40.299999999999997</v>
      </c>
      <c r="P106" s="384"/>
      <c r="Q106" s="384"/>
      <c r="R106" s="385">
        <f t="shared" si="27"/>
        <v>40.299999999999997</v>
      </c>
      <c r="S106" s="388">
        <v>4</v>
      </c>
      <c r="T106" s="342"/>
      <c r="U106" s="355"/>
      <c r="V106" s="343" t="s">
        <v>101</v>
      </c>
      <c r="W106" s="334" t="s">
        <v>74</v>
      </c>
      <c r="X106" s="334" t="s">
        <v>11</v>
      </c>
      <c r="Y106" s="344">
        <v>40.299999999999997</v>
      </c>
      <c r="AD106" s="343"/>
      <c r="AG106" s="344"/>
      <c r="AL106" s="343"/>
      <c r="AO106" s="344"/>
      <c r="AP106" s="343"/>
      <c r="AS106" s="344"/>
      <c r="AW106" s="344"/>
      <c r="BA106" s="345"/>
    </row>
    <row r="107" spans="1:53" s="73" customFormat="1" x14ac:dyDescent="0.15">
      <c r="A107" s="73">
        <v>2008</v>
      </c>
      <c r="B107" s="85">
        <v>39751</v>
      </c>
      <c r="C107" s="811" t="s">
        <v>252</v>
      </c>
      <c r="D107" s="811"/>
      <c r="E107" s="73">
        <v>63</v>
      </c>
      <c r="F107" s="73">
        <v>1</v>
      </c>
      <c r="G107" s="123">
        <v>27</v>
      </c>
      <c r="J107" s="134">
        <v>27</v>
      </c>
      <c r="K107" s="92">
        <f t="shared" si="31"/>
        <v>100</v>
      </c>
      <c r="L107" s="92">
        <f t="shared" si="32"/>
        <v>0</v>
      </c>
      <c r="M107" s="92">
        <f t="shared" si="33"/>
        <v>0</v>
      </c>
      <c r="N107" s="125">
        <f t="shared" si="26"/>
        <v>100</v>
      </c>
      <c r="O107" s="91">
        <v>46.4</v>
      </c>
      <c r="P107" s="92"/>
      <c r="Q107" s="92"/>
      <c r="R107" s="93">
        <f t="shared" si="27"/>
        <v>46.4</v>
      </c>
      <c r="S107" s="97">
        <v>4</v>
      </c>
      <c r="T107" s="95">
        <v>39735</v>
      </c>
      <c r="U107" s="85">
        <v>39751</v>
      </c>
      <c r="V107" s="82" t="s">
        <v>101</v>
      </c>
      <c r="W107" s="73" t="s">
        <v>74</v>
      </c>
      <c r="X107" s="73" t="s">
        <v>11</v>
      </c>
      <c r="Y107" s="83">
        <v>46.4</v>
      </c>
      <c r="AD107" s="82"/>
      <c r="AG107" s="83"/>
      <c r="AL107" s="82"/>
      <c r="AO107" s="83"/>
      <c r="AP107" s="82"/>
      <c r="AS107" s="83"/>
      <c r="AW107" s="83"/>
      <c r="BA107" s="84"/>
    </row>
    <row r="108" spans="1:53" s="73" customFormat="1" x14ac:dyDescent="0.15">
      <c r="A108" s="73">
        <v>2009</v>
      </c>
      <c r="B108" s="85"/>
      <c r="C108" s="811" t="s">
        <v>252</v>
      </c>
      <c r="D108" s="811"/>
      <c r="E108" s="73">
        <v>0</v>
      </c>
      <c r="G108" s="123">
        <v>27</v>
      </c>
      <c r="J108" s="134">
        <v>27</v>
      </c>
      <c r="K108" s="92">
        <f t="shared" si="31"/>
        <v>100</v>
      </c>
      <c r="L108" s="92">
        <f t="shared" si="32"/>
        <v>0</v>
      </c>
      <c r="M108" s="92">
        <f t="shared" si="33"/>
        <v>0</v>
      </c>
      <c r="N108" s="125">
        <f t="shared" si="26"/>
        <v>100</v>
      </c>
      <c r="O108" s="91">
        <v>46.4</v>
      </c>
      <c r="P108" s="92"/>
      <c r="Q108" s="92"/>
      <c r="R108" s="93">
        <f t="shared" si="27"/>
        <v>46.4</v>
      </c>
      <c r="S108" s="97">
        <v>4</v>
      </c>
      <c r="T108" s="95"/>
      <c r="U108" s="85"/>
      <c r="V108" s="82" t="s">
        <v>101</v>
      </c>
      <c r="W108" s="73" t="s">
        <v>74</v>
      </c>
      <c r="X108" s="73" t="s">
        <v>11</v>
      </c>
      <c r="Y108" s="83">
        <v>46.4</v>
      </c>
      <c r="AD108" s="82"/>
      <c r="AG108" s="83"/>
      <c r="AL108" s="82"/>
      <c r="AO108" s="83"/>
      <c r="AP108" s="82"/>
      <c r="AS108" s="83"/>
      <c r="AW108" s="83"/>
      <c r="BA108" s="84"/>
    </row>
    <row r="109" spans="1:53" s="73" customFormat="1" x14ac:dyDescent="0.15">
      <c r="A109" s="73">
        <v>2009</v>
      </c>
      <c r="B109" s="85"/>
      <c r="C109" s="811" t="s">
        <v>252</v>
      </c>
      <c r="D109" s="811"/>
      <c r="E109" s="73">
        <v>365</v>
      </c>
      <c r="G109" s="123">
        <v>27</v>
      </c>
      <c r="J109" s="134">
        <v>27</v>
      </c>
      <c r="K109" s="92">
        <f t="shared" ref="K109:K117" si="34">G109/J109*100</f>
        <v>100</v>
      </c>
      <c r="L109" s="92">
        <f t="shared" si="32"/>
        <v>0</v>
      </c>
      <c r="M109" s="92">
        <f t="shared" si="33"/>
        <v>0</v>
      </c>
      <c r="N109" s="125">
        <f t="shared" si="26"/>
        <v>100</v>
      </c>
      <c r="O109" s="91">
        <v>46.4</v>
      </c>
      <c r="P109" s="92"/>
      <c r="Q109" s="92"/>
      <c r="R109" s="93">
        <f t="shared" si="27"/>
        <v>46.4</v>
      </c>
      <c r="S109" s="97">
        <v>4</v>
      </c>
      <c r="T109" s="95"/>
      <c r="U109" s="85"/>
      <c r="V109" s="82" t="s">
        <v>101</v>
      </c>
      <c r="W109" s="73" t="s">
        <v>74</v>
      </c>
      <c r="X109" s="73" t="s">
        <v>11</v>
      </c>
      <c r="Y109" s="83">
        <v>46.4</v>
      </c>
      <c r="AD109" s="82"/>
      <c r="AG109" s="83"/>
      <c r="AL109" s="82"/>
      <c r="AO109" s="83"/>
      <c r="AP109" s="82"/>
      <c r="AS109" s="83"/>
      <c r="AW109" s="83"/>
      <c r="BA109" s="84"/>
    </row>
    <row r="110" spans="1:53" s="73" customFormat="1" x14ac:dyDescent="0.15">
      <c r="A110" s="73">
        <v>2010</v>
      </c>
      <c r="B110" s="85"/>
      <c r="C110" s="811" t="s">
        <v>252</v>
      </c>
      <c r="D110" s="811"/>
      <c r="E110" s="73">
        <v>0</v>
      </c>
      <c r="G110" s="123">
        <v>27</v>
      </c>
      <c r="J110" s="134">
        <v>27</v>
      </c>
      <c r="K110" s="92">
        <f t="shared" si="34"/>
        <v>100</v>
      </c>
      <c r="L110" s="92">
        <f t="shared" si="32"/>
        <v>0</v>
      </c>
      <c r="M110" s="92">
        <f t="shared" si="33"/>
        <v>0</v>
      </c>
      <c r="N110" s="125">
        <f t="shared" si="26"/>
        <v>100</v>
      </c>
      <c r="O110" s="91">
        <v>46.4</v>
      </c>
      <c r="P110" s="92"/>
      <c r="Q110" s="92"/>
      <c r="R110" s="93">
        <f t="shared" si="27"/>
        <v>46.4</v>
      </c>
      <c r="S110" s="97">
        <v>4</v>
      </c>
      <c r="T110" s="95"/>
      <c r="U110" s="85"/>
      <c r="V110" s="82" t="s">
        <v>101</v>
      </c>
      <c r="W110" s="73" t="s">
        <v>74</v>
      </c>
      <c r="X110" s="73" t="s">
        <v>11</v>
      </c>
      <c r="Y110" s="83">
        <v>46.4</v>
      </c>
      <c r="AD110" s="82"/>
      <c r="AG110" s="83"/>
      <c r="AL110" s="82"/>
      <c r="AO110" s="83"/>
      <c r="AP110" s="82"/>
      <c r="AS110" s="83"/>
      <c r="AW110" s="83"/>
      <c r="BA110" s="84"/>
    </row>
    <row r="111" spans="1:53" s="73" customFormat="1" x14ac:dyDescent="0.15">
      <c r="A111" s="73">
        <v>2010</v>
      </c>
      <c r="B111" s="85"/>
      <c r="C111" s="811" t="s">
        <v>252</v>
      </c>
      <c r="D111" s="811"/>
      <c r="E111" s="73">
        <v>365</v>
      </c>
      <c r="G111" s="123">
        <v>27</v>
      </c>
      <c r="J111" s="134">
        <v>27</v>
      </c>
      <c r="K111" s="92">
        <f t="shared" si="34"/>
        <v>100</v>
      </c>
      <c r="L111" s="92">
        <f t="shared" si="32"/>
        <v>0</v>
      </c>
      <c r="M111" s="92">
        <f t="shared" si="33"/>
        <v>0</v>
      </c>
      <c r="N111" s="125">
        <f t="shared" si="26"/>
        <v>100</v>
      </c>
      <c r="O111" s="91">
        <v>46.4</v>
      </c>
      <c r="P111" s="92"/>
      <c r="Q111" s="92"/>
      <c r="R111" s="93">
        <f t="shared" si="27"/>
        <v>46.4</v>
      </c>
      <c r="S111" s="97">
        <v>4</v>
      </c>
      <c r="T111" s="95"/>
      <c r="U111" s="85"/>
      <c r="V111" s="82" t="s">
        <v>101</v>
      </c>
      <c r="W111" s="73" t="s">
        <v>74</v>
      </c>
      <c r="X111" s="73" t="s">
        <v>11</v>
      </c>
      <c r="Y111" s="83">
        <v>46.4</v>
      </c>
      <c r="AD111" s="82"/>
      <c r="AG111" s="83"/>
      <c r="AL111" s="82"/>
      <c r="AO111" s="83"/>
      <c r="AP111" s="82"/>
      <c r="AS111" s="83"/>
      <c r="AW111" s="83"/>
      <c r="BA111" s="84"/>
    </row>
    <row r="112" spans="1:53" s="73" customFormat="1" x14ac:dyDescent="0.15">
      <c r="A112" s="73">
        <v>2011</v>
      </c>
      <c r="B112" s="85"/>
      <c r="C112" s="811" t="s">
        <v>252</v>
      </c>
      <c r="D112" s="811"/>
      <c r="E112" s="73">
        <v>137</v>
      </c>
      <c r="G112" s="123">
        <v>27</v>
      </c>
      <c r="J112" s="134">
        <v>27</v>
      </c>
      <c r="K112" s="92">
        <f t="shared" si="34"/>
        <v>100</v>
      </c>
      <c r="L112" s="92">
        <f t="shared" ref="L112:L117" si="35">H112/J112*100</f>
        <v>0</v>
      </c>
      <c r="M112" s="92">
        <f t="shared" ref="M112:M117" si="36">I112/J112*100</f>
        <v>0</v>
      </c>
      <c r="N112" s="125">
        <f t="shared" si="26"/>
        <v>100</v>
      </c>
      <c r="O112" s="91">
        <v>46.4</v>
      </c>
      <c r="P112" s="92"/>
      <c r="Q112" s="92"/>
      <c r="R112" s="93">
        <f t="shared" si="27"/>
        <v>46.4</v>
      </c>
      <c r="S112" s="97">
        <v>4</v>
      </c>
      <c r="T112" s="95"/>
      <c r="U112" s="85"/>
      <c r="V112" s="82" t="s">
        <v>101</v>
      </c>
      <c r="W112" s="73" t="s">
        <v>74</v>
      </c>
      <c r="X112" s="73" t="s">
        <v>11</v>
      </c>
      <c r="Y112" s="83">
        <v>46.4</v>
      </c>
      <c r="AD112" s="82"/>
      <c r="AG112" s="83"/>
      <c r="AL112" s="82"/>
      <c r="AO112" s="83"/>
      <c r="AP112" s="82"/>
      <c r="AS112" s="83"/>
      <c r="AW112" s="83"/>
      <c r="BA112" s="84"/>
    </row>
    <row r="113" spans="1:53" s="334" customFormat="1" x14ac:dyDescent="0.15">
      <c r="A113" s="334">
        <v>2011</v>
      </c>
      <c r="B113" s="355">
        <v>40681</v>
      </c>
      <c r="C113" s="812" t="s">
        <v>253</v>
      </c>
      <c r="D113" s="812"/>
      <c r="E113" s="334">
        <v>228</v>
      </c>
      <c r="F113" s="334">
        <v>1</v>
      </c>
      <c r="G113" s="419">
        <v>27</v>
      </c>
      <c r="J113" s="435">
        <v>27</v>
      </c>
      <c r="K113" s="384">
        <f t="shared" si="34"/>
        <v>100</v>
      </c>
      <c r="L113" s="384">
        <f t="shared" si="35"/>
        <v>0</v>
      </c>
      <c r="M113" s="384">
        <f t="shared" si="36"/>
        <v>0</v>
      </c>
      <c r="N113" s="421">
        <f t="shared" si="26"/>
        <v>100</v>
      </c>
      <c r="O113" s="383">
        <v>53.9</v>
      </c>
      <c r="P113" s="384"/>
      <c r="Q113" s="384"/>
      <c r="R113" s="385">
        <f t="shared" si="27"/>
        <v>53.9</v>
      </c>
      <c r="S113" s="388">
        <v>1</v>
      </c>
      <c r="T113" s="342">
        <v>40665</v>
      </c>
      <c r="U113" s="355">
        <v>40681</v>
      </c>
      <c r="V113" s="343" t="s">
        <v>101</v>
      </c>
      <c r="W113" s="334" t="s">
        <v>74</v>
      </c>
      <c r="X113" s="334" t="s">
        <v>11</v>
      </c>
      <c r="Y113" s="344">
        <v>53.9</v>
      </c>
      <c r="AD113" s="343"/>
      <c r="AG113" s="344"/>
      <c r="AL113" s="343"/>
      <c r="AO113" s="344"/>
      <c r="AP113" s="343"/>
      <c r="AS113" s="344"/>
      <c r="AW113" s="344"/>
      <c r="BA113" s="345"/>
    </row>
    <row r="114" spans="1:53" s="334" customFormat="1" x14ac:dyDescent="0.15">
      <c r="A114" s="334">
        <v>2012</v>
      </c>
      <c r="B114" s="355"/>
      <c r="C114" s="812" t="s">
        <v>253</v>
      </c>
      <c r="D114" s="812"/>
      <c r="E114" s="334">
        <v>0</v>
      </c>
      <c r="G114" s="419">
        <v>27</v>
      </c>
      <c r="J114" s="435">
        <v>27</v>
      </c>
      <c r="K114" s="384">
        <f t="shared" si="34"/>
        <v>100</v>
      </c>
      <c r="L114" s="384">
        <f t="shared" si="35"/>
        <v>0</v>
      </c>
      <c r="M114" s="384">
        <f t="shared" si="36"/>
        <v>0</v>
      </c>
      <c r="N114" s="421">
        <f t="shared" si="26"/>
        <v>100</v>
      </c>
      <c r="O114" s="383">
        <v>53.9</v>
      </c>
      <c r="P114" s="384"/>
      <c r="Q114" s="384"/>
      <c r="R114" s="385">
        <f t="shared" si="27"/>
        <v>53.9</v>
      </c>
      <c r="S114" s="388">
        <v>1</v>
      </c>
      <c r="T114" s="342"/>
      <c r="U114" s="355"/>
      <c r="V114" s="343" t="s">
        <v>101</v>
      </c>
      <c r="W114" s="334" t="s">
        <v>74</v>
      </c>
      <c r="X114" s="334" t="s">
        <v>11</v>
      </c>
      <c r="Y114" s="344">
        <v>53.9</v>
      </c>
      <c r="AD114" s="343"/>
      <c r="AG114" s="344"/>
      <c r="AL114" s="343"/>
      <c r="AO114" s="344"/>
      <c r="AP114" s="343"/>
      <c r="AS114" s="344"/>
      <c r="AW114" s="344"/>
      <c r="BA114" s="345"/>
    </row>
    <row r="115" spans="1:53" s="334" customFormat="1" x14ac:dyDescent="0.15">
      <c r="A115" s="334">
        <v>2012</v>
      </c>
      <c r="B115" s="355"/>
      <c r="C115" s="812" t="s">
        <v>253</v>
      </c>
      <c r="D115" s="812"/>
      <c r="E115" s="334">
        <v>366</v>
      </c>
      <c r="G115" s="419">
        <v>27</v>
      </c>
      <c r="J115" s="435">
        <v>27</v>
      </c>
      <c r="K115" s="384">
        <f t="shared" si="34"/>
        <v>100</v>
      </c>
      <c r="L115" s="384">
        <f t="shared" si="35"/>
        <v>0</v>
      </c>
      <c r="M115" s="384">
        <f t="shared" si="36"/>
        <v>0</v>
      </c>
      <c r="N115" s="421">
        <f t="shared" si="26"/>
        <v>100</v>
      </c>
      <c r="O115" s="383">
        <v>53.9</v>
      </c>
      <c r="P115" s="384"/>
      <c r="Q115" s="384"/>
      <c r="R115" s="385">
        <f t="shared" si="27"/>
        <v>53.9</v>
      </c>
      <c r="S115" s="388">
        <v>1</v>
      </c>
      <c r="T115" s="342"/>
      <c r="U115" s="355"/>
      <c r="V115" s="343" t="s">
        <v>101</v>
      </c>
      <c r="W115" s="334" t="s">
        <v>74</v>
      </c>
      <c r="X115" s="334" t="s">
        <v>11</v>
      </c>
      <c r="Y115" s="344">
        <v>53.9</v>
      </c>
      <c r="AD115" s="343"/>
      <c r="AG115" s="344"/>
      <c r="AL115" s="343"/>
      <c r="AO115" s="344"/>
      <c r="AP115" s="343"/>
      <c r="AS115" s="344"/>
      <c r="AW115" s="344"/>
      <c r="BA115" s="345"/>
    </row>
    <row r="116" spans="1:53" s="334" customFormat="1" x14ac:dyDescent="0.15">
      <c r="A116" s="334">
        <v>2013</v>
      </c>
      <c r="B116" s="445"/>
      <c r="C116" s="812" t="s">
        <v>253</v>
      </c>
      <c r="D116" s="812"/>
      <c r="E116" s="334">
        <v>195</v>
      </c>
      <c r="F116" s="441"/>
      <c r="G116" s="419">
        <v>27</v>
      </c>
      <c r="J116" s="435">
        <v>27</v>
      </c>
      <c r="K116" s="384">
        <f t="shared" si="34"/>
        <v>100</v>
      </c>
      <c r="L116" s="384">
        <f t="shared" si="35"/>
        <v>0</v>
      </c>
      <c r="M116" s="384">
        <f t="shared" si="36"/>
        <v>0</v>
      </c>
      <c r="N116" s="421">
        <f t="shared" si="26"/>
        <v>100</v>
      </c>
      <c r="O116" s="383">
        <v>53.9</v>
      </c>
      <c r="P116" s="384"/>
      <c r="Q116" s="384"/>
      <c r="R116" s="385">
        <f t="shared" si="27"/>
        <v>53.9</v>
      </c>
      <c r="S116" s="388">
        <v>1</v>
      </c>
      <c r="T116" s="342"/>
      <c r="U116" s="355"/>
      <c r="V116" s="343" t="s">
        <v>101</v>
      </c>
      <c r="W116" s="334" t="s">
        <v>74</v>
      </c>
      <c r="X116" s="334" t="s">
        <v>11</v>
      </c>
      <c r="Y116" s="344">
        <v>53.9</v>
      </c>
      <c r="AD116" s="343"/>
      <c r="AG116" s="344"/>
      <c r="AL116" s="343"/>
      <c r="AO116" s="344"/>
      <c r="AP116" s="343"/>
      <c r="AS116" s="344"/>
      <c r="AW116" s="344"/>
      <c r="BA116" s="345"/>
    </row>
    <row r="117" spans="1:53" s="334" customFormat="1" x14ac:dyDescent="0.15">
      <c r="A117" s="334">
        <v>2013</v>
      </c>
      <c r="B117" s="445">
        <v>41470</v>
      </c>
      <c r="C117" s="812" t="s">
        <v>253</v>
      </c>
      <c r="D117" s="812"/>
      <c r="E117" s="334">
        <f>365-E116</f>
        <v>170</v>
      </c>
      <c r="F117" s="441">
        <v>0</v>
      </c>
      <c r="G117" s="419">
        <v>27</v>
      </c>
      <c r="J117" s="435">
        <v>27</v>
      </c>
      <c r="K117" s="384">
        <f t="shared" si="34"/>
        <v>100</v>
      </c>
      <c r="L117" s="384">
        <f t="shared" si="35"/>
        <v>0</v>
      </c>
      <c r="M117" s="384">
        <f t="shared" si="36"/>
        <v>0</v>
      </c>
      <c r="N117" s="421">
        <f t="shared" si="26"/>
        <v>100</v>
      </c>
      <c r="O117" s="383">
        <v>53.9</v>
      </c>
      <c r="P117" s="384"/>
      <c r="Q117" s="384"/>
      <c r="R117" s="385">
        <f t="shared" si="27"/>
        <v>53.9</v>
      </c>
      <c r="S117" s="388">
        <v>1</v>
      </c>
      <c r="T117" s="342"/>
      <c r="U117" s="355"/>
      <c r="V117" s="343" t="s">
        <v>101</v>
      </c>
      <c r="W117" s="334" t="s">
        <v>74</v>
      </c>
      <c r="X117" s="334" t="s">
        <v>11</v>
      </c>
      <c r="Y117" s="344">
        <v>53.9</v>
      </c>
      <c r="AD117" s="343"/>
      <c r="AG117" s="344"/>
      <c r="AL117" s="343"/>
      <c r="AO117" s="344"/>
      <c r="AP117" s="343"/>
      <c r="AS117" s="344"/>
      <c r="AW117" s="344"/>
      <c r="BA117" s="345"/>
    </row>
    <row r="118" spans="1:53" s="519" customFormat="1" x14ac:dyDescent="0.15">
      <c r="A118" s="519">
        <v>2014</v>
      </c>
      <c r="B118" s="502"/>
      <c r="C118" s="812" t="s">
        <v>253</v>
      </c>
      <c r="D118" s="812"/>
      <c r="E118" s="519">
        <v>0</v>
      </c>
      <c r="F118" s="501"/>
      <c r="G118" s="497">
        <v>27</v>
      </c>
      <c r="J118" s="499">
        <v>27</v>
      </c>
      <c r="K118" s="495">
        <f>G118/J118*100</f>
        <v>100</v>
      </c>
      <c r="L118" s="495">
        <f>H118/J118*100</f>
        <v>0</v>
      </c>
      <c r="M118" s="495">
        <f>I118/J118*100</f>
        <v>0</v>
      </c>
      <c r="N118" s="498">
        <f>SUM(K118:M118)</f>
        <v>100</v>
      </c>
      <c r="O118" s="494">
        <v>53.9</v>
      </c>
      <c r="P118" s="495"/>
      <c r="Q118" s="495"/>
      <c r="R118" s="496">
        <f>SUM(O118:Q118)</f>
        <v>53.9</v>
      </c>
      <c r="S118" s="388">
        <v>1</v>
      </c>
      <c r="T118" s="487"/>
      <c r="U118" s="516"/>
      <c r="V118" s="488" t="s">
        <v>101</v>
      </c>
      <c r="W118" s="519" t="s">
        <v>74</v>
      </c>
      <c r="X118" s="519" t="s">
        <v>11</v>
      </c>
      <c r="Y118" s="489">
        <v>53.9</v>
      </c>
      <c r="AD118" s="488"/>
      <c r="AG118" s="489"/>
      <c r="AL118" s="488"/>
      <c r="AO118" s="489"/>
      <c r="AP118" s="488"/>
      <c r="AS118" s="489"/>
      <c r="AW118" s="489"/>
      <c r="BA118" s="490"/>
    </row>
    <row r="119" spans="1:53" s="519" customFormat="1" x14ac:dyDescent="0.15">
      <c r="A119" s="519">
        <v>2014</v>
      </c>
      <c r="B119" s="502"/>
      <c r="C119" s="812" t="s">
        <v>253</v>
      </c>
      <c r="D119" s="812"/>
      <c r="E119" s="519">
        <v>365</v>
      </c>
      <c r="F119" s="501"/>
      <c r="G119" s="497">
        <v>27</v>
      </c>
      <c r="J119" s="499">
        <v>27</v>
      </c>
      <c r="K119" s="495">
        <f>G119/J119*100</f>
        <v>100</v>
      </c>
      <c r="L119" s="495">
        <f>H119/J119*100</f>
        <v>0</v>
      </c>
      <c r="M119" s="495">
        <f>I119/J119*100</f>
        <v>0</v>
      </c>
      <c r="N119" s="498">
        <f>SUM(K119:M119)</f>
        <v>100</v>
      </c>
      <c r="O119" s="494">
        <v>53.9</v>
      </c>
      <c r="P119" s="495"/>
      <c r="Q119" s="495"/>
      <c r="R119" s="496">
        <f>SUM(O119:Q119)</f>
        <v>53.9</v>
      </c>
      <c r="S119" s="388">
        <v>1</v>
      </c>
      <c r="T119" s="487"/>
      <c r="U119" s="516"/>
      <c r="V119" s="488" t="s">
        <v>101</v>
      </c>
      <c r="W119" s="519" t="s">
        <v>74</v>
      </c>
      <c r="X119" s="519" t="s">
        <v>11</v>
      </c>
      <c r="Y119" s="489">
        <v>53.9</v>
      </c>
      <c r="AD119" s="488"/>
      <c r="AG119" s="489"/>
      <c r="AL119" s="488"/>
      <c r="AO119" s="489"/>
      <c r="AP119" s="488"/>
      <c r="AS119" s="489"/>
      <c r="AW119" s="489"/>
      <c r="BA119" s="490"/>
    </row>
    <row r="120" spans="1:53" s="701" customFormat="1" x14ac:dyDescent="0.15">
      <c r="A120" s="701">
        <v>2015</v>
      </c>
      <c r="B120" s="502"/>
      <c r="C120" s="812" t="s">
        <v>253</v>
      </c>
      <c r="D120" s="812"/>
      <c r="E120" s="701">
        <v>307</v>
      </c>
      <c r="F120" s="501"/>
      <c r="G120" s="649">
        <v>27</v>
      </c>
      <c r="J120" s="651">
        <v>27</v>
      </c>
      <c r="K120" s="647">
        <f>G120/J120*100</f>
        <v>100</v>
      </c>
      <c r="L120" s="647">
        <f>H120/J120*100</f>
        <v>0</v>
      </c>
      <c r="M120" s="647">
        <f>I120/J120*100</f>
        <v>0</v>
      </c>
      <c r="N120" s="650">
        <f>SUM(K120:M120)</f>
        <v>100</v>
      </c>
      <c r="O120" s="646">
        <v>53.9</v>
      </c>
      <c r="P120" s="647"/>
      <c r="Q120" s="647"/>
      <c r="R120" s="648">
        <f>SUM(O120:Q120)</f>
        <v>53.9</v>
      </c>
      <c r="S120" s="388">
        <v>1</v>
      </c>
      <c r="T120" s="487"/>
      <c r="U120" s="697"/>
      <c r="V120" s="641" t="s">
        <v>101</v>
      </c>
      <c r="W120" s="701" t="s">
        <v>74</v>
      </c>
      <c r="X120" s="701" t="s">
        <v>11</v>
      </c>
      <c r="Y120" s="642">
        <v>53.9</v>
      </c>
      <c r="AD120" s="641"/>
      <c r="AG120" s="642"/>
      <c r="AL120" s="641"/>
      <c r="AO120" s="642"/>
      <c r="AP120" s="641"/>
      <c r="AS120" s="642"/>
      <c r="AW120" s="642"/>
      <c r="BA120" s="643"/>
    </row>
    <row r="121" spans="1:53" s="700" customFormat="1" x14ac:dyDescent="0.15">
      <c r="A121" s="700">
        <v>2015</v>
      </c>
      <c r="B121" s="698">
        <v>42312</v>
      </c>
      <c r="C121" s="811" t="s">
        <v>1334</v>
      </c>
      <c r="D121" s="811"/>
      <c r="E121" s="700">
        <v>58</v>
      </c>
      <c r="F121" s="700">
        <v>1</v>
      </c>
      <c r="G121" s="600"/>
      <c r="H121" s="700">
        <v>31</v>
      </c>
      <c r="J121" s="602">
        <v>31</v>
      </c>
      <c r="K121" s="597">
        <f>G121/J121*100</f>
        <v>0</v>
      </c>
      <c r="L121" s="597">
        <f>H121/J121*100</f>
        <v>100</v>
      </c>
      <c r="M121" s="597">
        <f>I121/J121*100</f>
        <v>0</v>
      </c>
      <c r="N121" s="601">
        <f>SUM(K121:M121)</f>
        <v>100</v>
      </c>
      <c r="O121" s="596"/>
      <c r="P121" s="597">
        <v>54.4</v>
      </c>
      <c r="Q121" s="597"/>
      <c r="R121" s="598">
        <f>SUM(O121:Q121)</f>
        <v>54.4</v>
      </c>
      <c r="S121" s="97">
        <v>1</v>
      </c>
      <c r="T121" s="599">
        <v>42292</v>
      </c>
      <c r="U121" s="698">
        <v>42312</v>
      </c>
      <c r="V121" s="592" t="s">
        <v>72</v>
      </c>
      <c r="W121" s="700" t="s">
        <v>22</v>
      </c>
      <c r="X121" s="700" t="s">
        <v>18</v>
      </c>
      <c r="Y121" s="597">
        <v>54.4</v>
      </c>
      <c r="AD121" s="592"/>
      <c r="AG121" s="593"/>
      <c r="AL121" s="592"/>
      <c r="AO121" s="593"/>
      <c r="AP121" s="592"/>
      <c r="AS121" s="593"/>
      <c r="AW121" s="593"/>
      <c r="BA121" s="594"/>
    </row>
    <row r="122" spans="1:53" x14ac:dyDescent="0.15">
      <c r="R122" s="2"/>
    </row>
    <row r="124" spans="1:53" s="2" customFormat="1" ht="18" customHeight="1" x14ac:dyDescent="0.2">
      <c r="B124" s="22" t="s">
        <v>1284</v>
      </c>
    </row>
    <row r="125" spans="1:53" s="2" customFormat="1" ht="9" customHeight="1" x14ac:dyDescent="0.15"/>
    <row r="126" spans="1:53" s="364" customFormat="1" ht="9" customHeight="1" x14ac:dyDescent="0.15">
      <c r="A126" s="362"/>
      <c r="B126" s="363" t="s">
        <v>1235</v>
      </c>
      <c r="C126" s="363"/>
      <c r="D126" s="363"/>
      <c r="E126" s="363"/>
      <c r="F126" s="363"/>
      <c r="G126" s="363" t="s">
        <v>1236</v>
      </c>
      <c r="H126" s="363"/>
      <c r="I126" s="363"/>
      <c r="J126" s="363"/>
      <c r="K126" s="363"/>
      <c r="L126" s="363"/>
      <c r="M126" s="363"/>
      <c r="N126" s="363"/>
      <c r="R126" s="802" t="s">
        <v>1237</v>
      </c>
      <c r="S126" s="802"/>
      <c r="T126" s="802"/>
      <c r="U126" s="802"/>
      <c r="V126" s="802"/>
      <c r="W126" s="802"/>
      <c r="X126" s="365"/>
      <c r="Y126" s="365"/>
      <c r="AA126" s="365"/>
      <c r="AB126" s="365"/>
      <c r="AC126" s="365"/>
      <c r="AD126" s="365"/>
    </row>
    <row r="127" spans="1:53" s="369" customFormat="1" ht="9" customHeight="1" x14ac:dyDescent="0.15">
      <c r="A127" s="366"/>
      <c r="B127" s="367" t="s">
        <v>1239</v>
      </c>
      <c r="C127" s="368"/>
      <c r="D127" s="368"/>
      <c r="E127" s="368"/>
      <c r="F127" s="368"/>
      <c r="G127" s="367" t="s">
        <v>1238</v>
      </c>
      <c r="H127" s="368"/>
      <c r="I127" s="368"/>
      <c r="J127" s="368"/>
      <c r="K127" s="368"/>
      <c r="L127" s="368"/>
      <c r="M127" s="368"/>
      <c r="N127" s="368"/>
      <c r="R127" s="370" t="s">
        <v>1240</v>
      </c>
      <c r="S127" s="371"/>
      <c r="T127" s="372"/>
      <c r="U127" s="372"/>
      <c r="V127" s="372"/>
      <c r="W127" s="370" t="s">
        <v>1241</v>
      </c>
      <c r="X127" s="372"/>
      <c r="Y127" s="372"/>
      <c r="AA127" s="372"/>
      <c r="AB127" s="372"/>
      <c r="AC127" s="372"/>
      <c r="AD127" s="372"/>
    </row>
    <row r="128" spans="1:53" s="351" customFormat="1" ht="12" customHeight="1" x14ac:dyDescent="0.15">
      <c r="A128" s="373" t="s">
        <v>3</v>
      </c>
      <c r="B128" s="374" t="s">
        <v>8</v>
      </c>
      <c r="C128" s="374" t="s">
        <v>9</v>
      </c>
      <c r="D128" s="374" t="s">
        <v>10</v>
      </c>
      <c r="E128" s="375" t="s">
        <v>1215</v>
      </c>
      <c r="F128" s="374"/>
      <c r="G128" s="351" t="s">
        <v>3</v>
      </c>
      <c r="H128" s="803" t="s">
        <v>0</v>
      </c>
      <c r="I128" s="803"/>
      <c r="J128" s="803" t="s">
        <v>1</v>
      </c>
      <c r="K128" s="803"/>
      <c r="L128" s="803" t="s">
        <v>2</v>
      </c>
      <c r="M128" s="803"/>
      <c r="N128" s="804" t="s">
        <v>1215</v>
      </c>
      <c r="O128" s="804"/>
      <c r="P128" s="376"/>
      <c r="Q128" s="376"/>
      <c r="R128" s="377" t="s">
        <v>3</v>
      </c>
      <c r="S128" s="378" t="s">
        <v>136</v>
      </c>
      <c r="T128" s="376" t="s">
        <v>134</v>
      </c>
      <c r="U128" s="374" t="s">
        <v>135</v>
      </c>
      <c r="V128" s="376"/>
      <c r="W128" s="379" t="s">
        <v>26</v>
      </c>
    </row>
    <row r="129" spans="1:24" s="273" customFormat="1" x14ac:dyDescent="0.15">
      <c r="A129" s="263">
        <v>1959</v>
      </c>
      <c r="B129" s="274">
        <f>(K6*($E6/365))+(K7*($E7/365))</f>
        <v>100</v>
      </c>
      <c r="C129" s="274">
        <f>(L6*($E6/365))+(L7*($E7/365))</f>
        <v>0</v>
      </c>
      <c r="D129" s="274">
        <f>(M6*($E6/365))+(M7*($E7/365))</f>
        <v>0</v>
      </c>
      <c r="E129" s="261">
        <f>B129+C129+D129</f>
        <v>100</v>
      </c>
      <c r="G129" s="263">
        <v>1959</v>
      </c>
      <c r="H129" s="830">
        <f>(O6/$R6*100*($E6/365))+(O7/$R7*100*($E7/365))</f>
        <v>100</v>
      </c>
      <c r="I129" s="830"/>
      <c r="J129" s="830">
        <f>(P6/$R6*100*($E6/365))+(P7/$R7*100*($E7/365))</f>
        <v>0</v>
      </c>
      <c r="K129" s="830"/>
      <c r="L129" s="830">
        <f>(Q6/$R6*100*($E6/365))+(Q7/$R7*100*($E7/365))</f>
        <v>0</v>
      </c>
      <c r="M129" s="830"/>
      <c r="N129" s="831">
        <f>H129+J129+K129</f>
        <v>100</v>
      </c>
      <c r="O129" s="831"/>
      <c r="R129" s="263">
        <v>1959</v>
      </c>
      <c r="S129" s="274">
        <f>(O6*($E6/365))+(O7*($E7/365))</f>
        <v>78.5</v>
      </c>
      <c r="T129" s="274">
        <f>(P6*($E6/365))+(P7*($E7/365))</f>
        <v>0</v>
      </c>
      <c r="U129" s="274">
        <f>(Q6*($E6/365))+(Q7*($E7/365))</f>
        <v>0</v>
      </c>
      <c r="V129" s="275"/>
      <c r="W129" s="274">
        <f>S129+T129+U129</f>
        <v>78.5</v>
      </c>
      <c r="X129" s="262"/>
    </row>
    <row r="130" spans="1:24" x14ac:dyDescent="0.15">
      <c r="A130" s="20">
        <v>1960</v>
      </c>
      <c r="B130" s="7">
        <f>(K8*($E8/366))+(K9*($E9/366))</f>
        <v>100</v>
      </c>
      <c r="C130" s="7">
        <f>(L8*($E8/366))+(L9*($E9/366))</f>
        <v>0</v>
      </c>
      <c r="D130" s="7">
        <f>(M8*($E8/366))+(M9*($E9/366))</f>
        <v>0</v>
      </c>
      <c r="E130" s="239">
        <f t="shared" ref="E130:E160" si="37">SUM(B130:D130)</f>
        <v>100</v>
      </c>
      <c r="G130" s="20">
        <v>1960</v>
      </c>
      <c r="H130" s="779">
        <f>(O8/$R8*100*($E8/366))+(O9/$R9*100*($E9/366))</f>
        <v>100</v>
      </c>
      <c r="I130" s="779"/>
      <c r="J130" s="779">
        <f>(P8/$R8*100*($E8/366))+(P9/$R9*100*($E9/366))</f>
        <v>0</v>
      </c>
      <c r="K130" s="779"/>
      <c r="L130" s="779">
        <f>(Q8/$R8*100*($E8/366))+(Q9/$R9*100*($E9/366))</f>
        <v>0</v>
      </c>
      <c r="M130" s="779"/>
      <c r="N130" s="810">
        <f>SUM(H130:M130)</f>
        <v>100</v>
      </c>
      <c r="O130" s="810"/>
      <c r="R130" s="20">
        <v>1960</v>
      </c>
      <c r="S130" s="7">
        <f>(O8*($E8/366))+(O9*($E9/366))</f>
        <v>78.5</v>
      </c>
      <c r="T130" s="7">
        <f>(P8*($E8/366))+(P9*($E9/366))</f>
        <v>0</v>
      </c>
      <c r="U130" s="7">
        <f>(Q8*($E8/366))+(Q9*($E9/366))</f>
        <v>0</v>
      </c>
      <c r="V130" s="12"/>
      <c r="W130" s="7">
        <f>R8*(E8/366) + R9*(E9/366)</f>
        <v>78.5</v>
      </c>
      <c r="X130" s="5"/>
    </row>
    <row r="131" spans="1:24" x14ac:dyDescent="0.15">
      <c r="A131" s="20">
        <v>1961</v>
      </c>
      <c r="B131" s="7">
        <f>(K10*($E10/365))+(K11*($E11/365))</f>
        <v>100</v>
      </c>
      <c r="C131" s="7">
        <f>(L10*($E10/365))+(L11*($E11/365))</f>
        <v>0</v>
      </c>
      <c r="D131" s="7">
        <f>(M10*($E10/365))+(M11*($E11/365))</f>
        <v>0</v>
      </c>
      <c r="E131" s="33">
        <f t="shared" si="37"/>
        <v>100</v>
      </c>
      <c r="G131" s="20">
        <v>1961</v>
      </c>
      <c r="H131" s="779">
        <f>(O10/$R10*100*($E10/365))+(O11/$R11*100*($E11/365))</f>
        <v>100</v>
      </c>
      <c r="I131" s="779"/>
      <c r="J131" s="779">
        <f>(P10/$R10*100*($E10/365))+(P11/$R11*100*($E11/365))</f>
        <v>0</v>
      </c>
      <c r="K131" s="779"/>
      <c r="L131" s="779">
        <f>(Q10/$R10*100*($E10/365))+(Q11/$R11*100*($E11/365))</f>
        <v>0</v>
      </c>
      <c r="M131" s="779"/>
      <c r="N131" s="810">
        <f>SUM(H131:M131)</f>
        <v>100</v>
      </c>
      <c r="O131" s="810"/>
      <c r="R131" s="20">
        <v>1961</v>
      </c>
      <c r="S131" s="7">
        <f>(O10*($E10/365))+(O11*($E11/365))</f>
        <v>78.5</v>
      </c>
      <c r="T131" s="7">
        <f>(P10*($E10/365))+(P11*($E11/365))</f>
        <v>0</v>
      </c>
      <c r="U131" s="7">
        <f>(Q10*($E10/365))+(Q11*($E11/365))</f>
        <v>0</v>
      </c>
      <c r="V131" s="12"/>
      <c r="W131" s="7">
        <f>R10*(E10/365) + R11*(E11/365)</f>
        <v>78.5</v>
      </c>
      <c r="X131" s="5"/>
    </row>
    <row r="132" spans="1:24" x14ac:dyDescent="0.15">
      <c r="A132" s="20">
        <v>1962</v>
      </c>
      <c r="B132" s="7">
        <f>(K12*($E12/365))+(K13*($E13/365))</f>
        <v>100</v>
      </c>
      <c r="C132" s="7">
        <f>(L12*($E12/365))+(L13*($E13/365))</f>
        <v>0</v>
      </c>
      <c r="D132" s="7">
        <f>(M12*($E12/365))+(M13*($E13/365))</f>
        <v>0</v>
      </c>
      <c r="E132" s="33">
        <f t="shared" si="37"/>
        <v>100</v>
      </c>
      <c r="G132" s="20">
        <v>1962</v>
      </c>
      <c r="H132" s="779">
        <f>(O12/$R12*100*($E12/365))+(O13/$R13*100*($E13/365))</f>
        <v>100</v>
      </c>
      <c r="I132" s="779"/>
      <c r="J132" s="779">
        <f>(P12/$R12*100*($E12/365))+(P13/$R13*100*($E13/365))</f>
        <v>0</v>
      </c>
      <c r="K132" s="779"/>
      <c r="L132" s="779">
        <f>(Q12/$R12*100*($E12/365))+(Q13/$R13*100*($E13/365))</f>
        <v>0</v>
      </c>
      <c r="M132" s="779"/>
      <c r="N132" s="810">
        <f t="shared" ref="N132:N182" si="38">SUM(H132:M132)</f>
        <v>100</v>
      </c>
      <c r="O132" s="810"/>
      <c r="R132" s="20">
        <v>1962</v>
      </c>
      <c r="S132" s="7">
        <f>(O12*($E12/365))+(O13*($E13/365))</f>
        <v>64.715068493150682</v>
      </c>
      <c r="T132" s="7">
        <f>(P12*($E12/365))+(P13*($E13/365))</f>
        <v>0</v>
      </c>
      <c r="U132" s="7">
        <f>(Q12*($E12/365))+(Q13*($E13/365))</f>
        <v>0</v>
      </c>
      <c r="V132" s="12"/>
      <c r="W132" s="7">
        <f>R12*(E12/365) + R13*(E13/365)</f>
        <v>64.715068493150682</v>
      </c>
      <c r="X132" s="5"/>
    </row>
    <row r="133" spans="1:24" x14ac:dyDescent="0.15">
      <c r="A133" s="20">
        <v>1963</v>
      </c>
      <c r="B133" s="7">
        <f>(K14*($E14/365))+(K15*($E15/365))</f>
        <v>30.410958904109592</v>
      </c>
      <c r="C133" s="7">
        <f>(L14*($E14/365))+(L15*($E15/365))</f>
        <v>69.589041095890408</v>
      </c>
      <c r="D133" s="7">
        <f>(M14*($E14/365))+(M15*($E15/365))</f>
        <v>0</v>
      </c>
      <c r="E133" s="33">
        <f t="shared" si="37"/>
        <v>100</v>
      </c>
      <c r="G133" s="20">
        <v>1963</v>
      </c>
      <c r="H133" s="779">
        <f>(O14/$R14*100*($E14/365))+(O15/$R15*100*($E15/365))</f>
        <v>30.410958904109592</v>
      </c>
      <c r="I133" s="779"/>
      <c r="J133" s="779">
        <f>(P14/$R14*100*($E14/365))+(P15/$R15*100*($E15/365))</f>
        <v>69.589041095890408</v>
      </c>
      <c r="K133" s="779"/>
      <c r="L133" s="779">
        <f>(Q14/$R14*100*($E14/365))+(Q15/$R15*100*($E15/365))</f>
        <v>0</v>
      </c>
      <c r="M133" s="779"/>
      <c r="N133" s="810">
        <f t="shared" si="38"/>
        <v>100</v>
      </c>
      <c r="O133" s="810"/>
      <c r="R133" s="20">
        <v>1963</v>
      </c>
      <c r="S133" s="7">
        <f>(O14*($E14/365))+(O15*($E15/365))</f>
        <v>13.32</v>
      </c>
      <c r="T133" s="7">
        <f>(P14*($E14/365))+(P15*($E15/365))</f>
        <v>33.889863013698637</v>
      </c>
      <c r="U133" s="7">
        <f>(Q14*($E14/365))+(Q15*($E15/365))</f>
        <v>0</v>
      </c>
      <c r="V133" s="12"/>
      <c r="W133" s="7">
        <f>R14*(E14/365) + R15*(E15/365)</f>
        <v>47.209863013698637</v>
      </c>
      <c r="X133" s="5"/>
    </row>
    <row r="134" spans="1:24" x14ac:dyDescent="0.15">
      <c r="A134" s="20">
        <v>1964</v>
      </c>
      <c r="B134" s="7">
        <f>(K16*($E16/366))+(K17*($E17/366))</f>
        <v>0</v>
      </c>
      <c r="C134" s="7">
        <f>(L16*($E16/366))+(L17*($E17/366))</f>
        <v>100</v>
      </c>
      <c r="D134" s="7">
        <f>(M16*($E16/366))+(M17*($E17/366))</f>
        <v>0</v>
      </c>
      <c r="E134" s="33">
        <f t="shared" si="37"/>
        <v>100</v>
      </c>
      <c r="G134" s="20">
        <v>1964</v>
      </c>
      <c r="H134" s="779">
        <f>(O16/$R16*100*($E16/366))+(O17/$R17*100*($E17/366))</f>
        <v>0</v>
      </c>
      <c r="I134" s="779"/>
      <c r="J134" s="779">
        <f>(P16/$R16*100*($E16/366))+(P17/$R17*100*($E17/366))</f>
        <v>100</v>
      </c>
      <c r="K134" s="779"/>
      <c r="L134" s="779">
        <f>(Q16/$R16*100*($E16/366))+(Q17/$R17*100*($E17/366))</f>
        <v>0</v>
      </c>
      <c r="M134" s="779"/>
      <c r="N134" s="810">
        <f t="shared" si="38"/>
        <v>100</v>
      </c>
      <c r="O134" s="810"/>
      <c r="R134" s="20">
        <v>1964</v>
      </c>
      <c r="S134" s="7">
        <f>(O16*($E16/366))+(O17*($E17/366))</f>
        <v>0</v>
      </c>
      <c r="T134" s="7">
        <f>(P16*($E16/366))+(P17*($E17/366))</f>
        <v>48.7</v>
      </c>
      <c r="U134" s="7">
        <f>(Q16*($E16/366))+(Q17*($E17/366))</f>
        <v>0</v>
      </c>
      <c r="V134" s="12"/>
      <c r="W134" s="7">
        <f>R16*(E16/366) + R17*(E17/366)</f>
        <v>48.7</v>
      </c>
      <c r="X134" s="5"/>
    </row>
    <row r="135" spans="1:24" x14ac:dyDescent="0.15">
      <c r="A135" s="20">
        <v>1965</v>
      </c>
      <c r="B135" s="7">
        <f>(K18*($E18/365))+(K19*($E19/365))</f>
        <v>0</v>
      </c>
      <c r="C135" s="7">
        <f>(L18*($E18/365))+(L19*($E19/365))</f>
        <v>100.00000000000001</v>
      </c>
      <c r="D135" s="7">
        <f>(M18*($E18/365))+(M19*($E19/365))</f>
        <v>0</v>
      </c>
      <c r="E135" s="33">
        <f t="shared" si="37"/>
        <v>100.00000000000001</v>
      </c>
      <c r="G135" s="20">
        <v>1965</v>
      </c>
      <c r="H135" s="779">
        <f>(O18/$R18*100*($E18/365))+(O19/$R19*100*($E19/365))</f>
        <v>0</v>
      </c>
      <c r="I135" s="779"/>
      <c r="J135" s="779">
        <f>(P18/$R18*100*($E18/365))+(P19/$R19*100*($E19/365))</f>
        <v>100.00000000000001</v>
      </c>
      <c r="K135" s="779"/>
      <c r="L135" s="779">
        <f>(Q18/$R18*100*($E18/365))+(Q19/$R19*100*($E19/365))</f>
        <v>0</v>
      </c>
      <c r="M135" s="779"/>
      <c r="N135" s="810">
        <f t="shared" si="38"/>
        <v>100.00000000000001</v>
      </c>
      <c r="O135" s="810"/>
      <c r="R135" s="20">
        <v>1965</v>
      </c>
      <c r="S135" s="7">
        <f>(O18*($E18/365))+(O19*($E19/365))</f>
        <v>0</v>
      </c>
      <c r="T135" s="7">
        <f>(P18*($E18/365))+(P19*($E19/365))</f>
        <v>48.726849315068499</v>
      </c>
      <c r="U135" s="7">
        <f>(Q18*($E18/365))+(Q19*($E19/365))</f>
        <v>0</v>
      </c>
      <c r="V135" s="12"/>
      <c r="W135" s="7">
        <f>R18*(E18/365) + R19*(E19/365)</f>
        <v>48.726849315068499</v>
      </c>
      <c r="X135" s="5"/>
    </row>
    <row r="136" spans="1:24" ht="9" customHeight="1" x14ac:dyDescent="0.15">
      <c r="A136" s="20">
        <v>1966</v>
      </c>
      <c r="B136" s="7">
        <f>(K20*($E20/365))+(K21*($E21/365))</f>
        <v>0</v>
      </c>
      <c r="C136" s="7">
        <f>(L20*($E20/365))+(L21*($E21/365))</f>
        <v>100</v>
      </c>
      <c r="D136" s="7">
        <f>(M20*($E20/365))+(M21*($E21/365))</f>
        <v>0</v>
      </c>
      <c r="E136" s="33">
        <f t="shared" si="37"/>
        <v>100</v>
      </c>
      <c r="G136" s="20">
        <v>1966</v>
      </c>
      <c r="H136" s="779">
        <f>(O20/$R20*100*($E20/365))+(O21/$R21*100*($E21/365))</f>
        <v>0</v>
      </c>
      <c r="I136" s="779"/>
      <c r="J136" s="779">
        <f>(P20/$R20*100*($E20/365))+(P21/$R21*100*($E21/365))</f>
        <v>100</v>
      </c>
      <c r="K136" s="779"/>
      <c r="L136" s="779">
        <f>(Q20/$R20*100*($E20/365))+(Q21/$R21*100*($E21/365))</f>
        <v>0</v>
      </c>
      <c r="M136" s="779"/>
      <c r="N136" s="810">
        <f t="shared" si="38"/>
        <v>100</v>
      </c>
      <c r="O136" s="810"/>
      <c r="R136" s="20">
        <v>1966</v>
      </c>
      <c r="S136" s="7">
        <f>(O20*($E20/365))+(O21*($E21/365))</f>
        <v>0</v>
      </c>
      <c r="T136" s="7">
        <f>(P20*($E20/365))+(P21*($E21/365))</f>
        <v>49.4</v>
      </c>
      <c r="U136" s="7">
        <f>(Q20*($E20/365))+(Q21*($E21/365))</f>
        <v>0</v>
      </c>
      <c r="V136" s="12"/>
      <c r="W136" s="7">
        <f>R20*(E20/365) + R21*(E21/365)</f>
        <v>49.4</v>
      </c>
      <c r="X136" s="5"/>
    </row>
    <row r="137" spans="1:24" ht="9" customHeight="1" x14ac:dyDescent="0.15">
      <c r="A137" s="20">
        <v>1967</v>
      </c>
      <c r="B137" s="7">
        <f>(K22*($E22/365))+(K23*($E23/365))</f>
        <v>0</v>
      </c>
      <c r="C137" s="7">
        <f>(L22*($E22/365))+(L23*($E23/365))</f>
        <v>100</v>
      </c>
      <c r="D137" s="7">
        <f>(M22*($E22/365))+(M23*($E23/365))</f>
        <v>0</v>
      </c>
      <c r="E137" s="33">
        <f t="shared" si="37"/>
        <v>100</v>
      </c>
      <c r="G137" s="20">
        <v>1967</v>
      </c>
      <c r="H137" s="779">
        <f>(O22/$R22*100*($E22/365))+(O23/$R23*100*($E23/365))</f>
        <v>0</v>
      </c>
      <c r="I137" s="779"/>
      <c r="J137" s="779">
        <f>(P22/$R22*100*($E22/365))+(P23/$R23*100*($E23/365))</f>
        <v>100</v>
      </c>
      <c r="K137" s="779"/>
      <c r="L137" s="779">
        <f>(Q22/$R22*100*($E22/365))+(Q23/$R23*100*($E23/365))</f>
        <v>0</v>
      </c>
      <c r="M137" s="779"/>
      <c r="N137" s="810">
        <f t="shared" si="38"/>
        <v>100</v>
      </c>
      <c r="O137" s="810"/>
      <c r="R137" s="20">
        <v>1967</v>
      </c>
      <c r="S137" s="7">
        <f>(O22*($E22/365))+(O23*($E23/365))</f>
        <v>0</v>
      </c>
      <c r="T137" s="7">
        <f>(P22*($E22/365))+(P23*($E23/365))</f>
        <v>49.4</v>
      </c>
      <c r="U137" s="7">
        <f>(Q22*($E22/365))+(Q23*($E23/365))</f>
        <v>0</v>
      </c>
      <c r="V137" s="12"/>
      <c r="W137" s="7">
        <f>R22*(E22/365) + R23*(E23/365)</f>
        <v>49.4</v>
      </c>
      <c r="X137" s="5"/>
    </row>
    <row r="138" spans="1:24" ht="9" customHeight="1" x14ac:dyDescent="0.15">
      <c r="A138" s="20">
        <v>1968</v>
      </c>
      <c r="B138" s="7">
        <f>(K24*($E24/366))+(K25*($E25/366))+(K26*($E26/366))</f>
        <v>0</v>
      </c>
      <c r="C138" s="7">
        <f>(L24*($E24/366))+(L25*($E25/366))+(L26*($E26/366))</f>
        <v>100</v>
      </c>
      <c r="D138" s="7">
        <f>(M24*($E24/366))+(M25*($E25/366))+(M26*($E26/366))</f>
        <v>0</v>
      </c>
      <c r="E138" s="33">
        <f t="shared" si="37"/>
        <v>100</v>
      </c>
      <c r="G138" s="20">
        <v>1968</v>
      </c>
      <c r="H138" s="779">
        <f>(O24/$R24*100*($E24/366))+(O25/$R25*100*($E25/366))+(O26/$R26*100*($E26/366))</f>
        <v>0</v>
      </c>
      <c r="I138" s="779"/>
      <c r="J138" s="779">
        <f>(P24/$R24*100*($E24/366))+(P25/$R25*100*($E25/366))+(P26/$R26*100*($E26/366))</f>
        <v>100</v>
      </c>
      <c r="K138" s="779"/>
      <c r="L138" s="779">
        <f>(Q24/$R24*100*($E24/366))+(Q25/$R25*100*($E25/366))+(Q26/$R26*100*($E26/366))</f>
        <v>0</v>
      </c>
      <c r="M138" s="779"/>
      <c r="N138" s="810">
        <f t="shared" si="38"/>
        <v>100</v>
      </c>
      <c r="O138" s="810"/>
      <c r="R138" s="20">
        <v>1968</v>
      </c>
      <c r="S138" s="7">
        <f>(O24*($E24/366))+(O25*($E25/366))+(O26*($E26/366))</f>
        <v>0</v>
      </c>
      <c r="T138" s="7">
        <f>(P24*($E24/366))+(P25*($E25/366))+(P26*($E26/366))</f>
        <v>53.922950819672131</v>
      </c>
      <c r="U138" s="7">
        <f>(Q24*($E24/366))+(Q25*($E25/366))+(Q26*($E26/366))</f>
        <v>0</v>
      </c>
      <c r="V138" s="12"/>
      <c r="W138" s="7">
        <f>R24*(E24/366) + R25*(E25/366) + R26*(E26/366)</f>
        <v>53.922950819672131</v>
      </c>
      <c r="X138" s="5"/>
    </row>
    <row r="139" spans="1:24" ht="9" customHeight="1" x14ac:dyDescent="0.15">
      <c r="A139" s="20">
        <v>1969</v>
      </c>
      <c r="B139" s="7">
        <f>(K27*($E27/365))+(K28*($E28/365))</f>
        <v>0</v>
      </c>
      <c r="C139" s="7">
        <f>(L27*($E27/365))+(L28*($E28/365))</f>
        <v>100</v>
      </c>
      <c r="D139" s="7">
        <f>(M27*($E27/365))+(M28*($E28/365))</f>
        <v>0</v>
      </c>
      <c r="E139" s="33">
        <f t="shared" si="37"/>
        <v>100</v>
      </c>
      <c r="G139" s="20">
        <v>1969</v>
      </c>
      <c r="H139" s="779">
        <f>(O27/$R27*100*($E27/365))+(O28/$R28*100*($E28/365))</f>
        <v>0</v>
      </c>
      <c r="I139" s="779"/>
      <c r="J139" s="779">
        <f>(P27/$R27*100*($E27/365))+(P28/$R28*100*($E28/365))</f>
        <v>100</v>
      </c>
      <c r="K139" s="779"/>
      <c r="L139" s="779">
        <f>(Q27/$R27*100*($E27/365))+(Q28/$R28*100*($E28/365))</f>
        <v>0</v>
      </c>
      <c r="M139" s="779"/>
      <c r="N139" s="810">
        <f t="shared" si="38"/>
        <v>100</v>
      </c>
      <c r="O139" s="810"/>
      <c r="R139" s="20">
        <v>1969</v>
      </c>
      <c r="S139" s="7">
        <f>(O27*($E27/365))+(O28*($E28/365))</f>
        <v>0</v>
      </c>
      <c r="T139" s="7">
        <f>(P27*($E27/365))+(P28*($E28/365))</f>
        <v>58.7</v>
      </c>
      <c r="U139" s="7">
        <f>(Q27*($E27/365))+(Q28*($E28/365))</f>
        <v>0</v>
      </c>
      <c r="V139" s="12"/>
      <c r="W139" s="7">
        <f>R27*(E27/365) + R28*(E28/365)</f>
        <v>58.7</v>
      </c>
      <c r="X139" s="5"/>
    </row>
    <row r="140" spans="1:24" ht="9" customHeight="1" x14ac:dyDescent="0.15">
      <c r="A140" s="20">
        <v>1970</v>
      </c>
      <c r="B140" s="7">
        <f>(K29*($E29/365))+(K30*($E30/365))</f>
        <v>0</v>
      </c>
      <c r="C140" s="7">
        <f>(L29*($E29/365))+(L30*($E30/365))</f>
        <v>100</v>
      </c>
      <c r="D140" s="7">
        <f>(M29*($E29/365))+(M30*($E30/365))</f>
        <v>0</v>
      </c>
      <c r="E140" s="33">
        <f t="shared" si="37"/>
        <v>100</v>
      </c>
      <c r="G140" s="20">
        <v>1970</v>
      </c>
      <c r="H140" s="779">
        <f>(O29/$R29*100*($E29/365))+(O30/$R30*100*($E30/365))</f>
        <v>0</v>
      </c>
      <c r="I140" s="779"/>
      <c r="J140" s="779">
        <f>(P29/$R29*100*($E29/365))+(P30/$R30*100*($E30/365))</f>
        <v>100</v>
      </c>
      <c r="K140" s="779"/>
      <c r="L140" s="779">
        <f>(Q29/$R29*100*($E29/365))+(Q30/$R30*100*($E30/365))</f>
        <v>0</v>
      </c>
      <c r="M140" s="779"/>
      <c r="N140" s="810">
        <f t="shared" si="38"/>
        <v>100</v>
      </c>
      <c r="O140" s="810"/>
      <c r="R140" s="20">
        <v>1970</v>
      </c>
      <c r="S140" s="7">
        <f>(O29*($E29/365))+(O30*($E30/365))</f>
        <v>0</v>
      </c>
      <c r="T140" s="7">
        <f>(P29*($E29/365))+(P30*($E30/365))</f>
        <v>58.7</v>
      </c>
      <c r="U140" s="7">
        <f>(Q29*($E29/365))+(Q30*($E30/365))</f>
        <v>0</v>
      </c>
      <c r="V140" s="12"/>
      <c r="W140" s="7">
        <f>R29*(E29/365) + R30*(E30/365)</f>
        <v>58.7</v>
      </c>
      <c r="X140" s="5"/>
    </row>
    <row r="141" spans="1:24" ht="9" customHeight="1" x14ac:dyDescent="0.15">
      <c r="A141" s="20">
        <v>1971</v>
      </c>
      <c r="B141" s="7">
        <f>(K31*($E31/365))+(K32*($E32/365))</f>
        <v>0</v>
      </c>
      <c r="C141" s="7">
        <f>(L31*($E31/365))+(L32*($E32/365))</f>
        <v>100</v>
      </c>
      <c r="D141" s="7">
        <f>(M31*($E31/365))+(M32*($E32/365))</f>
        <v>0</v>
      </c>
      <c r="E141" s="33">
        <f t="shared" si="37"/>
        <v>100</v>
      </c>
      <c r="G141" s="20">
        <v>1971</v>
      </c>
      <c r="H141" s="779">
        <f>(O31/$R31*100*($E31/365))+(O32/$R32*100*($E32/365))</f>
        <v>0</v>
      </c>
      <c r="I141" s="779"/>
      <c r="J141" s="779">
        <f>(P31/$R31*100*($E31/365))+(P32/$R32*100*($E32/365))</f>
        <v>100</v>
      </c>
      <c r="K141" s="779"/>
      <c r="L141" s="779">
        <f>(Q31/$R31*100*($E31/365))+(Q32/$R32*100*($E32/365))</f>
        <v>0</v>
      </c>
      <c r="M141" s="779"/>
      <c r="N141" s="810">
        <f t="shared" si="38"/>
        <v>100</v>
      </c>
      <c r="O141" s="810"/>
      <c r="R141" s="20">
        <v>1971</v>
      </c>
      <c r="S141" s="7">
        <f>(O31*($E31/365))+(O32*($E32/365))</f>
        <v>0</v>
      </c>
      <c r="T141" s="7">
        <f>(P31*($E31/365))+(P32*($E32/365))</f>
        <v>58.7</v>
      </c>
      <c r="U141" s="7">
        <f>(Q31*($E31/365))+(Q32*($E32/365))</f>
        <v>0</v>
      </c>
      <c r="V141" s="12"/>
      <c r="W141" s="7">
        <f>R31*(E31/365) + R32*(E32/365)</f>
        <v>58.7</v>
      </c>
      <c r="X141" s="5"/>
    </row>
    <row r="142" spans="1:24" ht="9" customHeight="1" x14ac:dyDescent="0.15">
      <c r="A142" s="20">
        <v>1972</v>
      </c>
      <c r="B142" s="7">
        <f>(K33*($E33/366))+(K34*($E34/366))</f>
        <v>0</v>
      </c>
      <c r="C142" s="7">
        <f>(L33*($E33/366))+(L34*($E34/366))</f>
        <v>100</v>
      </c>
      <c r="D142" s="7">
        <f>(M33*($E33/366))+(M34*($E34/366))</f>
        <v>0</v>
      </c>
      <c r="E142" s="33">
        <f t="shared" si="37"/>
        <v>100</v>
      </c>
      <c r="G142" s="20">
        <v>1972</v>
      </c>
      <c r="H142" s="779">
        <f>(O33/$R33*100*($E33/366))+(O34/$R34*100*($E34/366))</f>
        <v>0</v>
      </c>
      <c r="I142" s="779"/>
      <c r="J142" s="779">
        <f>(P33/$R33*100*($E33/366))+(P34/$R34*100*($E34/366))</f>
        <v>100</v>
      </c>
      <c r="K142" s="779"/>
      <c r="L142" s="779">
        <f>(Q33/$R33*100*($E33/366))+(Q34/$R34*100*($E34/366))</f>
        <v>0</v>
      </c>
      <c r="M142" s="779"/>
      <c r="N142" s="810">
        <f t="shared" si="38"/>
        <v>100</v>
      </c>
      <c r="O142" s="810"/>
      <c r="R142" s="20">
        <v>1972</v>
      </c>
      <c r="S142" s="7">
        <f>(O33*($E33/366))+(O34*($E34/366))</f>
        <v>0</v>
      </c>
      <c r="T142" s="7">
        <f>(P33*($E33/366))+(P34*($E34/366))</f>
        <v>57.036065573770493</v>
      </c>
      <c r="U142" s="7">
        <f>(Q33*($E33/366))+(Q34*($E34/366))</f>
        <v>0</v>
      </c>
      <c r="V142" s="12"/>
      <c r="W142" s="7">
        <f>R33*(E33/366) + R34*(E34/366)</f>
        <v>57.036065573770493</v>
      </c>
      <c r="X142" s="5"/>
    </row>
    <row r="143" spans="1:24" ht="9" customHeight="1" x14ac:dyDescent="0.15">
      <c r="A143" s="20">
        <v>1973</v>
      </c>
      <c r="B143" s="7">
        <f>(K35*($E35/365))+(K36*($E36/365))</f>
        <v>0</v>
      </c>
      <c r="C143" s="7">
        <f>(L35*($E35/365))+(L36*($E36/365))</f>
        <v>100</v>
      </c>
      <c r="D143" s="7">
        <f>(M35*($E35/365))+(M36*($E36/365))</f>
        <v>0</v>
      </c>
      <c r="E143" s="33">
        <f t="shared" si="37"/>
        <v>100</v>
      </c>
      <c r="G143" s="20">
        <v>1973</v>
      </c>
      <c r="H143" s="779">
        <f>(O35/$R35*100*($E35/365))+(O36/$R36*100*($E36/365))</f>
        <v>0</v>
      </c>
      <c r="I143" s="779"/>
      <c r="J143" s="779">
        <f>(P35/$R35*100*($E35/365))+(P36/$R36*100*($E36/365))</f>
        <v>100</v>
      </c>
      <c r="K143" s="779"/>
      <c r="L143" s="779">
        <f>(Q35/$R35*100*($E35/365))+(Q36/$R36*100*($E36/365))</f>
        <v>0</v>
      </c>
      <c r="M143" s="779"/>
      <c r="N143" s="810">
        <f t="shared" si="38"/>
        <v>100</v>
      </c>
      <c r="O143" s="810"/>
      <c r="R143" s="20">
        <v>1973</v>
      </c>
      <c r="S143" s="7">
        <f>(O35*($E35/365))+(O36*($E36/365))</f>
        <v>0</v>
      </c>
      <c r="T143" s="7">
        <f>(P35*($E35/365))+(P36*($E36/365))</f>
        <v>41.3</v>
      </c>
      <c r="U143" s="7">
        <f>(Q35*($E35/365))+(Q36*($E36/365))</f>
        <v>0</v>
      </c>
      <c r="V143" s="12"/>
      <c r="W143" s="7">
        <f>R35*(E35/365) + R36*(E36/365)</f>
        <v>41.3</v>
      </c>
      <c r="X143" s="5"/>
    </row>
    <row r="144" spans="1:24" ht="9" customHeight="1" x14ac:dyDescent="0.15">
      <c r="A144" s="20">
        <v>1974</v>
      </c>
      <c r="B144" s="7">
        <f>(K37*($E37/365))+(K38*($E38/365))</f>
        <v>0</v>
      </c>
      <c r="C144" s="7">
        <f>(L37*($E37/365))+(L38*($E38/365))</f>
        <v>100</v>
      </c>
      <c r="D144" s="7">
        <f>(M37*($E37/365))+(M38*($E38/365))</f>
        <v>0</v>
      </c>
      <c r="E144" s="33">
        <f t="shared" si="37"/>
        <v>100</v>
      </c>
      <c r="G144" s="20">
        <v>1974</v>
      </c>
      <c r="H144" s="779">
        <f>(O37/$R37*100*($E37/365))+(O38/$R38*100*($E38/365))</f>
        <v>0</v>
      </c>
      <c r="I144" s="779"/>
      <c r="J144" s="779">
        <f>(P37/$R37*100*($E37/365))+(P38/$R38*100*($E38/365))</f>
        <v>100</v>
      </c>
      <c r="K144" s="779"/>
      <c r="L144" s="779">
        <f>(Q37/$R37*100*($E37/365))+(Q38/$R38*100*($E38/365))</f>
        <v>0</v>
      </c>
      <c r="M144" s="779"/>
      <c r="N144" s="810">
        <f t="shared" si="38"/>
        <v>100</v>
      </c>
      <c r="O144" s="810"/>
      <c r="R144" s="20">
        <v>1974</v>
      </c>
      <c r="S144" s="7">
        <f>(O37*($E37/365))+(O38*($E38/365))</f>
        <v>0</v>
      </c>
      <c r="T144" s="7">
        <f>(P37*($E37/365))+(P38*($E38/365))</f>
        <v>46.14</v>
      </c>
      <c r="U144" s="7">
        <f>(Q37*($E37/365))+(Q38*($E38/365))</f>
        <v>0</v>
      </c>
      <c r="V144" s="12"/>
      <c r="W144" s="7">
        <f>R37*(E37/365) + R38*(E38/365)</f>
        <v>46.14</v>
      </c>
      <c r="X144" s="5"/>
    </row>
    <row r="145" spans="1:24" ht="9" customHeight="1" x14ac:dyDescent="0.15">
      <c r="A145" s="20">
        <v>1975</v>
      </c>
      <c r="B145" s="7">
        <f>(K39*($E39/365))+(K40*($E40/365))</f>
        <v>0</v>
      </c>
      <c r="C145" s="7">
        <f>(L39*($E39/365))+(L40*($E40/365))</f>
        <v>100</v>
      </c>
      <c r="D145" s="7">
        <f>(M39*($E39/365))+(M40*($E40/365))</f>
        <v>0</v>
      </c>
      <c r="E145" s="33">
        <f t="shared" si="37"/>
        <v>100</v>
      </c>
      <c r="G145" s="20">
        <v>1975</v>
      </c>
      <c r="H145" s="779">
        <f>(O39/$R39*100*($E39/365))+(O40/$R40*100*($E40/365))</f>
        <v>0</v>
      </c>
      <c r="I145" s="779"/>
      <c r="J145" s="779">
        <f>(P39/$R39*100*($E39/365))+(P40/$R40*100*($E40/365))</f>
        <v>100</v>
      </c>
      <c r="K145" s="779"/>
      <c r="L145" s="779">
        <f>(Q39/$R39*100*($E39/365))+(Q40/$R40*100*($E40/365))</f>
        <v>0</v>
      </c>
      <c r="M145" s="779"/>
      <c r="N145" s="810">
        <f t="shared" si="38"/>
        <v>100</v>
      </c>
      <c r="O145" s="810"/>
      <c r="R145" s="20">
        <v>1975</v>
      </c>
      <c r="S145" s="7">
        <f>(O39*($E39/365))+(O40*($E40/365))</f>
        <v>0</v>
      </c>
      <c r="T145" s="7">
        <f>(P39*($E39/365))+(P40*($E40/365))</f>
        <v>53.4</v>
      </c>
      <c r="U145" s="7">
        <f>(Q39*($E39/365))+(Q40*($E40/365))</f>
        <v>0</v>
      </c>
      <c r="V145" s="12"/>
      <c r="W145" s="7">
        <f>R39*(E39/365) + R40*(E40/365)</f>
        <v>53.4</v>
      </c>
      <c r="X145" s="5"/>
    </row>
    <row r="146" spans="1:24" ht="9" customHeight="1" x14ac:dyDescent="0.15">
      <c r="A146" s="20">
        <v>1976</v>
      </c>
      <c r="B146" s="7">
        <f>(K41*($E41/366))+(K42*($E42/366))</f>
        <v>0</v>
      </c>
      <c r="C146" s="7">
        <f>(L41*($E41/366))+(L42*($E42/366))</f>
        <v>100</v>
      </c>
      <c r="D146" s="7">
        <f>(M41*($E41/366))+(M42*($E42/366))</f>
        <v>0</v>
      </c>
      <c r="E146" s="33">
        <f t="shared" si="37"/>
        <v>100</v>
      </c>
      <c r="G146" s="20">
        <v>1976</v>
      </c>
      <c r="H146" s="779">
        <f>(O41/$R41*100*($E41/366))+(O42/$R42*100*($E42/366))</f>
        <v>0</v>
      </c>
      <c r="I146" s="779"/>
      <c r="J146" s="779">
        <f>(P41/$R41*100*($E41/366))+(P42/$R42*100*($E42/366))</f>
        <v>100</v>
      </c>
      <c r="K146" s="779"/>
      <c r="L146" s="779">
        <f>(Q41/$R41*100*($E41/366))+(Q42/$R42*100*($E42/366))</f>
        <v>0</v>
      </c>
      <c r="M146" s="779"/>
      <c r="N146" s="810">
        <f t="shared" si="38"/>
        <v>100</v>
      </c>
      <c r="O146" s="810"/>
      <c r="R146" s="20">
        <v>1976</v>
      </c>
      <c r="S146" s="7">
        <f>(O41*($E41/366))+(O42*($E42/366))</f>
        <v>0</v>
      </c>
      <c r="T146" s="7">
        <f>(P41*($E41/366))+(P42*($E42/366))</f>
        <v>53.4</v>
      </c>
      <c r="U146" s="7">
        <f>(Q41*($E41/366))+(Q42*($E42/366))</f>
        <v>0</v>
      </c>
      <c r="V146" s="12"/>
      <c r="W146" s="7">
        <f>R41*(E41/366) + R42*(E42/366)</f>
        <v>53.4</v>
      </c>
      <c r="X146" s="5"/>
    </row>
    <row r="147" spans="1:24" ht="9" customHeight="1" x14ac:dyDescent="0.15">
      <c r="A147" s="20">
        <v>1977</v>
      </c>
      <c r="B147" s="7">
        <f>(K43*($E43/365))+(K44*($E44/365))</f>
        <v>0</v>
      </c>
      <c r="C147" s="7">
        <f>(L43*($E43/365))+(L44*($E44/365))</f>
        <v>100</v>
      </c>
      <c r="D147" s="7">
        <f>(M43*($E43/365))+(M44*($E44/365))</f>
        <v>0</v>
      </c>
      <c r="E147" s="33">
        <f t="shared" si="37"/>
        <v>100</v>
      </c>
      <c r="G147" s="20">
        <v>1977</v>
      </c>
      <c r="H147" s="779">
        <f>(O43/$R43*100*($E43/365))+(O44/$R44*100*($E44/365))</f>
        <v>0</v>
      </c>
      <c r="I147" s="779"/>
      <c r="J147" s="779">
        <f>(P43/$R43*100*($E43/365))+(P44/$R44*100*($E44/365))</f>
        <v>100</v>
      </c>
      <c r="K147" s="779"/>
      <c r="L147" s="779">
        <f>(Q43/$R43*100*($E43/365))+(Q44/$R44*100*($E44/365))</f>
        <v>0</v>
      </c>
      <c r="M147" s="779"/>
      <c r="N147" s="810">
        <f t="shared" si="38"/>
        <v>100</v>
      </c>
      <c r="O147" s="810"/>
      <c r="R147" s="20">
        <v>1977</v>
      </c>
      <c r="S147" s="7">
        <f>(O43*($E43/365))+(O44*($E44/365))</f>
        <v>0</v>
      </c>
      <c r="T147" s="7">
        <f>(P43*($E43/365))+(P44*($E44/365))</f>
        <v>53.4</v>
      </c>
      <c r="U147" s="7">
        <f>(Q43*($E43/365))+(Q44*($E44/365))</f>
        <v>0</v>
      </c>
      <c r="V147" s="12"/>
      <c r="W147" s="7">
        <f>R43*(E43/365) + R44*(E44/365)</f>
        <v>53.4</v>
      </c>
      <c r="X147" s="5"/>
    </row>
    <row r="148" spans="1:24" ht="9" customHeight="1" x14ac:dyDescent="0.15">
      <c r="A148" s="20">
        <v>1978</v>
      </c>
      <c r="B148" s="7">
        <f>(K45*($E45/365))+(K46*($E46/365))</f>
        <v>0</v>
      </c>
      <c r="C148" s="7">
        <f>(L45*($E45/365))+(L46*($E46/365))</f>
        <v>100</v>
      </c>
      <c r="D148" s="7">
        <f>(M45*($E45/365))+(M46*($E46/365))</f>
        <v>0</v>
      </c>
      <c r="E148" s="33">
        <f t="shared" si="37"/>
        <v>100</v>
      </c>
      <c r="G148" s="20">
        <v>1978</v>
      </c>
      <c r="H148" s="779">
        <f>(O45/$R45*100*($E45/365))+(O46/$R46*100*($E46/365))</f>
        <v>0</v>
      </c>
      <c r="I148" s="779"/>
      <c r="J148" s="779">
        <f>(P45/$R45*100*($E45/365))+(P46/$R46*100*($E46/365))</f>
        <v>100</v>
      </c>
      <c r="K148" s="779"/>
      <c r="L148" s="779">
        <f>(Q45/$R45*100*($E45/365))+(Q46/$R46*100*($E46/365))</f>
        <v>0</v>
      </c>
      <c r="M148" s="779"/>
      <c r="N148" s="810">
        <f t="shared" si="38"/>
        <v>100</v>
      </c>
      <c r="O148" s="810"/>
      <c r="R148" s="20">
        <v>1978</v>
      </c>
      <c r="S148" s="7">
        <f>(O45*($E45/365))+(O46*($E46/365))</f>
        <v>0</v>
      </c>
      <c r="T148" s="7">
        <f>(P45*($E45/365))+(P46*($E46/365))</f>
        <v>53.4</v>
      </c>
      <c r="U148" s="7">
        <f>(Q45*($E45/365))+(Q46*($E46/365))</f>
        <v>0</v>
      </c>
      <c r="V148" s="12"/>
      <c r="W148" s="7">
        <f>R45*(E45/365) + R46*(E46/365)</f>
        <v>53.4</v>
      </c>
      <c r="X148" s="5"/>
    </row>
    <row r="149" spans="1:24" ht="9" customHeight="1" x14ac:dyDescent="0.15">
      <c r="A149" s="20">
        <v>1979</v>
      </c>
      <c r="B149" s="7">
        <f>(K47*($E47/365))+(K48*($E48/365))</f>
        <v>57.80821917808219</v>
      </c>
      <c r="C149" s="7">
        <f>(L47*($E47/365))+(L48*($E48/365))</f>
        <v>42.19178082191781</v>
      </c>
      <c r="D149" s="7">
        <f>(M47*($E47/365))+(M48*($E48/365))</f>
        <v>0</v>
      </c>
      <c r="E149" s="33">
        <f t="shared" si="37"/>
        <v>100</v>
      </c>
      <c r="G149" s="20">
        <v>1979</v>
      </c>
      <c r="H149" s="779">
        <f>(O47/$R47*100*($E47/365))+(O48/$R48*100*($E48/365))</f>
        <v>57.80821917808219</v>
      </c>
      <c r="I149" s="779"/>
      <c r="J149" s="779">
        <f>(P47/$R47*100*($E47/365))+(P48/$R48*100*($E48/365))</f>
        <v>42.19178082191781</v>
      </c>
      <c r="K149" s="779"/>
      <c r="L149" s="779">
        <f>(Q47/$R47*100*($E47/365))+(Q48/$R48*100*($E48/365))</f>
        <v>0</v>
      </c>
      <c r="M149" s="779"/>
      <c r="N149" s="810">
        <f t="shared" si="38"/>
        <v>100</v>
      </c>
      <c r="O149" s="810"/>
      <c r="R149" s="20">
        <v>1979</v>
      </c>
      <c r="S149" s="7">
        <f>(O47*($E47/365))+(O48*($E48/365))</f>
        <v>27.863561643835617</v>
      </c>
      <c r="T149" s="7">
        <f>(P47*($E47/365))+(P48*($E48/365))</f>
        <v>22.53041095890411</v>
      </c>
      <c r="U149" s="7">
        <f>(Q47*($E47/365))+(Q48*($E48/365))</f>
        <v>0</v>
      </c>
      <c r="V149" s="12"/>
      <c r="W149" s="7">
        <f>R47*(E47/365) + R48*(E48/365)</f>
        <v>50.393972602739723</v>
      </c>
      <c r="X149" s="5"/>
    </row>
    <row r="150" spans="1:24" ht="9" customHeight="1" x14ac:dyDescent="0.15">
      <c r="A150" s="20">
        <v>1980</v>
      </c>
      <c r="B150" s="7">
        <f>(K49*($E49/366))+(K50*($E50/366))</f>
        <v>16.939890710382514</v>
      </c>
      <c r="C150" s="7">
        <f>(L49*($E49/366))+(L50*($E50/366))</f>
        <v>83.060109289617486</v>
      </c>
      <c r="D150" s="7">
        <f>(M49*($E49/366))+(M50*($E50/366))</f>
        <v>0</v>
      </c>
      <c r="E150" s="33">
        <f t="shared" si="37"/>
        <v>100</v>
      </c>
      <c r="G150" s="20">
        <v>1980</v>
      </c>
      <c r="H150" s="779">
        <f>(O49/$R49*100*($E49/366))+(O50/$R50*100*($E50/366))</f>
        <v>16.939890710382514</v>
      </c>
      <c r="I150" s="779"/>
      <c r="J150" s="779">
        <f>(P49/$R49*100*($E49/366))+(P50/$R50*100*($E50/366))</f>
        <v>83.060109289617486</v>
      </c>
      <c r="K150" s="779"/>
      <c r="L150" s="779">
        <f>(Q49/$R49*100*($E49/366))+(Q50/$R50*100*($E50/366))</f>
        <v>0</v>
      </c>
      <c r="M150" s="779"/>
      <c r="N150" s="810">
        <f t="shared" si="38"/>
        <v>100</v>
      </c>
      <c r="O150" s="810"/>
      <c r="R150" s="20">
        <v>1980</v>
      </c>
      <c r="S150" s="7">
        <f>(O49*($E49/366))+(O50*($E50/366))</f>
        <v>8.1650273224043719</v>
      </c>
      <c r="T150" s="7">
        <f>(P49*($E49/366))+(P50*($E50/366))</f>
        <v>43.27431693989071</v>
      </c>
      <c r="U150" s="7">
        <f>(Q49*($E49/366))+(Q50*($E50/366))</f>
        <v>0</v>
      </c>
      <c r="V150" s="12"/>
      <c r="W150" s="7">
        <f>R49*(E49/366) + R50*(E50/366)</f>
        <v>51.43934426229508</v>
      </c>
      <c r="X150" s="5"/>
    </row>
    <row r="151" spans="1:24" ht="9" customHeight="1" x14ac:dyDescent="0.15">
      <c r="A151" s="20">
        <v>1981</v>
      </c>
      <c r="B151" s="7">
        <f>(K51*($E51/365))+(K52*($E52/365))</f>
        <v>0</v>
      </c>
      <c r="C151" s="7">
        <f>(L51*($E51/365))+(L52*($E52/365))</f>
        <v>100</v>
      </c>
      <c r="D151" s="7">
        <f>(M51*($E51/365))+(M52*($E52/365))</f>
        <v>0</v>
      </c>
      <c r="E151" s="33">
        <f t="shared" si="37"/>
        <v>100</v>
      </c>
      <c r="G151" s="20">
        <v>1981</v>
      </c>
      <c r="H151" s="779">
        <f>(O51/$R51*100*($E51/365))+(O52/$R52*100*($E52/365))</f>
        <v>0</v>
      </c>
      <c r="I151" s="779"/>
      <c r="J151" s="779">
        <f>(P51/$R51*100*($E51/365))+(P52/$R52*100*($E52/365))</f>
        <v>100</v>
      </c>
      <c r="K151" s="779"/>
      <c r="L151" s="779">
        <f>(Q51/$R51*100*($E51/365))+(Q52/$R52*100*($E52/365))</f>
        <v>0</v>
      </c>
      <c r="M151" s="779"/>
      <c r="N151" s="810">
        <f t="shared" si="38"/>
        <v>100</v>
      </c>
      <c r="O151" s="810"/>
      <c r="R151" s="20">
        <v>1981</v>
      </c>
      <c r="S151" s="7">
        <f>(O51*($E51/365))+(O52*($E52/365))</f>
        <v>0</v>
      </c>
      <c r="T151" s="7">
        <f>(P51*($E51/365))+(P52*($E52/365))</f>
        <v>52.1</v>
      </c>
      <c r="U151" s="7">
        <f>(Q51*($E51/365))+(Q52*($E52/365))</f>
        <v>0</v>
      </c>
      <c r="V151" s="12"/>
      <c r="W151" s="7">
        <f>R51*(E51/365) + R52*(E52/365)</f>
        <v>52.1</v>
      </c>
      <c r="X151" s="5"/>
    </row>
    <row r="152" spans="1:24" ht="9" customHeight="1" x14ac:dyDescent="0.15">
      <c r="A152" s="20">
        <v>1982</v>
      </c>
      <c r="B152" s="7">
        <f>(K53*($E53/365))+(K54*($E54/365))</f>
        <v>0</v>
      </c>
      <c r="C152" s="7">
        <f>(L53*($E53/365))+(L54*($E54/365))</f>
        <v>100</v>
      </c>
      <c r="D152" s="7">
        <f>(M53*($E53/365))+(M54*($E54/365))</f>
        <v>0</v>
      </c>
      <c r="E152" s="33">
        <f t="shared" si="37"/>
        <v>100</v>
      </c>
      <c r="G152" s="20">
        <v>1982</v>
      </c>
      <c r="H152" s="779">
        <f>(O53/$R53*100*($E53/365))+(O54/$R54*100*($E54/365))</f>
        <v>0</v>
      </c>
      <c r="I152" s="779"/>
      <c r="J152" s="779">
        <f>(P53/$R53*100*($E53/365))+(P54/$R54*100*($E54/365))</f>
        <v>100</v>
      </c>
      <c r="K152" s="779"/>
      <c r="L152" s="779">
        <f>(Q53/$R53*100*($E53/365))+(Q54/$R54*100*($E54/365))</f>
        <v>0</v>
      </c>
      <c r="M152" s="779"/>
      <c r="N152" s="810">
        <f t="shared" si="38"/>
        <v>100</v>
      </c>
      <c r="O152" s="810"/>
      <c r="R152" s="20">
        <v>1982</v>
      </c>
      <c r="S152" s="7">
        <f>(O53*($E53/365))+(O54*($E54/365))</f>
        <v>0</v>
      </c>
      <c r="T152" s="7">
        <f>(P53*($E53/365))+(P54*($E54/365))</f>
        <v>52.1</v>
      </c>
      <c r="U152" s="7">
        <f>(Q53*($E53/365))+(Q54*($E54/365))</f>
        <v>0</v>
      </c>
      <c r="V152" s="12"/>
      <c r="W152" s="7">
        <f>R53*(E53/365) + R54*(E54/365)</f>
        <v>52.1</v>
      </c>
      <c r="X152" s="5"/>
    </row>
    <row r="153" spans="1:24" ht="9" customHeight="1" x14ac:dyDescent="0.15">
      <c r="A153" s="20">
        <v>1983</v>
      </c>
      <c r="B153" s="7">
        <f>(K55*($E55/365))+(K56*($E56/365))</f>
        <v>0</v>
      </c>
      <c r="C153" s="7">
        <f>(L55*($E55/365))+(L56*($E56/365))</f>
        <v>100</v>
      </c>
      <c r="D153" s="7">
        <f>(M55*($E55/365))+(M56*($E56/365))</f>
        <v>0</v>
      </c>
      <c r="E153" s="33">
        <f t="shared" si="37"/>
        <v>100</v>
      </c>
      <c r="G153" s="20">
        <v>1983</v>
      </c>
      <c r="H153" s="779">
        <f>(O55/$R55*100*($E55/365))+(O56/$R56*100*($E56/365))</f>
        <v>0</v>
      </c>
      <c r="I153" s="779"/>
      <c r="J153" s="779">
        <f>(P55/$R55*100*($E55/365))+(P56/$R56*100*($E56/365))</f>
        <v>100</v>
      </c>
      <c r="K153" s="779"/>
      <c r="L153" s="779">
        <f>(Q55/$R55*100*($E55/365))+(Q56/$R56*100*($E56/365))</f>
        <v>0</v>
      </c>
      <c r="M153" s="779"/>
      <c r="N153" s="810">
        <f t="shared" si="38"/>
        <v>100</v>
      </c>
      <c r="O153" s="810"/>
      <c r="R153" s="20">
        <v>1983</v>
      </c>
      <c r="S153" s="7">
        <f>(O55*($E55/365))+(O56*($E56/365))</f>
        <v>0</v>
      </c>
      <c r="T153" s="7">
        <f>(P55*($E55/365))+(P56*($E56/365))</f>
        <v>52.1</v>
      </c>
      <c r="U153" s="7">
        <f>(Q55*($E55/365))+(Q56*($E56/365))</f>
        <v>0</v>
      </c>
      <c r="V153" s="12"/>
      <c r="W153" s="7">
        <f>R55*(E55/365) + R56*(E56/365)</f>
        <v>52.1</v>
      </c>
      <c r="X153" s="5"/>
    </row>
    <row r="154" spans="1:24" ht="9" customHeight="1" x14ac:dyDescent="0.15">
      <c r="A154" s="20">
        <v>1984</v>
      </c>
      <c r="B154" s="7">
        <f>(K57*($E57/366))+(K58*($E58/366))</f>
        <v>28.961748633879779</v>
      </c>
      <c r="C154" s="7">
        <f>(L57*($E57/366))+(L58*($E58/366))</f>
        <v>71.038251366120221</v>
      </c>
      <c r="D154" s="7">
        <f>(M57*($E57/366))+(M58*($E58/366))</f>
        <v>0</v>
      </c>
      <c r="E154" s="33">
        <f t="shared" si="37"/>
        <v>100</v>
      </c>
      <c r="G154" s="20">
        <v>1984</v>
      </c>
      <c r="H154" s="779">
        <f>(O57/$R57*100*($E57/366))+(O58/$R58*100*($E58/366))</f>
        <v>28.961748633879779</v>
      </c>
      <c r="I154" s="779"/>
      <c r="J154" s="779">
        <f>(P57/$R57*100*($E57/366))+(P58/$R58*100*($E58/366))</f>
        <v>71.038251366120221</v>
      </c>
      <c r="K154" s="779"/>
      <c r="L154" s="779">
        <f>(Q57/$R57*100*($E57/366))+(Q58/$R58*100*($E58/366))</f>
        <v>0</v>
      </c>
      <c r="M154" s="779"/>
      <c r="N154" s="810">
        <f t="shared" si="38"/>
        <v>100</v>
      </c>
      <c r="O154" s="810"/>
      <c r="R154" s="20">
        <v>1984</v>
      </c>
      <c r="S154" s="7">
        <f>(O57*($E57/366))+(O58*($E58/366))</f>
        <v>21.663387978142076</v>
      </c>
      <c r="T154" s="7">
        <f>(P57*($E57/366))+(P58*($E58/366))</f>
        <v>37.010928961748633</v>
      </c>
      <c r="U154" s="7">
        <f>(Q57*($E57/366))+(Q58*($E58/366))</f>
        <v>0</v>
      </c>
      <c r="V154" s="12"/>
      <c r="W154" s="7">
        <f>R57*(E57/366) + R58*(E58/366)</f>
        <v>58.674316939890709</v>
      </c>
      <c r="X154" s="5"/>
    </row>
    <row r="155" spans="1:24" ht="9" customHeight="1" x14ac:dyDescent="0.15">
      <c r="A155" s="20">
        <v>1985</v>
      </c>
      <c r="B155" s="7">
        <f>(K59*($E59/365))+(K60*($E60/365))</f>
        <v>100</v>
      </c>
      <c r="C155" s="7">
        <f>(L59*($E59/365))+(L60*($E60/365))</f>
        <v>0</v>
      </c>
      <c r="D155" s="7">
        <f>(M59*($E59/365))+(M60*($E60/365))</f>
        <v>0</v>
      </c>
      <c r="E155" s="33">
        <f t="shared" si="37"/>
        <v>100</v>
      </c>
      <c r="G155" s="20">
        <v>1985</v>
      </c>
      <c r="H155" s="779">
        <f>(O59/$R59*100*($E59/365))+(O60/$R60*100*($E60/365))</f>
        <v>100</v>
      </c>
      <c r="I155" s="779"/>
      <c r="J155" s="779">
        <f>(P59/$R59*100*($E59/365))+(P60/$R60*100*($E60/365))</f>
        <v>0</v>
      </c>
      <c r="K155" s="779"/>
      <c r="L155" s="779">
        <f>(Q59/$R59*100*($E59/365))+(Q60/$R60*100*($E60/365))</f>
        <v>0</v>
      </c>
      <c r="M155" s="779"/>
      <c r="N155" s="810">
        <f t="shared" si="38"/>
        <v>100</v>
      </c>
      <c r="O155" s="810"/>
      <c r="R155" s="20">
        <v>1985</v>
      </c>
      <c r="S155" s="7">
        <f>(O59*($E59/365))+(O60*($E60/365))</f>
        <v>74.8</v>
      </c>
      <c r="T155" s="7">
        <f>(P59*($E59/365))+(P60*($E60/365))</f>
        <v>0</v>
      </c>
      <c r="U155" s="7">
        <f>(Q59*($E59/365))+(Q60*($E60/365))</f>
        <v>0</v>
      </c>
      <c r="V155" s="12"/>
      <c r="W155" s="7">
        <f>R59*(E59/365) + R60*(E60/365)</f>
        <v>74.8</v>
      </c>
      <c r="X155" s="5"/>
    </row>
    <row r="156" spans="1:24" ht="9" customHeight="1" x14ac:dyDescent="0.15">
      <c r="A156" s="20">
        <v>1986</v>
      </c>
      <c r="B156" s="7">
        <f>(K61*($E61/365))+(K62*($E62/365))</f>
        <v>100</v>
      </c>
      <c r="C156" s="7">
        <f>(L61*($E61/365))+(L62*($E62/365))</f>
        <v>0</v>
      </c>
      <c r="D156" s="7">
        <f>(M61*($E61/365))+(M62*($E62/365))</f>
        <v>0</v>
      </c>
      <c r="E156" s="33">
        <f t="shared" si="37"/>
        <v>100</v>
      </c>
      <c r="G156" s="20">
        <v>1986</v>
      </c>
      <c r="H156" s="779">
        <f>(O61/$R61*100*($E61/365))+(O62/$R62*100*($E62/365))</f>
        <v>100</v>
      </c>
      <c r="I156" s="779"/>
      <c r="J156" s="779">
        <f>(P61/$R61*100*($E61/365))+(P62/$R62*100*($E62/365))</f>
        <v>0</v>
      </c>
      <c r="K156" s="779"/>
      <c r="L156" s="779">
        <f>(Q61/$R61*100*($E61/365))+(Q62/$R62*100*($E62/365))</f>
        <v>0</v>
      </c>
      <c r="M156" s="779"/>
      <c r="N156" s="810">
        <f t="shared" si="38"/>
        <v>100</v>
      </c>
      <c r="O156" s="810"/>
      <c r="R156" s="20">
        <v>1986</v>
      </c>
      <c r="S156" s="7">
        <f>(O61*($E61/365))+(O62*($E62/365))</f>
        <v>74.8</v>
      </c>
      <c r="T156" s="7">
        <f>(P61*($E61/365))+(P62*($E62/365))</f>
        <v>0</v>
      </c>
      <c r="U156" s="7">
        <f>(Q61*($E61/365))+(Q62*($E62/365))</f>
        <v>0</v>
      </c>
      <c r="V156" s="12"/>
      <c r="W156" s="7">
        <f>R61*(E61/365) + R62*(E62/365)</f>
        <v>74.8</v>
      </c>
      <c r="X156" s="5"/>
    </row>
    <row r="157" spans="1:24" ht="9" customHeight="1" x14ac:dyDescent="0.15">
      <c r="A157" s="20">
        <v>1987</v>
      </c>
      <c r="B157" s="7">
        <f>(K63*($E63/365))+(K64*($E64/365))</f>
        <v>100</v>
      </c>
      <c r="C157" s="7">
        <f>(L63*($E63/365))+(L64*($E64/365))</f>
        <v>0</v>
      </c>
      <c r="D157" s="7">
        <f>(M63*($E63/365))+(M64*($E64/365))</f>
        <v>0</v>
      </c>
      <c r="E157" s="33">
        <f t="shared" si="37"/>
        <v>100</v>
      </c>
      <c r="G157" s="20">
        <v>1987</v>
      </c>
      <c r="H157" s="779">
        <f>(O63/$R63*100*($E63/365))+(O64/$R64*100*($E64/365))</f>
        <v>100</v>
      </c>
      <c r="I157" s="779"/>
      <c r="J157" s="779">
        <f>(P63/$R63*100*($E63/365))+(P64/$R64*100*($E64/365))</f>
        <v>0</v>
      </c>
      <c r="K157" s="779"/>
      <c r="L157" s="779">
        <f>(Q63/$R63*100*($E63/365))+(Q64/$R64*100*($E64/365))</f>
        <v>0</v>
      </c>
      <c r="M157" s="779"/>
      <c r="N157" s="810">
        <f t="shared" si="38"/>
        <v>100</v>
      </c>
      <c r="O157" s="810"/>
      <c r="R157" s="20">
        <v>1987</v>
      </c>
      <c r="S157" s="7">
        <f>(O63*($E63/365))+(O64*($E64/365))</f>
        <v>74.8</v>
      </c>
      <c r="T157" s="7">
        <f>(P63*($E63/365))+(P64*($E64/365))</f>
        <v>0</v>
      </c>
      <c r="U157" s="7">
        <f>(Q63*($E63/365))+(Q64*($E64/365))</f>
        <v>0</v>
      </c>
      <c r="V157" s="12"/>
      <c r="W157" s="7">
        <f>R63*(E63/365) + R64*(E64/365)</f>
        <v>74.8</v>
      </c>
      <c r="X157" s="5"/>
    </row>
    <row r="158" spans="1:24" ht="9" customHeight="1" x14ac:dyDescent="0.15">
      <c r="A158" s="20">
        <v>1988</v>
      </c>
      <c r="B158" s="7">
        <f>(K65*($E65/366))+(K66*($E66/366))</f>
        <v>100</v>
      </c>
      <c r="C158" s="7">
        <f>(L65*($E65/366))+(L66*($E66/366))</f>
        <v>0</v>
      </c>
      <c r="D158" s="7">
        <f>(M65*($E65/366))+(M66*($E66/366))</f>
        <v>0</v>
      </c>
      <c r="E158" s="33">
        <f t="shared" si="37"/>
        <v>100</v>
      </c>
      <c r="G158" s="20">
        <v>1988</v>
      </c>
      <c r="H158" s="779">
        <f>(O65/$R65*100*($E65/366))+(O66/$R66*100*($E66/366))</f>
        <v>100</v>
      </c>
      <c r="I158" s="779"/>
      <c r="J158" s="779">
        <f>(P65/$R65*100*($E65/366))+(P66/$R66*100*($E66/366))</f>
        <v>0</v>
      </c>
      <c r="K158" s="779"/>
      <c r="L158" s="779">
        <f>(Q65/$R65*100*($E65/366))+(Q66/$R66*100*($E66/366))</f>
        <v>0</v>
      </c>
      <c r="M158" s="779"/>
      <c r="N158" s="810">
        <f t="shared" si="38"/>
        <v>100</v>
      </c>
      <c r="O158" s="810"/>
      <c r="R158" s="20">
        <v>1988</v>
      </c>
      <c r="S158" s="7">
        <f>(O65*($E65/366))+(O66*($E66/366))</f>
        <v>73.60464480874316</v>
      </c>
      <c r="T158" s="7">
        <f>(P65*($E65/366))+(P66*($E66/366))</f>
        <v>0</v>
      </c>
      <c r="U158" s="7">
        <f>(Q65*($E65/366))+(Q66*($E66/366))</f>
        <v>0</v>
      </c>
      <c r="V158" s="12"/>
      <c r="W158" s="7">
        <f>R65*(E65/366) + R66*(E66/366)</f>
        <v>73.60464480874316</v>
      </c>
      <c r="X158" s="5"/>
    </row>
    <row r="159" spans="1:24" s="4" customFormat="1" ht="9" customHeight="1" x14ac:dyDescent="0.15">
      <c r="A159" s="21">
        <v>1989</v>
      </c>
      <c r="B159" s="11">
        <f>(K67*($E67/365))+(K68*($E68/365))</f>
        <v>100</v>
      </c>
      <c r="C159" s="11">
        <f>(L67*($E67/365))+(L68*($E68/365))</f>
        <v>0</v>
      </c>
      <c r="D159" s="11">
        <f>(M67*($E67/365))+(M68*($E68/365))</f>
        <v>0</v>
      </c>
      <c r="E159" s="32">
        <f t="shared" si="37"/>
        <v>100</v>
      </c>
      <c r="G159" s="21">
        <v>1989</v>
      </c>
      <c r="H159" s="806">
        <f>(O67/$R67*100*($E67/365))+(O68/$R68*100*($E68/365))</f>
        <v>100</v>
      </c>
      <c r="I159" s="806"/>
      <c r="J159" s="806">
        <f>(P67/$R67*100*($E67/365))+(P68/$R68*100*($E68/365))</f>
        <v>0</v>
      </c>
      <c r="K159" s="806"/>
      <c r="L159" s="806">
        <f>(Q67/$R67*100*($E67/365))+(Q68/$R68*100*($E68/365))</f>
        <v>0</v>
      </c>
      <c r="M159" s="806"/>
      <c r="N159" s="808">
        <f t="shared" si="38"/>
        <v>100</v>
      </c>
      <c r="O159" s="808"/>
      <c r="R159" s="21">
        <v>1989</v>
      </c>
      <c r="S159" s="11">
        <f>(O67*($E67/365))+(O68*($E68/365))</f>
        <v>57.3</v>
      </c>
      <c r="T159" s="11">
        <f>(P67*($E67/365))+(P68*($E68/365))</f>
        <v>0</v>
      </c>
      <c r="U159" s="11">
        <f>(Q67*($E67/365))+(Q68*($E68/365))</f>
        <v>0</v>
      </c>
      <c r="V159" s="27"/>
      <c r="W159" s="11">
        <f>R67*(E67/365) + R68*(E68/365)</f>
        <v>57.3</v>
      </c>
      <c r="X159" s="19"/>
    </row>
    <row r="160" spans="1:24" ht="9" customHeight="1" x14ac:dyDescent="0.15">
      <c r="A160" s="1">
        <v>1990</v>
      </c>
      <c r="B160" s="7">
        <f>(K69*($E69/365))+(K70*($E70/365))</f>
        <v>100</v>
      </c>
      <c r="C160" s="7">
        <f>(L69*($E69/365))+(L70*($E70/365))</f>
        <v>0</v>
      </c>
      <c r="D160" s="7">
        <f>(M69*($E69/365))+(M70*($E70/365))</f>
        <v>0</v>
      </c>
      <c r="E160" s="33">
        <f t="shared" si="37"/>
        <v>100</v>
      </c>
      <c r="G160" s="1">
        <v>1990</v>
      </c>
      <c r="H160" s="779">
        <f>(O69/$R69*100*($E69/365))+(O70/$R70*100*($E70/365))</f>
        <v>100</v>
      </c>
      <c r="I160" s="779"/>
      <c r="J160" s="779">
        <f>(P69/$R69*100*($E69/365))+(P70/$R70*100*($E70/365))</f>
        <v>0</v>
      </c>
      <c r="K160" s="779"/>
      <c r="L160" s="779">
        <f>(Q69/$R69*100*($E69/365))+(Q70/$R70*100*($E70/365))</f>
        <v>0</v>
      </c>
      <c r="M160" s="779"/>
      <c r="N160" s="810">
        <f t="shared" si="38"/>
        <v>100</v>
      </c>
      <c r="O160" s="810"/>
      <c r="R160" s="1">
        <v>1990</v>
      </c>
      <c r="S160" s="7">
        <f>(O69*($E69/365))+(O70*($E70/365))</f>
        <v>57.3</v>
      </c>
      <c r="T160" s="7">
        <f>(P69*($E69/365))+(P70*($E70/365))</f>
        <v>0</v>
      </c>
      <c r="U160" s="7">
        <f>(Q69*($E69/365))+(Q70*($E70/365))</f>
        <v>0</v>
      </c>
      <c r="V160" s="12"/>
      <c r="W160" s="7">
        <f>R69*(E69/365) + R70*(E70/365)</f>
        <v>57.3</v>
      </c>
      <c r="X160" s="5"/>
    </row>
    <row r="161" spans="1:24" ht="9" customHeight="1" x14ac:dyDescent="0.15">
      <c r="A161" s="1">
        <v>1991</v>
      </c>
      <c r="B161" s="7">
        <f>(K71*($E71/365))+(K72*($E72/365))</f>
        <v>100</v>
      </c>
      <c r="C161" s="7">
        <f>(L71*($E71/365))+(L72*($E72/365))</f>
        <v>0</v>
      </c>
      <c r="D161" s="7">
        <f>(M71*($E71/365))+(M72*($E72/365))</f>
        <v>0</v>
      </c>
      <c r="E161" s="33">
        <f t="shared" ref="E161:E184" si="39">SUM(B161:D161)</f>
        <v>100</v>
      </c>
      <c r="G161" s="1">
        <v>1991</v>
      </c>
      <c r="H161" s="779">
        <f>(O71/$R71*100*($E71/365))+(O72/$R72*100*($E72/365))</f>
        <v>100</v>
      </c>
      <c r="I161" s="779"/>
      <c r="J161" s="779">
        <f>(P71/$R71*100*($E71/365))+(P72/$R72*100*($E72/365))</f>
        <v>0</v>
      </c>
      <c r="K161" s="779"/>
      <c r="L161" s="779">
        <f>(Q71/$R71*100*($E71/365))+(Q72/$R72*100*($E72/365))</f>
        <v>0</v>
      </c>
      <c r="M161" s="779"/>
      <c r="N161" s="810">
        <f t="shared" si="38"/>
        <v>100</v>
      </c>
      <c r="O161" s="810"/>
      <c r="R161" s="1">
        <v>1991</v>
      </c>
      <c r="S161" s="7">
        <f>(O71*($E71/365))+(O72*($E72/365))</f>
        <v>57.3</v>
      </c>
      <c r="T161" s="7">
        <f>(P71*($E71/365))+(P72*($E72/365))</f>
        <v>0</v>
      </c>
      <c r="U161" s="7">
        <f>(Q71*($E71/365))+(Q72*($E72/365))</f>
        <v>0</v>
      </c>
      <c r="V161" s="12"/>
      <c r="W161" s="7">
        <f>R71*(E71/365) + R72*(E72/365)</f>
        <v>57.3</v>
      </c>
      <c r="X161" s="5"/>
    </row>
    <row r="162" spans="1:24" ht="9" customHeight="1" x14ac:dyDescent="0.15">
      <c r="A162" s="1">
        <v>1992</v>
      </c>
      <c r="B162" s="7">
        <f>(K73*($E73/366))+(K74*($E74/366))</f>
        <v>100</v>
      </c>
      <c r="C162" s="7">
        <f>(L73*($E73/366))+(L74*($E74/366))</f>
        <v>0</v>
      </c>
      <c r="D162" s="7">
        <f>(M73*($E73/366))+(M74*($E74/366))</f>
        <v>0</v>
      </c>
      <c r="E162" s="33">
        <f t="shared" si="39"/>
        <v>100</v>
      </c>
      <c r="G162" s="1">
        <v>1992</v>
      </c>
      <c r="H162" s="779">
        <f>(O73/$R73*100*($E73/366))+(O74/$R74*100*($E74/366))</f>
        <v>100</v>
      </c>
      <c r="I162" s="779"/>
      <c r="J162" s="779">
        <f>(P73/$R73*100*($E73/366))+(P74/$R74*100*($E74/366))</f>
        <v>0</v>
      </c>
      <c r="K162" s="779"/>
      <c r="L162" s="779">
        <f>(Q73/$R73*100*($E73/366))+(Q74/$R74*100*($E74/366))</f>
        <v>0</v>
      </c>
      <c r="M162" s="779"/>
      <c r="N162" s="810">
        <f t="shared" si="38"/>
        <v>100</v>
      </c>
      <c r="O162" s="810"/>
      <c r="R162" s="1">
        <v>1992</v>
      </c>
      <c r="S162" s="7">
        <f>(O73*($E73/366))+(O74*($E74/366))</f>
        <v>57.3</v>
      </c>
      <c r="T162" s="7">
        <f>(P73*($E73/366))+(P74*($E74/366))</f>
        <v>0</v>
      </c>
      <c r="U162" s="7">
        <f>(Q73*($E73/366))+(Q74*($E74/366))</f>
        <v>0</v>
      </c>
      <c r="V162" s="12"/>
      <c r="W162" s="7">
        <f>R73*(E73/366) + R74*(E74/366)</f>
        <v>57.3</v>
      </c>
      <c r="X162" s="5"/>
    </row>
    <row r="163" spans="1:24" ht="9" customHeight="1" x14ac:dyDescent="0.15">
      <c r="A163" s="1">
        <v>1993</v>
      </c>
      <c r="B163" s="7">
        <f>(K75*($E75/365))+(K76*($E76/365))+(K77*($E77/365))</f>
        <v>84.109589041095887</v>
      </c>
      <c r="C163" s="7">
        <f>(L75*($E75/365))+(L76*($E76/365))+(L77*($E77/365))</f>
        <v>15.890410958904111</v>
      </c>
      <c r="D163" s="7">
        <f>(M75*($E75/365))+(M76*($E76/365))+(M77*($E77/365))</f>
        <v>0</v>
      </c>
      <c r="E163" s="33">
        <f t="shared" si="39"/>
        <v>100</v>
      </c>
      <c r="G163" s="1">
        <v>1993</v>
      </c>
      <c r="H163" s="779">
        <f>(O75/$R75*100*($E75/365))+(O76/$R76*100*($E76/365))+(O77/$R77*100*($E77/365))</f>
        <v>84.109589041095887</v>
      </c>
      <c r="I163" s="779"/>
      <c r="J163" s="779">
        <f>(P75/$R75*100*($E75/365))+(P76/$R76*100*($E76/365))+(P77/$R77*100*($E77/365))</f>
        <v>15.890410958904111</v>
      </c>
      <c r="K163" s="779"/>
      <c r="L163" s="779">
        <f>(Q75/$R75*100*($E75/365))+(Q76/$R76*100*($E76/365))+(Q77/$R77*100*($E77/365))</f>
        <v>0</v>
      </c>
      <c r="M163" s="779"/>
      <c r="N163" s="810">
        <f t="shared" si="38"/>
        <v>100</v>
      </c>
      <c r="O163" s="810"/>
      <c r="R163" s="1">
        <v>1993</v>
      </c>
      <c r="S163" s="7">
        <f>(O75*($E75/365))+(O75*($E75/365))+(O77*($E77/365))</f>
        <v>54.945205479452049</v>
      </c>
      <c r="T163" s="7">
        <f>(P75*($E75/365))+(P75*($E75/365))+(P77*($E77/365))</f>
        <v>9.5342465753424666</v>
      </c>
      <c r="U163" s="7">
        <f>(Q75*($E75/365))+(Q75*($E75/365))+(Q77*($E77/365))</f>
        <v>0</v>
      </c>
      <c r="V163" s="12"/>
      <c r="W163" s="7">
        <f>R76*(E76/365) + R77*(E77/365)</f>
        <v>30.256438356164381</v>
      </c>
      <c r="X163" s="5"/>
    </row>
    <row r="164" spans="1:24" ht="9" customHeight="1" x14ac:dyDescent="0.15">
      <c r="A164" s="1">
        <v>1994</v>
      </c>
      <c r="B164" s="7">
        <f>(K78*($E78/365))+(K79*($E79/365))</f>
        <v>0</v>
      </c>
      <c r="C164" s="7">
        <f>(L78*($E78/365))+(L79*($E79/365))</f>
        <v>100</v>
      </c>
      <c r="D164" s="7">
        <f>(M78*($E78/365))+(M79*($E79/365))</f>
        <v>0</v>
      </c>
      <c r="E164" s="33">
        <f t="shared" si="39"/>
        <v>100</v>
      </c>
      <c r="G164" s="1">
        <v>1994</v>
      </c>
      <c r="H164" s="779">
        <f>(O78/$R78*100*($E78/365))+(O79/$R79*100*($E79/365))</f>
        <v>0</v>
      </c>
      <c r="I164" s="779"/>
      <c r="J164" s="779">
        <f>(P78/$R78*100*($E78/365))+(P79/$R79*100*($E79/365))</f>
        <v>100</v>
      </c>
      <c r="K164" s="779"/>
      <c r="L164" s="779">
        <f>(Q78/$R78*100*($E78/365))+(Q79/$R79*100*($E79/365))</f>
        <v>0</v>
      </c>
      <c r="M164" s="779"/>
      <c r="N164" s="810">
        <f t="shared" si="38"/>
        <v>100</v>
      </c>
      <c r="O164" s="810"/>
      <c r="R164" s="1">
        <v>1994</v>
      </c>
      <c r="S164" s="7">
        <f>(O78*($E78/365))+(O79*($E79/365))</f>
        <v>0</v>
      </c>
      <c r="T164" s="7">
        <f>(P78*($E78/365))+(P79*($E79/365))</f>
        <v>60</v>
      </c>
      <c r="U164" s="7">
        <f>(Q78*($E78/365))+(Q79*($E79/365))</f>
        <v>0</v>
      </c>
      <c r="V164" s="12"/>
      <c r="W164" s="7">
        <f>R78*(E78/365) + R79*(E79/365)</f>
        <v>60</v>
      </c>
      <c r="X164" s="5"/>
    </row>
    <row r="165" spans="1:24" ht="9" customHeight="1" x14ac:dyDescent="0.15">
      <c r="A165" s="1">
        <v>1995</v>
      </c>
      <c r="B165" s="7">
        <f>(K80*($E80/365))+(K81*($E81/365))</f>
        <v>0</v>
      </c>
      <c r="C165" s="7">
        <f>(L80*($E80/365))+(L81*($E81/365))</f>
        <v>100</v>
      </c>
      <c r="D165" s="7">
        <f>(M80*($E80/365))+(M81*($E81/365))</f>
        <v>0</v>
      </c>
      <c r="E165" s="33">
        <f t="shared" si="39"/>
        <v>100</v>
      </c>
      <c r="G165" s="1">
        <v>1995</v>
      </c>
      <c r="H165" s="779">
        <f>(O80/$R80*100*($E80/365))+(O81/$R81*100*($E81/365))</f>
        <v>0</v>
      </c>
      <c r="I165" s="779"/>
      <c r="J165" s="779">
        <f>(P80/$R80*100*($E80/365))+(P81/$R81*100*($E81/365))</f>
        <v>100</v>
      </c>
      <c r="K165" s="779"/>
      <c r="L165" s="779">
        <f>(Q80/$R80*100*($E80/365))+(Q81/$R81*100*($E81/365))</f>
        <v>0</v>
      </c>
      <c r="M165" s="779"/>
      <c r="N165" s="810">
        <f t="shared" si="38"/>
        <v>100</v>
      </c>
      <c r="O165" s="810"/>
      <c r="R165" s="1">
        <v>1995</v>
      </c>
      <c r="S165" s="7">
        <f>(O80*($E80/365))+(O81*($E81/365))</f>
        <v>0</v>
      </c>
      <c r="T165" s="7">
        <f>(P80*($E80/365))+(P81*($E81/365))</f>
        <v>60</v>
      </c>
      <c r="U165" s="7">
        <f>(Q80*($E80/365))+(Q81*($E81/365))</f>
        <v>0</v>
      </c>
      <c r="V165" s="12"/>
      <c r="W165" s="7">
        <f>R80*(E80/365) + R81*(E81/365)</f>
        <v>60</v>
      </c>
      <c r="X165" s="5"/>
    </row>
    <row r="166" spans="1:24" ht="9" customHeight="1" x14ac:dyDescent="0.15">
      <c r="A166" s="1">
        <v>1996</v>
      </c>
      <c r="B166" s="7">
        <f>(K82*($E82/366))+(K83*($E83/366))</f>
        <v>0</v>
      </c>
      <c r="C166" s="7">
        <f>(L82*($E82/366))+(L83*($E83/366))</f>
        <v>100</v>
      </c>
      <c r="D166" s="7">
        <f>(M82*($E82/366))+(M83*($E83/366))</f>
        <v>0</v>
      </c>
      <c r="E166" s="33">
        <f t="shared" si="39"/>
        <v>100</v>
      </c>
      <c r="G166" s="1">
        <v>1996</v>
      </c>
      <c r="H166" s="779">
        <f>(O82/$R82*100*($E82/366))+(O83/$R83*100*($E83/366))</f>
        <v>0</v>
      </c>
      <c r="I166" s="779"/>
      <c r="J166" s="779">
        <f>(P82/$R82*100*($E82/366))+(P83/$R83*100*($E83/366))</f>
        <v>100</v>
      </c>
      <c r="K166" s="779"/>
      <c r="L166" s="779">
        <f>(Q82/$R82*100*($E82/366))+(Q83/$R83*100*($E83/366))</f>
        <v>0</v>
      </c>
      <c r="M166" s="779"/>
      <c r="N166" s="810">
        <f t="shared" si="38"/>
        <v>100</v>
      </c>
      <c r="O166" s="810"/>
      <c r="R166" s="1">
        <v>1996</v>
      </c>
      <c r="S166" s="7">
        <f>(O82*($E82/366))+(O83*($E83/366))</f>
        <v>0</v>
      </c>
      <c r="T166" s="7">
        <f>(P82*($E82/366))+(P83*($E83/366))</f>
        <v>60</v>
      </c>
      <c r="U166" s="7">
        <f>(Q82*($E82/366))+(Q83*($E83/366))</f>
        <v>0</v>
      </c>
      <c r="V166" s="12"/>
      <c r="W166" s="7">
        <f>R82*(E82/366) + R83*(E83/366)</f>
        <v>60</v>
      </c>
      <c r="X166" s="5"/>
    </row>
    <row r="167" spans="1:24" ht="9" customHeight="1" x14ac:dyDescent="0.15">
      <c r="A167" s="1">
        <v>1997</v>
      </c>
      <c r="B167" s="7">
        <f>(K84*($E84/365))+(K85*($E85/365))</f>
        <v>0</v>
      </c>
      <c r="C167" s="7">
        <f>(L84*($E84/365))+(L85*($E85/365))</f>
        <v>100</v>
      </c>
      <c r="D167" s="7">
        <f>(M84*($E84/365))+(M85*($E85/365))</f>
        <v>0</v>
      </c>
      <c r="E167" s="33">
        <f t="shared" si="39"/>
        <v>100</v>
      </c>
      <c r="G167" s="1">
        <v>1997</v>
      </c>
      <c r="H167" s="779">
        <f>(O84/$R84*100*($E84/365))+(O85/$R85*100*($E85/365))</f>
        <v>0</v>
      </c>
      <c r="I167" s="779"/>
      <c r="J167" s="779">
        <f>(P84/$R84*100*($E84/365))+(P85/$R85*100*($E85/365))</f>
        <v>100</v>
      </c>
      <c r="K167" s="779"/>
      <c r="L167" s="779">
        <f>(Q84/$R84*100*($E84/365))+(Q85/$R85*100*($E85/365))</f>
        <v>0</v>
      </c>
      <c r="M167" s="779"/>
      <c r="N167" s="810">
        <f t="shared" si="38"/>
        <v>100</v>
      </c>
      <c r="O167" s="810"/>
      <c r="R167" s="1">
        <v>1997</v>
      </c>
      <c r="S167" s="7">
        <f>(O84*($E84/365))+(O85*($E85/365))</f>
        <v>0</v>
      </c>
      <c r="T167" s="7">
        <f>(P84*($E84/365))+(P85*($E85/365))</f>
        <v>55.249315068493154</v>
      </c>
      <c r="U167" s="7">
        <f>(Q84*($E84/365))+(Q85*($E85/365))</f>
        <v>0</v>
      </c>
      <c r="V167" s="12"/>
      <c r="W167" s="7">
        <f>R84*(E84/365) + R85*(E85/365)</f>
        <v>55.249315068493154</v>
      </c>
      <c r="X167" s="5"/>
    </row>
    <row r="168" spans="1:24" ht="9" customHeight="1" x14ac:dyDescent="0.15">
      <c r="A168" s="1">
        <v>1998</v>
      </c>
      <c r="B168" s="7">
        <f>(K86*($E86/365))+(K87*($E87/365))</f>
        <v>0</v>
      </c>
      <c r="C168" s="7">
        <f>(L86*($E86/365))+(L87*($E87/365))</f>
        <v>100</v>
      </c>
      <c r="D168" s="7">
        <f>(M86*($E86/365))+(M87*($E87/365))</f>
        <v>0</v>
      </c>
      <c r="E168" s="33">
        <f t="shared" si="39"/>
        <v>100</v>
      </c>
      <c r="G168" s="1">
        <v>1998</v>
      </c>
      <c r="H168" s="779">
        <f>(O86/$R86*100*($E86/365))+(O87/$R87*100*($E87/365))</f>
        <v>0</v>
      </c>
      <c r="I168" s="779"/>
      <c r="J168" s="779">
        <f>(P86/$R86*100*($E86/365))+(P87/$R87*100*($E87/365))</f>
        <v>100</v>
      </c>
      <c r="K168" s="779"/>
      <c r="L168" s="779">
        <f>(Q86/$R86*100*($E86/365))+(Q87/$R87*100*($E87/365))</f>
        <v>0</v>
      </c>
      <c r="M168" s="779"/>
      <c r="N168" s="810">
        <f t="shared" si="38"/>
        <v>100</v>
      </c>
      <c r="O168" s="810"/>
      <c r="R168" s="1">
        <v>1998</v>
      </c>
      <c r="S168" s="7">
        <f>(O86*($E86/365))+(O87*($E87/365))</f>
        <v>0</v>
      </c>
      <c r="T168" s="7">
        <f>(P86*($E86/365))+(P87*($E87/365))</f>
        <v>51.5</v>
      </c>
      <c r="U168" s="7">
        <f>(Q86*($E86/365))+(Q87*($E87/365))</f>
        <v>0</v>
      </c>
      <c r="V168" s="12"/>
      <c r="W168" s="7">
        <f>R86*(E86/365) + R87*(E87/365)</f>
        <v>51.5</v>
      </c>
      <c r="X168" s="5"/>
    </row>
    <row r="169" spans="1:24" ht="9" customHeight="1" x14ac:dyDescent="0.15">
      <c r="A169" s="1">
        <v>1999</v>
      </c>
      <c r="B169" s="7">
        <f>(K88*($E88/365))+(K89*($E89/365))</f>
        <v>0</v>
      </c>
      <c r="C169" s="7">
        <f>(L88*($E88/365))+(L89*($E89/365))</f>
        <v>100</v>
      </c>
      <c r="D169" s="7">
        <f>(M88*($E88/365))+(M89*($E89/365))</f>
        <v>0</v>
      </c>
      <c r="E169" s="33">
        <f t="shared" si="39"/>
        <v>100</v>
      </c>
      <c r="G169" s="1">
        <v>1999</v>
      </c>
      <c r="H169" s="779">
        <f>(O88/$R88*100*($E88/365))+(O89/$R89*100*($E89/365))</f>
        <v>0</v>
      </c>
      <c r="I169" s="779"/>
      <c r="J169" s="779">
        <f>(P88/$R88*100*($E88/365))+(P89/$R89*100*($E89/365))</f>
        <v>100</v>
      </c>
      <c r="K169" s="779"/>
      <c r="L169" s="779">
        <f>(Q88/$R88*100*($E88/365))+(Q89/$R89*100*($E89/365))</f>
        <v>0</v>
      </c>
      <c r="M169" s="779"/>
      <c r="N169" s="810">
        <f t="shared" si="38"/>
        <v>100</v>
      </c>
      <c r="O169" s="810"/>
      <c r="R169" s="1">
        <v>1999</v>
      </c>
      <c r="S169" s="7">
        <f>(O88*($E88/365))+(O89*($E89/365))</f>
        <v>0</v>
      </c>
      <c r="T169" s="7">
        <f>(P88*($E88/365))+(P89*($E89/365))</f>
        <v>51.5</v>
      </c>
      <c r="U169" s="7">
        <f>(Q88*($E88/365))+(Q89*($E89/365))</f>
        <v>0</v>
      </c>
      <c r="V169" s="12"/>
      <c r="W169" s="7">
        <f>R88*(E88/365) + R89*(E89/365)</f>
        <v>51.5</v>
      </c>
      <c r="X169" s="5"/>
    </row>
    <row r="170" spans="1:24" ht="9" customHeight="1" x14ac:dyDescent="0.15">
      <c r="A170" s="1">
        <v>2000</v>
      </c>
      <c r="B170" s="7">
        <f>(K90*($E90/366))+(K91*($E91/366))</f>
        <v>0</v>
      </c>
      <c r="C170" s="7">
        <f>(L90*($E90/366))+(L91*($E91/366))</f>
        <v>100</v>
      </c>
      <c r="D170" s="7">
        <f>(M90*($E90/366))+(M91*($E91/366))</f>
        <v>0</v>
      </c>
      <c r="E170" s="33">
        <f t="shared" si="39"/>
        <v>100</v>
      </c>
      <c r="G170" s="1">
        <v>2000</v>
      </c>
      <c r="H170" s="779">
        <f>(O90/$R90*100*($E90/366))+(O91/$R91*100*($E91/366))</f>
        <v>0</v>
      </c>
      <c r="I170" s="779"/>
      <c r="J170" s="779">
        <f>(P90/$R90*100*($E90/366))+(P91/$R91*100*($E91/366))</f>
        <v>100</v>
      </c>
      <c r="K170" s="779"/>
      <c r="L170" s="779">
        <f>(Q90/$R90*100*($E90/366))+(Q91/$R91*100*($E91/366))</f>
        <v>0</v>
      </c>
      <c r="M170" s="779"/>
      <c r="N170" s="810">
        <f t="shared" si="38"/>
        <v>100</v>
      </c>
      <c r="O170" s="810"/>
      <c r="R170" s="1">
        <v>2000</v>
      </c>
      <c r="S170" s="7">
        <f>(O90*($E90/366))+(O91*($E91/366))</f>
        <v>0</v>
      </c>
      <c r="T170" s="7">
        <f>(P90*($E90/366))+(P91*($E91/366))</f>
        <v>52.035519125683059</v>
      </c>
      <c r="U170" s="7">
        <f>(Q90*($E90/366))+(Q91*($E91/366))</f>
        <v>0</v>
      </c>
      <c r="V170" s="12"/>
      <c r="W170" s="7">
        <f>R90*(E90/366) + R91*(E91/366)</f>
        <v>52.035519125683059</v>
      </c>
      <c r="X170" s="5"/>
    </row>
    <row r="171" spans="1:24" ht="9" customHeight="1" x14ac:dyDescent="0.15">
      <c r="A171" s="1">
        <v>2001</v>
      </c>
      <c r="B171" s="7">
        <f>(K92*($E92/365))+(K93*($E93/365))</f>
        <v>0</v>
      </c>
      <c r="C171" s="7">
        <f>(L92*($E92/365))+(L93*($E93/365))</f>
        <v>100</v>
      </c>
      <c r="D171" s="7">
        <f>(M92*($E92/365))+(M93*($E93/365))</f>
        <v>0</v>
      </c>
      <c r="E171" s="33">
        <f t="shared" si="39"/>
        <v>100</v>
      </c>
      <c r="G171" s="1">
        <v>2001</v>
      </c>
      <c r="H171" s="779">
        <f>(O92/$R92*100*($E92/365))+(O93/$R93*100*($E93/365))</f>
        <v>0</v>
      </c>
      <c r="I171" s="779"/>
      <c r="J171" s="779">
        <f>(P92/$R92*100*($E92/365))+(P93/$R93*100*($E93/365))</f>
        <v>100</v>
      </c>
      <c r="K171" s="779"/>
      <c r="L171" s="779">
        <f>(Q92/$R92*100*($E92/365))+(Q93/$R93*100*($E93/365))</f>
        <v>0</v>
      </c>
      <c r="M171" s="779"/>
      <c r="N171" s="810">
        <f t="shared" si="38"/>
        <v>100</v>
      </c>
      <c r="O171" s="810"/>
      <c r="R171" s="1">
        <v>2001</v>
      </c>
      <c r="S171" s="7">
        <f>(O92*($E92/365))+(O93*($E93/365))</f>
        <v>0</v>
      </c>
      <c r="T171" s="7">
        <f>(P92*($E92/365))+(P93*($E93/365))</f>
        <v>57.1</v>
      </c>
      <c r="U171" s="7">
        <f>(Q92*($E92/365))+(Q93*($E93/365))</f>
        <v>0</v>
      </c>
      <c r="V171" s="12"/>
      <c r="W171" s="7">
        <f>R92*(E92/365) + R93*(E93/365)</f>
        <v>57.1</v>
      </c>
      <c r="X171" s="5"/>
    </row>
    <row r="172" spans="1:24" ht="9" customHeight="1" x14ac:dyDescent="0.15">
      <c r="A172" s="1">
        <v>2002</v>
      </c>
      <c r="B172" s="7">
        <f>(K94*($E94/365))+(K95*($E95/365))</f>
        <v>0</v>
      </c>
      <c r="C172" s="7">
        <f>(L94*($E94/365))+(L95*($E95/365))</f>
        <v>100</v>
      </c>
      <c r="D172" s="7">
        <f>(M94*($E94/365))+(M95*($E95/365))</f>
        <v>0</v>
      </c>
      <c r="E172" s="33">
        <f t="shared" si="39"/>
        <v>100</v>
      </c>
      <c r="G172" s="1">
        <v>2002</v>
      </c>
      <c r="H172" s="779">
        <f>(O94/$R94*100*($E94/365))+(O95/$R95*100*($E95/365))</f>
        <v>0</v>
      </c>
      <c r="I172" s="779"/>
      <c r="J172" s="779">
        <f>(P94/$R94*100*($E94/365))+(P95/$R95*100*($E95/365))</f>
        <v>100</v>
      </c>
      <c r="K172" s="779"/>
      <c r="L172" s="779">
        <f>(Q94/$R94*100*($E94/365))+(Q95/$R95*100*($E95/365))</f>
        <v>0</v>
      </c>
      <c r="M172" s="779"/>
      <c r="N172" s="810">
        <f t="shared" si="38"/>
        <v>100</v>
      </c>
      <c r="O172" s="810"/>
      <c r="R172" s="1">
        <v>2002</v>
      </c>
      <c r="S172" s="7">
        <f>(O94*($E94/365))+(O95*($E95/365))</f>
        <v>0</v>
      </c>
      <c r="T172" s="7">
        <f>(P94*($E94/365))+(P95*($E95/365))</f>
        <v>57.1</v>
      </c>
      <c r="U172" s="7">
        <f>(Q94*($E94/365))+(Q95*($E95/365))</f>
        <v>0</v>
      </c>
      <c r="V172" s="12"/>
      <c r="W172" s="7">
        <f>R94*(E94/365) + R95*(E95/365)</f>
        <v>57.1</v>
      </c>
      <c r="X172" s="5"/>
    </row>
    <row r="173" spans="1:24" ht="9" customHeight="1" x14ac:dyDescent="0.15">
      <c r="A173" s="1">
        <v>2003</v>
      </c>
      <c r="B173" s="7">
        <f>(K96*($E96/365))+(K97*($E97/365))</f>
        <v>0</v>
      </c>
      <c r="C173" s="7">
        <f>(L96*($E96/365))+(L97*($E97/365))</f>
        <v>100</v>
      </c>
      <c r="D173" s="7">
        <f>(M96*($E96/365))+(M97*($E97/365))</f>
        <v>0</v>
      </c>
      <c r="E173" s="33">
        <f t="shared" si="39"/>
        <v>100</v>
      </c>
      <c r="G173" s="1">
        <v>2003</v>
      </c>
      <c r="H173" s="779">
        <f>(O96/$R96*100*($E96/365))+(O97/$R97*100*($E97/365))</f>
        <v>0</v>
      </c>
      <c r="I173" s="779"/>
      <c r="J173" s="779">
        <f>(P96/$R96*100*($E96/365))+(P97/$R97*100*($E97/365))</f>
        <v>100</v>
      </c>
      <c r="K173" s="779"/>
      <c r="L173" s="779">
        <f>(Q96/$R96*100*($E96/365))+(Q97/$R97*100*($E97/365))</f>
        <v>0</v>
      </c>
      <c r="M173" s="779"/>
      <c r="N173" s="810">
        <f t="shared" si="38"/>
        <v>100</v>
      </c>
      <c r="O173" s="810"/>
      <c r="R173" s="1">
        <v>2003</v>
      </c>
      <c r="S173" s="7">
        <f>(O96*($E96/365))+(O97*($E97/365))</f>
        <v>0</v>
      </c>
      <c r="T173" s="7">
        <f>(P96*($E96/365))+(P97*($E97/365))</f>
        <v>57.1</v>
      </c>
      <c r="U173" s="7">
        <f>(Q96*($E96/365))+(Q97*($E97/365))</f>
        <v>0</v>
      </c>
      <c r="V173" s="12"/>
      <c r="W173" s="7">
        <f>R96*(E96/365) + R97*(E97/365)</f>
        <v>57.1</v>
      </c>
      <c r="X173" s="5"/>
    </row>
    <row r="174" spans="1:24" ht="9" customHeight="1" x14ac:dyDescent="0.15">
      <c r="A174" s="1">
        <v>2004</v>
      </c>
      <c r="B174" s="7">
        <f>(K98*($E98/366))+(K99*($E99/366))</f>
        <v>0</v>
      </c>
      <c r="C174" s="7">
        <f>(L98*($E98/366))+(L99*($E99/366))</f>
        <v>100</v>
      </c>
      <c r="D174" s="7">
        <f>(M98*($E98/366))+(M99*($E99/366))</f>
        <v>0</v>
      </c>
      <c r="E174" s="33">
        <f t="shared" si="39"/>
        <v>100</v>
      </c>
      <c r="G174" s="1">
        <v>2004</v>
      </c>
      <c r="H174" s="779">
        <f>(O98/$R98*100*($E98/366))+(O99/$R99*100*($E99/366))</f>
        <v>0</v>
      </c>
      <c r="I174" s="779"/>
      <c r="J174" s="779">
        <f>(P98/$R98*100*($E98/366))+(P99/$R99*100*($E99/366))</f>
        <v>100</v>
      </c>
      <c r="K174" s="779"/>
      <c r="L174" s="779">
        <f>(Q98/$R98*100*($E98/366))+(Q99/$R99*100*($E99/366))</f>
        <v>0</v>
      </c>
      <c r="M174" s="779"/>
      <c r="N174" s="810">
        <f t="shared" si="38"/>
        <v>100</v>
      </c>
      <c r="O174" s="810"/>
      <c r="R174" s="1">
        <v>2004</v>
      </c>
      <c r="S174" s="7">
        <f>(O98*($E98/366))+(O99*($E99/366))</f>
        <v>0</v>
      </c>
      <c r="T174" s="7">
        <f>(P98*($E98/366))+(P99*($E99/366))</f>
        <v>51.10409836065574</v>
      </c>
      <c r="U174" s="7">
        <f>(Q98*($E98/366))+(Q99*($E99/366))</f>
        <v>0</v>
      </c>
      <c r="V174" s="12"/>
      <c r="W174" s="7">
        <f>R98*(E98/366) + R99*(E99/366)</f>
        <v>51.10409836065574</v>
      </c>
      <c r="X174" s="5"/>
    </row>
    <row r="175" spans="1:24" ht="9" customHeight="1" x14ac:dyDescent="0.15">
      <c r="A175" s="1">
        <v>2005</v>
      </c>
      <c r="B175" s="7">
        <f>(K100*($E100/365))+(K101*($E101/365))</f>
        <v>0</v>
      </c>
      <c r="C175" s="7">
        <f>(L100*($E100/365))+(L101*($E101/365))</f>
        <v>100</v>
      </c>
      <c r="D175" s="7">
        <f>(M100*($E100/365))+(M101*($E101/365))</f>
        <v>0</v>
      </c>
      <c r="E175" s="33">
        <f t="shared" si="39"/>
        <v>100</v>
      </c>
      <c r="G175" s="15">
        <v>2005</v>
      </c>
      <c r="H175" s="829">
        <f>(O100/$R100*100*($E100/365))+(O101/$R101*100*($E101/365))</f>
        <v>0</v>
      </c>
      <c r="I175" s="829"/>
      <c r="J175" s="829">
        <f>(P100/$R100*100*($E100/365))+(P101/$R101*100*($E101/365))</f>
        <v>100</v>
      </c>
      <c r="K175" s="829"/>
      <c r="L175" s="829">
        <f>(Q100/$R100*100*($E100/365))+(Q101/$R101*100*($E101/365))</f>
        <v>0</v>
      </c>
      <c r="M175" s="829"/>
      <c r="N175" s="825">
        <f t="shared" si="38"/>
        <v>100</v>
      </c>
      <c r="O175" s="825"/>
      <c r="R175" s="1">
        <v>2005</v>
      </c>
      <c r="S175" s="46">
        <f>(O100*($E100/365))+(O101*($E101/365))</f>
        <v>0</v>
      </c>
      <c r="T175" s="46">
        <f>(P100*($E100/365))+(P101*($E101/365))</f>
        <v>43.8</v>
      </c>
      <c r="U175" s="46">
        <f>(Q100*($E100/365))+(Q101*($E101/365))</f>
        <v>0</v>
      </c>
      <c r="V175" s="230"/>
      <c r="W175" s="46">
        <f>R100*(E100/365) + R101*(E101/365)</f>
        <v>43.8</v>
      </c>
      <c r="X175" s="5"/>
    </row>
    <row r="176" spans="1:24" ht="9" customHeight="1" x14ac:dyDescent="0.15">
      <c r="A176" s="1">
        <v>2006</v>
      </c>
      <c r="B176" s="7">
        <f>(K102*($E102/365))+(K103*($E103/365))</f>
        <v>90.136986301369859</v>
      </c>
      <c r="C176" s="7">
        <f>(L102*($E102/365))+(L103*($E103/365))</f>
        <v>9.8630136986301373</v>
      </c>
      <c r="D176" s="7">
        <f>(M102*($E102/365))+(M103*($E103/365))</f>
        <v>0</v>
      </c>
      <c r="E176" s="33">
        <f t="shared" si="39"/>
        <v>100</v>
      </c>
      <c r="G176" s="15">
        <v>2006</v>
      </c>
      <c r="H176" s="829">
        <f>(O102/$R102*100*($E102/365))+(O103/$R103*100*($E103/365))</f>
        <v>90.136986301369859</v>
      </c>
      <c r="I176" s="829"/>
      <c r="J176" s="829">
        <f>(P102/$R102*100*($E102/365))+(P103/$R103*100*($E103/365))</f>
        <v>9.8630136986301373</v>
      </c>
      <c r="K176" s="829"/>
      <c r="L176" s="829">
        <f>(Q102/$R102*100*($E102/365))+(Q103/$R103*100*($E103/365))</f>
        <v>0</v>
      </c>
      <c r="M176" s="829"/>
      <c r="N176" s="825">
        <f t="shared" si="38"/>
        <v>100</v>
      </c>
      <c r="O176" s="825"/>
      <c r="R176" s="1">
        <v>2006</v>
      </c>
      <c r="S176" s="46">
        <f>(O102*($E102/365))+(O103*($E103/365))</f>
        <v>36.325205479452052</v>
      </c>
      <c r="T176" s="46">
        <f>(P102*($E102/365))+(P103*($E103/365))</f>
        <v>4.3199999999999994</v>
      </c>
      <c r="U176" s="46">
        <f>(Q102*($E102/365))+(Q103*($E103/365))</f>
        <v>0</v>
      </c>
      <c r="V176" s="230"/>
      <c r="W176" s="46">
        <f>R102*(E102/365) + R103*(E103/365)</f>
        <v>40.645205479452052</v>
      </c>
      <c r="X176" s="5"/>
    </row>
    <row r="177" spans="1:24" ht="9" customHeight="1" x14ac:dyDescent="0.15">
      <c r="A177" s="1">
        <v>2007</v>
      </c>
      <c r="B177" s="7">
        <f>(K104*($E104/365))+(K105*($E105/365))</f>
        <v>100</v>
      </c>
      <c r="C177" s="7">
        <f>(L104*($E104/365))+(L105*($E105/365))</f>
        <v>0</v>
      </c>
      <c r="D177" s="7">
        <f>(M104*($E104/365))+(M105*($E105/365))</f>
        <v>0</v>
      </c>
      <c r="E177" s="33">
        <f t="shared" si="39"/>
        <v>100</v>
      </c>
      <c r="G177" s="1">
        <v>2007</v>
      </c>
      <c r="H177" s="779">
        <f>(O104/$R104*100*($E104/365))+(O105/$R105*100*($E105/365))</f>
        <v>100</v>
      </c>
      <c r="I177" s="779"/>
      <c r="J177" s="779">
        <f>(P104/$R104*100*($E104/365))+(P105/$R105*100*($E105/365))</f>
        <v>0</v>
      </c>
      <c r="K177" s="779"/>
      <c r="L177" s="779">
        <f>(Q104/$R104*100*($E104/365))+(Q105/$R105*100*($E105/365))</f>
        <v>0</v>
      </c>
      <c r="M177" s="779"/>
      <c r="N177" s="810">
        <f t="shared" si="38"/>
        <v>100</v>
      </c>
      <c r="O177" s="810"/>
      <c r="R177" s="1">
        <v>2007</v>
      </c>
      <c r="S177" s="7">
        <f>(O104*($E104/365))+(O105*($E105/365))</f>
        <v>40.299999999999997</v>
      </c>
      <c r="T177" s="7">
        <f>(P104*($E104/365))+(P105*($E105/365))</f>
        <v>0</v>
      </c>
      <c r="U177" s="7">
        <f>(Q104*($E104/365))+(Q105*($E105/365))</f>
        <v>0</v>
      </c>
      <c r="V177" s="12"/>
      <c r="W177" s="7">
        <f>R104*(E104/365) + R105*(E105/365)</f>
        <v>40.299999999999997</v>
      </c>
      <c r="X177" s="5"/>
    </row>
    <row r="178" spans="1:24" ht="9" customHeight="1" x14ac:dyDescent="0.15">
      <c r="A178" s="1">
        <v>2008</v>
      </c>
      <c r="B178" s="7">
        <f>(K106*($E106/366))+(K107*($E107/366))</f>
        <v>100</v>
      </c>
      <c r="C178" s="7">
        <f>(L106*($E106/366))+(L107*($E107/366))</f>
        <v>0</v>
      </c>
      <c r="D178" s="7">
        <f>(M106*($E106/366))+(M107*($E107/366))</f>
        <v>0</v>
      </c>
      <c r="E178" s="33">
        <f t="shared" si="39"/>
        <v>100</v>
      </c>
      <c r="G178" s="1">
        <v>2008</v>
      </c>
      <c r="H178" s="779">
        <f>(O106/$R106*100*($E106/366))+(O107/$R107*100*($E107/366))</f>
        <v>100</v>
      </c>
      <c r="I178" s="779"/>
      <c r="J178" s="779">
        <f>(P106/$R106*100*($E106/366))+(P107/$R107*100*($E107/366))</f>
        <v>0</v>
      </c>
      <c r="K178" s="779"/>
      <c r="L178" s="779">
        <f>(Q106/$R106*100*($E106/366))+(Q107/$R107*100*($E107/366))</f>
        <v>0</v>
      </c>
      <c r="M178" s="779"/>
      <c r="N178" s="810">
        <f t="shared" si="38"/>
        <v>100</v>
      </c>
      <c r="O178" s="810"/>
      <c r="R178" s="1">
        <v>2008</v>
      </c>
      <c r="S178" s="7">
        <f>(O106*($E106/366))+(O107*($E107/366))</f>
        <v>41.35</v>
      </c>
      <c r="T178" s="7">
        <f>(P106*($E106/366))+(P107*($E107/366))</f>
        <v>0</v>
      </c>
      <c r="U178" s="7">
        <f>(Q106*($E106/366))+(Q107*($E107/366))</f>
        <v>0</v>
      </c>
      <c r="V178" s="12"/>
      <c r="W178" s="7">
        <f>R106*(E106/366) + R107*(E107/366)</f>
        <v>41.35</v>
      </c>
      <c r="X178" s="5"/>
    </row>
    <row r="179" spans="1:24" ht="9" customHeight="1" x14ac:dyDescent="0.15">
      <c r="A179" s="1">
        <v>2009</v>
      </c>
      <c r="B179" s="7">
        <f>(K108*($E108/365))+(K109*($E109/365))</f>
        <v>100</v>
      </c>
      <c r="C179" s="7">
        <f>(L108*($E108/365))+(L109*($E109/365))</f>
        <v>0</v>
      </c>
      <c r="D179" s="7">
        <f>(M108*($E108/365))+(M109*($E109/365))</f>
        <v>0</v>
      </c>
      <c r="E179" s="33">
        <f t="shared" si="39"/>
        <v>100</v>
      </c>
      <c r="G179" s="1">
        <v>2009</v>
      </c>
      <c r="H179" s="779">
        <f>(O108/$R108*100*($E108/365))+(O109/$R109*100*($E109/365))</f>
        <v>100</v>
      </c>
      <c r="I179" s="779"/>
      <c r="J179" s="779">
        <f>(P108/$R108*100*($E108/365))+(P109/$R109*100*($E109/365))</f>
        <v>0</v>
      </c>
      <c r="K179" s="779"/>
      <c r="L179" s="779">
        <f>(Q108/$R108*100*($E108/365))+(Q109/$R109*100*($E109/365))</f>
        <v>0</v>
      </c>
      <c r="M179" s="779"/>
      <c r="N179" s="810">
        <f t="shared" si="38"/>
        <v>100</v>
      </c>
      <c r="O179" s="810"/>
      <c r="R179" s="1">
        <v>2009</v>
      </c>
      <c r="S179" s="7">
        <f>(O108*($E108/365))+(O109*($E109/365))</f>
        <v>46.4</v>
      </c>
      <c r="T179" s="7">
        <f>(P108*($E108/365))+(P109*($E109/365))</f>
        <v>0</v>
      </c>
      <c r="U179" s="7">
        <f>(Q108*($E108/365))+(Q109*($E109/365))</f>
        <v>0</v>
      </c>
      <c r="V179" s="12"/>
      <c r="W179" s="7">
        <f>R108*(E108/365) + R109*(E109/365)</f>
        <v>46.4</v>
      </c>
      <c r="X179" s="5"/>
    </row>
    <row r="180" spans="1:24" ht="9" customHeight="1" x14ac:dyDescent="0.15">
      <c r="A180" s="1">
        <v>2010</v>
      </c>
      <c r="B180" s="7">
        <f>(K110*($E110/365))+(K111*($E111/365))</f>
        <v>100</v>
      </c>
      <c r="C180" s="7">
        <f>(L110*($E110/365))+(L111*($E111/365))</f>
        <v>0</v>
      </c>
      <c r="D180" s="7">
        <f>(M110*($E110/365))+(M111*($E111/365))</f>
        <v>0</v>
      </c>
      <c r="E180" s="33">
        <f t="shared" si="39"/>
        <v>100</v>
      </c>
      <c r="G180" s="1">
        <v>2010</v>
      </c>
      <c r="H180" s="779">
        <f>(O110/$R110*100*($E110/365))+(O111/$R111*100*($E111/365))</f>
        <v>100</v>
      </c>
      <c r="I180" s="779"/>
      <c r="J180" s="779">
        <f>(P110/$R110*100*($E110/365))+(P111/$R111*100*($E111/365))</f>
        <v>0</v>
      </c>
      <c r="K180" s="779"/>
      <c r="L180" s="779">
        <f>(Q110/$R110*100*($E110/365))+(Q111/$R111*100*($E111/365))</f>
        <v>0</v>
      </c>
      <c r="M180" s="779"/>
      <c r="N180" s="810">
        <f t="shared" si="38"/>
        <v>100</v>
      </c>
      <c r="O180" s="810"/>
      <c r="R180" s="1">
        <v>2010</v>
      </c>
      <c r="S180" s="7">
        <f>(O110*($E110/365))+(O111*($E111/365))</f>
        <v>46.4</v>
      </c>
      <c r="T180" s="7">
        <f>(P110*($E110/365))+(P111*($E111/365))</f>
        <v>0</v>
      </c>
      <c r="U180" s="7">
        <f>(Q110*($E110/365))+(Q111*($E111/365))</f>
        <v>0</v>
      </c>
      <c r="V180" s="12"/>
      <c r="W180" s="7">
        <f>R110*(E110/365) + R111*(E111/365)</f>
        <v>46.4</v>
      </c>
      <c r="X180" s="5"/>
    </row>
    <row r="181" spans="1:24" ht="9" customHeight="1" x14ac:dyDescent="0.15">
      <c r="A181" s="1">
        <v>2011</v>
      </c>
      <c r="B181" s="7">
        <f>(K112*($E112/365))+(K113*($E113/365))</f>
        <v>100</v>
      </c>
      <c r="C181" s="7">
        <f>(L112*($E112/365))+(L113*($E113/365))</f>
        <v>0</v>
      </c>
      <c r="D181" s="7">
        <f>(M112*($E112/365))+(M113*($E113/365))</f>
        <v>0</v>
      </c>
      <c r="E181" s="33">
        <f t="shared" si="39"/>
        <v>100</v>
      </c>
      <c r="G181" s="1">
        <v>2011</v>
      </c>
      <c r="H181" s="779">
        <f>(O112/$R112*100*($E112/365))+(O113/$R113*100*($E113/365))</f>
        <v>100</v>
      </c>
      <c r="I181" s="779"/>
      <c r="J181" s="779">
        <f>(P112/$R112*100*($E112/365))+(P113/$R113*100*($E113/365))</f>
        <v>0</v>
      </c>
      <c r="K181" s="779"/>
      <c r="L181" s="779">
        <f>(Q112/$R112*100*($E112/365))+(Q113/$R113*100*($E113/365))</f>
        <v>0</v>
      </c>
      <c r="M181" s="779"/>
      <c r="N181" s="810">
        <f t="shared" si="38"/>
        <v>100</v>
      </c>
      <c r="O181" s="810"/>
      <c r="R181" s="1">
        <v>2011</v>
      </c>
      <c r="S181" s="7">
        <f>(O112*($E112/365))+(O113*($E113/365))</f>
        <v>51.084931506849315</v>
      </c>
      <c r="T181" s="7">
        <f>(P112*($E112/365))+(P113*($E113/365))</f>
        <v>0</v>
      </c>
      <c r="U181" s="7">
        <f>(Q112*($E112/365))+(Q113*($E113/365))</f>
        <v>0</v>
      </c>
      <c r="V181" s="12"/>
      <c r="W181" s="7">
        <f>R112*(E112/365) + R113*(E113/365)</f>
        <v>51.084931506849315</v>
      </c>
      <c r="X181" s="5"/>
    </row>
    <row r="182" spans="1:24" ht="9" customHeight="1" x14ac:dyDescent="0.15">
      <c r="A182" s="1">
        <v>2012</v>
      </c>
      <c r="B182" s="7">
        <f>(K114*($E114/366))+(K115*($E115/366))</f>
        <v>100</v>
      </c>
      <c r="C182" s="7">
        <f>(L114*($E114/366))+(L115*($E115/366))</f>
        <v>0</v>
      </c>
      <c r="D182" s="7">
        <f>(M114*($E114/366))+(M115*($E115/366))</f>
        <v>0</v>
      </c>
      <c r="E182" s="33">
        <f t="shared" si="39"/>
        <v>100</v>
      </c>
      <c r="G182" s="1">
        <v>2012</v>
      </c>
      <c r="H182" s="779">
        <f>(O114/$R114*100*($E114/366))+(O115/$R115*100*($E115/366))</f>
        <v>100</v>
      </c>
      <c r="I182" s="779"/>
      <c r="J182" s="779">
        <f>(P114/$R114*100*($E114/366))+(P115/$R115*100*($E115/366))</f>
        <v>0</v>
      </c>
      <c r="K182" s="779"/>
      <c r="L182" s="779">
        <f>(Q114/$R114*100*($E114/366))+(Q115/$R115*100*($E115/366))</f>
        <v>0</v>
      </c>
      <c r="M182" s="779"/>
      <c r="N182" s="810">
        <f t="shared" si="38"/>
        <v>100</v>
      </c>
      <c r="O182" s="810"/>
      <c r="R182" s="1">
        <v>2012</v>
      </c>
      <c r="S182" s="7">
        <f>(O114*($E114/366))+(O115*($E115/366))</f>
        <v>53.9</v>
      </c>
      <c r="T182" s="7">
        <f>(P114*($E114/366))+(P115*($E115/366))</f>
        <v>0</v>
      </c>
      <c r="U182" s="7">
        <f>(Q114*($E114/366))+(Q115*($E115/366))</f>
        <v>0</v>
      </c>
      <c r="V182" s="12"/>
      <c r="W182" s="7">
        <f>R114*(E114/366) + R115*(E115/366)</f>
        <v>53.9</v>
      </c>
      <c r="X182" s="5"/>
    </row>
    <row r="183" spans="1:24" x14ac:dyDescent="0.15">
      <c r="A183" s="1">
        <v>2013</v>
      </c>
      <c r="B183" s="7">
        <f>(K116*($E116/365))+(K117*($E117/365))</f>
        <v>100</v>
      </c>
      <c r="C183" s="7">
        <f>(L116*($E116/365))+(L117*($E117/365))</f>
        <v>0</v>
      </c>
      <c r="D183" s="7">
        <f>(M116*($E116/365))+(M117*($E117/365))</f>
        <v>0</v>
      </c>
      <c r="E183" s="294">
        <f t="shared" si="39"/>
        <v>100</v>
      </c>
      <c r="G183" s="1">
        <v>2013</v>
      </c>
      <c r="H183" s="779">
        <f>(O116/$R116*100*($E116/365))+(O117/$R117*100*($E117/365))</f>
        <v>100</v>
      </c>
      <c r="I183" s="779"/>
      <c r="J183" s="779">
        <f>(P116/$R116*100*($E116/365))+(P117/$R117*100*($E117/365))</f>
        <v>0</v>
      </c>
      <c r="K183" s="779"/>
      <c r="L183" s="779">
        <f>(Q116/$R116*100*($E116/365))+(Q117/$R117*100*($E117/365))</f>
        <v>0</v>
      </c>
      <c r="M183" s="779"/>
      <c r="N183" s="810">
        <f>SUM(H183:M183)</f>
        <v>100</v>
      </c>
      <c r="O183" s="810"/>
      <c r="R183" s="1">
        <v>2013</v>
      </c>
      <c r="S183" s="7">
        <f>(O116*($E116/365))+(O117*($E117/365))</f>
        <v>53.9</v>
      </c>
      <c r="T183" s="7">
        <f>(P116*($E116/365))+(P117*($E117/365))</f>
        <v>0</v>
      </c>
      <c r="U183" s="7">
        <f>(Q116*($E116/365))+(Q117*($E117/365))</f>
        <v>0</v>
      </c>
      <c r="W183" s="7">
        <f>R116*(E116/365) + R117*(E117/365)</f>
        <v>53.9</v>
      </c>
    </row>
    <row r="184" spans="1:24" x14ac:dyDescent="0.15">
      <c r="A184" s="1">
        <v>2014</v>
      </c>
      <c r="B184" s="7">
        <f>(K118*($E118/365))+(K119*($E119/365))</f>
        <v>100</v>
      </c>
      <c r="C184" s="7">
        <f>(L118*($E118/365))+(L119*($E119/365))</f>
        <v>0</v>
      </c>
      <c r="D184" s="7">
        <f>(M118*($E118/365))+(M119*($E119/365))</f>
        <v>0</v>
      </c>
      <c r="E184" s="517">
        <f t="shared" si="39"/>
        <v>100</v>
      </c>
      <c r="G184" s="1">
        <v>2014</v>
      </c>
      <c r="H184" s="779">
        <f>(O118/$R118*100*($E118/365))+(O119/$R119*100*($E119/365))</f>
        <v>100</v>
      </c>
      <c r="I184" s="779"/>
      <c r="J184" s="779">
        <f>(P118/$R118*100*($E118/365))+(P119/$R119*100*($E119/365))</f>
        <v>0</v>
      </c>
      <c r="K184" s="779"/>
      <c r="L184" s="779">
        <f>(Q118/$R118*100*($E118/365))+(Q119/$R119*100*($E119/365))</f>
        <v>0</v>
      </c>
      <c r="M184" s="779"/>
      <c r="N184" s="810">
        <f>SUM(H184:M184)</f>
        <v>100</v>
      </c>
      <c r="O184" s="810"/>
      <c r="R184" s="1">
        <v>2014</v>
      </c>
      <c r="S184" s="7">
        <f>(O118*($E118/365))+(O119*($E119/365))</f>
        <v>53.9</v>
      </c>
      <c r="T184" s="7">
        <f>(P118*($E118/365))+(P119*($E119/365))</f>
        <v>0</v>
      </c>
      <c r="U184" s="7">
        <f>(Q118*($E118/365))+(Q119*($E119/365))</f>
        <v>0</v>
      </c>
      <c r="W184" s="7">
        <f>R118*(E118/365) + R119*(E119/365)</f>
        <v>53.9</v>
      </c>
    </row>
    <row r="185" spans="1:24" s="703" customFormat="1" x14ac:dyDescent="0.15">
      <c r="A185" s="703">
        <v>2015</v>
      </c>
      <c r="B185" s="702">
        <f>(K120*($E120/365))+(K121*($E121/365))</f>
        <v>84.109589041095887</v>
      </c>
      <c r="C185" s="702">
        <f>(L120*($E120/365))+(L121*($E121/365))</f>
        <v>15.890410958904111</v>
      </c>
      <c r="D185" s="702">
        <f>(M120*($E120/365))+(M121*($E121/365))</f>
        <v>0</v>
      </c>
      <c r="E185" s="699">
        <f>SUM(B185:D185)</f>
        <v>100</v>
      </c>
      <c r="G185" s="703">
        <v>2015</v>
      </c>
      <c r="H185" s="779">
        <f>(O120/$R120*100*($E120/365))+(O121/$R121*100*($E121/365))</f>
        <v>84.109589041095887</v>
      </c>
      <c r="I185" s="779"/>
      <c r="J185" s="779">
        <f>(P120/$R120*100*($E120/365))+(P121/$R121*100*($E121/365))</f>
        <v>15.890410958904111</v>
      </c>
      <c r="K185" s="779"/>
      <c r="L185" s="779">
        <f>(Q120/$R120*100*($E120/365))+(Q121/$R121*100*($E121/365))</f>
        <v>0</v>
      </c>
      <c r="M185" s="779"/>
      <c r="N185" s="810">
        <f>SUM(H185:M185)</f>
        <v>100</v>
      </c>
      <c r="O185" s="810"/>
      <c r="R185" s="703">
        <v>2015</v>
      </c>
      <c r="S185" s="702">
        <f>(O120*($E120/365))+(O121*($E121/365))</f>
        <v>45.335068493150686</v>
      </c>
      <c r="T185" s="702">
        <f>(P120*($E120/365))+(P121*($E121/365))</f>
        <v>8.6443835616438367</v>
      </c>
      <c r="U185" s="702">
        <f>(Q120*($E120/365))+(Q121*($E121/365))</f>
        <v>0</v>
      </c>
      <c r="W185" s="702">
        <f>R120*(E120/365) + R121*(E121/365)</f>
        <v>53.979452054794521</v>
      </c>
    </row>
    <row r="186" spans="1:24" s="703" customFormat="1" x14ac:dyDescent="0.15">
      <c r="B186" s="702"/>
      <c r="C186" s="702"/>
      <c r="D186" s="702"/>
      <c r="E186" s="699"/>
    </row>
    <row r="187" spans="1:24" s="703" customFormat="1" x14ac:dyDescent="0.15">
      <c r="B187" s="702"/>
      <c r="C187" s="702"/>
      <c r="D187" s="702"/>
      <c r="E187" s="699"/>
      <c r="H187" s="779"/>
      <c r="I187" s="779"/>
      <c r="J187" s="779"/>
      <c r="K187" s="779"/>
      <c r="L187" s="779"/>
      <c r="M187" s="779"/>
      <c r="N187" s="810"/>
      <c r="O187" s="810"/>
      <c r="S187" s="702"/>
      <c r="T187" s="702"/>
      <c r="U187" s="702"/>
      <c r="W187" s="702"/>
    </row>
    <row r="188" spans="1:24" s="703" customFormat="1" x14ac:dyDescent="0.15">
      <c r="B188" s="702"/>
      <c r="C188" s="702"/>
      <c r="D188" s="702"/>
      <c r="E188" s="699"/>
      <c r="H188" s="779"/>
      <c r="I188" s="779"/>
      <c r="J188" s="779"/>
      <c r="K188" s="779"/>
      <c r="L188" s="779"/>
      <c r="M188" s="779"/>
      <c r="N188" s="810"/>
      <c r="O188" s="810"/>
      <c r="S188" s="702"/>
      <c r="T188" s="702"/>
      <c r="U188" s="702"/>
      <c r="W188" s="702"/>
    </row>
    <row r="189" spans="1:24" s="703" customFormat="1" x14ac:dyDescent="0.15">
      <c r="B189" s="702"/>
      <c r="C189" s="702"/>
      <c r="D189" s="702"/>
      <c r="E189" s="699"/>
      <c r="H189" s="779"/>
      <c r="I189" s="779"/>
      <c r="J189" s="779"/>
      <c r="K189" s="779"/>
      <c r="L189" s="779"/>
      <c r="M189" s="779"/>
      <c r="N189" s="810"/>
      <c r="O189" s="810"/>
      <c r="S189" s="702"/>
      <c r="T189" s="702"/>
      <c r="U189" s="702"/>
      <c r="W189" s="702"/>
    </row>
    <row r="190" spans="1:24" s="703" customFormat="1" x14ac:dyDescent="0.15">
      <c r="B190" s="702"/>
      <c r="C190" s="702"/>
      <c r="D190" s="702"/>
      <c r="E190" s="699"/>
      <c r="H190" s="779"/>
      <c r="I190" s="779"/>
      <c r="J190" s="779"/>
      <c r="K190" s="779"/>
      <c r="L190" s="779"/>
      <c r="M190" s="779"/>
      <c r="N190" s="810"/>
      <c r="O190" s="810"/>
      <c r="S190" s="702"/>
      <c r="T190" s="702"/>
      <c r="U190" s="702"/>
      <c r="W190" s="702"/>
    </row>
    <row r="191" spans="1:24" s="703" customFormat="1" x14ac:dyDescent="0.15">
      <c r="B191" s="702"/>
      <c r="C191" s="702"/>
      <c r="D191" s="702"/>
      <c r="E191" s="699"/>
      <c r="H191" s="779"/>
      <c r="I191" s="779"/>
      <c r="J191" s="779"/>
      <c r="K191" s="779"/>
      <c r="L191" s="779"/>
      <c r="M191" s="779"/>
      <c r="N191" s="810"/>
      <c r="O191" s="810"/>
      <c r="S191" s="702"/>
      <c r="T191" s="702"/>
      <c r="U191" s="702"/>
      <c r="W191" s="702"/>
    </row>
  </sheetData>
  <mergeCells count="390">
    <mergeCell ref="AT4:AW4"/>
    <mergeCell ref="AX4:BA4"/>
    <mergeCell ref="L178:M178"/>
    <mergeCell ref="L179:M179"/>
    <mergeCell ref="L180:M180"/>
    <mergeCell ref="L181:M181"/>
    <mergeCell ref="N170:O170"/>
    <mergeCell ref="N171:O171"/>
    <mergeCell ref="N172:O172"/>
    <mergeCell ref="N164:O164"/>
    <mergeCell ref="N167:O167"/>
    <mergeCell ref="N168:O168"/>
    <mergeCell ref="N165:O165"/>
    <mergeCell ref="N166:O166"/>
    <mergeCell ref="N169:O169"/>
    <mergeCell ref="N158:O158"/>
    <mergeCell ref="N161:O161"/>
    <mergeCell ref="N162:O162"/>
    <mergeCell ref="N159:O159"/>
    <mergeCell ref="N160:O160"/>
    <mergeCell ref="N163:O163"/>
    <mergeCell ref="N152:O152"/>
    <mergeCell ref="N155:O155"/>
    <mergeCell ref="N156:O156"/>
    <mergeCell ref="L182:M182"/>
    <mergeCell ref="C75:D75"/>
    <mergeCell ref="H135:I135"/>
    <mergeCell ref="H136:I136"/>
    <mergeCell ref="H137:I137"/>
    <mergeCell ref="H138:I138"/>
    <mergeCell ref="L130:M130"/>
    <mergeCell ref="H131:I131"/>
    <mergeCell ref="H132:I132"/>
    <mergeCell ref="H133:I133"/>
    <mergeCell ref="H134:I134"/>
    <mergeCell ref="L137:M137"/>
    <mergeCell ref="H130:I130"/>
    <mergeCell ref="J130:K130"/>
    <mergeCell ref="H139:I139"/>
    <mergeCell ref="H140:I140"/>
    <mergeCell ref="H141:I141"/>
    <mergeCell ref="H142:I142"/>
    <mergeCell ref="J136:K136"/>
    <mergeCell ref="J137:K137"/>
    <mergeCell ref="J138:K138"/>
    <mergeCell ref="J139:K139"/>
    <mergeCell ref="H143:I143"/>
    <mergeCell ref="H144:I144"/>
    <mergeCell ref="N157:O157"/>
    <mergeCell ref="N146:O146"/>
    <mergeCell ref="N149:O149"/>
    <mergeCell ref="N150:O150"/>
    <mergeCell ref="N147:O147"/>
    <mergeCell ref="N148:O148"/>
    <mergeCell ref="N151:O151"/>
    <mergeCell ref="N182:O182"/>
    <mergeCell ref="N173:O173"/>
    <mergeCell ref="N174:O174"/>
    <mergeCell ref="N175:O175"/>
    <mergeCell ref="N176:O176"/>
    <mergeCell ref="N177:O177"/>
    <mergeCell ref="N178:O178"/>
    <mergeCell ref="N179:O179"/>
    <mergeCell ref="N180:O180"/>
    <mergeCell ref="N181:O181"/>
    <mergeCell ref="N134:O134"/>
    <mergeCell ref="N135:O135"/>
    <mergeCell ref="N138:O138"/>
    <mergeCell ref="N136:O136"/>
    <mergeCell ref="N137:O137"/>
    <mergeCell ref="N131:O131"/>
    <mergeCell ref="N139:O139"/>
    <mergeCell ref="N153:O153"/>
    <mergeCell ref="N154:O154"/>
    <mergeCell ref="H145:I145"/>
    <mergeCell ref="H146:I146"/>
    <mergeCell ref="H147:I147"/>
    <mergeCell ref="J140:K140"/>
    <mergeCell ref="J141:K141"/>
    <mergeCell ref="J142:K142"/>
    <mergeCell ref="J143:K143"/>
    <mergeCell ref="H148:I148"/>
    <mergeCell ref="H149:I149"/>
    <mergeCell ref="H172:I172"/>
    <mergeCell ref="H161:I161"/>
    <mergeCell ref="H162:I162"/>
    <mergeCell ref="H163:I163"/>
    <mergeCell ref="H164:I164"/>
    <mergeCell ref="H165:I165"/>
    <mergeCell ref="H166:I166"/>
    <mergeCell ref="H150:I150"/>
    <mergeCell ref="H151:I151"/>
    <mergeCell ref="H152:I152"/>
    <mergeCell ref="H153:I153"/>
    <mergeCell ref="H154:I154"/>
    <mergeCell ref="H155:I155"/>
    <mergeCell ref="H156:I156"/>
    <mergeCell ref="H157:I157"/>
    <mergeCell ref="H158:I158"/>
    <mergeCell ref="J133:K133"/>
    <mergeCell ref="J134:K134"/>
    <mergeCell ref="J135:K135"/>
    <mergeCell ref="H178:I178"/>
    <mergeCell ref="J144:K144"/>
    <mergeCell ref="J145:K145"/>
    <mergeCell ref="J146:K146"/>
    <mergeCell ref="J147:K147"/>
    <mergeCell ref="J148:K148"/>
    <mergeCell ref="J149:K149"/>
    <mergeCell ref="J150:K150"/>
    <mergeCell ref="J151:K151"/>
    <mergeCell ref="J152:K152"/>
    <mergeCell ref="J153:K153"/>
    <mergeCell ref="J154:K154"/>
    <mergeCell ref="J155:K155"/>
    <mergeCell ref="J156:K156"/>
    <mergeCell ref="J157:K157"/>
    <mergeCell ref="H173:I173"/>
    <mergeCell ref="H174:I174"/>
    <mergeCell ref="H175:I175"/>
    <mergeCell ref="H159:I159"/>
    <mergeCell ref="H160:I160"/>
    <mergeCell ref="H171:I171"/>
    <mergeCell ref="G3:M3"/>
    <mergeCell ref="O3:Q3"/>
    <mergeCell ref="L162:M162"/>
    <mergeCell ref="L163:M163"/>
    <mergeCell ref="L128:M128"/>
    <mergeCell ref="N128:O128"/>
    <mergeCell ref="L153:M153"/>
    <mergeCell ref="L154:M154"/>
    <mergeCell ref="L155:M155"/>
    <mergeCell ref="L149:M149"/>
    <mergeCell ref="H129:I129"/>
    <mergeCell ref="J129:K129"/>
    <mergeCell ref="L145:M145"/>
    <mergeCell ref="L131:M131"/>
    <mergeCell ref="L132:M132"/>
    <mergeCell ref="L133:M133"/>
    <mergeCell ref="L134:M134"/>
    <mergeCell ref="L135:M135"/>
    <mergeCell ref="L136:M136"/>
    <mergeCell ref="L138:M138"/>
    <mergeCell ref="L139:M139"/>
    <mergeCell ref="L159:M159"/>
    <mergeCell ref="L160:M160"/>
    <mergeCell ref="L150:M150"/>
    <mergeCell ref="A4:A5"/>
    <mergeCell ref="B4:B5"/>
    <mergeCell ref="C4:D5"/>
    <mergeCell ref="E4:E5"/>
    <mergeCell ref="L157:M157"/>
    <mergeCell ref="L156:M156"/>
    <mergeCell ref="L146:M146"/>
    <mergeCell ref="L147:M147"/>
    <mergeCell ref="L148:M148"/>
    <mergeCell ref="G4:J4"/>
    <mergeCell ref="C11:D11"/>
    <mergeCell ref="C12:D12"/>
    <mergeCell ref="C6:D6"/>
    <mergeCell ref="F4:F5"/>
    <mergeCell ref="C7:D7"/>
    <mergeCell ref="C9:D9"/>
    <mergeCell ref="C19:D19"/>
    <mergeCell ref="C20:D20"/>
    <mergeCell ref="C14:D14"/>
    <mergeCell ref="C15:D15"/>
    <mergeCell ref="C16:D16"/>
    <mergeCell ref="C17:D17"/>
    <mergeCell ref="C18:D18"/>
    <mergeCell ref="L143:M143"/>
    <mergeCell ref="R126:W126"/>
    <mergeCell ref="L172:M172"/>
    <mergeCell ref="L161:M161"/>
    <mergeCell ref="L164:M164"/>
    <mergeCell ref="T4:T5"/>
    <mergeCell ref="Z4:AC4"/>
    <mergeCell ref="AD4:AG4"/>
    <mergeCell ref="L129:M129"/>
    <mergeCell ref="N129:O129"/>
    <mergeCell ref="L144:M144"/>
    <mergeCell ref="L151:M151"/>
    <mergeCell ref="L152:M152"/>
    <mergeCell ref="L140:M140"/>
    <mergeCell ref="L141:M141"/>
    <mergeCell ref="L142:M142"/>
    <mergeCell ref="N140:O140"/>
    <mergeCell ref="N143:O143"/>
    <mergeCell ref="N144:O144"/>
    <mergeCell ref="N145:O145"/>
    <mergeCell ref="N141:O141"/>
    <mergeCell ref="N142:O142"/>
    <mergeCell ref="N130:O130"/>
    <mergeCell ref="N132:O132"/>
    <mergeCell ref="N133:O133"/>
    <mergeCell ref="AL4:AO4"/>
    <mergeCell ref="U4:U5"/>
    <mergeCell ref="V4:Y4"/>
    <mergeCell ref="AP4:AS4"/>
    <mergeCell ref="C8:D8"/>
    <mergeCell ref="K4:N4"/>
    <mergeCell ref="O4:R4"/>
    <mergeCell ref="S4:S5"/>
    <mergeCell ref="C13:D13"/>
    <mergeCell ref="AH4:AK4"/>
    <mergeCell ref="C10:D10"/>
    <mergeCell ref="C21:D21"/>
    <mergeCell ref="C22:D22"/>
    <mergeCell ref="C23:D23"/>
    <mergeCell ref="C24:D24"/>
    <mergeCell ref="C27:D27"/>
    <mergeCell ref="C28:D28"/>
    <mergeCell ref="C25:D25"/>
    <mergeCell ref="C26:D26"/>
    <mergeCell ref="C29:D29"/>
    <mergeCell ref="C30:D30"/>
    <mergeCell ref="C33:D33"/>
    <mergeCell ref="C34:D34"/>
    <mergeCell ref="C31:D31"/>
    <mergeCell ref="C32:D32"/>
    <mergeCell ref="C35:D35"/>
    <mergeCell ref="C36:D36"/>
    <mergeCell ref="C39:D39"/>
    <mergeCell ref="C40:D40"/>
    <mergeCell ref="C37:D37"/>
    <mergeCell ref="C38:D38"/>
    <mergeCell ref="C41:D41"/>
    <mergeCell ref="C42:D42"/>
    <mergeCell ref="C45:D45"/>
    <mergeCell ref="C46:D46"/>
    <mergeCell ref="C43:D43"/>
    <mergeCell ref="C44:D44"/>
    <mergeCell ref="C47:D47"/>
    <mergeCell ref="C48:D48"/>
    <mergeCell ref="C51:D51"/>
    <mergeCell ref="C52:D52"/>
    <mergeCell ref="C49:D49"/>
    <mergeCell ref="C50:D50"/>
    <mergeCell ref="C53:D53"/>
    <mergeCell ref="C54:D54"/>
    <mergeCell ref="C57:D57"/>
    <mergeCell ref="C58:D58"/>
    <mergeCell ref="C55:D55"/>
    <mergeCell ref="C56:D56"/>
    <mergeCell ref="C59:D59"/>
    <mergeCell ref="C60:D60"/>
    <mergeCell ref="C63:D63"/>
    <mergeCell ref="C64:D64"/>
    <mergeCell ref="C61:D61"/>
    <mergeCell ref="C62:D62"/>
    <mergeCell ref="C65:D65"/>
    <mergeCell ref="C66:D66"/>
    <mergeCell ref="C69:D69"/>
    <mergeCell ref="C70:D70"/>
    <mergeCell ref="C67:D67"/>
    <mergeCell ref="C68:D68"/>
    <mergeCell ref="C71:D71"/>
    <mergeCell ref="C72:D72"/>
    <mergeCell ref="C76:D76"/>
    <mergeCell ref="C77:D77"/>
    <mergeCell ref="C73:D73"/>
    <mergeCell ref="C74:D74"/>
    <mergeCell ref="C78:D78"/>
    <mergeCell ref="C79:D79"/>
    <mergeCell ref="C82:D82"/>
    <mergeCell ref="C83:D83"/>
    <mergeCell ref="C80:D80"/>
    <mergeCell ref="C81:D81"/>
    <mergeCell ref="C84:D84"/>
    <mergeCell ref="C85:D85"/>
    <mergeCell ref="C88:D88"/>
    <mergeCell ref="C89:D89"/>
    <mergeCell ref="C86:D86"/>
    <mergeCell ref="C87:D87"/>
    <mergeCell ref="C90:D90"/>
    <mergeCell ref="C91:D91"/>
    <mergeCell ref="C94:D94"/>
    <mergeCell ref="C95:D95"/>
    <mergeCell ref="C92:D92"/>
    <mergeCell ref="C93:D93"/>
    <mergeCell ref="C96:D96"/>
    <mergeCell ref="C97:D97"/>
    <mergeCell ref="C100:D100"/>
    <mergeCell ref="C101:D101"/>
    <mergeCell ref="C98:D98"/>
    <mergeCell ref="C99:D99"/>
    <mergeCell ref="C102:D102"/>
    <mergeCell ref="C103:D103"/>
    <mergeCell ref="C112:D112"/>
    <mergeCell ref="C113:D113"/>
    <mergeCell ref="C104:D104"/>
    <mergeCell ref="C105:D105"/>
    <mergeCell ref="C106:D106"/>
    <mergeCell ref="C107:D107"/>
    <mergeCell ref="C108:D108"/>
    <mergeCell ref="C109:D109"/>
    <mergeCell ref="C110:D110"/>
    <mergeCell ref="C111:D111"/>
    <mergeCell ref="C114:D114"/>
    <mergeCell ref="C115:D115"/>
    <mergeCell ref="H128:I128"/>
    <mergeCell ref="J128:K128"/>
    <mergeCell ref="C116:D116"/>
    <mergeCell ref="C117:D117"/>
    <mergeCell ref="H183:I183"/>
    <mergeCell ref="J183:K183"/>
    <mergeCell ref="L165:M165"/>
    <mergeCell ref="L168:M168"/>
    <mergeCell ref="L169:M169"/>
    <mergeCell ref="L170:M170"/>
    <mergeCell ref="L171:M171"/>
    <mergeCell ref="L167:M167"/>
    <mergeCell ref="L177:M177"/>
    <mergeCell ref="L173:M173"/>
    <mergeCell ref="L174:M174"/>
    <mergeCell ref="L175:M175"/>
    <mergeCell ref="L176:M176"/>
    <mergeCell ref="J181:K181"/>
    <mergeCell ref="J176:K176"/>
    <mergeCell ref="J177:K177"/>
    <mergeCell ref="J178:K178"/>
    <mergeCell ref="J179:K179"/>
    <mergeCell ref="C118:D118"/>
    <mergeCell ref="C119:D119"/>
    <mergeCell ref="N184:O184"/>
    <mergeCell ref="L183:M183"/>
    <mergeCell ref="N183:O183"/>
    <mergeCell ref="L166:M166"/>
    <mergeCell ref="L158:M158"/>
    <mergeCell ref="J180:K180"/>
    <mergeCell ref="J182:K182"/>
    <mergeCell ref="J158:K158"/>
    <mergeCell ref="J159:K159"/>
    <mergeCell ref="J160:K160"/>
    <mergeCell ref="J161:K161"/>
    <mergeCell ref="J174:K174"/>
    <mergeCell ref="J175:K175"/>
    <mergeCell ref="J164:K164"/>
    <mergeCell ref="J165:K165"/>
    <mergeCell ref="J166:K166"/>
    <mergeCell ref="J167:K167"/>
    <mergeCell ref="J168:K168"/>
    <mergeCell ref="J169:K169"/>
    <mergeCell ref="J170:K170"/>
    <mergeCell ref="J171:K171"/>
    <mergeCell ref="J172:K172"/>
    <mergeCell ref="C120:D120"/>
    <mergeCell ref="C121:D121"/>
    <mergeCell ref="H185:I185"/>
    <mergeCell ref="J185:K185"/>
    <mergeCell ref="L185:M185"/>
    <mergeCell ref="N185:O185"/>
    <mergeCell ref="H184:I184"/>
    <mergeCell ref="J184:K184"/>
    <mergeCell ref="L184:M184"/>
    <mergeCell ref="J173:K173"/>
    <mergeCell ref="J162:K162"/>
    <mergeCell ref="J163:K163"/>
    <mergeCell ref="H179:I179"/>
    <mergeCell ref="H180:I180"/>
    <mergeCell ref="H181:I181"/>
    <mergeCell ref="H176:I176"/>
    <mergeCell ref="H177:I177"/>
    <mergeCell ref="H167:I167"/>
    <mergeCell ref="H168:I168"/>
    <mergeCell ref="H169:I169"/>
    <mergeCell ref="H170:I170"/>
    <mergeCell ref="H182:I182"/>
    <mergeCell ref="J131:K131"/>
    <mergeCell ref="J132:K132"/>
    <mergeCell ref="H190:I190"/>
    <mergeCell ref="J190:K190"/>
    <mergeCell ref="L190:M190"/>
    <mergeCell ref="N190:O190"/>
    <mergeCell ref="H191:I191"/>
    <mergeCell ref="J191:K191"/>
    <mergeCell ref="L191:M191"/>
    <mergeCell ref="N191:O191"/>
    <mergeCell ref="H187:I187"/>
    <mergeCell ref="J187:K187"/>
    <mergeCell ref="L187:M187"/>
    <mergeCell ref="N187:O187"/>
    <mergeCell ref="H188:I188"/>
    <mergeCell ref="J188:K188"/>
    <mergeCell ref="L188:M188"/>
    <mergeCell ref="N188:O188"/>
    <mergeCell ref="H189:I189"/>
    <mergeCell ref="J189:K189"/>
    <mergeCell ref="L189:M189"/>
    <mergeCell ref="N189:O189"/>
  </mergeCells>
  <phoneticPr fontId="0" type="noConversion"/>
  <pageMargins left="0.78740157499999996" right="0.78740157499999996" top="0.984251969" bottom="0.984251969" header="0.4921259845" footer="0.4921259845"/>
  <pageSetup paperSize="9"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77"/>
  <sheetViews>
    <sheetView zoomScale="120" zoomScaleNormal="120" workbookViewId="0">
      <pane xSplit="1" ySplit="5" topLeftCell="U14" activePane="bottomRight" state="frozen"/>
      <selection pane="topRight" activeCell="B1" sqref="B1"/>
      <selection pane="bottomLeft" activeCell="A6" sqref="A6"/>
      <selection pane="bottomRight" activeCell="AE36" sqref="AE36"/>
    </sheetView>
  </sheetViews>
  <sheetFormatPr baseColWidth="10" defaultColWidth="10.7109375" defaultRowHeight="9" x14ac:dyDescent="0.15"/>
  <cols>
    <col min="1" max="1" width="5.85546875" style="1" customWidth="1"/>
    <col min="2" max="6" width="7.85546875" style="1" customWidth="1"/>
    <col min="7" max="18" width="4.5703125" style="1" customWidth="1"/>
    <col min="19" max="21" width="7.85546875" style="1" customWidth="1"/>
    <col min="22" max="53" width="5.7109375" style="1" customWidth="1"/>
    <col min="54" max="16384" width="10.7109375" style="1"/>
  </cols>
  <sheetData>
    <row r="1" spans="1:53" s="2" customFormat="1" ht="15" customHeight="1" x14ac:dyDescent="0.2">
      <c r="B1" s="22" t="s">
        <v>14</v>
      </c>
    </row>
    <row r="2" spans="1:53" s="2" customFormat="1" ht="15" customHeight="1" x14ac:dyDescent="0.2">
      <c r="B2" s="22" t="s">
        <v>139</v>
      </c>
    </row>
    <row r="3" spans="1:53" s="2" customFormat="1" x14ac:dyDescent="0.15">
      <c r="G3" s="814"/>
      <c r="H3" s="814"/>
      <c r="I3" s="814"/>
      <c r="J3" s="814"/>
      <c r="K3" s="814"/>
      <c r="L3" s="814"/>
      <c r="M3" s="814"/>
      <c r="O3" s="814"/>
      <c r="P3" s="814"/>
      <c r="Q3" s="814"/>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1" t="s">
        <v>23</v>
      </c>
      <c r="AU5" s="351" t="s">
        <v>24</v>
      </c>
      <c r="AV5" s="351" t="s">
        <v>25</v>
      </c>
      <c r="AW5" s="353" t="s">
        <v>1217</v>
      </c>
      <c r="AX5" s="351" t="s">
        <v>23</v>
      </c>
      <c r="AY5" s="351" t="s">
        <v>24</v>
      </c>
      <c r="AZ5" s="351" t="s">
        <v>25</v>
      </c>
      <c r="BA5" s="354" t="s">
        <v>1217</v>
      </c>
    </row>
    <row r="6" spans="1:53" s="73" customFormat="1" x14ac:dyDescent="0.15">
      <c r="A6" s="73">
        <v>2000</v>
      </c>
      <c r="C6" s="826" t="s">
        <v>1283</v>
      </c>
      <c r="D6" s="826"/>
      <c r="E6" s="73">
        <v>26</v>
      </c>
      <c r="G6" s="123"/>
      <c r="J6" s="134"/>
      <c r="K6" s="92"/>
      <c r="L6" s="92"/>
      <c r="M6" s="92"/>
      <c r="N6" s="125"/>
      <c r="O6" s="91"/>
      <c r="P6" s="92"/>
      <c r="Q6" s="92"/>
      <c r="R6" s="93"/>
      <c r="T6" s="81"/>
      <c r="V6" s="82"/>
      <c r="Y6" s="83"/>
      <c r="AD6" s="82"/>
      <c r="AG6" s="83"/>
      <c r="AL6" s="82"/>
      <c r="AO6" s="83"/>
      <c r="AP6" s="82"/>
      <c r="AS6" s="83"/>
      <c r="AW6" s="83"/>
      <c r="BA6" s="84"/>
    </row>
    <row r="7" spans="1:53" s="334" customFormat="1" x14ac:dyDescent="0.15">
      <c r="A7" s="334">
        <v>2000</v>
      </c>
      <c r="B7" s="335">
        <v>36552</v>
      </c>
      <c r="C7" s="812" t="s">
        <v>1197</v>
      </c>
      <c r="D7" s="812"/>
      <c r="E7" s="334">
        <f>366-26</f>
        <v>340</v>
      </c>
      <c r="F7" s="334" t="s">
        <v>348</v>
      </c>
      <c r="G7" s="419">
        <v>9</v>
      </c>
      <c r="H7" s="334">
        <v>3</v>
      </c>
      <c r="I7" s="334">
        <v>11</v>
      </c>
      <c r="J7" s="435">
        <v>24</v>
      </c>
      <c r="K7" s="384">
        <f t="shared" ref="K7:K37" si="0">G7/J7*100</f>
        <v>37.5</v>
      </c>
      <c r="L7" s="384">
        <f t="shared" ref="L7:L37" si="1">H7/J7*100</f>
        <v>12.5</v>
      </c>
      <c r="M7" s="384">
        <f t="shared" ref="M7:M37" si="2">I7/J7*100</f>
        <v>45.833333333333329</v>
      </c>
      <c r="N7" s="421">
        <f t="shared" ref="N7:N37" si="3">SUM(K7:M7)</f>
        <v>95.833333333333329</v>
      </c>
      <c r="O7" s="383">
        <v>18.57</v>
      </c>
      <c r="P7" s="384">
        <v>10.6</v>
      </c>
      <c r="Q7" s="384">
        <v>30.46</v>
      </c>
      <c r="R7" s="385">
        <f t="shared" ref="R7:R39" si="4">SUM(O7:Q7)</f>
        <v>59.63</v>
      </c>
      <c r="S7" s="334">
        <v>2</v>
      </c>
      <c r="T7" s="342">
        <v>36528</v>
      </c>
      <c r="U7" s="335">
        <v>36552</v>
      </c>
      <c r="V7" s="343" t="s">
        <v>112</v>
      </c>
      <c r="W7" s="334" t="s">
        <v>20</v>
      </c>
      <c r="X7" s="334" t="s">
        <v>12</v>
      </c>
      <c r="Y7" s="446">
        <v>30.46</v>
      </c>
      <c r="Z7" s="334" t="s">
        <v>1008</v>
      </c>
      <c r="AA7" s="334" t="s">
        <v>340</v>
      </c>
      <c r="AB7" s="334" t="s">
        <v>11</v>
      </c>
      <c r="AC7" s="446">
        <v>14.6</v>
      </c>
      <c r="AD7" s="343" t="s">
        <v>1009</v>
      </c>
      <c r="AE7" s="334" t="s">
        <v>886</v>
      </c>
      <c r="AF7" s="334" t="s">
        <v>18</v>
      </c>
      <c r="AG7" s="446">
        <v>10.6</v>
      </c>
      <c r="AH7" s="334" t="s">
        <v>1010</v>
      </c>
      <c r="AI7" s="334" t="s">
        <v>340</v>
      </c>
      <c r="AJ7" s="334" t="s">
        <v>11</v>
      </c>
      <c r="AK7" s="446">
        <v>2.65</v>
      </c>
      <c r="AL7" s="343" t="s">
        <v>1011</v>
      </c>
      <c r="AM7" s="334" t="s">
        <v>22</v>
      </c>
      <c r="AN7" s="334" t="s">
        <v>11</v>
      </c>
      <c r="AO7" s="446">
        <v>1.32</v>
      </c>
      <c r="AP7" s="343"/>
      <c r="AS7" s="344"/>
      <c r="AW7" s="344"/>
      <c r="BA7" s="345"/>
    </row>
    <row r="8" spans="1:53" s="334" customFormat="1" x14ac:dyDescent="0.15">
      <c r="A8" s="334">
        <v>2001</v>
      </c>
      <c r="B8" s="335"/>
      <c r="C8" s="812" t="s">
        <v>1197</v>
      </c>
      <c r="D8" s="812"/>
      <c r="E8" s="334">
        <v>270</v>
      </c>
      <c r="G8" s="419">
        <v>9</v>
      </c>
      <c r="H8" s="334">
        <v>3</v>
      </c>
      <c r="I8" s="334">
        <v>11</v>
      </c>
      <c r="J8" s="435">
        <v>24</v>
      </c>
      <c r="K8" s="384">
        <f t="shared" si="0"/>
        <v>37.5</v>
      </c>
      <c r="L8" s="384">
        <f t="shared" si="1"/>
        <v>12.5</v>
      </c>
      <c r="M8" s="384">
        <f t="shared" si="2"/>
        <v>45.833333333333329</v>
      </c>
      <c r="N8" s="421">
        <f t="shared" si="3"/>
        <v>95.833333333333329</v>
      </c>
      <c r="O8" s="383">
        <v>18.57</v>
      </c>
      <c r="P8" s="384">
        <v>10.6</v>
      </c>
      <c r="Q8" s="384">
        <v>30.46</v>
      </c>
      <c r="R8" s="385">
        <f t="shared" si="4"/>
        <v>59.63</v>
      </c>
      <c r="S8" s="334">
        <v>2</v>
      </c>
      <c r="T8" s="357"/>
      <c r="V8" s="343" t="s">
        <v>112</v>
      </c>
      <c r="W8" s="334" t="s">
        <v>20</v>
      </c>
      <c r="X8" s="334" t="s">
        <v>12</v>
      </c>
      <c r="Y8" s="446">
        <v>30.46</v>
      </c>
      <c r="Z8" s="334" t="s">
        <v>1008</v>
      </c>
      <c r="AA8" s="334" t="s">
        <v>340</v>
      </c>
      <c r="AB8" s="334" t="s">
        <v>11</v>
      </c>
      <c r="AC8" s="384">
        <v>14.6</v>
      </c>
      <c r="AD8" s="343" t="s">
        <v>1009</v>
      </c>
      <c r="AE8" s="334" t="s">
        <v>886</v>
      </c>
      <c r="AF8" s="334" t="s">
        <v>18</v>
      </c>
      <c r="AG8" s="446">
        <v>10.6</v>
      </c>
      <c r="AH8" s="334" t="s">
        <v>1010</v>
      </c>
      <c r="AI8" s="334" t="s">
        <v>340</v>
      </c>
      <c r="AJ8" s="334" t="s">
        <v>11</v>
      </c>
      <c r="AK8" s="384">
        <v>2.65</v>
      </c>
      <c r="AL8" s="343" t="s">
        <v>1011</v>
      </c>
      <c r="AM8" s="334" t="s">
        <v>22</v>
      </c>
      <c r="AN8" s="334" t="s">
        <v>11</v>
      </c>
      <c r="AO8" s="446">
        <v>1.32</v>
      </c>
      <c r="AP8" s="343"/>
      <c r="AS8" s="344"/>
      <c r="AW8" s="344"/>
      <c r="BA8" s="345"/>
    </row>
    <row r="9" spans="1:53" s="73" customFormat="1" x14ac:dyDescent="0.15">
      <c r="A9" s="73">
        <v>2001</v>
      </c>
      <c r="B9" s="133">
        <v>37162</v>
      </c>
      <c r="C9" s="811" t="s">
        <v>1198</v>
      </c>
      <c r="D9" s="811"/>
      <c r="E9" s="73">
        <v>55</v>
      </c>
      <c r="F9" s="73">
        <v>4</v>
      </c>
      <c r="G9" s="123">
        <v>8</v>
      </c>
      <c r="H9" s="73">
        <v>3</v>
      </c>
      <c r="I9" s="73">
        <v>12</v>
      </c>
      <c r="J9" s="134">
        <v>24</v>
      </c>
      <c r="K9" s="92">
        <f t="shared" si="0"/>
        <v>33.333333333333329</v>
      </c>
      <c r="L9" s="92">
        <f t="shared" si="1"/>
        <v>12.5</v>
      </c>
      <c r="M9" s="92">
        <f t="shared" si="2"/>
        <v>50</v>
      </c>
      <c r="N9" s="125">
        <f t="shared" si="3"/>
        <v>95.833333333333329</v>
      </c>
      <c r="O9" s="91">
        <v>15.92</v>
      </c>
      <c r="P9" s="92">
        <v>10.6</v>
      </c>
      <c r="Q9" s="92">
        <v>30.46</v>
      </c>
      <c r="R9" s="93">
        <f t="shared" si="4"/>
        <v>56.980000000000004</v>
      </c>
      <c r="S9" s="73">
        <v>3</v>
      </c>
      <c r="T9" s="81"/>
      <c r="U9" s="133">
        <v>37162</v>
      </c>
      <c r="V9" s="82" t="s">
        <v>112</v>
      </c>
      <c r="W9" s="73" t="s">
        <v>20</v>
      </c>
      <c r="X9" s="73" t="s">
        <v>12</v>
      </c>
      <c r="Y9" s="155">
        <v>30.46</v>
      </c>
      <c r="Z9" s="73" t="s">
        <v>1008</v>
      </c>
      <c r="AA9" s="73" t="s">
        <v>340</v>
      </c>
      <c r="AB9" s="73" t="s">
        <v>11</v>
      </c>
      <c r="AC9" s="92">
        <v>14.6</v>
      </c>
      <c r="AD9" s="82" t="s">
        <v>1009</v>
      </c>
      <c r="AE9" s="73" t="s">
        <v>886</v>
      </c>
      <c r="AF9" s="73" t="s">
        <v>18</v>
      </c>
      <c r="AG9" s="155">
        <v>10.6</v>
      </c>
      <c r="AH9" s="82" t="s">
        <v>1011</v>
      </c>
      <c r="AI9" s="73" t="s">
        <v>22</v>
      </c>
      <c r="AJ9" s="73" t="s">
        <v>11</v>
      </c>
      <c r="AK9" s="92">
        <v>1.32</v>
      </c>
      <c r="AL9" s="82"/>
      <c r="AO9" s="155"/>
      <c r="AP9" s="82"/>
      <c r="AS9" s="83"/>
      <c r="AW9" s="83"/>
      <c r="BA9" s="84"/>
    </row>
    <row r="10" spans="1:53" s="73" customFormat="1" x14ac:dyDescent="0.15">
      <c r="A10" s="73">
        <v>2001</v>
      </c>
      <c r="B10" s="156">
        <v>37217</v>
      </c>
      <c r="C10" s="811" t="s">
        <v>1198</v>
      </c>
      <c r="D10" s="811"/>
      <c r="E10" s="73">
        <f xml:space="preserve"> 365-E9-E8</f>
        <v>40</v>
      </c>
      <c r="F10" s="129">
        <v>0</v>
      </c>
      <c r="G10" s="123">
        <v>9</v>
      </c>
      <c r="H10" s="73">
        <v>3</v>
      </c>
      <c r="I10" s="73">
        <v>12</v>
      </c>
      <c r="J10" s="134">
        <v>24</v>
      </c>
      <c r="K10" s="92">
        <f t="shared" si="0"/>
        <v>37.5</v>
      </c>
      <c r="L10" s="92">
        <f t="shared" si="1"/>
        <v>12.5</v>
      </c>
      <c r="M10" s="92">
        <f t="shared" si="2"/>
        <v>50</v>
      </c>
      <c r="N10" s="125">
        <f t="shared" si="3"/>
        <v>100</v>
      </c>
      <c r="O10" s="91">
        <v>15.92</v>
      </c>
      <c r="P10" s="92">
        <v>10.6</v>
      </c>
      <c r="Q10" s="92">
        <v>30.46</v>
      </c>
      <c r="R10" s="93">
        <f t="shared" si="4"/>
        <v>56.980000000000004</v>
      </c>
      <c r="S10" s="73">
        <v>3</v>
      </c>
      <c r="T10" s="81"/>
      <c r="V10" s="82" t="s">
        <v>112</v>
      </c>
      <c r="W10" s="73" t="s">
        <v>20</v>
      </c>
      <c r="X10" s="73" t="s">
        <v>12</v>
      </c>
      <c r="Y10" s="155">
        <v>30.46</v>
      </c>
      <c r="Z10" s="73" t="s">
        <v>1008</v>
      </c>
      <c r="AA10" s="73" t="s">
        <v>340</v>
      </c>
      <c r="AB10" s="73" t="s">
        <v>11</v>
      </c>
      <c r="AC10" s="92">
        <v>14.6</v>
      </c>
      <c r="AD10" s="82" t="s">
        <v>1009</v>
      </c>
      <c r="AE10" s="73" t="s">
        <v>886</v>
      </c>
      <c r="AF10" s="73" t="s">
        <v>18</v>
      </c>
      <c r="AG10" s="155">
        <v>10.6</v>
      </c>
      <c r="AH10" s="82" t="s">
        <v>1011</v>
      </c>
      <c r="AI10" s="73" t="s">
        <v>22</v>
      </c>
      <c r="AJ10" s="73" t="s">
        <v>11</v>
      </c>
      <c r="AK10" s="92">
        <v>1.32</v>
      </c>
      <c r="AL10" s="82"/>
      <c r="AO10" s="155"/>
      <c r="AP10" s="82"/>
      <c r="AS10" s="83"/>
      <c r="AW10" s="83"/>
      <c r="BA10" s="84"/>
    </row>
    <row r="11" spans="1:53" s="73" customFormat="1" x14ac:dyDescent="0.15">
      <c r="A11" s="73">
        <v>2002</v>
      </c>
      <c r="B11" s="121"/>
      <c r="C11" s="811" t="s">
        <v>1198</v>
      </c>
      <c r="D11" s="811"/>
      <c r="E11" s="73">
        <v>210</v>
      </c>
      <c r="G11" s="123">
        <v>9</v>
      </c>
      <c r="H11" s="73">
        <v>3</v>
      </c>
      <c r="I11" s="73">
        <v>12</v>
      </c>
      <c r="J11" s="134">
        <v>24</v>
      </c>
      <c r="K11" s="92">
        <f t="shared" si="0"/>
        <v>37.5</v>
      </c>
      <c r="L11" s="92">
        <f t="shared" si="1"/>
        <v>12.5</v>
      </c>
      <c r="M11" s="92">
        <f t="shared" si="2"/>
        <v>50</v>
      </c>
      <c r="N11" s="125">
        <f t="shared" si="3"/>
        <v>100</v>
      </c>
      <c r="O11" s="91">
        <v>15.92</v>
      </c>
      <c r="P11" s="92">
        <v>10.6</v>
      </c>
      <c r="Q11" s="92">
        <v>30.46</v>
      </c>
      <c r="R11" s="93">
        <f t="shared" si="4"/>
        <v>56.980000000000004</v>
      </c>
      <c r="S11" s="73">
        <v>3</v>
      </c>
      <c r="T11" s="81"/>
      <c r="V11" s="82" t="s">
        <v>112</v>
      </c>
      <c r="W11" s="73" t="s">
        <v>20</v>
      </c>
      <c r="X11" s="73" t="s">
        <v>12</v>
      </c>
      <c r="Y11" s="155">
        <v>30.46</v>
      </c>
      <c r="Z11" s="73" t="s">
        <v>1008</v>
      </c>
      <c r="AA11" s="73" t="s">
        <v>340</v>
      </c>
      <c r="AB11" s="73" t="s">
        <v>11</v>
      </c>
      <c r="AC11" s="92">
        <v>14.6</v>
      </c>
      <c r="AD11" s="82" t="s">
        <v>1009</v>
      </c>
      <c r="AE11" s="73" t="s">
        <v>886</v>
      </c>
      <c r="AF11" s="73" t="s">
        <v>18</v>
      </c>
      <c r="AG11" s="155">
        <v>10.6</v>
      </c>
      <c r="AH11" s="82" t="s">
        <v>1011</v>
      </c>
      <c r="AI11" s="73" t="s">
        <v>22</v>
      </c>
      <c r="AJ11" s="73" t="s">
        <v>11</v>
      </c>
      <c r="AK11" s="92">
        <v>1.32</v>
      </c>
      <c r="AL11" s="82"/>
      <c r="AO11" s="155"/>
      <c r="AP11" s="82"/>
      <c r="AS11" s="83"/>
      <c r="AW11" s="83"/>
      <c r="BA11" s="84"/>
    </row>
    <row r="12" spans="1:53" s="334" customFormat="1" x14ac:dyDescent="0.15">
      <c r="A12" s="334">
        <v>2002</v>
      </c>
      <c r="B12" s="335">
        <v>37467</v>
      </c>
      <c r="C12" s="812" t="s">
        <v>1199</v>
      </c>
      <c r="D12" s="812"/>
      <c r="E12" s="334">
        <f xml:space="preserve"> 365-E11</f>
        <v>155</v>
      </c>
      <c r="F12" s="334">
        <v>4</v>
      </c>
      <c r="G12" s="419">
        <v>5</v>
      </c>
      <c r="H12" s="334">
        <v>4</v>
      </c>
      <c r="I12" s="334">
        <v>15</v>
      </c>
      <c r="J12" s="435">
        <v>24</v>
      </c>
      <c r="K12" s="384">
        <f t="shared" si="0"/>
        <v>20.833333333333336</v>
      </c>
      <c r="L12" s="384">
        <f t="shared" si="1"/>
        <v>16.666666666666664</v>
      </c>
      <c r="M12" s="384">
        <f t="shared" si="2"/>
        <v>62.5</v>
      </c>
      <c r="N12" s="421">
        <f t="shared" si="3"/>
        <v>100</v>
      </c>
      <c r="O12" s="383">
        <v>7.28</v>
      </c>
      <c r="P12" s="384">
        <v>10.6</v>
      </c>
      <c r="Q12" s="384">
        <v>30.46</v>
      </c>
      <c r="R12" s="385">
        <f t="shared" si="4"/>
        <v>48.34</v>
      </c>
      <c r="S12" s="334">
        <v>5</v>
      </c>
      <c r="T12" s="357"/>
      <c r="U12" s="335">
        <v>37467</v>
      </c>
      <c r="V12" s="343" t="s">
        <v>112</v>
      </c>
      <c r="W12" s="334" t="s">
        <v>20</v>
      </c>
      <c r="X12" s="334" t="s">
        <v>12</v>
      </c>
      <c r="Y12" s="446">
        <v>30.46</v>
      </c>
      <c r="Z12" s="334" t="s">
        <v>1012</v>
      </c>
      <c r="AA12" s="334" t="s">
        <v>340</v>
      </c>
      <c r="AB12" s="334" t="s">
        <v>11</v>
      </c>
      <c r="AC12" s="384">
        <v>5.96</v>
      </c>
      <c r="AD12" s="343" t="s">
        <v>1009</v>
      </c>
      <c r="AE12" s="334" t="s">
        <v>886</v>
      </c>
      <c r="AF12" s="334" t="s">
        <v>18</v>
      </c>
      <c r="AG12" s="446">
        <v>10.6</v>
      </c>
      <c r="AH12" s="343" t="s">
        <v>1011</v>
      </c>
      <c r="AI12" s="334" t="s">
        <v>22</v>
      </c>
      <c r="AJ12" s="334" t="s">
        <v>11</v>
      </c>
      <c r="AK12" s="384">
        <v>1.32</v>
      </c>
      <c r="AL12" s="343"/>
      <c r="AO12" s="446"/>
      <c r="AP12" s="343"/>
      <c r="AS12" s="344"/>
      <c r="AW12" s="344"/>
      <c r="BA12" s="345"/>
    </row>
    <row r="13" spans="1:53" s="334" customFormat="1" x14ac:dyDescent="0.15">
      <c r="A13" s="334">
        <v>2003</v>
      </c>
      <c r="B13" s="335"/>
      <c r="C13" s="812" t="s">
        <v>1199</v>
      </c>
      <c r="D13" s="812"/>
      <c r="E13" s="334">
        <v>198</v>
      </c>
      <c r="G13" s="419">
        <v>5</v>
      </c>
      <c r="H13" s="334">
        <v>4</v>
      </c>
      <c r="I13" s="334">
        <v>15</v>
      </c>
      <c r="J13" s="435">
        <v>24</v>
      </c>
      <c r="K13" s="384">
        <f t="shared" si="0"/>
        <v>20.833333333333336</v>
      </c>
      <c r="L13" s="384">
        <f t="shared" si="1"/>
        <v>16.666666666666664</v>
      </c>
      <c r="M13" s="384">
        <f t="shared" si="2"/>
        <v>62.5</v>
      </c>
      <c r="N13" s="421">
        <f t="shared" si="3"/>
        <v>100</v>
      </c>
      <c r="O13" s="383">
        <v>7.28</v>
      </c>
      <c r="P13" s="384">
        <v>10.6</v>
      </c>
      <c r="Q13" s="384">
        <v>30.46</v>
      </c>
      <c r="R13" s="385">
        <f t="shared" si="4"/>
        <v>48.34</v>
      </c>
      <c r="S13" s="334">
        <v>5</v>
      </c>
      <c r="T13" s="357"/>
      <c r="V13" s="343" t="s">
        <v>112</v>
      </c>
      <c r="W13" s="334" t="s">
        <v>20</v>
      </c>
      <c r="X13" s="334" t="s">
        <v>12</v>
      </c>
      <c r="Y13" s="446">
        <v>30.46</v>
      </c>
      <c r="Z13" s="334" t="s">
        <v>1012</v>
      </c>
      <c r="AA13" s="334" t="s">
        <v>340</v>
      </c>
      <c r="AB13" s="334" t="s">
        <v>11</v>
      </c>
      <c r="AC13" s="384">
        <v>5.96</v>
      </c>
      <c r="AD13" s="343" t="s">
        <v>1009</v>
      </c>
      <c r="AE13" s="334" t="s">
        <v>886</v>
      </c>
      <c r="AF13" s="334" t="s">
        <v>18</v>
      </c>
      <c r="AG13" s="446">
        <v>10.6</v>
      </c>
      <c r="AH13" s="334" t="s">
        <v>1011</v>
      </c>
      <c r="AI13" s="334" t="s">
        <v>22</v>
      </c>
      <c r="AJ13" s="334" t="s">
        <v>11</v>
      </c>
      <c r="AK13" s="384">
        <v>1.32</v>
      </c>
      <c r="AL13" s="343"/>
      <c r="AO13" s="446"/>
      <c r="AP13" s="343"/>
      <c r="AS13" s="344"/>
      <c r="AW13" s="344"/>
      <c r="BA13" s="345"/>
    </row>
    <row r="14" spans="1:53" s="73" customFormat="1" x14ac:dyDescent="0.15">
      <c r="A14" s="73">
        <v>2003</v>
      </c>
      <c r="B14" s="121">
        <v>37820</v>
      </c>
      <c r="C14" s="811" t="s">
        <v>1200</v>
      </c>
      <c r="D14" s="811"/>
      <c r="E14" s="73">
        <v>158</v>
      </c>
      <c r="F14" s="73">
        <v>7</v>
      </c>
      <c r="G14" s="123">
        <v>5</v>
      </c>
      <c r="H14" s="73">
        <v>4</v>
      </c>
      <c r="I14" s="73">
        <v>15</v>
      </c>
      <c r="J14" s="134">
        <v>24</v>
      </c>
      <c r="K14" s="92">
        <f t="shared" si="0"/>
        <v>20.833333333333336</v>
      </c>
      <c r="L14" s="92">
        <f t="shared" si="1"/>
        <v>16.666666666666664</v>
      </c>
      <c r="M14" s="92">
        <f t="shared" si="2"/>
        <v>62.5</v>
      </c>
      <c r="N14" s="125">
        <f t="shared" si="3"/>
        <v>100</v>
      </c>
      <c r="O14" s="91">
        <v>9.93</v>
      </c>
      <c r="P14" s="92">
        <v>10.6</v>
      </c>
      <c r="Q14" s="92">
        <v>30.46</v>
      </c>
      <c r="R14" s="93">
        <f t="shared" si="4"/>
        <v>50.99</v>
      </c>
      <c r="S14" s="73">
        <v>2</v>
      </c>
      <c r="T14" s="81"/>
      <c r="U14" s="121">
        <v>37820</v>
      </c>
      <c r="V14" s="82" t="s">
        <v>112</v>
      </c>
      <c r="W14" s="73" t="s">
        <v>20</v>
      </c>
      <c r="X14" s="73" t="s">
        <v>12</v>
      </c>
      <c r="Y14" s="155">
        <v>30.46</v>
      </c>
      <c r="Z14" s="73" t="s">
        <v>1012</v>
      </c>
      <c r="AA14" s="73" t="s">
        <v>340</v>
      </c>
      <c r="AB14" s="73" t="s">
        <v>11</v>
      </c>
      <c r="AC14" s="92">
        <v>5.96</v>
      </c>
      <c r="AD14" s="82" t="s">
        <v>1009</v>
      </c>
      <c r="AE14" s="73" t="s">
        <v>886</v>
      </c>
      <c r="AF14" s="73" t="s">
        <v>18</v>
      </c>
      <c r="AG14" s="155">
        <v>10.6</v>
      </c>
      <c r="AH14" s="82" t="s">
        <v>1011</v>
      </c>
      <c r="AI14" s="73" t="s">
        <v>22</v>
      </c>
      <c r="AJ14" s="73" t="s">
        <v>11</v>
      </c>
      <c r="AK14" s="92">
        <v>1.32</v>
      </c>
      <c r="AL14" s="82" t="s">
        <v>1013</v>
      </c>
      <c r="AM14" s="73" t="s">
        <v>340</v>
      </c>
      <c r="AN14" s="73" t="s">
        <v>11</v>
      </c>
      <c r="AO14" s="155">
        <v>2.65</v>
      </c>
      <c r="AP14" s="82"/>
      <c r="AS14" s="83"/>
      <c r="AW14" s="83"/>
      <c r="BA14" s="84"/>
    </row>
    <row r="15" spans="1:53" s="334" customFormat="1" x14ac:dyDescent="0.15">
      <c r="A15" s="334">
        <v>2003</v>
      </c>
      <c r="B15" s="335">
        <v>37978</v>
      </c>
      <c r="C15" s="812" t="s">
        <v>1014</v>
      </c>
      <c r="D15" s="812"/>
      <c r="E15" s="334">
        <f xml:space="preserve"> 365-E14-E13</f>
        <v>9</v>
      </c>
      <c r="F15" s="334">
        <v>1</v>
      </c>
      <c r="G15" s="419">
        <v>1</v>
      </c>
      <c r="H15" s="334">
        <v>13</v>
      </c>
      <c r="I15" s="334">
        <v>0</v>
      </c>
      <c r="J15" s="435">
        <v>15</v>
      </c>
      <c r="K15" s="384">
        <f t="shared" si="0"/>
        <v>6.666666666666667</v>
      </c>
      <c r="L15" s="384">
        <f t="shared" si="1"/>
        <v>86.666666666666671</v>
      </c>
      <c r="M15" s="384">
        <f t="shared" si="2"/>
        <v>0</v>
      </c>
      <c r="N15" s="421">
        <f t="shared" si="3"/>
        <v>93.333333333333343</v>
      </c>
      <c r="O15" s="383">
        <v>0.66</v>
      </c>
      <c r="P15" s="384">
        <v>43.42</v>
      </c>
      <c r="Q15" s="384">
        <v>0</v>
      </c>
      <c r="R15" s="385">
        <f t="shared" si="4"/>
        <v>44.08</v>
      </c>
      <c r="S15" s="334">
        <v>5</v>
      </c>
      <c r="T15" s="342">
        <v>37948</v>
      </c>
      <c r="U15" s="335">
        <v>37978</v>
      </c>
      <c r="V15" s="343" t="s">
        <v>1015</v>
      </c>
      <c r="W15" s="334" t="s">
        <v>17</v>
      </c>
      <c r="X15" s="334" t="s">
        <v>18</v>
      </c>
      <c r="Y15" s="446">
        <v>43.42</v>
      </c>
      <c r="Z15" s="334" t="s">
        <v>516</v>
      </c>
      <c r="AA15" s="334" t="s">
        <v>340</v>
      </c>
      <c r="AB15" s="334" t="s">
        <v>11</v>
      </c>
      <c r="AC15" s="384">
        <v>0.7</v>
      </c>
      <c r="AD15" s="343"/>
      <c r="AG15" s="446"/>
      <c r="AK15" s="384"/>
      <c r="AL15" s="343"/>
      <c r="AO15" s="344"/>
      <c r="AP15" s="343"/>
      <c r="AS15" s="344"/>
      <c r="AW15" s="344"/>
      <c r="BA15" s="345"/>
    </row>
    <row r="16" spans="1:53" s="334" customFormat="1" x14ac:dyDescent="0.15">
      <c r="A16" s="334">
        <v>2004</v>
      </c>
      <c r="B16" s="335"/>
      <c r="C16" s="812" t="s">
        <v>1014</v>
      </c>
      <c r="D16" s="812"/>
      <c r="E16" s="334">
        <v>0</v>
      </c>
      <c r="G16" s="419">
        <v>1</v>
      </c>
      <c r="H16" s="334">
        <v>13</v>
      </c>
      <c r="I16" s="334">
        <v>0</v>
      </c>
      <c r="J16" s="435">
        <v>15</v>
      </c>
      <c r="K16" s="384">
        <f t="shared" si="0"/>
        <v>6.666666666666667</v>
      </c>
      <c r="L16" s="384">
        <f t="shared" si="1"/>
        <v>86.666666666666671</v>
      </c>
      <c r="M16" s="384">
        <f t="shared" si="2"/>
        <v>0</v>
      </c>
      <c r="N16" s="421">
        <f t="shared" si="3"/>
        <v>93.333333333333343</v>
      </c>
      <c r="O16" s="383">
        <v>0.66</v>
      </c>
      <c r="P16" s="384">
        <v>43.42</v>
      </c>
      <c r="Q16" s="384">
        <v>0</v>
      </c>
      <c r="R16" s="385">
        <f t="shared" si="4"/>
        <v>44.08</v>
      </c>
      <c r="S16" s="334">
        <v>5</v>
      </c>
      <c r="T16" s="357"/>
      <c r="V16" s="343" t="s">
        <v>1015</v>
      </c>
      <c r="W16" s="334" t="s">
        <v>17</v>
      </c>
      <c r="X16" s="334" t="s">
        <v>18</v>
      </c>
      <c r="Y16" s="446">
        <v>43.42</v>
      </c>
      <c r="Z16" s="334" t="s">
        <v>516</v>
      </c>
      <c r="AA16" s="334" t="s">
        <v>340</v>
      </c>
      <c r="AB16" s="334" t="s">
        <v>11</v>
      </c>
      <c r="AC16" s="384">
        <v>0.7</v>
      </c>
      <c r="AD16" s="343"/>
      <c r="AG16" s="446"/>
      <c r="AK16" s="384"/>
      <c r="AL16" s="343"/>
      <c r="AO16" s="344"/>
      <c r="AP16" s="343"/>
      <c r="AS16" s="344"/>
      <c r="AW16" s="344"/>
      <c r="BA16" s="345"/>
    </row>
    <row r="17" spans="1:53" s="334" customFormat="1" x14ac:dyDescent="0.15">
      <c r="A17" s="334">
        <v>2004</v>
      </c>
      <c r="B17" s="335"/>
      <c r="C17" s="812" t="s">
        <v>1014</v>
      </c>
      <c r="D17" s="812"/>
      <c r="E17" s="334">
        <v>366</v>
      </c>
      <c r="G17" s="419">
        <v>1</v>
      </c>
      <c r="H17" s="334">
        <v>13</v>
      </c>
      <c r="I17" s="334">
        <v>0</v>
      </c>
      <c r="J17" s="435">
        <v>15</v>
      </c>
      <c r="K17" s="384">
        <f t="shared" si="0"/>
        <v>6.666666666666667</v>
      </c>
      <c r="L17" s="384">
        <f t="shared" si="1"/>
        <v>86.666666666666671</v>
      </c>
      <c r="M17" s="384">
        <f t="shared" si="2"/>
        <v>0</v>
      </c>
      <c r="N17" s="421">
        <f t="shared" si="3"/>
        <v>93.333333333333343</v>
      </c>
      <c r="O17" s="383">
        <v>0.66</v>
      </c>
      <c r="P17" s="384">
        <v>43.42</v>
      </c>
      <c r="Q17" s="384">
        <v>0</v>
      </c>
      <c r="R17" s="385">
        <f t="shared" si="4"/>
        <v>44.08</v>
      </c>
      <c r="S17" s="334">
        <v>5</v>
      </c>
      <c r="T17" s="357"/>
      <c r="V17" s="343" t="s">
        <v>1015</v>
      </c>
      <c r="W17" s="334" t="s">
        <v>17</v>
      </c>
      <c r="X17" s="334" t="s">
        <v>18</v>
      </c>
      <c r="Y17" s="446">
        <v>43.42</v>
      </c>
      <c r="Z17" s="334" t="s">
        <v>516</v>
      </c>
      <c r="AA17" s="334" t="s">
        <v>340</v>
      </c>
      <c r="AB17" s="334" t="s">
        <v>11</v>
      </c>
      <c r="AC17" s="384">
        <v>0.7</v>
      </c>
      <c r="AD17" s="343"/>
      <c r="AG17" s="446"/>
      <c r="AK17" s="384"/>
      <c r="AL17" s="343"/>
      <c r="AO17" s="344"/>
      <c r="AP17" s="343"/>
      <c r="AS17" s="344"/>
      <c r="AW17" s="344"/>
      <c r="BA17" s="345"/>
    </row>
    <row r="18" spans="1:53" s="334" customFormat="1" x14ac:dyDescent="0.15">
      <c r="A18" s="358">
        <v>2005</v>
      </c>
      <c r="B18" s="359">
        <v>38400</v>
      </c>
      <c r="C18" s="812" t="s">
        <v>1014</v>
      </c>
      <c r="D18" s="812"/>
      <c r="E18" s="334">
        <v>47</v>
      </c>
      <c r="F18" s="360">
        <v>0</v>
      </c>
      <c r="G18" s="419">
        <v>1</v>
      </c>
      <c r="H18" s="334">
        <v>13</v>
      </c>
      <c r="I18" s="334">
        <v>0</v>
      </c>
      <c r="J18" s="435">
        <v>15</v>
      </c>
      <c r="K18" s="384">
        <f t="shared" si="0"/>
        <v>6.666666666666667</v>
      </c>
      <c r="L18" s="384">
        <f t="shared" si="1"/>
        <v>86.666666666666671</v>
      </c>
      <c r="M18" s="384">
        <f t="shared" si="2"/>
        <v>0</v>
      </c>
      <c r="N18" s="421">
        <f t="shared" si="3"/>
        <v>93.333333333333343</v>
      </c>
      <c r="O18" s="383">
        <v>0.66</v>
      </c>
      <c r="P18" s="384">
        <v>43.42</v>
      </c>
      <c r="Q18" s="384">
        <v>0</v>
      </c>
      <c r="R18" s="385">
        <f t="shared" si="4"/>
        <v>44.08</v>
      </c>
      <c r="S18" s="334">
        <v>5</v>
      </c>
      <c r="T18" s="357"/>
      <c r="V18" s="343" t="s">
        <v>1015</v>
      </c>
      <c r="W18" s="334" t="s">
        <v>17</v>
      </c>
      <c r="X18" s="334" t="s">
        <v>18</v>
      </c>
      <c r="Y18" s="446">
        <v>43.42</v>
      </c>
      <c r="Z18" s="334" t="s">
        <v>516</v>
      </c>
      <c r="AA18" s="334" t="s">
        <v>340</v>
      </c>
      <c r="AB18" s="334" t="s">
        <v>11</v>
      </c>
      <c r="AC18" s="384">
        <v>0.7</v>
      </c>
      <c r="AD18" s="343"/>
      <c r="AG18" s="446"/>
      <c r="AK18" s="384"/>
      <c r="AL18" s="343"/>
      <c r="AO18" s="344"/>
      <c r="AP18" s="343"/>
      <c r="AS18" s="344"/>
      <c r="AW18" s="344"/>
      <c r="BA18" s="345"/>
    </row>
    <row r="19" spans="1:53" s="334" customFormat="1" x14ac:dyDescent="0.15">
      <c r="A19" s="334">
        <v>2005</v>
      </c>
      <c r="B19" s="335"/>
      <c r="C19" s="812" t="s">
        <v>1014</v>
      </c>
      <c r="D19" s="812"/>
      <c r="E19" s="334">
        <f xml:space="preserve"> 365-E18</f>
        <v>318</v>
      </c>
      <c r="G19" s="419">
        <v>1</v>
      </c>
      <c r="H19" s="334">
        <v>13</v>
      </c>
      <c r="I19" s="334">
        <v>0</v>
      </c>
      <c r="J19" s="435">
        <v>15</v>
      </c>
      <c r="K19" s="384">
        <f t="shared" si="0"/>
        <v>6.666666666666667</v>
      </c>
      <c r="L19" s="384">
        <f t="shared" si="1"/>
        <v>86.666666666666671</v>
      </c>
      <c r="M19" s="384">
        <f t="shared" si="2"/>
        <v>0</v>
      </c>
      <c r="N19" s="421">
        <f t="shared" si="3"/>
        <v>93.333333333333343</v>
      </c>
      <c r="O19" s="383">
        <v>0.66</v>
      </c>
      <c r="P19" s="384">
        <v>43.42</v>
      </c>
      <c r="Q19" s="384">
        <v>0</v>
      </c>
      <c r="R19" s="385">
        <f t="shared" si="4"/>
        <v>44.08</v>
      </c>
      <c r="S19" s="334">
        <v>5</v>
      </c>
      <c r="T19" s="357"/>
      <c r="V19" s="343" t="s">
        <v>1015</v>
      </c>
      <c r="W19" s="334" t="s">
        <v>17</v>
      </c>
      <c r="X19" s="334" t="s">
        <v>18</v>
      </c>
      <c r="Y19" s="446">
        <v>43.42</v>
      </c>
      <c r="Z19" s="334" t="s">
        <v>516</v>
      </c>
      <c r="AA19" s="334" t="s">
        <v>340</v>
      </c>
      <c r="AB19" s="334" t="s">
        <v>11</v>
      </c>
      <c r="AC19" s="384">
        <v>0.7</v>
      </c>
      <c r="AD19" s="343"/>
      <c r="AG19" s="446"/>
      <c r="AK19" s="384"/>
      <c r="AL19" s="343"/>
      <c r="AO19" s="344"/>
      <c r="AP19" s="343"/>
      <c r="AS19" s="344"/>
      <c r="AW19" s="344"/>
      <c r="BA19" s="345"/>
    </row>
    <row r="20" spans="1:53" s="334" customFormat="1" x14ac:dyDescent="0.15">
      <c r="A20" s="334">
        <v>2006</v>
      </c>
      <c r="B20" s="335"/>
      <c r="C20" s="812" t="s">
        <v>1014</v>
      </c>
      <c r="D20" s="812"/>
      <c r="E20" s="334">
        <v>40</v>
      </c>
      <c r="G20" s="419">
        <v>1</v>
      </c>
      <c r="H20" s="334">
        <v>13</v>
      </c>
      <c r="I20" s="334">
        <v>0</v>
      </c>
      <c r="J20" s="435">
        <v>15</v>
      </c>
      <c r="K20" s="384">
        <f t="shared" si="0"/>
        <v>6.666666666666667</v>
      </c>
      <c r="L20" s="384">
        <f t="shared" si="1"/>
        <v>86.666666666666671</v>
      </c>
      <c r="M20" s="384">
        <f t="shared" si="2"/>
        <v>0</v>
      </c>
      <c r="N20" s="421">
        <f t="shared" si="3"/>
        <v>93.333333333333343</v>
      </c>
      <c r="O20" s="383">
        <v>0.66</v>
      </c>
      <c r="P20" s="384">
        <v>43.42</v>
      </c>
      <c r="Q20" s="384">
        <v>0</v>
      </c>
      <c r="R20" s="385">
        <f t="shared" si="4"/>
        <v>44.08</v>
      </c>
      <c r="S20" s="334">
        <v>5</v>
      </c>
      <c r="T20" s="357"/>
      <c r="V20" s="343" t="s">
        <v>1015</v>
      </c>
      <c r="W20" s="334" t="s">
        <v>17</v>
      </c>
      <c r="X20" s="334" t="s">
        <v>18</v>
      </c>
      <c r="Y20" s="446">
        <v>43.42</v>
      </c>
      <c r="Z20" s="334" t="s">
        <v>516</v>
      </c>
      <c r="AA20" s="334" t="s">
        <v>340</v>
      </c>
      <c r="AB20" s="334" t="s">
        <v>11</v>
      </c>
      <c r="AC20" s="384">
        <v>0.7</v>
      </c>
      <c r="AD20" s="343"/>
      <c r="AG20" s="446"/>
      <c r="AK20" s="384"/>
      <c r="AL20" s="343"/>
      <c r="AO20" s="344"/>
      <c r="AP20" s="343"/>
      <c r="AS20" s="344"/>
      <c r="AW20" s="344"/>
      <c r="BA20" s="345"/>
    </row>
    <row r="21" spans="1:53" s="73" customFormat="1" x14ac:dyDescent="0.15">
      <c r="A21" s="73">
        <v>2006</v>
      </c>
      <c r="B21" s="121">
        <v>38758</v>
      </c>
      <c r="C21" s="811" t="s">
        <v>1016</v>
      </c>
      <c r="D21" s="811"/>
      <c r="E21" s="73">
        <v>325</v>
      </c>
      <c r="F21" s="73">
        <v>4</v>
      </c>
      <c r="G21" s="123">
        <v>0</v>
      </c>
      <c r="H21" s="73">
        <v>14</v>
      </c>
      <c r="I21" s="73">
        <v>0</v>
      </c>
      <c r="J21" s="134">
        <v>15</v>
      </c>
      <c r="K21" s="92">
        <f t="shared" si="0"/>
        <v>0</v>
      </c>
      <c r="L21" s="92">
        <f t="shared" si="1"/>
        <v>93.333333333333329</v>
      </c>
      <c r="M21" s="92">
        <f t="shared" si="2"/>
        <v>0</v>
      </c>
      <c r="N21" s="125">
        <f t="shared" si="3"/>
        <v>93.333333333333329</v>
      </c>
      <c r="O21" s="91">
        <v>0</v>
      </c>
      <c r="P21" s="92">
        <v>43.42</v>
      </c>
      <c r="Q21" s="92">
        <v>0</v>
      </c>
      <c r="R21" s="93">
        <f t="shared" si="4"/>
        <v>43.42</v>
      </c>
      <c r="S21" s="73">
        <v>4</v>
      </c>
      <c r="T21" s="81"/>
      <c r="U21" s="121">
        <v>38758</v>
      </c>
      <c r="V21" s="82" t="s">
        <v>1015</v>
      </c>
      <c r="W21" s="73" t="s">
        <v>17</v>
      </c>
      <c r="X21" s="73" t="s">
        <v>18</v>
      </c>
      <c r="Y21" s="155">
        <v>43.42</v>
      </c>
      <c r="AC21" s="92"/>
      <c r="AD21" s="82"/>
      <c r="AG21" s="155"/>
      <c r="AK21" s="92"/>
      <c r="AL21" s="82"/>
      <c r="AO21" s="83"/>
      <c r="AP21" s="82"/>
      <c r="AS21" s="83"/>
      <c r="AW21" s="83"/>
      <c r="BA21" s="84"/>
    </row>
    <row r="22" spans="1:53" s="73" customFormat="1" x14ac:dyDescent="0.15">
      <c r="A22" s="73">
        <v>2007</v>
      </c>
      <c r="B22" s="121"/>
      <c r="C22" s="811" t="s">
        <v>1016</v>
      </c>
      <c r="D22" s="811"/>
      <c r="E22" s="73">
        <v>0</v>
      </c>
      <c r="G22" s="123">
        <v>0</v>
      </c>
      <c r="H22" s="73">
        <v>14</v>
      </c>
      <c r="I22" s="73">
        <v>0</v>
      </c>
      <c r="J22" s="134">
        <v>15</v>
      </c>
      <c r="K22" s="92">
        <f t="shared" si="0"/>
        <v>0</v>
      </c>
      <c r="L22" s="92">
        <f t="shared" si="1"/>
        <v>93.333333333333329</v>
      </c>
      <c r="M22" s="92">
        <f t="shared" si="2"/>
        <v>0</v>
      </c>
      <c r="N22" s="125">
        <f t="shared" si="3"/>
        <v>93.333333333333329</v>
      </c>
      <c r="O22" s="91">
        <v>0</v>
      </c>
      <c r="P22" s="92">
        <v>43.42</v>
      </c>
      <c r="Q22" s="92">
        <v>0</v>
      </c>
      <c r="R22" s="93">
        <f t="shared" si="4"/>
        <v>43.42</v>
      </c>
      <c r="S22" s="73">
        <v>4</v>
      </c>
      <c r="T22" s="81"/>
      <c r="V22" s="82" t="s">
        <v>1015</v>
      </c>
      <c r="W22" s="73" t="s">
        <v>17</v>
      </c>
      <c r="X22" s="73" t="s">
        <v>18</v>
      </c>
      <c r="Y22" s="155">
        <v>43.42</v>
      </c>
      <c r="AC22" s="92"/>
      <c r="AD22" s="82"/>
      <c r="AG22" s="155"/>
      <c r="AK22" s="92"/>
      <c r="AL22" s="82"/>
      <c r="AO22" s="83"/>
      <c r="AP22" s="82"/>
      <c r="AS22" s="83"/>
      <c r="AW22" s="83"/>
      <c r="BA22" s="84"/>
    </row>
    <row r="23" spans="1:53" s="73" customFormat="1" x14ac:dyDescent="0.15">
      <c r="A23" s="73">
        <v>2007</v>
      </c>
      <c r="B23" s="121"/>
      <c r="C23" s="811" t="s">
        <v>1016</v>
      </c>
      <c r="D23" s="811"/>
      <c r="E23" s="73">
        <v>365</v>
      </c>
      <c r="G23" s="123">
        <v>0</v>
      </c>
      <c r="H23" s="73">
        <v>14</v>
      </c>
      <c r="I23" s="73">
        <v>0</v>
      </c>
      <c r="J23" s="134">
        <v>15</v>
      </c>
      <c r="K23" s="92">
        <f t="shared" si="0"/>
        <v>0</v>
      </c>
      <c r="L23" s="92">
        <f t="shared" si="1"/>
        <v>93.333333333333329</v>
      </c>
      <c r="M23" s="92">
        <f t="shared" si="2"/>
        <v>0</v>
      </c>
      <c r="N23" s="125">
        <f t="shared" si="3"/>
        <v>93.333333333333329</v>
      </c>
      <c r="O23" s="91">
        <v>0</v>
      </c>
      <c r="P23" s="92">
        <v>43.42</v>
      </c>
      <c r="Q23" s="92">
        <v>0</v>
      </c>
      <c r="R23" s="93">
        <f t="shared" si="4"/>
        <v>43.42</v>
      </c>
      <c r="S23" s="73">
        <v>4</v>
      </c>
      <c r="T23" s="95">
        <v>39411</v>
      </c>
      <c r="V23" s="82" t="s">
        <v>1015</v>
      </c>
      <c r="W23" s="73" t="s">
        <v>17</v>
      </c>
      <c r="X23" s="73" t="s">
        <v>18</v>
      </c>
      <c r="Y23" s="155">
        <v>43.42</v>
      </c>
      <c r="AC23" s="92"/>
      <c r="AD23" s="82"/>
      <c r="AG23" s="155"/>
      <c r="AK23" s="92"/>
      <c r="AL23" s="82"/>
      <c r="AO23" s="83"/>
      <c r="AP23" s="82"/>
      <c r="AS23" s="83"/>
      <c r="AW23" s="83"/>
      <c r="BA23" s="84"/>
    </row>
    <row r="24" spans="1:53" s="73" customFormat="1" x14ac:dyDescent="0.15">
      <c r="A24" s="73">
        <v>2008</v>
      </c>
      <c r="B24" s="121"/>
      <c r="C24" s="811" t="s">
        <v>1016</v>
      </c>
      <c r="D24" s="811"/>
      <c r="E24" s="73">
        <v>11</v>
      </c>
      <c r="G24" s="123">
        <v>0</v>
      </c>
      <c r="H24" s="73">
        <v>14</v>
      </c>
      <c r="I24" s="73">
        <v>0</v>
      </c>
      <c r="J24" s="134">
        <v>15</v>
      </c>
      <c r="K24" s="92">
        <f t="shared" si="0"/>
        <v>0</v>
      </c>
      <c r="L24" s="92">
        <f t="shared" si="1"/>
        <v>93.333333333333329</v>
      </c>
      <c r="M24" s="92">
        <f t="shared" si="2"/>
        <v>0</v>
      </c>
      <c r="N24" s="125">
        <f t="shared" si="3"/>
        <v>93.333333333333329</v>
      </c>
      <c r="O24" s="91">
        <v>0</v>
      </c>
      <c r="P24" s="92">
        <v>43.42</v>
      </c>
      <c r="Q24" s="92">
        <v>0</v>
      </c>
      <c r="R24" s="93">
        <f t="shared" si="4"/>
        <v>43.42</v>
      </c>
      <c r="S24" s="73">
        <v>4</v>
      </c>
      <c r="T24" s="81"/>
      <c r="V24" s="82" t="s">
        <v>1015</v>
      </c>
      <c r="W24" s="73" t="s">
        <v>17</v>
      </c>
      <c r="X24" s="73" t="s">
        <v>18</v>
      </c>
      <c r="Y24" s="155">
        <v>43.42</v>
      </c>
      <c r="AC24" s="92"/>
      <c r="AD24" s="82"/>
      <c r="AG24" s="155"/>
      <c r="AK24" s="92"/>
      <c r="AL24" s="82"/>
      <c r="AO24" s="83"/>
      <c r="AP24" s="82"/>
      <c r="AS24" s="83"/>
      <c r="AW24" s="83"/>
      <c r="BA24" s="84"/>
    </row>
    <row r="25" spans="1:53" s="334" customFormat="1" x14ac:dyDescent="0.15">
      <c r="A25" s="334">
        <v>2008</v>
      </c>
      <c r="B25" s="335">
        <v>39459</v>
      </c>
      <c r="C25" s="812" t="s">
        <v>1017</v>
      </c>
      <c r="D25" s="812"/>
      <c r="E25" s="334">
        <v>272</v>
      </c>
      <c r="F25" s="334">
        <v>1</v>
      </c>
      <c r="G25" s="419">
        <v>1</v>
      </c>
      <c r="H25" s="334">
        <v>16</v>
      </c>
      <c r="I25" s="334">
        <v>0</v>
      </c>
      <c r="J25" s="435">
        <v>18</v>
      </c>
      <c r="K25" s="384">
        <f t="shared" si="0"/>
        <v>5.5555555555555554</v>
      </c>
      <c r="L25" s="384">
        <f t="shared" si="1"/>
        <v>88.888888888888886</v>
      </c>
      <c r="M25" s="384">
        <f t="shared" si="2"/>
        <v>0</v>
      </c>
      <c r="N25" s="421">
        <f t="shared" si="3"/>
        <v>94.444444444444443</v>
      </c>
      <c r="O25" s="383">
        <v>3.3</v>
      </c>
      <c r="P25" s="384">
        <v>47</v>
      </c>
      <c r="Q25" s="384">
        <v>0</v>
      </c>
      <c r="R25" s="385">
        <f t="shared" si="4"/>
        <v>50.3</v>
      </c>
      <c r="S25" s="334">
        <v>2</v>
      </c>
      <c r="T25" s="357"/>
      <c r="U25" s="335">
        <v>39459</v>
      </c>
      <c r="V25" s="343" t="s">
        <v>1015</v>
      </c>
      <c r="W25" s="334" t="s">
        <v>17</v>
      </c>
      <c r="X25" s="334" t="s">
        <v>18</v>
      </c>
      <c r="Y25" s="446">
        <v>43.1</v>
      </c>
      <c r="Z25" s="334" t="s">
        <v>1009</v>
      </c>
      <c r="AA25" s="334" t="s">
        <v>886</v>
      </c>
      <c r="AB25" s="334" t="s">
        <v>18</v>
      </c>
      <c r="AC25" s="384">
        <v>3.9</v>
      </c>
      <c r="AD25" s="343" t="s">
        <v>1008</v>
      </c>
      <c r="AE25" s="334" t="s">
        <v>340</v>
      </c>
      <c r="AF25" s="334" t="s">
        <v>11</v>
      </c>
      <c r="AG25" s="446">
        <v>1.3</v>
      </c>
      <c r="AH25" s="334" t="s">
        <v>1018</v>
      </c>
      <c r="AI25" s="334" t="s">
        <v>340</v>
      </c>
      <c r="AJ25" s="334" t="s">
        <v>11</v>
      </c>
      <c r="AK25" s="384">
        <v>1.97</v>
      </c>
      <c r="AL25" s="343"/>
      <c r="AO25" s="344"/>
      <c r="AP25" s="343"/>
      <c r="AS25" s="344"/>
      <c r="AW25" s="344"/>
      <c r="BA25" s="345"/>
    </row>
    <row r="26" spans="1:53" s="334" customFormat="1" x14ac:dyDescent="0.15">
      <c r="A26" s="334">
        <v>2008</v>
      </c>
      <c r="B26" s="359">
        <v>39731</v>
      </c>
      <c r="C26" s="812" t="s">
        <v>1017</v>
      </c>
      <c r="D26" s="812"/>
      <c r="E26" s="334">
        <f xml:space="preserve"> 366-E25-E24</f>
        <v>83</v>
      </c>
      <c r="F26" s="360">
        <v>0</v>
      </c>
      <c r="G26" s="419">
        <v>1</v>
      </c>
      <c r="H26" s="334">
        <v>14</v>
      </c>
      <c r="I26" s="334">
        <v>0</v>
      </c>
      <c r="J26" s="435">
        <v>18</v>
      </c>
      <c r="K26" s="384">
        <f t="shared" si="0"/>
        <v>5.5555555555555554</v>
      </c>
      <c r="L26" s="384">
        <f t="shared" si="1"/>
        <v>77.777777777777786</v>
      </c>
      <c r="M26" s="384">
        <f t="shared" si="2"/>
        <v>0</v>
      </c>
      <c r="N26" s="421">
        <f t="shared" si="3"/>
        <v>83.333333333333343</v>
      </c>
      <c r="O26" s="383">
        <v>3.3</v>
      </c>
      <c r="P26" s="384">
        <v>47</v>
      </c>
      <c r="Q26" s="384">
        <v>0</v>
      </c>
      <c r="R26" s="385">
        <f t="shared" si="4"/>
        <v>50.3</v>
      </c>
      <c r="S26" s="334">
        <v>2</v>
      </c>
      <c r="T26" s="357"/>
      <c r="V26" s="343" t="s">
        <v>1015</v>
      </c>
      <c r="W26" s="334" t="s">
        <v>17</v>
      </c>
      <c r="X26" s="334" t="s">
        <v>18</v>
      </c>
      <c r="Y26" s="446">
        <v>43.1</v>
      </c>
      <c r="Z26" s="334" t="s">
        <v>1009</v>
      </c>
      <c r="AA26" s="334" t="s">
        <v>886</v>
      </c>
      <c r="AB26" s="334" t="s">
        <v>18</v>
      </c>
      <c r="AC26" s="384">
        <v>3.9</v>
      </c>
      <c r="AD26" s="343" t="s">
        <v>1008</v>
      </c>
      <c r="AE26" s="334" t="s">
        <v>340</v>
      </c>
      <c r="AF26" s="334" t="s">
        <v>11</v>
      </c>
      <c r="AG26" s="446">
        <v>1.3</v>
      </c>
      <c r="AH26" s="334" t="s">
        <v>1018</v>
      </c>
      <c r="AI26" s="334" t="s">
        <v>340</v>
      </c>
      <c r="AJ26" s="334" t="s">
        <v>11</v>
      </c>
      <c r="AK26" s="384">
        <v>1.97</v>
      </c>
      <c r="AL26" s="343"/>
      <c r="AO26" s="344"/>
      <c r="AP26" s="343"/>
      <c r="AS26" s="344"/>
      <c r="AW26" s="344"/>
      <c r="BA26" s="345"/>
    </row>
    <row r="27" spans="1:53" s="334" customFormat="1" x14ac:dyDescent="0.15">
      <c r="A27" s="334">
        <v>2009</v>
      </c>
      <c r="B27" s="335"/>
      <c r="C27" s="812" t="s">
        <v>1017</v>
      </c>
      <c r="D27" s="812"/>
      <c r="E27" s="334">
        <v>186</v>
      </c>
      <c r="G27" s="419">
        <v>1</v>
      </c>
      <c r="H27" s="334">
        <v>14</v>
      </c>
      <c r="I27" s="334">
        <v>0</v>
      </c>
      <c r="J27" s="435">
        <v>18</v>
      </c>
      <c r="K27" s="384">
        <f t="shared" si="0"/>
        <v>5.5555555555555554</v>
      </c>
      <c r="L27" s="384">
        <f t="shared" si="1"/>
        <v>77.777777777777786</v>
      </c>
      <c r="M27" s="384">
        <f t="shared" si="2"/>
        <v>0</v>
      </c>
      <c r="N27" s="421">
        <f t="shared" si="3"/>
        <v>83.333333333333343</v>
      </c>
      <c r="O27" s="383">
        <v>3.3</v>
      </c>
      <c r="P27" s="384">
        <v>47</v>
      </c>
      <c r="Q27" s="384">
        <v>0</v>
      </c>
      <c r="R27" s="385">
        <f t="shared" si="4"/>
        <v>50.3</v>
      </c>
      <c r="S27" s="334">
        <v>2</v>
      </c>
      <c r="T27" s="357"/>
      <c r="V27" s="343" t="s">
        <v>1015</v>
      </c>
      <c r="W27" s="334" t="s">
        <v>17</v>
      </c>
      <c r="X27" s="334" t="s">
        <v>18</v>
      </c>
      <c r="Y27" s="446">
        <v>43.1</v>
      </c>
      <c r="Z27" s="334" t="s">
        <v>1009</v>
      </c>
      <c r="AA27" s="334" t="s">
        <v>886</v>
      </c>
      <c r="AB27" s="334" t="s">
        <v>18</v>
      </c>
      <c r="AC27" s="384">
        <v>3.9</v>
      </c>
      <c r="AD27" s="343" t="s">
        <v>1008</v>
      </c>
      <c r="AE27" s="334" t="s">
        <v>340</v>
      </c>
      <c r="AF27" s="334" t="s">
        <v>11</v>
      </c>
      <c r="AG27" s="446">
        <v>1.3</v>
      </c>
      <c r="AH27" s="334" t="s">
        <v>1018</v>
      </c>
      <c r="AI27" s="334" t="s">
        <v>340</v>
      </c>
      <c r="AJ27" s="334" t="s">
        <v>11</v>
      </c>
      <c r="AK27" s="384">
        <v>1.97</v>
      </c>
      <c r="AL27" s="343"/>
      <c r="AO27" s="344"/>
      <c r="AP27" s="343"/>
      <c r="AS27" s="344"/>
      <c r="AW27" s="344"/>
      <c r="BA27" s="345"/>
    </row>
    <row r="28" spans="1:53" s="73" customFormat="1" x14ac:dyDescent="0.15">
      <c r="A28" s="73">
        <v>2009</v>
      </c>
      <c r="B28" s="121">
        <v>40000</v>
      </c>
      <c r="C28" s="811" t="s">
        <v>1019</v>
      </c>
      <c r="D28" s="811"/>
      <c r="E28" s="73">
        <f xml:space="preserve"> 365-E27</f>
        <v>179</v>
      </c>
      <c r="F28" s="73">
        <v>2</v>
      </c>
      <c r="G28" s="123">
        <v>1</v>
      </c>
      <c r="H28" s="73">
        <v>16</v>
      </c>
      <c r="I28" s="73">
        <v>0</v>
      </c>
      <c r="J28" s="134">
        <v>20</v>
      </c>
      <c r="K28" s="92">
        <f t="shared" si="0"/>
        <v>5</v>
      </c>
      <c r="L28" s="92">
        <f t="shared" si="1"/>
        <v>80</v>
      </c>
      <c r="M28" s="92">
        <f t="shared" si="2"/>
        <v>0</v>
      </c>
      <c r="N28" s="125">
        <f t="shared" si="3"/>
        <v>85</v>
      </c>
      <c r="O28" s="91">
        <v>3.27</v>
      </c>
      <c r="P28" s="92">
        <v>47</v>
      </c>
      <c r="Q28" s="92">
        <v>0</v>
      </c>
      <c r="R28" s="93">
        <f t="shared" si="4"/>
        <v>50.27</v>
      </c>
      <c r="S28" s="73">
        <v>2</v>
      </c>
      <c r="T28" s="81"/>
      <c r="U28" s="121">
        <v>40000</v>
      </c>
      <c r="V28" s="82" t="s">
        <v>1015</v>
      </c>
      <c r="W28" s="225" t="s">
        <v>17</v>
      </c>
      <c r="X28" s="73" t="s">
        <v>18</v>
      </c>
      <c r="Y28" s="155">
        <v>43.1</v>
      </c>
      <c r="Z28" s="73" t="s">
        <v>1018</v>
      </c>
      <c r="AA28" s="73" t="s">
        <v>340</v>
      </c>
      <c r="AB28" s="73" t="s">
        <v>11</v>
      </c>
      <c r="AC28" s="92">
        <v>1.97</v>
      </c>
      <c r="AD28" s="82" t="s">
        <v>1008</v>
      </c>
      <c r="AE28" s="73" t="s">
        <v>340</v>
      </c>
      <c r="AF28" s="73" t="s">
        <v>11</v>
      </c>
      <c r="AG28" s="155">
        <v>1.3</v>
      </c>
      <c r="AH28" s="73" t="s">
        <v>1009</v>
      </c>
      <c r="AI28" s="73" t="s">
        <v>886</v>
      </c>
      <c r="AJ28" s="73" t="s">
        <v>18</v>
      </c>
      <c r="AK28" s="92">
        <v>3.9</v>
      </c>
      <c r="AL28" s="82"/>
      <c r="AO28" s="83"/>
      <c r="AP28" s="82"/>
      <c r="AS28" s="83"/>
      <c r="AW28" s="83"/>
      <c r="BA28" s="84"/>
    </row>
    <row r="29" spans="1:53" s="73" customFormat="1" x14ac:dyDescent="0.15">
      <c r="A29" s="73">
        <v>2010</v>
      </c>
      <c r="B29" s="121"/>
      <c r="C29" s="811" t="s">
        <v>1019</v>
      </c>
      <c r="D29" s="811"/>
      <c r="E29" s="73">
        <v>83</v>
      </c>
      <c r="G29" s="123">
        <v>1</v>
      </c>
      <c r="H29" s="73">
        <v>16</v>
      </c>
      <c r="I29" s="73">
        <v>0</v>
      </c>
      <c r="J29" s="134">
        <v>20</v>
      </c>
      <c r="K29" s="92">
        <f t="shared" si="0"/>
        <v>5</v>
      </c>
      <c r="L29" s="92">
        <f t="shared" si="1"/>
        <v>80</v>
      </c>
      <c r="M29" s="92">
        <f t="shared" si="2"/>
        <v>0</v>
      </c>
      <c r="N29" s="125">
        <f t="shared" si="3"/>
        <v>85</v>
      </c>
      <c r="O29" s="91">
        <v>3.27</v>
      </c>
      <c r="P29" s="92">
        <v>47</v>
      </c>
      <c r="Q29" s="92">
        <v>0</v>
      </c>
      <c r="R29" s="93">
        <f t="shared" si="4"/>
        <v>50.27</v>
      </c>
      <c r="S29" s="73">
        <v>2</v>
      </c>
      <c r="T29" s="81"/>
      <c r="V29" s="82" t="s">
        <v>1015</v>
      </c>
      <c r="W29" s="225" t="s">
        <v>17</v>
      </c>
      <c r="X29" s="73" t="s">
        <v>18</v>
      </c>
      <c r="Y29" s="155">
        <v>43.1</v>
      </c>
      <c r="Z29" s="73" t="s">
        <v>1018</v>
      </c>
      <c r="AA29" s="73" t="s">
        <v>340</v>
      </c>
      <c r="AB29" s="73" t="s">
        <v>11</v>
      </c>
      <c r="AC29" s="92">
        <v>1.97</v>
      </c>
      <c r="AD29" s="82" t="s">
        <v>1008</v>
      </c>
      <c r="AE29" s="73" t="s">
        <v>340</v>
      </c>
      <c r="AF29" s="73" t="s">
        <v>11</v>
      </c>
      <c r="AG29" s="155">
        <v>1.3</v>
      </c>
      <c r="AH29" s="73" t="s">
        <v>1009</v>
      </c>
      <c r="AI29" s="73" t="s">
        <v>886</v>
      </c>
      <c r="AJ29" s="73" t="s">
        <v>18</v>
      </c>
      <c r="AK29" s="92">
        <v>3.9</v>
      </c>
      <c r="AL29" s="82"/>
      <c r="AO29" s="83"/>
      <c r="AP29" s="82"/>
      <c r="AS29" s="83"/>
      <c r="AW29" s="83"/>
      <c r="BA29" s="84"/>
    </row>
    <row r="30" spans="1:53" s="73" customFormat="1" x14ac:dyDescent="0.15">
      <c r="A30" s="73">
        <v>2010</v>
      </c>
      <c r="B30" s="156">
        <v>40262</v>
      </c>
      <c r="C30" s="811" t="s">
        <v>1019</v>
      </c>
      <c r="D30" s="811"/>
      <c r="E30" s="73">
        <v>104</v>
      </c>
      <c r="F30" s="129">
        <v>0</v>
      </c>
      <c r="G30" s="123">
        <v>1</v>
      </c>
      <c r="H30" s="73">
        <v>15</v>
      </c>
      <c r="I30" s="73">
        <v>0</v>
      </c>
      <c r="J30" s="134">
        <v>19</v>
      </c>
      <c r="K30" s="92">
        <f t="shared" si="0"/>
        <v>5.2631578947368416</v>
      </c>
      <c r="L30" s="92">
        <f t="shared" si="1"/>
        <v>78.94736842105263</v>
      </c>
      <c r="M30" s="92">
        <f t="shared" si="2"/>
        <v>0</v>
      </c>
      <c r="N30" s="125">
        <f t="shared" si="3"/>
        <v>84.210526315789465</v>
      </c>
      <c r="O30" s="91">
        <v>3.27</v>
      </c>
      <c r="P30" s="92">
        <v>47</v>
      </c>
      <c r="Q30" s="92">
        <v>0</v>
      </c>
      <c r="R30" s="93">
        <f t="shared" si="4"/>
        <v>50.27</v>
      </c>
      <c r="S30" s="73">
        <v>2</v>
      </c>
      <c r="T30" s="81"/>
      <c r="V30" s="82" t="s">
        <v>1015</v>
      </c>
      <c r="W30" s="225" t="s">
        <v>17</v>
      </c>
      <c r="X30" s="73" t="s">
        <v>18</v>
      </c>
      <c r="Y30" s="155">
        <v>43.1</v>
      </c>
      <c r="Z30" s="73" t="s">
        <v>1018</v>
      </c>
      <c r="AA30" s="73" t="s">
        <v>340</v>
      </c>
      <c r="AB30" s="73" t="s">
        <v>11</v>
      </c>
      <c r="AC30" s="92">
        <v>1.97</v>
      </c>
      <c r="AD30" s="82" t="s">
        <v>1008</v>
      </c>
      <c r="AE30" s="73" t="s">
        <v>340</v>
      </c>
      <c r="AF30" s="73" t="s">
        <v>11</v>
      </c>
      <c r="AG30" s="155">
        <v>1.3</v>
      </c>
      <c r="AH30" s="73" t="s">
        <v>1009</v>
      </c>
      <c r="AI30" s="73" t="s">
        <v>886</v>
      </c>
      <c r="AJ30" s="73" t="s">
        <v>18</v>
      </c>
      <c r="AK30" s="92">
        <v>3.9</v>
      </c>
      <c r="AL30" s="82"/>
      <c r="AO30" s="83"/>
      <c r="AP30" s="82"/>
      <c r="AS30" s="83"/>
      <c r="AW30" s="83"/>
      <c r="BA30" s="84"/>
    </row>
    <row r="31" spans="1:53" s="73" customFormat="1" x14ac:dyDescent="0.15">
      <c r="A31" s="73">
        <v>2010</v>
      </c>
      <c r="B31" s="156">
        <v>40366</v>
      </c>
      <c r="C31" s="811" t="s">
        <v>1019</v>
      </c>
      <c r="D31" s="811"/>
      <c r="E31" s="73">
        <v>175</v>
      </c>
      <c r="F31" s="129">
        <v>0</v>
      </c>
      <c r="G31" s="123">
        <v>1</v>
      </c>
      <c r="H31" s="73">
        <v>16</v>
      </c>
      <c r="I31" s="73">
        <v>0</v>
      </c>
      <c r="J31" s="134">
        <v>19</v>
      </c>
      <c r="K31" s="92">
        <f t="shared" si="0"/>
        <v>5.2631578947368416</v>
      </c>
      <c r="L31" s="92">
        <f t="shared" si="1"/>
        <v>84.210526315789465</v>
      </c>
      <c r="M31" s="92">
        <f t="shared" si="2"/>
        <v>0</v>
      </c>
      <c r="N31" s="125">
        <f t="shared" si="3"/>
        <v>89.473684210526301</v>
      </c>
      <c r="O31" s="91">
        <v>3.27</v>
      </c>
      <c r="P31" s="92">
        <v>47</v>
      </c>
      <c r="Q31" s="92">
        <v>0</v>
      </c>
      <c r="R31" s="93">
        <f t="shared" si="4"/>
        <v>50.27</v>
      </c>
      <c r="S31" s="73">
        <v>2</v>
      </c>
      <c r="T31" s="81"/>
      <c r="V31" s="82" t="s">
        <v>1015</v>
      </c>
      <c r="W31" s="225" t="s">
        <v>17</v>
      </c>
      <c r="X31" s="73" t="s">
        <v>18</v>
      </c>
      <c r="Y31" s="155">
        <v>43.1</v>
      </c>
      <c r="Z31" s="73" t="s">
        <v>1018</v>
      </c>
      <c r="AA31" s="73" t="s">
        <v>340</v>
      </c>
      <c r="AB31" s="73" t="s">
        <v>11</v>
      </c>
      <c r="AC31" s="92">
        <v>1.97</v>
      </c>
      <c r="AD31" s="82" t="s">
        <v>1008</v>
      </c>
      <c r="AE31" s="73" t="s">
        <v>340</v>
      </c>
      <c r="AF31" s="73" t="s">
        <v>11</v>
      </c>
      <c r="AG31" s="155">
        <v>1.3</v>
      </c>
      <c r="AH31" s="73" t="s">
        <v>1009</v>
      </c>
      <c r="AI31" s="73" t="s">
        <v>886</v>
      </c>
      <c r="AJ31" s="73" t="s">
        <v>18</v>
      </c>
      <c r="AK31" s="92">
        <v>3.9</v>
      </c>
      <c r="AL31" s="82"/>
      <c r="AO31" s="83"/>
      <c r="AP31" s="82"/>
      <c r="AS31" s="83"/>
      <c r="AW31" s="83"/>
      <c r="BA31" s="84"/>
    </row>
    <row r="32" spans="1:53" s="334" customFormat="1" x14ac:dyDescent="0.15">
      <c r="A32" s="334">
        <v>2010</v>
      </c>
      <c r="B32" s="335">
        <v>40541</v>
      </c>
      <c r="C32" s="812" t="s">
        <v>1020</v>
      </c>
      <c r="D32" s="812"/>
      <c r="E32" s="334">
        <f xml:space="preserve"> 365-E31-E30-E29</f>
        <v>3</v>
      </c>
      <c r="F32" s="334">
        <v>4</v>
      </c>
      <c r="G32" s="419">
        <v>0</v>
      </c>
      <c r="H32" s="334">
        <v>16</v>
      </c>
      <c r="I32" s="334">
        <v>0</v>
      </c>
      <c r="J32" s="435">
        <v>19</v>
      </c>
      <c r="K32" s="384">
        <f t="shared" si="0"/>
        <v>0</v>
      </c>
      <c r="L32" s="384">
        <f t="shared" si="1"/>
        <v>84.210526315789465</v>
      </c>
      <c r="M32" s="384">
        <f t="shared" si="2"/>
        <v>0</v>
      </c>
      <c r="N32" s="421">
        <f t="shared" si="3"/>
        <v>84.210526315789465</v>
      </c>
      <c r="O32" s="383">
        <v>1.97</v>
      </c>
      <c r="P32" s="384">
        <v>47</v>
      </c>
      <c r="Q32" s="384">
        <v>0</v>
      </c>
      <c r="R32" s="385">
        <f t="shared" si="4"/>
        <v>48.97</v>
      </c>
      <c r="S32" s="334">
        <v>5</v>
      </c>
      <c r="T32" s="357"/>
      <c r="U32" s="335">
        <v>40541</v>
      </c>
      <c r="V32" s="343" t="s">
        <v>1015</v>
      </c>
      <c r="W32" s="334" t="s">
        <v>17</v>
      </c>
      <c r="X32" s="334" t="s">
        <v>18</v>
      </c>
      <c r="Y32" s="446">
        <v>43.1</v>
      </c>
      <c r="Z32" s="334" t="s">
        <v>1018</v>
      </c>
      <c r="AA32" s="334" t="s">
        <v>340</v>
      </c>
      <c r="AB32" s="334" t="s">
        <v>11</v>
      </c>
      <c r="AC32" s="384">
        <v>1.97</v>
      </c>
      <c r="AD32" s="343" t="s">
        <v>1009</v>
      </c>
      <c r="AE32" s="334" t="s">
        <v>886</v>
      </c>
      <c r="AF32" s="334" t="s">
        <v>18</v>
      </c>
      <c r="AG32" s="446">
        <v>3.9</v>
      </c>
      <c r="AL32" s="343"/>
      <c r="AO32" s="344"/>
      <c r="AP32" s="343"/>
      <c r="AS32" s="344"/>
      <c r="AW32" s="344"/>
      <c r="BA32" s="345"/>
    </row>
    <row r="33" spans="1:53" s="334" customFormat="1" x14ac:dyDescent="0.15">
      <c r="A33" s="334">
        <v>2011</v>
      </c>
      <c r="B33" s="335"/>
      <c r="C33" s="812" t="s">
        <v>1020</v>
      </c>
      <c r="D33" s="812"/>
      <c r="E33" s="334">
        <v>356</v>
      </c>
      <c r="G33" s="419">
        <v>0</v>
      </c>
      <c r="H33" s="334">
        <v>16</v>
      </c>
      <c r="I33" s="334">
        <v>0</v>
      </c>
      <c r="J33" s="435">
        <v>19</v>
      </c>
      <c r="K33" s="384">
        <f t="shared" si="0"/>
        <v>0</v>
      </c>
      <c r="L33" s="384">
        <f t="shared" si="1"/>
        <v>84.210526315789465</v>
      </c>
      <c r="M33" s="384">
        <f t="shared" si="2"/>
        <v>0</v>
      </c>
      <c r="N33" s="421">
        <f t="shared" si="3"/>
        <v>84.210526315789465</v>
      </c>
      <c r="O33" s="383">
        <v>1.97</v>
      </c>
      <c r="P33" s="384">
        <v>47</v>
      </c>
      <c r="Q33" s="384">
        <v>0</v>
      </c>
      <c r="R33" s="385">
        <f t="shared" si="4"/>
        <v>48.97</v>
      </c>
      <c r="S33" s="334">
        <v>5</v>
      </c>
      <c r="T33" s="357"/>
      <c r="V33" s="343" t="s">
        <v>1015</v>
      </c>
      <c r="W33" s="334" t="s">
        <v>17</v>
      </c>
      <c r="X33" s="334" t="s">
        <v>18</v>
      </c>
      <c r="Y33" s="446">
        <v>43.1</v>
      </c>
      <c r="Z33" s="334" t="s">
        <v>1018</v>
      </c>
      <c r="AA33" s="334" t="s">
        <v>340</v>
      </c>
      <c r="AB33" s="334" t="s">
        <v>11</v>
      </c>
      <c r="AC33" s="384">
        <v>1.97</v>
      </c>
      <c r="AD33" s="343" t="s">
        <v>1009</v>
      </c>
      <c r="AE33" s="334" t="s">
        <v>886</v>
      </c>
      <c r="AF33" s="334" t="s">
        <v>18</v>
      </c>
      <c r="AG33" s="446">
        <v>3.9</v>
      </c>
      <c r="AL33" s="343"/>
      <c r="AO33" s="344"/>
      <c r="AP33" s="343"/>
      <c r="AS33" s="344"/>
      <c r="AW33" s="344"/>
      <c r="BA33" s="345"/>
    </row>
    <row r="34" spans="1:53" s="73" customFormat="1" x14ac:dyDescent="0.15">
      <c r="A34" s="73">
        <v>2011</v>
      </c>
      <c r="B34" s="121">
        <v>40900</v>
      </c>
      <c r="C34" s="811" t="s">
        <v>1201</v>
      </c>
      <c r="D34" s="811"/>
      <c r="E34" s="73">
        <f xml:space="preserve"> 365-E33</f>
        <v>9</v>
      </c>
      <c r="F34" s="73">
        <v>1</v>
      </c>
      <c r="G34" s="123">
        <v>5</v>
      </c>
      <c r="H34" s="73">
        <v>0</v>
      </c>
      <c r="I34" s="73">
        <v>15</v>
      </c>
      <c r="J34" s="134">
        <v>22</v>
      </c>
      <c r="K34" s="92">
        <f t="shared" si="0"/>
        <v>22.727272727272727</v>
      </c>
      <c r="L34" s="92">
        <f t="shared" si="1"/>
        <v>0</v>
      </c>
      <c r="M34" s="92">
        <f t="shared" si="2"/>
        <v>68.181818181818173</v>
      </c>
      <c r="N34" s="125">
        <f t="shared" si="3"/>
        <v>90.909090909090907</v>
      </c>
      <c r="O34" s="91">
        <v>11.3</v>
      </c>
      <c r="P34" s="92">
        <v>0</v>
      </c>
      <c r="Q34" s="92">
        <v>39.700000000000003</v>
      </c>
      <c r="R34" s="93">
        <f t="shared" si="4"/>
        <v>51</v>
      </c>
      <c r="S34" s="73">
        <v>2</v>
      </c>
      <c r="T34" s="95">
        <v>40881</v>
      </c>
      <c r="U34" s="121">
        <v>40900</v>
      </c>
      <c r="V34" s="82" t="s">
        <v>112</v>
      </c>
      <c r="W34" s="73" t="s">
        <v>20</v>
      </c>
      <c r="X34" s="73" t="s">
        <v>12</v>
      </c>
      <c r="Y34" s="155">
        <v>39.700000000000003</v>
      </c>
      <c r="Z34" s="73" t="s">
        <v>1011</v>
      </c>
      <c r="AA34" s="73" t="s">
        <v>22</v>
      </c>
      <c r="AB34" s="73" t="s">
        <v>11</v>
      </c>
      <c r="AC34" s="92">
        <v>9.3000000000000007</v>
      </c>
      <c r="AD34" s="82" t="s">
        <v>1010</v>
      </c>
      <c r="AE34" s="73" t="s">
        <v>340</v>
      </c>
      <c r="AF34" s="73" t="s">
        <v>11</v>
      </c>
      <c r="AG34" s="155">
        <v>2</v>
      </c>
      <c r="AL34" s="82"/>
      <c r="AO34" s="83"/>
      <c r="AP34" s="82"/>
      <c r="AS34" s="83"/>
      <c r="AW34" s="83"/>
      <c r="BA34" s="84"/>
    </row>
    <row r="35" spans="1:53" s="73" customFormat="1" x14ac:dyDescent="0.15">
      <c r="A35" s="73">
        <v>2012</v>
      </c>
      <c r="C35" s="811" t="s">
        <v>1201</v>
      </c>
      <c r="D35" s="811"/>
      <c r="E35" s="73">
        <v>0</v>
      </c>
      <c r="G35" s="123">
        <v>5</v>
      </c>
      <c r="H35" s="73">
        <v>0</v>
      </c>
      <c r="I35" s="73">
        <v>15</v>
      </c>
      <c r="J35" s="134">
        <v>22</v>
      </c>
      <c r="K35" s="92">
        <f t="shared" si="0"/>
        <v>22.727272727272727</v>
      </c>
      <c r="L35" s="92">
        <f t="shared" si="1"/>
        <v>0</v>
      </c>
      <c r="M35" s="92">
        <f t="shared" si="2"/>
        <v>68.181818181818173</v>
      </c>
      <c r="N35" s="125">
        <f t="shared" si="3"/>
        <v>90.909090909090907</v>
      </c>
      <c r="O35" s="91">
        <v>11.3</v>
      </c>
      <c r="P35" s="92">
        <v>0</v>
      </c>
      <c r="Q35" s="92">
        <v>39.700000000000003</v>
      </c>
      <c r="R35" s="93">
        <f t="shared" si="4"/>
        <v>51</v>
      </c>
      <c r="S35" s="73">
        <v>2</v>
      </c>
      <c r="T35" s="81"/>
      <c r="V35" s="82" t="s">
        <v>112</v>
      </c>
      <c r="W35" s="73" t="s">
        <v>20</v>
      </c>
      <c r="X35" s="73" t="s">
        <v>12</v>
      </c>
      <c r="Y35" s="155">
        <v>39.700000000000003</v>
      </c>
      <c r="Z35" s="73" t="s">
        <v>1011</v>
      </c>
      <c r="AA35" s="73" t="s">
        <v>22</v>
      </c>
      <c r="AB35" s="73" t="s">
        <v>11</v>
      </c>
      <c r="AC35" s="92">
        <v>9.3000000000000007</v>
      </c>
      <c r="AD35" s="82" t="s">
        <v>1010</v>
      </c>
      <c r="AE35" s="73" t="s">
        <v>340</v>
      </c>
      <c r="AF35" s="73" t="s">
        <v>11</v>
      </c>
      <c r="AG35" s="155">
        <v>2</v>
      </c>
      <c r="AL35" s="82"/>
      <c r="AO35" s="83"/>
      <c r="AP35" s="82"/>
      <c r="AS35" s="83"/>
      <c r="AW35" s="83"/>
      <c r="BA35" s="84"/>
    </row>
    <row r="36" spans="1:53" s="73" customFormat="1" x14ac:dyDescent="0.15">
      <c r="A36" s="73">
        <v>2012</v>
      </c>
      <c r="B36" s="157"/>
      <c r="C36" s="811" t="s">
        <v>1201</v>
      </c>
      <c r="D36" s="811"/>
      <c r="E36" s="73">
        <v>366</v>
      </c>
      <c r="G36" s="123">
        <v>5</v>
      </c>
      <c r="H36" s="73">
        <v>0</v>
      </c>
      <c r="I36" s="73">
        <v>15</v>
      </c>
      <c r="J36" s="134">
        <v>22</v>
      </c>
      <c r="K36" s="92">
        <f t="shared" si="0"/>
        <v>22.727272727272727</v>
      </c>
      <c r="L36" s="92">
        <f t="shared" si="1"/>
        <v>0</v>
      </c>
      <c r="M36" s="92">
        <f t="shared" si="2"/>
        <v>68.181818181818173</v>
      </c>
      <c r="N36" s="125">
        <f t="shared" si="3"/>
        <v>90.909090909090907</v>
      </c>
      <c r="O36" s="91">
        <v>11.3</v>
      </c>
      <c r="P36" s="92">
        <v>0</v>
      </c>
      <c r="Q36" s="92">
        <v>39.700000000000003</v>
      </c>
      <c r="R36" s="93">
        <f t="shared" si="4"/>
        <v>51</v>
      </c>
      <c r="S36" s="73">
        <v>2</v>
      </c>
      <c r="T36" s="81"/>
      <c r="V36" s="82" t="s">
        <v>112</v>
      </c>
      <c r="W36" s="73" t="s">
        <v>20</v>
      </c>
      <c r="X36" s="73" t="s">
        <v>12</v>
      </c>
      <c r="Y36" s="155">
        <v>39.700000000000003</v>
      </c>
      <c r="Z36" s="73" t="s">
        <v>1011</v>
      </c>
      <c r="AA36" s="73" t="s">
        <v>22</v>
      </c>
      <c r="AB36" s="73" t="s">
        <v>11</v>
      </c>
      <c r="AC36" s="92">
        <v>9.3000000000000007</v>
      </c>
      <c r="AD36" s="82" t="s">
        <v>1010</v>
      </c>
      <c r="AE36" s="73" t="s">
        <v>340</v>
      </c>
      <c r="AF36" s="73" t="s">
        <v>11</v>
      </c>
      <c r="AG36" s="155">
        <v>2</v>
      </c>
      <c r="AL36" s="82"/>
      <c r="AO36" s="83"/>
      <c r="AP36" s="82"/>
      <c r="AS36" s="83"/>
      <c r="AW36" s="83"/>
      <c r="BA36" s="84"/>
    </row>
    <row r="37" spans="1:53" s="312" customFormat="1" x14ac:dyDescent="0.15">
      <c r="A37" s="312">
        <v>2013</v>
      </c>
      <c r="B37" s="313"/>
      <c r="C37" s="811" t="s">
        <v>1201</v>
      </c>
      <c r="D37" s="811"/>
      <c r="E37" s="316">
        <v>181</v>
      </c>
      <c r="G37" s="123">
        <v>5</v>
      </c>
      <c r="H37" s="312">
        <v>0</v>
      </c>
      <c r="I37" s="312">
        <v>15</v>
      </c>
      <c r="J37" s="134">
        <v>22</v>
      </c>
      <c r="K37" s="92">
        <f t="shared" si="0"/>
        <v>22.727272727272727</v>
      </c>
      <c r="L37" s="92">
        <f t="shared" si="1"/>
        <v>0</v>
      </c>
      <c r="M37" s="92">
        <f t="shared" si="2"/>
        <v>68.181818181818173</v>
      </c>
      <c r="N37" s="125">
        <f t="shared" si="3"/>
        <v>90.909090909090907</v>
      </c>
      <c r="O37" s="91">
        <v>11.3</v>
      </c>
      <c r="P37" s="92">
        <v>0</v>
      </c>
      <c r="Q37" s="92">
        <v>39.700000000000003</v>
      </c>
      <c r="R37" s="93">
        <f t="shared" si="4"/>
        <v>51</v>
      </c>
      <c r="S37" s="312">
        <v>2</v>
      </c>
      <c r="T37" s="81"/>
      <c r="V37" s="82" t="s">
        <v>112</v>
      </c>
      <c r="W37" s="316" t="s">
        <v>20</v>
      </c>
      <c r="X37" s="316" t="s">
        <v>12</v>
      </c>
      <c r="Y37" s="155">
        <v>39.700000000000003</v>
      </c>
      <c r="Z37" s="316" t="s">
        <v>1011</v>
      </c>
      <c r="AA37" s="316" t="s">
        <v>22</v>
      </c>
      <c r="AB37" s="316" t="s">
        <v>11</v>
      </c>
      <c r="AC37" s="92">
        <v>9.3000000000000007</v>
      </c>
      <c r="AD37" s="82" t="s">
        <v>1010</v>
      </c>
      <c r="AE37" s="316" t="s">
        <v>340</v>
      </c>
      <c r="AF37" s="316" t="s">
        <v>11</v>
      </c>
      <c r="AG37" s="155">
        <v>2</v>
      </c>
      <c r="AL37" s="82"/>
      <c r="AO37" s="83"/>
      <c r="AP37" s="82"/>
      <c r="AS37" s="83"/>
      <c r="AW37" s="83"/>
      <c r="BA37" s="84"/>
    </row>
    <row r="38" spans="1:53" s="321" customFormat="1" x14ac:dyDescent="0.15">
      <c r="A38" s="321">
        <v>2013</v>
      </c>
      <c r="B38" s="156">
        <v>41456</v>
      </c>
      <c r="C38" s="811" t="s">
        <v>1201</v>
      </c>
      <c r="D38" s="811"/>
      <c r="E38" s="321">
        <f>365-E37</f>
        <v>184</v>
      </c>
      <c r="F38" s="129">
        <v>0</v>
      </c>
      <c r="G38" s="123">
        <v>5</v>
      </c>
      <c r="H38" s="321">
        <v>0</v>
      </c>
      <c r="I38" s="321">
        <v>14</v>
      </c>
      <c r="J38" s="134">
        <v>21</v>
      </c>
      <c r="K38" s="92">
        <f>G38/J38*100</f>
        <v>23.809523809523807</v>
      </c>
      <c r="L38" s="92">
        <f>H38/J38*100</f>
        <v>0</v>
      </c>
      <c r="M38" s="92">
        <f>I38/J38*100</f>
        <v>66.666666666666657</v>
      </c>
      <c r="N38" s="125">
        <f>SUM(K38:M38)</f>
        <v>90.476190476190467</v>
      </c>
      <c r="O38" s="91">
        <v>11.3</v>
      </c>
      <c r="P38" s="92">
        <v>0</v>
      </c>
      <c r="Q38" s="92">
        <v>39.700000000000003</v>
      </c>
      <c r="R38" s="93">
        <f t="shared" si="4"/>
        <v>51</v>
      </c>
      <c r="S38" s="321">
        <v>2</v>
      </c>
      <c r="T38" s="81"/>
      <c r="V38" s="82" t="s">
        <v>112</v>
      </c>
      <c r="W38" s="321" t="s">
        <v>20</v>
      </c>
      <c r="X38" s="321" t="s">
        <v>12</v>
      </c>
      <c r="Y38" s="155">
        <v>39.700000000000003</v>
      </c>
      <c r="Z38" s="321" t="s">
        <v>1011</v>
      </c>
      <c r="AA38" s="321" t="s">
        <v>22</v>
      </c>
      <c r="AB38" s="321" t="s">
        <v>11</v>
      </c>
      <c r="AC38" s="92">
        <v>9.3000000000000007</v>
      </c>
      <c r="AD38" s="82" t="s">
        <v>1010</v>
      </c>
      <c r="AE38" s="321" t="s">
        <v>340</v>
      </c>
      <c r="AF38" s="321" t="s">
        <v>11</v>
      </c>
      <c r="AG38" s="155">
        <v>2</v>
      </c>
      <c r="AH38" s="82"/>
      <c r="AK38" s="92"/>
      <c r="AL38" s="82"/>
      <c r="AO38" s="155"/>
      <c r="AP38" s="82"/>
      <c r="AS38" s="83"/>
      <c r="AW38" s="83"/>
      <c r="BA38" s="84"/>
    </row>
    <row r="39" spans="1:53" s="518" customFormat="1" x14ac:dyDescent="0.15">
      <c r="A39" s="518">
        <v>2014</v>
      </c>
      <c r="B39" s="156"/>
      <c r="C39" s="811" t="s">
        <v>1201</v>
      </c>
      <c r="D39" s="811"/>
      <c r="E39" s="518">
        <v>168</v>
      </c>
      <c r="F39" s="129"/>
      <c r="G39" s="480">
        <v>5</v>
      </c>
      <c r="H39" s="518">
        <v>0</v>
      </c>
      <c r="I39" s="518">
        <v>14</v>
      </c>
      <c r="J39" s="482">
        <v>21</v>
      </c>
      <c r="K39" s="477">
        <f>G39/J39*100</f>
        <v>23.809523809523807</v>
      </c>
      <c r="L39" s="477">
        <f>H39/J39*100</f>
        <v>0</v>
      </c>
      <c r="M39" s="477">
        <f>I39/J39*100</f>
        <v>66.666666666666657</v>
      </c>
      <c r="N39" s="481">
        <f>SUM(K39:M39)</f>
        <v>90.476190476190467</v>
      </c>
      <c r="O39" s="476">
        <v>11.3</v>
      </c>
      <c r="P39" s="477">
        <v>0</v>
      </c>
      <c r="Q39" s="477">
        <v>39.700000000000003</v>
      </c>
      <c r="R39" s="478">
        <f t="shared" si="4"/>
        <v>51</v>
      </c>
      <c r="S39" s="518">
        <v>2</v>
      </c>
      <c r="T39" s="471"/>
      <c r="V39" s="472" t="s">
        <v>112</v>
      </c>
      <c r="W39" s="518" t="s">
        <v>20</v>
      </c>
      <c r="X39" s="518" t="s">
        <v>12</v>
      </c>
      <c r="Y39" s="485">
        <v>39.700000000000003</v>
      </c>
      <c r="Z39" s="518" t="s">
        <v>1011</v>
      </c>
      <c r="AA39" s="518" t="s">
        <v>22</v>
      </c>
      <c r="AB39" s="518" t="s">
        <v>11</v>
      </c>
      <c r="AC39" s="477">
        <v>9.3000000000000007</v>
      </c>
      <c r="AD39" s="472" t="s">
        <v>1010</v>
      </c>
      <c r="AE39" s="518" t="s">
        <v>340</v>
      </c>
      <c r="AF39" s="518" t="s">
        <v>11</v>
      </c>
      <c r="AG39" s="485">
        <v>2</v>
      </c>
      <c r="AH39" s="472"/>
      <c r="AK39" s="477"/>
      <c r="AL39" s="472"/>
      <c r="AO39" s="485"/>
      <c r="AP39" s="472"/>
      <c r="AS39" s="473"/>
      <c r="AW39" s="473"/>
      <c r="BA39" s="474"/>
    </row>
    <row r="40" spans="1:53" s="518" customFormat="1" x14ac:dyDescent="0.15">
      <c r="A40" s="518">
        <v>2014</v>
      </c>
      <c r="B40" s="156">
        <v>41808</v>
      </c>
      <c r="C40" s="811" t="s">
        <v>1201</v>
      </c>
      <c r="D40" s="811"/>
      <c r="E40" s="518">
        <v>197</v>
      </c>
      <c r="F40" s="129">
        <v>0</v>
      </c>
      <c r="G40" s="480">
        <v>5</v>
      </c>
      <c r="H40" s="518">
        <v>0</v>
      </c>
      <c r="I40" s="518">
        <v>13</v>
      </c>
      <c r="J40" s="482">
        <v>21</v>
      </c>
      <c r="K40" s="477">
        <f>G40/J40*100</f>
        <v>23.809523809523807</v>
      </c>
      <c r="L40" s="477">
        <f>H40/J40*100</f>
        <v>0</v>
      </c>
      <c r="M40" s="477">
        <f>I40/J40*100</f>
        <v>61.904761904761905</v>
      </c>
      <c r="N40" s="481">
        <f>SUM(K40:M40)</f>
        <v>85.714285714285708</v>
      </c>
      <c r="O40" s="476">
        <v>11.3</v>
      </c>
      <c r="P40" s="477">
        <v>0</v>
      </c>
      <c r="Q40" s="477">
        <v>39.700000000000003</v>
      </c>
      <c r="R40" s="478">
        <f>SUM(O40:Q40)</f>
        <v>51</v>
      </c>
      <c r="S40" s="518">
        <v>2</v>
      </c>
      <c r="T40" s="471"/>
      <c r="V40" s="472" t="s">
        <v>112</v>
      </c>
      <c r="W40" s="518" t="s">
        <v>20</v>
      </c>
      <c r="X40" s="518" t="s">
        <v>12</v>
      </c>
      <c r="Y40" s="485">
        <v>39.700000000000003</v>
      </c>
      <c r="Z40" s="518" t="s">
        <v>1011</v>
      </c>
      <c r="AA40" s="518" t="s">
        <v>22</v>
      </c>
      <c r="AB40" s="518" t="s">
        <v>11</v>
      </c>
      <c r="AC40" s="477">
        <v>9.3000000000000007</v>
      </c>
      <c r="AD40" s="472" t="s">
        <v>1010</v>
      </c>
      <c r="AE40" s="518" t="s">
        <v>340</v>
      </c>
      <c r="AF40" s="518" t="s">
        <v>11</v>
      </c>
      <c r="AG40" s="485">
        <v>2</v>
      </c>
      <c r="AH40" s="472"/>
      <c r="AK40" s="477"/>
      <c r="AL40" s="472"/>
      <c r="AO40" s="485"/>
      <c r="AP40" s="472"/>
      <c r="AS40" s="473"/>
      <c r="AW40" s="473"/>
      <c r="BA40" s="474"/>
    </row>
    <row r="41" spans="1:53" s="700" customFormat="1" x14ac:dyDescent="0.15">
      <c r="A41" s="700">
        <v>2015</v>
      </c>
      <c r="B41" s="156"/>
      <c r="C41" s="811" t="s">
        <v>1201</v>
      </c>
      <c r="D41" s="811"/>
      <c r="E41" s="700">
        <v>113</v>
      </c>
      <c r="F41" s="129"/>
      <c r="G41" s="600">
        <v>5</v>
      </c>
      <c r="H41" s="700">
        <v>0</v>
      </c>
      <c r="I41" s="700">
        <v>13</v>
      </c>
      <c r="J41" s="602">
        <v>21</v>
      </c>
      <c r="K41" s="597">
        <f t="shared" ref="K41:K43" si="5">G41/J41*100</f>
        <v>23.809523809523807</v>
      </c>
      <c r="L41" s="597">
        <f t="shared" ref="L41:L43" si="6">H41/J41*100</f>
        <v>0</v>
      </c>
      <c r="M41" s="597">
        <f t="shared" ref="M41:M43" si="7">I41/J41*100</f>
        <v>61.904761904761905</v>
      </c>
      <c r="N41" s="601">
        <f t="shared" ref="N41:N43" si="8">SUM(K41:M41)</f>
        <v>85.714285714285708</v>
      </c>
      <c r="O41" s="596">
        <v>11.3</v>
      </c>
      <c r="P41" s="597">
        <v>0</v>
      </c>
      <c r="Q41" s="597">
        <v>39.700000000000003</v>
      </c>
      <c r="R41" s="598">
        <f t="shared" ref="R41:R43" si="9">SUM(O41:Q41)</f>
        <v>51</v>
      </c>
      <c r="S41" s="700">
        <v>2</v>
      </c>
      <c r="T41" s="577"/>
      <c r="V41" s="592" t="s">
        <v>112</v>
      </c>
      <c r="W41" s="704" t="s">
        <v>20</v>
      </c>
      <c r="X41" s="704" t="s">
        <v>12</v>
      </c>
      <c r="Y41" s="485">
        <v>39.700000000000003</v>
      </c>
      <c r="Z41" s="704" t="s">
        <v>1011</v>
      </c>
      <c r="AA41" s="704" t="s">
        <v>22</v>
      </c>
      <c r="AB41" s="704" t="s">
        <v>11</v>
      </c>
      <c r="AC41" s="597">
        <v>9.3000000000000007</v>
      </c>
      <c r="AD41" s="592" t="s">
        <v>1010</v>
      </c>
      <c r="AE41" s="704" t="s">
        <v>340</v>
      </c>
      <c r="AF41" s="704" t="s">
        <v>11</v>
      </c>
      <c r="AG41" s="485">
        <v>2</v>
      </c>
      <c r="AH41" s="592"/>
      <c r="AK41" s="597"/>
      <c r="AL41" s="592"/>
      <c r="AO41" s="485"/>
      <c r="AP41" s="592"/>
      <c r="AS41" s="593"/>
      <c r="AW41" s="593"/>
      <c r="BA41" s="594"/>
    </row>
    <row r="42" spans="1:53" s="700" customFormat="1" x14ac:dyDescent="0.15">
      <c r="A42" s="700">
        <v>2015</v>
      </c>
      <c r="B42" s="156">
        <v>42118</v>
      </c>
      <c r="C42" s="811" t="s">
        <v>1201</v>
      </c>
      <c r="D42" s="811"/>
      <c r="E42" s="700">
        <v>198</v>
      </c>
      <c r="F42" s="129">
        <v>0</v>
      </c>
      <c r="G42" s="600">
        <v>4</v>
      </c>
      <c r="H42" s="700">
        <v>0</v>
      </c>
      <c r="I42" s="700">
        <v>13</v>
      </c>
      <c r="J42" s="602">
        <v>21</v>
      </c>
      <c r="K42" s="597">
        <f t="shared" si="5"/>
        <v>19.047619047619047</v>
      </c>
      <c r="L42" s="597">
        <f t="shared" si="6"/>
        <v>0</v>
      </c>
      <c r="M42" s="597">
        <f t="shared" si="7"/>
        <v>61.904761904761905</v>
      </c>
      <c r="N42" s="601">
        <f t="shared" si="8"/>
        <v>80.952380952380949</v>
      </c>
      <c r="O42" s="596">
        <v>11.3</v>
      </c>
      <c r="P42" s="597">
        <v>0</v>
      </c>
      <c r="Q42" s="597">
        <v>39.700000000000003</v>
      </c>
      <c r="R42" s="598">
        <f t="shared" si="9"/>
        <v>51</v>
      </c>
      <c r="S42" s="700">
        <v>2</v>
      </c>
      <c r="T42" s="577"/>
      <c r="V42" s="592" t="s">
        <v>112</v>
      </c>
      <c r="W42" s="704" t="s">
        <v>20</v>
      </c>
      <c r="X42" s="704" t="s">
        <v>12</v>
      </c>
      <c r="Y42" s="485">
        <v>39.700000000000003</v>
      </c>
      <c r="Z42" s="704" t="s">
        <v>1011</v>
      </c>
      <c r="AA42" s="704" t="s">
        <v>22</v>
      </c>
      <c r="AB42" s="704" t="s">
        <v>11</v>
      </c>
      <c r="AC42" s="597">
        <v>9.3000000000000007</v>
      </c>
      <c r="AD42" s="592" t="s">
        <v>1010</v>
      </c>
      <c r="AE42" s="704" t="s">
        <v>340</v>
      </c>
      <c r="AF42" s="704" t="s">
        <v>11</v>
      </c>
      <c r="AG42" s="485">
        <v>2</v>
      </c>
      <c r="AH42" s="592"/>
      <c r="AK42" s="597"/>
      <c r="AL42" s="592"/>
      <c r="AO42" s="485"/>
      <c r="AP42" s="592"/>
      <c r="AS42" s="593"/>
      <c r="AW42" s="593"/>
      <c r="BA42" s="594"/>
    </row>
    <row r="43" spans="1:53" s="775" customFormat="1" x14ac:dyDescent="0.15">
      <c r="A43" s="775">
        <v>2015</v>
      </c>
      <c r="B43" s="335">
        <v>42316</v>
      </c>
      <c r="C43" s="812" t="s">
        <v>1335</v>
      </c>
      <c r="D43" s="812"/>
      <c r="E43" s="775">
        <v>54</v>
      </c>
      <c r="F43" s="775">
        <v>1</v>
      </c>
      <c r="G43" s="649">
        <v>4</v>
      </c>
      <c r="H43" s="775">
        <v>0</v>
      </c>
      <c r="I43" s="775">
        <v>13</v>
      </c>
      <c r="J43" s="651">
        <v>21</v>
      </c>
      <c r="K43" s="647">
        <f t="shared" si="5"/>
        <v>19.047619047619047</v>
      </c>
      <c r="L43" s="647">
        <f t="shared" si="6"/>
        <v>0</v>
      </c>
      <c r="M43" s="647">
        <f t="shared" si="7"/>
        <v>61.904761904761905</v>
      </c>
      <c r="N43" s="650">
        <f t="shared" si="8"/>
        <v>80.952380952380949</v>
      </c>
      <c r="O43" s="646">
        <v>9.1999999999999993</v>
      </c>
      <c r="P43" s="647">
        <v>0</v>
      </c>
      <c r="Q43" s="647">
        <v>37.1</v>
      </c>
      <c r="R43" s="648">
        <f t="shared" si="9"/>
        <v>46.3</v>
      </c>
      <c r="S43" s="775">
        <v>5</v>
      </c>
      <c r="T43" s="487">
        <v>42316</v>
      </c>
      <c r="U43" s="335">
        <v>42316</v>
      </c>
      <c r="V43" s="641" t="s">
        <v>112</v>
      </c>
      <c r="W43" s="775" t="s">
        <v>20</v>
      </c>
      <c r="X43" s="775" t="s">
        <v>12</v>
      </c>
      <c r="Y43" s="503" t="s">
        <v>1336</v>
      </c>
      <c r="Z43" s="775" t="s">
        <v>1011</v>
      </c>
      <c r="AA43" s="775" t="s">
        <v>22</v>
      </c>
      <c r="AB43" s="775" t="s">
        <v>11</v>
      </c>
      <c r="AC43" s="647">
        <v>7.9</v>
      </c>
      <c r="AD43" s="641" t="s">
        <v>1010</v>
      </c>
      <c r="AE43" s="775" t="s">
        <v>340</v>
      </c>
      <c r="AF43" s="775" t="s">
        <v>11</v>
      </c>
      <c r="AG43" s="503">
        <v>1.3</v>
      </c>
      <c r="AL43" s="641"/>
      <c r="AO43" s="642"/>
      <c r="AP43" s="641"/>
      <c r="AS43" s="642"/>
      <c r="AW43" s="642"/>
      <c r="BA43" s="643"/>
    </row>
    <row r="44" spans="1:53" x14ac:dyDescent="0.15">
      <c r="B44" s="2"/>
      <c r="C44" s="2"/>
      <c r="D44" s="2"/>
      <c r="E44" s="2"/>
      <c r="F44" s="2"/>
      <c r="G44" s="2"/>
      <c r="H44" s="2"/>
      <c r="I44" s="2"/>
      <c r="J44" s="2"/>
      <c r="K44" s="2"/>
      <c r="L44" s="2"/>
      <c r="M44" s="2"/>
      <c r="N44" s="2"/>
    </row>
    <row r="45" spans="1:53" x14ac:dyDescent="0.15">
      <c r="B45" s="2"/>
      <c r="C45" s="2"/>
      <c r="D45" s="2"/>
      <c r="E45" s="2"/>
      <c r="F45" s="2"/>
      <c r="G45" s="2"/>
      <c r="H45" s="2"/>
      <c r="I45" s="2"/>
      <c r="J45" s="2"/>
      <c r="K45" s="2"/>
      <c r="L45" s="2"/>
      <c r="M45" s="2"/>
      <c r="N45" s="2"/>
    </row>
    <row r="46" spans="1:53" s="2" customFormat="1" ht="18" customHeight="1" x14ac:dyDescent="0.2">
      <c r="B46" s="22" t="s">
        <v>1284</v>
      </c>
    </row>
    <row r="47" spans="1:53" s="2" customFormat="1" ht="9" customHeight="1" x14ac:dyDescent="0.15"/>
    <row r="48" spans="1:53" s="364" customFormat="1" ht="9" customHeight="1" x14ac:dyDescent="0.15">
      <c r="A48" s="362"/>
      <c r="B48" s="363" t="s">
        <v>1235</v>
      </c>
      <c r="C48" s="363"/>
      <c r="D48" s="363"/>
      <c r="E48" s="363"/>
      <c r="F48" s="363"/>
      <c r="G48" s="363" t="s">
        <v>1236</v>
      </c>
      <c r="H48" s="363"/>
      <c r="I48" s="363"/>
      <c r="J48" s="363"/>
      <c r="K48" s="363"/>
      <c r="L48" s="363"/>
      <c r="M48" s="363"/>
      <c r="N48" s="363"/>
      <c r="R48" s="802" t="s">
        <v>1237</v>
      </c>
      <c r="S48" s="802"/>
      <c r="T48" s="802"/>
      <c r="U48" s="802"/>
      <c r="V48" s="802"/>
      <c r="W48" s="802"/>
      <c r="X48" s="365"/>
      <c r="Y48" s="365"/>
      <c r="AA48" s="365"/>
      <c r="AB48" s="365"/>
      <c r="AC48" s="365"/>
      <c r="AD48" s="365"/>
    </row>
    <row r="49" spans="1:30" s="369" customFormat="1" ht="9" customHeight="1" x14ac:dyDescent="0.15">
      <c r="A49" s="366"/>
      <c r="B49" s="367" t="s">
        <v>1239</v>
      </c>
      <c r="C49" s="368"/>
      <c r="D49" s="368"/>
      <c r="E49" s="368"/>
      <c r="F49" s="368"/>
      <c r="G49" s="367" t="s">
        <v>1238</v>
      </c>
      <c r="H49" s="368"/>
      <c r="I49" s="368"/>
      <c r="J49" s="368"/>
      <c r="K49" s="368"/>
      <c r="L49" s="368"/>
      <c r="M49" s="368"/>
      <c r="N49" s="368"/>
      <c r="R49" s="370" t="s">
        <v>1240</v>
      </c>
      <c r="S49" s="371"/>
      <c r="T49" s="372"/>
      <c r="U49" s="372"/>
      <c r="V49" s="372"/>
      <c r="W49" s="370" t="s">
        <v>1241</v>
      </c>
      <c r="X49" s="372"/>
      <c r="Y49" s="372"/>
      <c r="AA49" s="372"/>
      <c r="AB49" s="372"/>
      <c r="AC49" s="372"/>
      <c r="AD49" s="372"/>
    </row>
    <row r="50" spans="1:30" s="351" customFormat="1" ht="12" customHeight="1" x14ac:dyDescent="0.15">
      <c r="A50" s="373" t="s">
        <v>3</v>
      </c>
      <c r="B50" s="374" t="s">
        <v>8</v>
      </c>
      <c r="C50" s="374" t="s">
        <v>9</v>
      </c>
      <c r="D50" s="374" t="s">
        <v>10</v>
      </c>
      <c r="E50" s="375" t="s">
        <v>1215</v>
      </c>
      <c r="F50" s="374"/>
      <c r="G50" s="351" t="s">
        <v>3</v>
      </c>
      <c r="H50" s="803" t="s">
        <v>0</v>
      </c>
      <c r="I50" s="803"/>
      <c r="J50" s="803" t="s">
        <v>1</v>
      </c>
      <c r="K50" s="803"/>
      <c r="L50" s="803" t="s">
        <v>2</v>
      </c>
      <c r="M50" s="803"/>
      <c r="N50" s="804" t="s">
        <v>1215</v>
      </c>
      <c r="O50" s="804"/>
      <c r="P50" s="376"/>
      <c r="Q50" s="376"/>
      <c r="R50" s="377" t="s">
        <v>3</v>
      </c>
      <c r="S50" s="378" t="s">
        <v>136</v>
      </c>
      <c r="T50" s="376" t="s">
        <v>134</v>
      </c>
      <c r="U50" s="374" t="s">
        <v>135</v>
      </c>
      <c r="V50" s="376"/>
      <c r="W50" s="379" t="s">
        <v>26</v>
      </c>
    </row>
    <row r="51" spans="1:30" s="16" customFormat="1" ht="9" customHeight="1" x14ac:dyDescent="0.15">
      <c r="A51" s="1">
        <v>1990</v>
      </c>
      <c r="B51" s="196"/>
      <c r="C51" s="196"/>
      <c r="D51" s="196"/>
      <c r="E51" s="232"/>
      <c r="F51" s="196"/>
      <c r="G51" s="1">
        <v>1990</v>
      </c>
      <c r="H51" s="196"/>
      <c r="I51" s="196"/>
      <c r="J51" s="196"/>
      <c r="K51" s="196"/>
      <c r="L51" s="196"/>
      <c r="M51" s="196"/>
      <c r="N51" s="232"/>
      <c r="O51" s="232"/>
      <c r="P51" s="197"/>
      <c r="Q51" s="197"/>
      <c r="R51" s="1">
        <v>1990</v>
      </c>
      <c r="S51" s="197"/>
      <c r="T51" s="197"/>
      <c r="U51" s="196"/>
      <c r="V51" s="197"/>
      <c r="W51" s="197"/>
    </row>
    <row r="52" spans="1:30" s="16" customFormat="1" ht="9" customHeight="1" x14ac:dyDescent="0.15">
      <c r="A52" s="44">
        <v>1991</v>
      </c>
      <c r="B52" s="196"/>
      <c r="C52" s="196"/>
      <c r="D52" s="196"/>
      <c r="E52" s="232"/>
      <c r="F52" s="196"/>
      <c r="G52" s="1">
        <v>1991</v>
      </c>
      <c r="H52" s="196"/>
      <c r="I52" s="196"/>
      <c r="J52" s="196"/>
      <c r="K52" s="196"/>
      <c r="L52" s="196"/>
      <c r="M52" s="196"/>
      <c r="N52" s="232"/>
      <c r="O52" s="232"/>
      <c r="P52" s="197"/>
      <c r="Q52" s="197"/>
      <c r="R52" s="1">
        <v>1991</v>
      </c>
      <c r="S52" s="197"/>
      <c r="T52" s="197"/>
      <c r="U52" s="196"/>
      <c r="V52" s="197"/>
      <c r="W52" s="197"/>
    </row>
    <row r="53" spans="1:30" s="16" customFormat="1" ht="9" customHeight="1" x14ac:dyDescent="0.15">
      <c r="A53" s="1">
        <v>1992</v>
      </c>
      <c r="B53" s="196"/>
      <c r="C53" s="196"/>
      <c r="D53" s="196"/>
      <c r="E53" s="232"/>
      <c r="F53" s="196"/>
      <c r="G53" s="1">
        <v>1992</v>
      </c>
      <c r="H53" s="196"/>
      <c r="I53" s="196"/>
      <c r="J53" s="196"/>
      <c r="K53" s="196"/>
      <c r="L53" s="196"/>
      <c r="M53" s="196"/>
      <c r="N53" s="232"/>
      <c r="O53" s="232"/>
      <c r="P53" s="197"/>
      <c r="Q53" s="197"/>
      <c r="R53" s="1">
        <v>1992</v>
      </c>
      <c r="S53" s="197"/>
      <c r="T53" s="197"/>
      <c r="U53" s="196"/>
      <c r="V53" s="197"/>
      <c r="W53" s="197"/>
    </row>
    <row r="54" spans="1:30" s="16" customFormat="1" ht="9" customHeight="1" x14ac:dyDescent="0.15">
      <c r="A54" s="44">
        <v>1993</v>
      </c>
      <c r="B54" s="196"/>
      <c r="C54" s="196"/>
      <c r="D54" s="196"/>
      <c r="E54" s="232"/>
      <c r="F54" s="196"/>
      <c r="G54" s="1">
        <v>1993</v>
      </c>
      <c r="H54" s="196"/>
      <c r="I54" s="196"/>
      <c r="J54" s="196"/>
      <c r="K54" s="196"/>
      <c r="L54" s="196"/>
      <c r="M54" s="196"/>
      <c r="N54" s="232"/>
      <c r="O54" s="232"/>
      <c r="P54" s="197"/>
      <c r="Q54" s="197"/>
      <c r="R54" s="1">
        <v>1993</v>
      </c>
      <c r="S54" s="197"/>
      <c r="T54" s="197"/>
      <c r="U54" s="196"/>
      <c r="V54" s="197"/>
      <c r="W54" s="197"/>
    </row>
    <row r="55" spans="1:30" s="16" customFormat="1" ht="9" customHeight="1" x14ac:dyDescent="0.15">
      <c r="A55" s="1">
        <v>1994</v>
      </c>
      <c r="B55" s="196"/>
      <c r="C55" s="196"/>
      <c r="D55" s="196"/>
      <c r="E55" s="232"/>
      <c r="F55" s="196"/>
      <c r="G55" s="1">
        <v>1994</v>
      </c>
      <c r="H55" s="196"/>
      <c r="I55" s="196"/>
      <c r="J55" s="196"/>
      <c r="K55" s="196"/>
      <c r="L55" s="196"/>
      <c r="M55" s="196"/>
      <c r="N55" s="232"/>
      <c r="O55" s="232"/>
      <c r="P55" s="197"/>
      <c r="Q55" s="197"/>
      <c r="R55" s="1">
        <v>1994</v>
      </c>
      <c r="S55" s="197"/>
      <c r="T55" s="197"/>
      <c r="U55" s="196"/>
      <c r="V55" s="197"/>
      <c r="W55" s="197"/>
    </row>
    <row r="56" spans="1:30" s="16" customFormat="1" ht="9" customHeight="1" x14ac:dyDescent="0.15">
      <c r="A56" s="44">
        <v>1995</v>
      </c>
      <c r="B56" s="196"/>
      <c r="C56" s="196"/>
      <c r="D56" s="196"/>
      <c r="E56" s="232"/>
      <c r="F56" s="196"/>
      <c r="G56" s="1">
        <v>1995</v>
      </c>
      <c r="H56" s="196"/>
      <c r="I56" s="196"/>
      <c r="J56" s="196"/>
      <c r="K56" s="196"/>
      <c r="L56" s="196"/>
      <c r="M56" s="196"/>
      <c r="N56" s="232"/>
      <c r="O56" s="232"/>
      <c r="P56" s="197"/>
      <c r="Q56" s="197"/>
      <c r="R56" s="1">
        <v>1995</v>
      </c>
      <c r="S56" s="197"/>
      <c r="T56" s="197"/>
      <c r="U56" s="196"/>
      <c r="V56" s="197"/>
      <c r="W56" s="197"/>
    </row>
    <row r="57" spans="1:30" s="16" customFormat="1" ht="9" customHeight="1" x14ac:dyDescent="0.15">
      <c r="A57" s="1">
        <v>1996</v>
      </c>
      <c r="B57" s="196"/>
      <c r="C57" s="196"/>
      <c r="D57" s="196"/>
      <c r="E57" s="232"/>
      <c r="F57" s="196"/>
      <c r="G57" s="1">
        <v>1996</v>
      </c>
      <c r="H57" s="196"/>
      <c r="I57" s="196"/>
      <c r="J57" s="196"/>
      <c r="K57" s="196"/>
      <c r="L57" s="196"/>
      <c r="M57" s="196"/>
      <c r="N57" s="232"/>
      <c r="O57" s="232"/>
      <c r="P57" s="197"/>
      <c r="Q57" s="197"/>
      <c r="R57" s="1">
        <v>1996</v>
      </c>
      <c r="S57" s="197"/>
      <c r="T57" s="197"/>
      <c r="U57" s="196"/>
      <c r="V57" s="197"/>
      <c r="W57" s="197"/>
    </row>
    <row r="58" spans="1:30" s="16" customFormat="1" ht="9" customHeight="1" x14ac:dyDescent="0.15">
      <c r="A58" s="44">
        <v>1997</v>
      </c>
      <c r="B58" s="196"/>
      <c r="C58" s="196"/>
      <c r="D58" s="196"/>
      <c r="E58" s="232"/>
      <c r="F58" s="196"/>
      <c r="G58" s="1">
        <v>1997</v>
      </c>
      <c r="H58" s="196"/>
      <c r="I58" s="196"/>
      <c r="J58" s="196"/>
      <c r="K58" s="196"/>
      <c r="L58" s="196"/>
      <c r="M58" s="196"/>
      <c r="N58" s="232"/>
      <c r="O58" s="232"/>
      <c r="P58" s="197"/>
      <c r="Q58" s="197"/>
      <c r="R58" s="1">
        <v>1997</v>
      </c>
      <c r="S58" s="197"/>
      <c r="T58" s="197"/>
      <c r="U58" s="196"/>
      <c r="V58" s="197"/>
      <c r="W58" s="197"/>
    </row>
    <row r="59" spans="1:30" s="16" customFormat="1" ht="9" customHeight="1" x14ac:dyDescent="0.15">
      <c r="A59" s="1">
        <v>1998</v>
      </c>
      <c r="B59" s="196"/>
      <c r="C59" s="196"/>
      <c r="D59" s="196"/>
      <c r="E59" s="232"/>
      <c r="F59" s="196"/>
      <c r="G59" s="1">
        <v>1998</v>
      </c>
      <c r="H59" s="196"/>
      <c r="I59" s="196"/>
      <c r="J59" s="196"/>
      <c r="K59" s="196"/>
      <c r="L59" s="196"/>
      <c r="M59" s="196"/>
      <c r="N59" s="232"/>
      <c r="O59" s="232"/>
      <c r="P59" s="197"/>
      <c r="Q59" s="197"/>
      <c r="R59" s="1">
        <v>1998</v>
      </c>
      <c r="S59" s="197"/>
      <c r="T59" s="197"/>
      <c r="U59" s="196"/>
      <c r="V59" s="197"/>
      <c r="W59" s="197"/>
    </row>
    <row r="60" spans="1:30" s="16" customFormat="1" ht="9" customHeight="1" x14ac:dyDescent="0.15">
      <c r="A60" s="44">
        <v>1999</v>
      </c>
      <c r="B60" s="196"/>
      <c r="C60" s="196"/>
      <c r="D60" s="196"/>
      <c r="E60" s="232"/>
      <c r="F60" s="196"/>
      <c r="G60" s="1">
        <v>1999</v>
      </c>
      <c r="H60" s="196"/>
      <c r="I60" s="196"/>
      <c r="J60" s="196"/>
      <c r="K60" s="196"/>
      <c r="L60" s="196"/>
      <c r="M60" s="196"/>
      <c r="N60" s="232"/>
      <c r="O60" s="232"/>
      <c r="P60" s="197"/>
      <c r="Q60" s="197"/>
      <c r="R60" s="1">
        <v>1999</v>
      </c>
      <c r="S60" s="197"/>
      <c r="T60" s="197"/>
      <c r="U60" s="196"/>
      <c r="V60" s="197"/>
      <c r="W60" s="197"/>
    </row>
    <row r="61" spans="1:30" ht="9" customHeight="1" x14ac:dyDescent="0.15">
      <c r="A61" s="1">
        <v>2000</v>
      </c>
      <c r="B61" s="8">
        <f>(K7*($E7/340))</f>
        <v>37.5</v>
      </c>
      <c r="C61" s="8">
        <f>(L7*($E7/340))</f>
        <v>12.5</v>
      </c>
      <c r="D61" s="8">
        <f>(M7*($E7/340))</f>
        <v>45.833333333333329</v>
      </c>
      <c r="E61" s="52">
        <f t="shared" ref="E61:E73" si="10">SUM(B61:D61)</f>
        <v>95.833333333333329</v>
      </c>
      <c r="G61" s="1">
        <v>2000</v>
      </c>
      <c r="H61" s="809">
        <f>(O7/$R7*100*($E7/340))</f>
        <v>31.142042596008718</v>
      </c>
      <c r="I61" s="809"/>
      <c r="J61" s="809">
        <f>(P7/$R7*100*($E7/340))</f>
        <v>17.776287103806805</v>
      </c>
      <c r="K61" s="809"/>
      <c r="L61" s="809">
        <f>(Q7/$R7*100*($E7/340))</f>
        <v>51.08167030018447</v>
      </c>
      <c r="M61" s="809"/>
      <c r="N61" s="832">
        <f t="shared" ref="N61:N73" si="11">H61+J61+L61</f>
        <v>100</v>
      </c>
      <c r="O61" s="832"/>
      <c r="R61" s="1">
        <v>2000</v>
      </c>
      <c r="S61" s="8">
        <f>(O7*($E7/340))</f>
        <v>18.57</v>
      </c>
      <c r="T61" s="8">
        <f>(P7*($E7/340))</f>
        <v>10.6</v>
      </c>
      <c r="U61" s="8">
        <f>(Q7*($E7/340))</f>
        <v>30.46</v>
      </c>
      <c r="V61" s="12"/>
      <c r="W61" s="7">
        <f>S61+T61+U61</f>
        <v>59.63</v>
      </c>
      <c r="Y61" s="233" t="s">
        <v>1234</v>
      </c>
    </row>
    <row r="62" spans="1:30" ht="9" customHeight="1" x14ac:dyDescent="0.15">
      <c r="A62" s="1">
        <v>2001</v>
      </c>
      <c r="B62" s="8">
        <f>(K8* ($E8/365))+(K9*($E9/365))+(K10*($E10/365))</f>
        <v>36.872146118721453</v>
      </c>
      <c r="C62" s="8">
        <f>(L8* ($E8/365))+(L9*($E9/365))+(L10*($E10/365))</f>
        <v>12.5</v>
      </c>
      <c r="D62" s="8">
        <f>(M8* ($E8/365))+(M9*($E9/365))+(M10*($E10/365))</f>
        <v>46.917808219178077</v>
      </c>
      <c r="E62" s="52">
        <f t="shared" si="10"/>
        <v>96.28995433789953</v>
      </c>
      <c r="G62" s="1">
        <v>2001</v>
      </c>
      <c r="H62" s="822">
        <f>(O8/$R8*100*($E8/365))+(O9/$R9*100*($E9/365))+(O10/$R10*100*($E10/365))</f>
        <v>30.308537411471253</v>
      </c>
      <c r="I62" s="822"/>
      <c r="J62" s="822">
        <f>(P8/$R8*100*($E8/365))+(P9/$R9*100*($E9/365))+(P10/$R10*100*($E10/365))</f>
        <v>17.991463795382476</v>
      </c>
      <c r="K62" s="822"/>
      <c r="L62" s="822">
        <f>(Q8/$R8*100*($E8/365))+(Q9/$R9*100*($E9/365))+(Q10/$R10*100*($E10/365))</f>
        <v>51.699998793146257</v>
      </c>
      <c r="M62" s="822"/>
      <c r="N62" s="832">
        <f t="shared" si="11"/>
        <v>99.999999999999986</v>
      </c>
      <c r="O62" s="832"/>
      <c r="R62" s="1">
        <v>2001</v>
      </c>
      <c r="S62" s="8">
        <f>(O8* ($E8/365))+(O9*($E9/365))+(O10*($E10/365))</f>
        <v>17.880273972602737</v>
      </c>
      <c r="T62" s="8">
        <f>(P8* ($E8/365))+(P9*($E9/365))+(P10*($E10/365))</f>
        <v>10.6</v>
      </c>
      <c r="U62" s="8">
        <f>(Q8* ($E8/365))+(Q9*($E9/365))+(Q10*($E10/365))</f>
        <v>30.459999999999997</v>
      </c>
      <c r="V62" s="12"/>
      <c r="W62" s="7">
        <f t="shared" ref="W62:W73" si="12">S62+T62+U62</f>
        <v>58.940273972602739</v>
      </c>
    </row>
    <row r="63" spans="1:30" ht="9" customHeight="1" x14ac:dyDescent="0.15">
      <c r="A63" s="1">
        <v>2002</v>
      </c>
      <c r="B63" s="8">
        <f>(K11* ($E11/365))+(K12*($E12/365))</f>
        <v>30.422374429223744</v>
      </c>
      <c r="C63" s="8">
        <f>(L11* ($E11/365))+(L12*($E12/365))</f>
        <v>14.269406392694062</v>
      </c>
      <c r="D63" s="8">
        <f>(M11* ($E11/365))+(M12*($E12/365))</f>
        <v>55.30821917808219</v>
      </c>
      <c r="E63" s="52">
        <f t="shared" si="10"/>
        <v>100</v>
      </c>
      <c r="G63" s="1">
        <v>2002</v>
      </c>
      <c r="H63" s="822">
        <f>(O11/$R11*100*($E11/365))+(O12/$R12*100*($E12/365))</f>
        <v>22.470193382849732</v>
      </c>
      <c r="I63" s="822"/>
      <c r="J63" s="822">
        <f>(P11/$R11*100*($E11/365))+(P12/$R12*100*($E12/365))</f>
        <v>20.015001221183454</v>
      </c>
      <c r="K63" s="822"/>
      <c r="L63" s="822">
        <f>(Q11/$R11*100*($E11/365))+(Q12/$R12*100*($E12/365))</f>
        <v>57.514805395966789</v>
      </c>
      <c r="M63" s="822"/>
      <c r="N63" s="832">
        <f t="shared" si="11"/>
        <v>99.999999999999972</v>
      </c>
      <c r="O63" s="832"/>
      <c r="R63" s="1">
        <v>2002</v>
      </c>
      <c r="S63" s="8">
        <f>(O11* ($E11/365))+(O12*($E12/365))</f>
        <v>12.25095890410959</v>
      </c>
      <c r="T63" s="8">
        <f>(P11* ($E11/365))+(P12*($E12/365))</f>
        <v>10.599999999999998</v>
      </c>
      <c r="U63" s="8">
        <f>(Q11* ($E11/365))+(Q12*($E12/365))</f>
        <v>30.459999999999997</v>
      </c>
      <c r="V63" s="12"/>
      <c r="W63" s="7">
        <f t="shared" si="12"/>
        <v>53.310958904109583</v>
      </c>
    </row>
    <row r="64" spans="1:30" ht="9" customHeight="1" x14ac:dyDescent="0.15">
      <c r="A64" s="1">
        <v>2003</v>
      </c>
      <c r="B64" s="8">
        <f>(K13* ($E13/365))+(K14*($E14/365))+(K15*($E15/365))</f>
        <v>20.484018264840184</v>
      </c>
      <c r="C64" s="8">
        <f>(L13* ($E13/365))+(L14*($E14/365))+(L15*($E15/365))</f>
        <v>18.392694063926939</v>
      </c>
      <c r="D64" s="8">
        <f>(M13* ($E13/365))+(M14*($E14/365))+(M15*($E15/365))</f>
        <v>60.958904109589042</v>
      </c>
      <c r="E64" s="52">
        <f t="shared" si="10"/>
        <v>99.835616438356169</v>
      </c>
      <c r="G64" s="1">
        <v>2003</v>
      </c>
      <c r="H64" s="822">
        <f>(O13/$R13*100*($E13/365))+(O14/$R14*100*($E14/365))+(O15/$R15*100*($E15/365))</f>
        <v>16.636466100362604</v>
      </c>
      <c r="I64" s="822"/>
      <c r="J64" s="822">
        <f>(P13/$R13*100*($E13/365))+(P14/$R14*100*($E14/365))+(P15/$R15*100*($E15/365))</f>
        <v>23.322838542683122</v>
      </c>
      <c r="K64" s="822"/>
      <c r="L64" s="822">
        <f>(Q13/$R13*100*($E13/365))+(Q14/$R14*100*($E14/365))+(Q15/$R15*100*($E15/365))</f>
        <v>60.040695356954259</v>
      </c>
      <c r="M64" s="822"/>
      <c r="N64" s="832">
        <f t="shared" si="11"/>
        <v>99.999999999999986</v>
      </c>
      <c r="O64" s="832"/>
      <c r="R64" s="1">
        <v>2003</v>
      </c>
      <c r="S64" s="8">
        <f>(O13* ($E13/365))+(O14*($E14/365))+(O15*($E15/365))</f>
        <v>8.2638904109589042</v>
      </c>
      <c r="T64" s="8">
        <f>(P13* ($E13/365))+(P14*($E14/365))+(P15*($E15/365))</f>
        <v>11.409260273972601</v>
      </c>
      <c r="U64" s="8">
        <f>(Q13* ($E13/365))+(Q14*($E14/365))+(Q15*($E15/365))</f>
        <v>29.708931506849318</v>
      </c>
      <c r="V64" s="12"/>
      <c r="W64" s="7">
        <f t="shared" si="12"/>
        <v>49.382082191780825</v>
      </c>
    </row>
    <row r="65" spans="1:23" ht="9" customHeight="1" x14ac:dyDescent="0.15">
      <c r="A65" s="1">
        <v>2004</v>
      </c>
      <c r="B65" s="8">
        <f>(K16* ($E16/366))+(K17*($E17/366))</f>
        <v>6.666666666666667</v>
      </c>
      <c r="C65" s="8">
        <f>(L16* ($E16/366))+(L17*($E17/366))</f>
        <v>86.666666666666671</v>
      </c>
      <c r="D65" s="8">
        <f>(M16* ($E16/366))+(M17*($E17/366))</f>
        <v>0</v>
      </c>
      <c r="E65" s="52">
        <f t="shared" si="10"/>
        <v>93.333333333333343</v>
      </c>
      <c r="G65" s="1">
        <v>2004</v>
      </c>
      <c r="H65" s="822">
        <f>(O16/$R16*100*($E16/366))+(O17/$R17*100*($E17/366))</f>
        <v>1.4972776769509983</v>
      </c>
      <c r="I65" s="822"/>
      <c r="J65" s="822">
        <f>(P16/$R16*100*($E16/366))+(P17/$R17*100*($E17/366))</f>
        <v>98.502722323049014</v>
      </c>
      <c r="K65" s="822"/>
      <c r="L65" s="822">
        <f>(Q16/$R16*100*($E16/366))+(Q17/$R17*100*($E17/366))</f>
        <v>0</v>
      </c>
      <c r="M65" s="822"/>
      <c r="N65" s="832">
        <f t="shared" si="11"/>
        <v>100.00000000000001</v>
      </c>
      <c r="O65" s="832"/>
      <c r="R65" s="1">
        <v>2004</v>
      </c>
      <c r="S65" s="8">
        <f>(O16* ($E16/366))+(O17*($E17/366))</f>
        <v>0.66</v>
      </c>
      <c r="T65" s="8">
        <f>(P16* ($E16/366))+(P17*($E17/366))</f>
        <v>43.42</v>
      </c>
      <c r="U65" s="8">
        <f>(Q16* ($E16/366))+(Q17*($E17/366))</f>
        <v>0</v>
      </c>
      <c r="V65" s="12"/>
      <c r="W65" s="7">
        <f t="shared" si="12"/>
        <v>44.08</v>
      </c>
    </row>
    <row r="66" spans="1:23" ht="9" customHeight="1" x14ac:dyDescent="0.15">
      <c r="A66" s="1">
        <v>2005</v>
      </c>
      <c r="B66" s="8">
        <f>(K18* ($E18/365))+(K19*($E19/365))</f>
        <v>6.666666666666667</v>
      </c>
      <c r="C66" s="8">
        <f>(L18* ($E18/365))+(L19*($E19/365))</f>
        <v>86.666666666666671</v>
      </c>
      <c r="D66" s="8">
        <f>(M18* ($E18/365))+(M19*($E19/365))</f>
        <v>0</v>
      </c>
      <c r="E66" s="52">
        <f t="shared" si="10"/>
        <v>93.333333333333343</v>
      </c>
      <c r="G66" s="1">
        <v>2005</v>
      </c>
      <c r="H66" s="822">
        <f>(O18/$R18*100*($E18/365))+(O19/$R19*100*($E19/365))</f>
        <v>1.4972776769509983</v>
      </c>
      <c r="I66" s="822"/>
      <c r="J66" s="822">
        <f>(P18/$R18*100*($E18/365))+(P19/$R19*100*($E19/365))</f>
        <v>98.502722323048999</v>
      </c>
      <c r="K66" s="822"/>
      <c r="L66" s="822">
        <f>(Q18/$R18*100*($E18/365))+(Q19/$R19*100*($E19/365))</f>
        <v>0</v>
      </c>
      <c r="M66" s="822"/>
      <c r="N66" s="832">
        <f t="shared" si="11"/>
        <v>100</v>
      </c>
      <c r="O66" s="832"/>
      <c r="R66" s="1">
        <v>2005</v>
      </c>
      <c r="S66" s="8">
        <f>(O18* ($E18/365))+(O19*($E19/365))</f>
        <v>0.65999999999999992</v>
      </c>
      <c r="T66" s="8">
        <f>(P18* ($E18/365))+(P19*($E19/365))</f>
        <v>43.42</v>
      </c>
      <c r="U66" s="8">
        <f>(Q18* ($E18/365))+(Q19*($E19/365))</f>
        <v>0</v>
      </c>
      <c r="V66" s="12"/>
      <c r="W66" s="7">
        <f t="shared" si="12"/>
        <v>44.08</v>
      </c>
    </row>
    <row r="67" spans="1:23" ht="9" customHeight="1" x14ac:dyDescent="0.15">
      <c r="A67" s="1">
        <v>2006</v>
      </c>
      <c r="B67" s="8">
        <f>(K20* ($E20/365))+(K21*($E21/365))</f>
        <v>0.73059360730593603</v>
      </c>
      <c r="C67" s="8">
        <f>(L20* ($E20/365))+(L21*($E21/365))</f>
        <v>92.602739726027394</v>
      </c>
      <c r="D67" s="8">
        <f>(M20* ($E20/365))+(M21*($E21/365))</f>
        <v>0</v>
      </c>
      <c r="E67" s="52">
        <f t="shared" si="10"/>
        <v>93.333333333333329</v>
      </c>
      <c r="G67" s="1">
        <v>2006</v>
      </c>
      <c r="H67" s="822">
        <f>(O20/$R20*100*($E20/365))+(O21/$R21*100*($E21/365))</f>
        <v>0.16408522487134228</v>
      </c>
      <c r="I67" s="822"/>
      <c r="J67" s="822">
        <f>(P20/$R20*100*($E20/365))+(P21/$R21*100*($E21/365))</f>
        <v>99.835914775128657</v>
      </c>
      <c r="K67" s="822"/>
      <c r="L67" s="822">
        <f>(Q20/$R20*100*($E20/365))+(Q21/$R21*100*($E21/365))</f>
        <v>0</v>
      </c>
      <c r="M67" s="822"/>
      <c r="N67" s="832">
        <f t="shared" si="11"/>
        <v>100</v>
      </c>
      <c r="O67" s="832"/>
      <c r="R67" s="1">
        <v>2006</v>
      </c>
      <c r="S67" s="8">
        <f>(O20* ($E20/365))+(O21*($E21/365))</f>
        <v>7.2328767123287674E-2</v>
      </c>
      <c r="T67" s="8">
        <f>(P20* ($E20/365))+(P21*($E21/365))</f>
        <v>43.42</v>
      </c>
      <c r="U67" s="8">
        <f>(Q20* ($E20/365))+(Q21*($E21/365))</f>
        <v>0</v>
      </c>
      <c r="V67" s="12"/>
      <c r="W67" s="7">
        <f t="shared" si="12"/>
        <v>43.49232876712329</v>
      </c>
    </row>
    <row r="68" spans="1:23" ht="9" customHeight="1" x14ac:dyDescent="0.15">
      <c r="A68" s="1">
        <v>2007</v>
      </c>
      <c r="B68" s="8">
        <f>(K22* ($E22/365))+(K23*($E23/365))</f>
        <v>0</v>
      </c>
      <c r="C68" s="8">
        <f>(L22* ($E22/365))+(L23*($E23/365))</f>
        <v>93.333333333333329</v>
      </c>
      <c r="D68" s="8">
        <f>(M22* ($E22/365))+(M23*($E23/365))</f>
        <v>0</v>
      </c>
      <c r="E68" s="52">
        <f t="shared" si="10"/>
        <v>93.333333333333329</v>
      </c>
      <c r="G68" s="1">
        <v>2007</v>
      </c>
      <c r="H68" s="822">
        <f>(O22/$R22*100*($E22/365))+(O23/$R23*100*($E23/365))</f>
        <v>0</v>
      </c>
      <c r="I68" s="822"/>
      <c r="J68" s="822">
        <f>(P22/$R22*100*($E22/365))+(P23/$R23*100*($E23/365))</f>
        <v>100</v>
      </c>
      <c r="K68" s="822"/>
      <c r="L68" s="822">
        <f>(Q22/$R22*100*($E22/365))+(Q23/$R23*100*($E23/365))</f>
        <v>0</v>
      </c>
      <c r="M68" s="822"/>
      <c r="N68" s="832">
        <f t="shared" si="11"/>
        <v>100</v>
      </c>
      <c r="O68" s="832"/>
      <c r="R68" s="1">
        <v>2007</v>
      </c>
      <c r="S68" s="8">
        <f>(O22* ($E22/365))+(O23*($E23/365))</f>
        <v>0</v>
      </c>
      <c r="T68" s="8">
        <f>(P22* ($E22/365))+(P23*($E23/365))</f>
        <v>43.42</v>
      </c>
      <c r="U68" s="8">
        <f>(Q22* ($E22/365))+(Q23*($E23/365))</f>
        <v>0</v>
      </c>
      <c r="V68" s="12"/>
      <c r="W68" s="7">
        <f t="shared" si="12"/>
        <v>43.42</v>
      </c>
    </row>
    <row r="69" spans="1:23" ht="9" customHeight="1" x14ac:dyDescent="0.15">
      <c r="A69" s="1">
        <v>2008</v>
      </c>
      <c r="B69" s="8">
        <f>(K24* ($E24/366))+(K25*($E25/366))+(K26*($E26/366))</f>
        <v>5.3885853066180935</v>
      </c>
      <c r="C69" s="8">
        <f>(L24* ($E24/366))+(L25*($E25/366))+(L26*($E26/366))</f>
        <v>86.502732240437155</v>
      </c>
      <c r="D69" s="8">
        <f>(M24* ($E24/366))+(M25*($E25/366))+(M26*($E26/366))</f>
        <v>0</v>
      </c>
      <c r="E69" s="52">
        <f t="shared" si="10"/>
        <v>91.891317547055252</v>
      </c>
      <c r="G69" s="1">
        <v>2008</v>
      </c>
      <c r="H69" s="822">
        <f>(O24/$R24*100*($E24/366))+(O25/$R25*100*($E25/366))+(O26/$R26*100*($E26/366))</f>
        <v>6.3634585927060598</v>
      </c>
      <c r="I69" s="822"/>
      <c r="J69" s="822">
        <f>(P24/$R24*100*($E24/366))+(P25/$R25*100*($E25/366))+(P26/$R26*100*($E26/366))</f>
        <v>93.636541407293947</v>
      </c>
      <c r="K69" s="822"/>
      <c r="L69" s="822">
        <f>(Q24/$R24*100*($E24/366))+(Q25/$R25*100*($E25/366))+(Q26/$R26*100*($E26/366))</f>
        <v>0</v>
      </c>
      <c r="M69" s="822"/>
      <c r="N69" s="832">
        <f t="shared" si="11"/>
        <v>100</v>
      </c>
      <c r="O69" s="832"/>
      <c r="R69" s="1">
        <v>2008</v>
      </c>
      <c r="S69" s="8">
        <f>(O24* ($E24/366))+(O25*($E25/366))+(O26*($E26/366))</f>
        <v>3.2008196721311477</v>
      </c>
      <c r="T69" s="8">
        <f>(P24* ($E24/366))+(P25*($E25/366))+(P26*($E26/366))</f>
        <v>46.892404371584703</v>
      </c>
      <c r="U69" s="8">
        <f>(Q24* ($E24/366))+(Q25*($E25/366))+(Q26*($E26/366))</f>
        <v>0</v>
      </c>
      <c r="V69" s="12"/>
      <c r="W69" s="7">
        <f t="shared" si="12"/>
        <v>50.09322404371585</v>
      </c>
    </row>
    <row r="70" spans="1:23" ht="9" customHeight="1" x14ac:dyDescent="0.15">
      <c r="A70" s="1">
        <v>2009</v>
      </c>
      <c r="B70" s="8">
        <f>(K27* ($E27/365))+(K28*($E28/365))</f>
        <v>5.2831050228310499</v>
      </c>
      <c r="C70" s="8">
        <f>(L27* ($E27/365))+(L28*($E28/365))</f>
        <v>78.867579908675808</v>
      </c>
      <c r="D70" s="8">
        <f>(M27* ($E27/365))+(M28*($E28/365))</f>
        <v>0</v>
      </c>
      <c r="E70" s="52">
        <f t="shared" si="10"/>
        <v>84.150684931506859</v>
      </c>
      <c r="G70" s="1">
        <v>2009</v>
      </c>
      <c r="H70" s="822">
        <f>(O27/$R27*100*($E27/365))+(O28/$R28*100*($E28/365))</f>
        <v>6.5332896414212245</v>
      </c>
      <c r="I70" s="822"/>
      <c r="J70" s="822">
        <f>(P27/$R27*100*($E27/365))+(P28/$R28*100*($E28/365))</f>
        <v>93.46671035857878</v>
      </c>
      <c r="K70" s="822"/>
      <c r="L70" s="822">
        <f>(Q27/$R27*100*($E27/365))+(Q28/$R28*100*($E28/365))</f>
        <v>0</v>
      </c>
      <c r="M70" s="822"/>
      <c r="N70" s="832">
        <f t="shared" si="11"/>
        <v>100</v>
      </c>
      <c r="O70" s="832"/>
      <c r="R70" s="1">
        <v>2009</v>
      </c>
      <c r="S70" s="8">
        <f>(O27* ($E27/365))+(O28*($E28/365))</f>
        <v>3.2852876712328767</v>
      </c>
      <c r="T70" s="8">
        <f>(P27* ($E27/365))+(P28*($E28/365))</f>
        <v>47</v>
      </c>
      <c r="U70" s="8">
        <f>(Q27* ($E27/365))+(Q28*($E28/365))</f>
        <v>0</v>
      </c>
      <c r="V70" s="12"/>
      <c r="W70" s="7">
        <f t="shared" si="12"/>
        <v>50.285287671232879</v>
      </c>
    </row>
    <row r="71" spans="1:23" ht="9" customHeight="1" x14ac:dyDescent="0.15">
      <c r="A71" s="1">
        <v>2010</v>
      </c>
      <c r="B71" s="8">
        <f>(K29* ($E29/365))+(K30*($E30/365))+(K31* ($E31/365))+(K32*($E32/365))</f>
        <v>5.1600576784426817</v>
      </c>
      <c r="C71" s="8">
        <f>(L29* ($E29/365))+(L30*($E30/365))+(L31* ($E31/365))+(L32*($E32/365))</f>
        <v>81.753424657534239</v>
      </c>
      <c r="D71" s="8">
        <f>(M29* ($E29/365))+(M30*($E30/365))+(M31* ($E31/365))+(M32*($E32/365))</f>
        <v>0</v>
      </c>
      <c r="E71" s="52">
        <f t="shared" si="10"/>
        <v>86.913482335976923</v>
      </c>
      <c r="G71" s="1">
        <v>2010</v>
      </c>
      <c r="H71" s="822">
        <f>(O29/$R29*100*($E29/365))+(O30/$R30*100*($E30/365))+(O31/$R31*100*($E31/365))+(O32/$R32*100*($E32/365))</f>
        <v>6.484473661268483</v>
      </c>
      <c r="I71" s="822"/>
      <c r="J71" s="822">
        <f>(P29/$R29*100*($E29/365))+(P30/$R30*100*($E30/365))+(P31/$R31*100*($E31/365))+(P32/$R32*100*($E32/365))</f>
        <v>93.515526338731505</v>
      </c>
      <c r="K71" s="822"/>
      <c r="L71" s="822">
        <f>(Q29/$R29*100*($E29/365))+(Q30/$R30*100*($E30/365))+(Q31/$R31*100*($E31/365))+(Q32/$R32*100*($E32/365))</f>
        <v>0</v>
      </c>
      <c r="M71" s="822"/>
      <c r="N71" s="832">
        <f t="shared" si="11"/>
        <v>99.999999999999986</v>
      </c>
      <c r="O71" s="832"/>
      <c r="R71" s="1">
        <v>2010</v>
      </c>
      <c r="S71" s="8">
        <f>(O29* ($E29/365))+(O30*($E30/365))+(O31* ($E31/365))+(O32*($E32/365))</f>
        <v>3.2593150684931507</v>
      </c>
      <c r="T71" s="8">
        <f>(P29* ($E29/365))+(P30*($E30/365))+(P31* ($E31/365))+(P32*($E32/365))</f>
        <v>47</v>
      </c>
      <c r="U71" s="8">
        <f>(Q29* ($E29/365))+(Q30*($E30/365))+(Q31* ($E31/365))+(Q32*($E32/365))</f>
        <v>0</v>
      </c>
      <c r="V71" s="12"/>
      <c r="W71" s="7">
        <f t="shared" si="12"/>
        <v>50.259315068493152</v>
      </c>
    </row>
    <row r="72" spans="1:23" ht="9" customHeight="1" x14ac:dyDescent="0.15">
      <c r="A72" s="1">
        <v>2011</v>
      </c>
      <c r="B72" s="8">
        <f>(K33* ($E33/365))+(K34*($E34/365))</f>
        <v>0.56039850560398508</v>
      </c>
      <c r="C72" s="8">
        <f>(L33* ($E33/365))+(L34*($E34/365))</f>
        <v>82.134102379235756</v>
      </c>
      <c r="D72" s="8">
        <f>(M33* ($E33/365))+(M34*($E34/365))</f>
        <v>1.681195516811955</v>
      </c>
      <c r="E72" s="52">
        <f t="shared" si="10"/>
        <v>84.375696401651695</v>
      </c>
      <c r="G72" s="1">
        <v>2011</v>
      </c>
      <c r="H72" s="822">
        <f>(O33/$R33*100*($E33/365))+(O34/$R34*100*($E34/365))</f>
        <v>4.4700106644910953</v>
      </c>
      <c r="I72" s="822"/>
      <c r="J72" s="822">
        <f>(P33/$R33*100*($E33/365))+(P34/$R34*100*($E34/365))</f>
        <v>93.61056951278529</v>
      </c>
      <c r="K72" s="822"/>
      <c r="L72" s="822">
        <f>(Q33/$R33*100*($E33/365))+(Q34/$R34*100*($E34/365))</f>
        <v>1.9194198227236099</v>
      </c>
      <c r="M72" s="822"/>
      <c r="N72" s="832">
        <f t="shared" si="11"/>
        <v>100</v>
      </c>
      <c r="O72" s="832"/>
      <c r="R72" s="1">
        <v>2011</v>
      </c>
      <c r="S72" s="8">
        <f>(O33* ($E33/365))+(O34*($E34/365))</f>
        <v>2.2000547945205482</v>
      </c>
      <c r="T72" s="8">
        <f>(P33* ($E33/365))+(P34*($E34/365))</f>
        <v>45.841095890410955</v>
      </c>
      <c r="U72" s="8">
        <f>(Q33* ($E33/365))+(Q34*($E34/365))</f>
        <v>0.97890410958904117</v>
      </c>
      <c r="V72" s="12"/>
      <c r="W72" s="7">
        <f t="shared" si="12"/>
        <v>49.02005479452054</v>
      </c>
    </row>
    <row r="73" spans="1:23" ht="9" customHeight="1" x14ac:dyDescent="0.15">
      <c r="A73" s="1">
        <v>2012</v>
      </c>
      <c r="B73" s="7">
        <f xml:space="preserve"> (K35* ($E35/366))+(K36*($E36/366))</f>
        <v>22.727272727272727</v>
      </c>
      <c r="C73" s="7">
        <f xml:space="preserve"> (L35* ($E35/366))+(L36*($E36/366))</f>
        <v>0</v>
      </c>
      <c r="D73" s="7">
        <f xml:space="preserve"> (M35* ($E35/366))+(M36*($E36/366))</f>
        <v>68.181818181818173</v>
      </c>
      <c r="E73" s="52">
        <f t="shared" si="10"/>
        <v>90.909090909090907</v>
      </c>
      <c r="G73" s="1">
        <v>2012</v>
      </c>
      <c r="H73" s="822">
        <f xml:space="preserve"> (O35/$R35*100*($E35/366))+(O36/$R36*100*($E36/366))</f>
        <v>22.156862745098042</v>
      </c>
      <c r="I73" s="822"/>
      <c r="J73" s="822">
        <f xml:space="preserve"> (P35/$R35*100*($E35/366))+(P36/$R36*100*($E36/366))</f>
        <v>0</v>
      </c>
      <c r="K73" s="822"/>
      <c r="L73" s="822">
        <f xml:space="preserve"> (Q35/$R35*100*($E35/366))+(Q36/$R36*100*($E36/366))</f>
        <v>77.843137254901961</v>
      </c>
      <c r="M73" s="822"/>
      <c r="N73" s="832">
        <f t="shared" si="11"/>
        <v>100</v>
      </c>
      <c r="O73" s="832"/>
      <c r="R73" s="1">
        <v>2012</v>
      </c>
      <c r="S73" s="7">
        <f xml:space="preserve"> (O35* ($E35/366))+(O36*($E36/366))</f>
        <v>11.3</v>
      </c>
      <c r="T73" s="7">
        <f xml:space="preserve"> (P35* ($E35/366))+(P36*($E36/366))</f>
        <v>0</v>
      </c>
      <c r="U73" s="7">
        <f xml:space="preserve"> (Q35* ($E35/366))+(Q36*($E36/366))</f>
        <v>39.700000000000003</v>
      </c>
      <c r="V73" s="12"/>
      <c r="W73" s="7">
        <f t="shared" si="12"/>
        <v>51</v>
      </c>
    </row>
    <row r="74" spans="1:23" ht="9" customHeight="1" x14ac:dyDescent="0.15">
      <c r="A74" s="1">
        <v>2013</v>
      </c>
      <c r="B74" s="7">
        <f xml:space="preserve"> (K37*($E37/365))+(K38*($E38/365))</f>
        <v>23.272845875585602</v>
      </c>
      <c r="C74" s="7">
        <f xml:space="preserve"> (L37* ($E37/365))+(L38*($E38/365))</f>
        <v>0</v>
      </c>
      <c r="D74" s="7">
        <f xml:space="preserve"> (M37* ($E37/365))+(M38*($E38/365))</f>
        <v>67.418015774180148</v>
      </c>
      <c r="E74" s="52">
        <f>SUM(B74:D74)</f>
        <v>90.69086164976575</v>
      </c>
      <c r="G74" s="1">
        <v>2013</v>
      </c>
      <c r="H74" s="822">
        <f xml:space="preserve"> (O37/$R37*100*($E37/365))+(O38/$R38*100*($E38/365))</f>
        <v>22.156862745098046</v>
      </c>
      <c r="I74" s="822"/>
      <c r="J74" s="822">
        <f xml:space="preserve"> (P37/$R37*100*($E37/365))+(P38/$R38*100*($E38/365))</f>
        <v>0</v>
      </c>
      <c r="K74" s="822"/>
      <c r="L74" s="822">
        <f xml:space="preserve"> (Q37/$R37*100*($E37/365))+(Q38/$R38*100*($E38/365))</f>
        <v>77.843137254901961</v>
      </c>
      <c r="M74" s="822"/>
      <c r="N74" s="832">
        <f>H74+J74+L74</f>
        <v>100</v>
      </c>
      <c r="O74" s="832"/>
      <c r="R74" s="1">
        <v>2013</v>
      </c>
      <c r="S74" s="7">
        <f xml:space="preserve"> (O37* ($E37/365))+(O38*($E38/365))</f>
        <v>11.3</v>
      </c>
      <c r="T74" s="7">
        <f xml:space="preserve"> (P37* ($E37/365))+(P38*($E38/365))</f>
        <v>0</v>
      </c>
      <c r="U74" s="7">
        <f xml:space="preserve"> (Q37* ($E37/365))+(Q38*($E38/365))</f>
        <v>39.700000000000003</v>
      </c>
      <c r="V74" s="12"/>
      <c r="W74" s="7">
        <f>S74+T74+U74</f>
        <v>51</v>
      </c>
    </row>
    <row r="75" spans="1:23" ht="9" customHeight="1" x14ac:dyDescent="0.15">
      <c r="A75" s="1">
        <v>2014</v>
      </c>
      <c r="B75" s="7">
        <f xml:space="preserve"> (K39*($E39/365))+(K40*($E40/365))</f>
        <v>23.809523809523807</v>
      </c>
      <c r="C75" s="7">
        <f xml:space="preserve"> (L39* ($E39/365))+(L40*($E40/365))</f>
        <v>0</v>
      </c>
      <c r="D75" s="7">
        <f xml:space="preserve"> (M39* ($E39/365))+(M40*($E40/365))</f>
        <v>64.096542726679701</v>
      </c>
      <c r="E75" s="52">
        <f>SUM(B75:D75)</f>
        <v>87.906066536203511</v>
      </c>
      <c r="G75" s="1">
        <v>2014</v>
      </c>
      <c r="H75" s="822">
        <f xml:space="preserve"> (O39/$R39*100*($E39/365))+(O40/$R40*100*($E40/365))</f>
        <v>22.156862745098042</v>
      </c>
      <c r="I75" s="822"/>
      <c r="J75" s="822">
        <f xml:space="preserve"> (P39/$R39*100*($E39/365))+(P40/$R40*100*($E40/365))</f>
        <v>0</v>
      </c>
      <c r="K75" s="822"/>
      <c r="L75" s="822">
        <f xml:space="preserve"> (Q39/$R39*100*($E39/365))+(Q40/$R40*100*($E40/365))</f>
        <v>77.843137254901961</v>
      </c>
      <c r="M75" s="822"/>
      <c r="N75" s="832">
        <f>H75+J75+L75</f>
        <v>100</v>
      </c>
      <c r="O75" s="832"/>
      <c r="R75" s="1">
        <v>2014</v>
      </c>
      <c r="S75" s="7">
        <f xml:space="preserve"> (O39* ($E39/365))+(O40*($E40/365))</f>
        <v>11.3</v>
      </c>
      <c r="T75" s="7">
        <f xml:space="preserve"> (P39* ($E39/365))+(P40*($E40/365))</f>
        <v>0</v>
      </c>
      <c r="U75" s="7">
        <f xml:space="preserve"> (Q39* ($E39/365))+(Q40*($E40/365))</f>
        <v>39.700000000000003</v>
      </c>
      <c r="V75" s="12"/>
      <c r="W75" s="7">
        <f>S75+T75+U75</f>
        <v>51</v>
      </c>
    </row>
    <row r="76" spans="1:23" s="713" customFormat="1" ht="9" customHeight="1" x14ac:dyDescent="0.15">
      <c r="A76" s="713">
        <v>2015</v>
      </c>
      <c r="B76" s="711">
        <f xml:space="preserve"> (K41*($E41/365))+(K42*($E42/365))+(K43*($E43/365))</f>
        <v>20.521852576647092</v>
      </c>
      <c r="C76" s="711">
        <f xml:space="preserve"> (L41* ($E41/365))+(L42*($E42/365))+(L43*($E43/365))</f>
        <v>0</v>
      </c>
      <c r="D76" s="711">
        <f xml:space="preserve"> (M41* ($E41/365))+(M42*($E42/365))+(M43*($E43/365))</f>
        <v>61.904761904761905</v>
      </c>
      <c r="E76" s="52">
        <f>SUM(B76:D76)</f>
        <v>82.42661448140899</v>
      </c>
      <c r="G76" s="713">
        <v>2015</v>
      </c>
      <c r="H76" s="822">
        <f xml:space="preserve"> (O41/$R41*100*($E41/365))+(O42/$R42*100*($E42/365))+(O43/$R43*100*($E43/365))</f>
        <v>21.818593078226588</v>
      </c>
      <c r="I76" s="822"/>
      <c r="J76" s="822">
        <f xml:space="preserve"> (P41/$R41*100*($E41/365))+(P42/$R42*100*($E42/365))+(P43/$R43*100*($E43/365))</f>
        <v>0</v>
      </c>
      <c r="K76" s="822"/>
      <c r="L76" s="822">
        <f xml:space="preserve"> (Q41/$R41*100*($E41/365))+(Q42/$R42*100*($E42/365))+(Q43/$R43*100*($E43/365))</f>
        <v>78.181406921773402</v>
      </c>
      <c r="M76" s="822"/>
      <c r="N76" s="832">
        <f>H76+J76+L76</f>
        <v>99.999999999999986</v>
      </c>
      <c r="O76" s="832"/>
      <c r="R76" s="713">
        <v>2015</v>
      </c>
      <c r="S76" s="711">
        <f xml:space="preserve"> (O41* ($E41/365))+(O42*($E42/365))+(O43*($E43/365))</f>
        <v>10.989315068493152</v>
      </c>
      <c r="T76" s="711">
        <f xml:space="preserve"> (P41* ($E41/365))+(P42*($E42/365))+(P43*($E43/365))</f>
        <v>0</v>
      </c>
      <c r="U76" s="711">
        <f xml:space="preserve"> (Q41* ($E41/365))+(Q42*($E42/365))+(Q43*($E43/365))</f>
        <v>39.315342465753432</v>
      </c>
      <c r="V76" s="12"/>
      <c r="W76" s="711">
        <f>S76+T76+U76</f>
        <v>50.304657534246587</v>
      </c>
    </row>
    <row r="77" spans="1:23" s="713" customFormat="1" ht="9" customHeight="1" x14ac:dyDescent="0.15"/>
  </sheetData>
  <mergeCells count="128">
    <mergeCell ref="H76:I76"/>
    <mergeCell ref="J76:K76"/>
    <mergeCell ref="L76:M76"/>
    <mergeCell ref="N76:O76"/>
    <mergeCell ref="AT4:AW4"/>
    <mergeCell ref="AX4:BA4"/>
    <mergeCell ref="Z4:AC4"/>
    <mergeCell ref="AD4:AG4"/>
    <mergeCell ref="G3:M3"/>
    <mergeCell ref="O3:Q3"/>
    <mergeCell ref="J65:K65"/>
    <mergeCell ref="L65:M65"/>
    <mergeCell ref="N65:O65"/>
    <mergeCell ref="H66:I66"/>
    <mergeCell ref="J66:K66"/>
    <mergeCell ref="L66:M66"/>
    <mergeCell ref="N66:O66"/>
    <mergeCell ref="H61:I61"/>
    <mergeCell ref="J61:K61"/>
    <mergeCell ref="L61:M61"/>
    <mergeCell ref="H62:I62"/>
    <mergeCell ref="J62:K62"/>
    <mergeCell ref="L62:M62"/>
    <mergeCell ref="N62:O62"/>
    <mergeCell ref="A4:A5"/>
    <mergeCell ref="B4:B5"/>
    <mergeCell ref="C4:D5"/>
    <mergeCell ref="E4:E5"/>
    <mergeCell ref="F4:F5"/>
    <mergeCell ref="G4:J4"/>
    <mergeCell ref="AH4:AK4"/>
    <mergeCell ref="AL4:AO4"/>
    <mergeCell ref="AP4:AS4"/>
    <mergeCell ref="S4:S5"/>
    <mergeCell ref="T4:T5"/>
    <mergeCell ref="U4:U5"/>
    <mergeCell ref="V4:Y4"/>
    <mergeCell ref="K4:N4"/>
    <mergeCell ref="O4:R4"/>
    <mergeCell ref="C7:D7"/>
    <mergeCell ref="C9:D9"/>
    <mergeCell ref="C10:D10"/>
    <mergeCell ref="C11:D11"/>
    <mergeCell ref="C12:D12"/>
    <mergeCell ref="C13:D13"/>
    <mergeCell ref="C21:D21"/>
    <mergeCell ref="C22:D22"/>
    <mergeCell ref="C6:D6"/>
    <mergeCell ref="C8:D8"/>
    <mergeCell ref="C14:D14"/>
    <mergeCell ref="C23:D23"/>
    <mergeCell ref="C25:D25"/>
    <mergeCell ref="C26:D26"/>
    <mergeCell ref="C15:D15"/>
    <mergeCell ref="C16:D16"/>
    <mergeCell ref="C17:D17"/>
    <mergeCell ref="C18:D18"/>
    <mergeCell ref="C19:D19"/>
    <mergeCell ref="C27:D27"/>
    <mergeCell ref="C20:D20"/>
    <mergeCell ref="C24:D24"/>
    <mergeCell ref="C28:D28"/>
    <mergeCell ref="C31:D31"/>
    <mergeCell ref="C32:D32"/>
    <mergeCell ref="C33:D33"/>
    <mergeCell ref="C34:D34"/>
    <mergeCell ref="C35:D35"/>
    <mergeCell ref="C36:D36"/>
    <mergeCell ref="R48:W48"/>
    <mergeCell ref="H50:I50"/>
    <mergeCell ref="J50:K50"/>
    <mergeCell ref="L50:M50"/>
    <mergeCell ref="N50:O50"/>
    <mergeCell ref="C37:D37"/>
    <mergeCell ref="C38:D38"/>
    <mergeCell ref="C39:D39"/>
    <mergeCell ref="C29:D29"/>
    <mergeCell ref="C30:D30"/>
    <mergeCell ref="C41:D41"/>
    <mergeCell ref="C43:D43"/>
    <mergeCell ref="C42:D42"/>
    <mergeCell ref="H63:I63"/>
    <mergeCell ref="J63:K63"/>
    <mergeCell ref="L63:M63"/>
    <mergeCell ref="N63:O63"/>
    <mergeCell ref="H64:I64"/>
    <mergeCell ref="J64:K64"/>
    <mergeCell ref="L64:M64"/>
    <mergeCell ref="H65:I65"/>
    <mergeCell ref="H71:I71"/>
    <mergeCell ref="H70:I70"/>
    <mergeCell ref="J70:K70"/>
    <mergeCell ref="L70:M70"/>
    <mergeCell ref="J71:K71"/>
    <mergeCell ref="L71:M71"/>
    <mergeCell ref="H67:I67"/>
    <mergeCell ref="J67:K67"/>
    <mergeCell ref="L67:M67"/>
    <mergeCell ref="H68:I68"/>
    <mergeCell ref="J68:K68"/>
    <mergeCell ref="L68:M68"/>
    <mergeCell ref="H69:I69"/>
    <mergeCell ref="J69:K69"/>
    <mergeCell ref="L69:M69"/>
    <mergeCell ref="N75:O75"/>
    <mergeCell ref="C40:D40"/>
    <mergeCell ref="H75:I75"/>
    <mergeCell ref="J75:K75"/>
    <mergeCell ref="L75:M75"/>
    <mergeCell ref="N74:O74"/>
    <mergeCell ref="H74:I74"/>
    <mergeCell ref="J74:K74"/>
    <mergeCell ref="L74:M74"/>
    <mergeCell ref="H73:I73"/>
    <mergeCell ref="J73:K73"/>
    <mergeCell ref="L73:M73"/>
    <mergeCell ref="N61:O61"/>
    <mergeCell ref="N73:O73"/>
    <mergeCell ref="N70:O70"/>
    <mergeCell ref="N71:O71"/>
    <mergeCell ref="H72:I72"/>
    <mergeCell ref="J72:K72"/>
    <mergeCell ref="L72:M72"/>
    <mergeCell ref="N72:O72"/>
    <mergeCell ref="N67:O67"/>
    <mergeCell ref="N68:O68"/>
    <mergeCell ref="N69:O69"/>
    <mergeCell ref="N64:O64"/>
  </mergeCells>
  <pageMargins left="0.78740157499999996" right="0.78740157499999996" top="0.984251969" bottom="0.984251969" header="0.4921259845" footer="0.4921259845"/>
  <pageSetup paperSize="9"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A138"/>
  <sheetViews>
    <sheetView zoomScale="120" zoomScaleNormal="120" workbookViewId="0">
      <pane xSplit="1" ySplit="5" topLeftCell="B51" activePane="bottomRight" state="frozen"/>
      <selection pane="topRight" activeCell="B1" sqref="B1"/>
      <selection pane="bottomLeft" activeCell="A6" sqref="A6"/>
      <selection pane="bottomRight" activeCell="B87" sqref="B87"/>
    </sheetView>
  </sheetViews>
  <sheetFormatPr baseColWidth="10" defaultColWidth="10.7109375" defaultRowHeight="9" x14ac:dyDescent="0.15"/>
  <cols>
    <col min="1" max="1" width="5.85546875" style="1" customWidth="1"/>
    <col min="2" max="6" width="7.85546875" style="1" customWidth="1"/>
    <col min="7" max="18" width="4.5703125" style="1" customWidth="1"/>
    <col min="19" max="21" width="7.85546875" style="1" customWidth="1"/>
    <col min="22" max="53" width="5.7109375" style="1" customWidth="1"/>
    <col min="54" max="16384" width="10.7109375" style="1"/>
  </cols>
  <sheetData>
    <row r="1" spans="1:53" s="2" customFormat="1" ht="15" customHeight="1" x14ac:dyDescent="0.2">
      <c r="B1" s="22" t="s">
        <v>14</v>
      </c>
    </row>
    <row r="2" spans="1:53" s="2" customFormat="1" ht="15" customHeight="1" x14ac:dyDescent="0.2">
      <c r="B2" s="22" t="s">
        <v>51</v>
      </c>
    </row>
    <row r="3" spans="1:53" s="2" customFormat="1" x14ac:dyDescent="0.15">
      <c r="G3" s="814"/>
      <c r="H3" s="814"/>
      <c r="I3" s="814"/>
      <c r="J3" s="814"/>
      <c r="K3" s="814"/>
      <c r="L3" s="814"/>
      <c r="M3" s="814"/>
      <c r="O3" s="814"/>
      <c r="P3" s="814"/>
      <c r="Q3" s="814"/>
    </row>
    <row r="4" spans="1:53" s="346" customFormat="1" ht="12.75" customHeight="1" x14ac:dyDescent="0.15">
      <c r="A4" s="788" t="s">
        <v>3</v>
      </c>
      <c r="B4" s="794" t="s">
        <v>4</v>
      </c>
      <c r="C4" s="788" t="s">
        <v>1282</v>
      </c>
      <c r="D4" s="788"/>
      <c r="E4" s="794" t="s">
        <v>5</v>
      </c>
      <c r="F4" s="837"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838"/>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1" t="s">
        <v>23</v>
      </c>
      <c r="AU5" s="351" t="s">
        <v>24</v>
      </c>
      <c r="AV5" s="351" t="s">
        <v>25</v>
      </c>
      <c r="AW5" s="353" t="s">
        <v>1217</v>
      </c>
      <c r="AX5" s="351" t="s">
        <v>23</v>
      </c>
      <c r="AY5" s="351" t="s">
        <v>24</v>
      </c>
      <c r="AZ5" s="351" t="s">
        <v>25</v>
      </c>
      <c r="BA5" s="354" t="s">
        <v>1217</v>
      </c>
    </row>
    <row r="6" spans="1:53" s="668" customFormat="1" x14ac:dyDescent="0.15">
      <c r="A6" s="102">
        <v>1976</v>
      </c>
      <c r="B6" s="666"/>
      <c r="C6" s="836" t="s">
        <v>1283</v>
      </c>
      <c r="D6" s="836"/>
      <c r="G6" s="600"/>
      <c r="J6" s="602"/>
      <c r="K6" s="597"/>
      <c r="L6" s="597"/>
      <c r="M6" s="597"/>
      <c r="N6" s="601"/>
      <c r="O6" s="596"/>
      <c r="P6" s="597"/>
      <c r="Q6" s="597"/>
      <c r="R6" s="598"/>
      <c r="S6" s="686"/>
      <c r="T6" s="599"/>
      <c r="U6" s="127"/>
      <c r="V6" s="684"/>
      <c r="Z6" s="592"/>
      <c r="AD6" s="592"/>
      <c r="AG6" s="593"/>
      <c r="AL6" s="592"/>
      <c r="AO6" s="593"/>
      <c r="AP6" s="592"/>
      <c r="AS6" s="593"/>
      <c r="AW6" s="593"/>
      <c r="BA6" s="594"/>
    </row>
    <row r="7" spans="1:53" s="684" customFormat="1" x14ac:dyDescent="0.15">
      <c r="A7" s="102">
        <v>1977</v>
      </c>
      <c r="B7" s="683"/>
      <c r="C7" s="836"/>
      <c r="D7" s="836"/>
      <c r="G7" s="600"/>
      <c r="J7" s="602"/>
      <c r="K7" s="597"/>
      <c r="L7" s="597"/>
      <c r="M7" s="597"/>
      <c r="N7" s="601"/>
      <c r="O7" s="596"/>
      <c r="P7" s="597"/>
      <c r="Q7" s="597"/>
      <c r="R7" s="598"/>
      <c r="S7" s="97"/>
      <c r="T7" s="599"/>
      <c r="U7" s="683"/>
      <c r="V7" s="592"/>
      <c r="Z7" s="592"/>
      <c r="AD7" s="592"/>
      <c r="AG7" s="593"/>
      <c r="AL7" s="592"/>
      <c r="AO7" s="593"/>
      <c r="AP7" s="592"/>
      <c r="AS7" s="593"/>
      <c r="AW7" s="593"/>
      <c r="BA7" s="594"/>
    </row>
    <row r="8" spans="1:53" s="684" customFormat="1" x14ac:dyDescent="0.15">
      <c r="A8" s="102">
        <v>1978</v>
      </c>
      <c r="B8" s="683"/>
      <c r="C8" s="836"/>
      <c r="D8" s="836"/>
      <c r="G8" s="600"/>
      <c r="J8" s="602"/>
      <c r="K8" s="597"/>
      <c r="L8" s="597"/>
      <c r="M8" s="597"/>
      <c r="N8" s="601"/>
      <c r="O8" s="596"/>
      <c r="P8" s="597"/>
      <c r="Q8" s="597"/>
      <c r="R8" s="598"/>
      <c r="S8" s="97"/>
      <c r="T8" s="599"/>
      <c r="U8" s="683"/>
      <c r="V8" s="592"/>
      <c r="Z8" s="592"/>
      <c r="AD8" s="592"/>
      <c r="AG8" s="593"/>
      <c r="AL8" s="592"/>
      <c r="AO8" s="593"/>
      <c r="AP8" s="592"/>
      <c r="AS8" s="593"/>
      <c r="AW8" s="593"/>
      <c r="BA8" s="594"/>
    </row>
    <row r="9" spans="1:53" s="685" customFormat="1" x14ac:dyDescent="0.15">
      <c r="A9" s="685">
        <v>1978</v>
      </c>
      <c r="B9" s="682">
        <v>28557</v>
      </c>
      <c r="C9" s="812" t="s">
        <v>1317</v>
      </c>
      <c r="D9" s="812"/>
      <c r="E9" s="685">
        <v>299</v>
      </c>
      <c r="F9" s="501"/>
      <c r="G9" s="649">
        <v>6</v>
      </c>
      <c r="I9" s="685">
        <v>2</v>
      </c>
      <c r="J9" s="651">
        <v>11</v>
      </c>
      <c r="K9" s="647">
        <f t="shared" ref="K9:K35" si="0">G9/J9*100</f>
        <v>54.54545454545454</v>
      </c>
      <c r="L9" s="647">
        <f t="shared" ref="L9:L35" si="1">H9/J9*100</f>
        <v>0</v>
      </c>
      <c r="M9" s="647">
        <f t="shared" ref="M9:M35" si="2">I9/J9*100</f>
        <v>18.181818181818183</v>
      </c>
      <c r="N9" s="650">
        <f t="shared" ref="N9:N35" si="3">SUM(K9:M9)</f>
        <v>72.72727272727272</v>
      </c>
      <c r="O9" s="646">
        <v>60</v>
      </c>
      <c r="P9" s="647"/>
      <c r="Q9" s="647">
        <v>11.4</v>
      </c>
      <c r="R9" s="648">
        <f t="shared" ref="R9:R35" si="4">SUM(O9:Q9)</f>
        <v>71.400000000000006</v>
      </c>
      <c r="S9" s="685">
        <v>1</v>
      </c>
      <c r="T9" s="487"/>
      <c r="U9" s="682">
        <v>28557</v>
      </c>
      <c r="V9" s="641" t="s">
        <v>1060</v>
      </c>
      <c r="W9" s="685" t="s">
        <v>22</v>
      </c>
      <c r="X9" s="685" t="s">
        <v>11</v>
      </c>
      <c r="Y9" s="642">
        <v>60</v>
      </c>
      <c r="Z9" s="685" t="s">
        <v>1062</v>
      </c>
      <c r="AA9" s="685" t="s">
        <v>20</v>
      </c>
      <c r="AB9" s="685" t="s">
        <v>12</v>
      </c>
      <c r="AC9" s="685">
        <v>11.4</v>
      </c>
      <c r="AD9" s="641"/>
      <c r="AG9" s="642"/>
      <c r="AL9" s="641"/>
      <c r="AO9" s="642"/>
      <c r="AP9" s="641"/>
      <c r="AS9" s="642"/>
      <c r="AW9" s="642"/>
      <c r="BA9" s="643"/>
    </row>
    <row r="10" spans="1:53" s="653" customFormat="1" x14ac:dyDescent="0.15">
      <c r="A10" s="653">
        <v>1979</v>
      </c>
      <c r="B10" s="652"/>
      <c r="C10" s="812" t="s">
        <v>1317</v>
      </c>
      <c r="D10" s="812"/>
      <c r="E10" s="653">
        <v>304</v>
      </c>
      <c r="G10" s="649">
        <v>6</v>
      </c>
      <c r="I10" s="653">
        <v>2</v>
      </c>
      <c r="J10" s="651">
        <v>11</v>
      </c>
      <c r="K10" s="647">
        <f t="shared" si="0"/>
        <v>54.54545454545454</v>
      </c>
      <c r="L10" s="647">
        <f t="shared" si="1"/>
        <v>0</v>
      </c>
      <c r="M10" s="647">
        <f t="shared" si="2"/>
        <v>18.181818181818183</v>
      </c>
      <c r="N10" s="650">
        <f t="shared" si="3"/>
        <v>72.72727272727272</v>
      </c>
      <c r="O10" s="646">
        <v>60</v>
      </c>
      <c r="P10" s="647"/>
      <c r="Q10" s="647">
        <v>11.4</v>
      </c>
      <c r="R10" s="648">
        <f t="shared" si="4"/>
        <v>71.400000000000006</v>
      </c>
      <c r="S10" s="669">
        <v>1</v>
      </c>
      <c r="T10" s="645"/>
      <c r="U10" s="652"/>
      <c r="V10" s="641" t="s">
        <v>1060</v>
      </c>
      <c r="W10" s="653" t="s">
        <v>22</v>
      </c>
      <c r="X10" s="653" t="s">
        <v>11</v>
      </c>
      <c r="Y10" s="642">
        <v>60</v>
      </c>
      <c r="Z10" s="685" t="s">
        <v>1062</v>
      </c>
      <c r="AA10" s="685" t="s">
        <v>20</v>
      </c>
      <c r="AB10" s="685" t="s">
        <v>12</v>
      </c>
      <c r="AC10" s="685">
        <v>11.4</v>
      </c>
      <c r="AD10" s="641"/>
      <c r="AG10" s="642"/>
      <c r="AL10" s="641"/>
      <c r="AO10" s="642"/>
      <c r="AP10" s="641"/>
      <c r="AS10" s="642"/>
      <c r="AW10" s="642"/>
      <c r="BA10" s="643"/>
    </row>
    <row r="11" spans="1:53" s="685" customFormat="1" x14ac:dyDescent="0.15">
      <c r="A11" s="685">
        <v>1979</v>
      </c>
      <c r="B11" s="502">
        <v>29160</v>
      </c>
      <c r="C11" s="812" t="s">
        <v>1317</v>
      </c>
      <c r="D11" s="812"/>
      <c r="E11" s="685">
        <v>61</v>
      </c>
      <c r="F11" s="501">
        <v>0</v>
      </c>
      <c r="G11" s="649">
        <v>7</v>
      </c>
      <c r="I11" s="685">
        <v>2</v>
      </c>
      <c r="J11" s="651">
        <v>11</v>
      </c>
      <c r="K11" s="647">
        <f t="shared" si="0"/>
        <v>63.636363636363633</v>
      </c>
      <c r="L11" s="647">
        <f t="shared" si="1"/>
        <v>0</v>
      </c>
      <c r="M11" s="647">
        <f t="shared" si="2"/>
        <v>18.181818181818183</v>
      </c>
      <c r="N11" s="650">
        <f t="shared" si="3"/>
        <v>81.818181818181813</v>
      </c>
      <c r="O11" s="646">
        <v>60</v>
      </c>
      <c r="P11" s="647"/>
      <c r="Q11" s="647">
        <v>11.4</v>
      </c>
      <c r="R11" s="648">
        <f t="shared" si="4"/>
        <v>71.400000000000006</v>
      </c>
      <c r="S11" s="685">
        <v>1</v>
      </c>
      <c r="T11" s="487"/>
      <c r="U11" s="682"/>
      <c r="V11" s="641" t="s">
        <v>1060</v>
      </c>
      <c r="W11" s="685" t="s">
        <v>22</v>
      </c>
      <c r="X11" s="685" t="s">
        <v>11</v>
      </c>
      <c r="Y11" s="642">
        <v>60</v>
      </c>
      <c r="Z11" s="685" t="s">
        <v>1062</v>
      </c>
      <c r="AA11" s="685" t="s">
        <v>20</v>
      </c>
      <c r="AB11" s="685" t="s">
        <v>12</v>
      </c>
      <c r="AC11" s="685">
        <v>11.4</v>
      </c>
      <c r="AD11" s="641"/>
      <c r="AG11" s="642"/>
      <c r="AL11" s="641"/>
      <c r="AO11" s="642"/>
      <c r="AP11" s="641"/>
      <c r="AS11" s="642"/>
      <c r="AW11" s="642"/>
      <c r="BA11" s="643"/>
    </row>
    <row r="12" spans="1:53" s="653" customFormat="1" x14ac:dyDescent="0.15">
      <c r="A12" s="653">
        <v>1980</v>
      </c>
      <c r="B12" s="652"/>
      <c r="C12" s="812" t="s">
        <v>1317</v>
      </c>
      <c r="D12" s="812"/>
      <c r="E12" s="653">
        <v>253</v>
      </c>
      <c r="G12" s="649">
        <v>7</v>
      </c>
      <c r="I12" s="653">
        <v>2</v>
      </c>
      <c r="J12" s="651">
        <v>11</v>
      </c>
      <c r="K12" s="647">
        <f t="shared" si="0"/>
        <v>63.636363636363633</v>
      </c>
      <c r="L12" s="647">
        <f t="shared" si="1"/>
        <v>0</v>
      </c>
      <c r="M12" s="647">
        <f t="shared" si="2"/>
        <v>18.181818181818183</v>
      </c>
      <c r="N12" s="650">
        <f t="shared" si="3"/>
        <v>81.818181818181813</v>
      </c>
      <c r="O12" s="646">
        <v>60</v>
      </c>
      <c r="P12" s="647"/>
      <c r="Q12" s="647">
        <v>11.4</v>
      </c>
      <c r="R12" s="648">
        <f t="shared" si="4"/>
        <v>71.400000000000006</v>
      </c>
      <c r="S12" s="669">
        <v>1</v>
      </c>
      <c r="T12" s="645"/>
      <c r="U12" s="652"/>
      <c r="V12" s="641" t="s">
        <v>1060</v>
      </c>
      <c r="W12" s="653" t="s">
        <v>22</v>
      </c>
      <c r="X12" s="653" t="s">
        <v>11</v>
      </c>
      <c r="Y12" s="642">
        <v>60</v>
      </c>
      <c r="Z12" s="685" t="s">
        <v>1062</v>
      </c>
      <c r="AA12" s="685" t="s">
        <v>20</v>
      </c>
      <c r="AB12" s="685" t="s">
        <v>12</v>
      </c>
      <c r="AC12" s="685">
        <v>11.4</v>
      </c>
      <c r="AD12" s="641"/>
      <c r="AG12" s="642"/>
      <c r="AL12" s="641"/>
      <c r="AO12" s="642"/>
      <c r="AP12" s="641"/>
      <c r="AS12" s="642"/>
      <c r="AW12" s="642"/>
      <c r="BA12" s="643"/>
    </row>
    <row r="13" spans="1:53" s="685" customFormat="1" x14ac:dyDescent="0.15">
      <c r="A13" s="685">
        <v>1980</v>
      </c>
      <c r="B13" s="502">
        <v>29474</v>
      </c>
      <c r="C13" s="812" t="s">
        <v>1317</v>
      </c>
      <c r="D13" s="812"/>
      <c r="E13" s="685">
        <v>2</v>
      </c>
      <c r="F13" s="501">
        <v>0</v>
      </c>
      <c r="G13" s="649">
        <v>8</v>
      </c>
      <c r="I13" s="685">
        <v>1</v>
      </c>
      <c r="J13" s="651">
        <v>11</v>
      </c>
      <c r="K13" s="647">
        <f t="shared" si="0"/>
        <v>72.727272727272734</v>
      </c>
      <c r="L13" s="647">
        <f t="shared" si="1"/>
        <v>0</v>
      </c>
      <c r="M13" s="647">
        <f t="shared" si="2"/>
        <v>9.0909090909090917</v>
      </c>
      <c r="N13" s="650">
        <f t="shared" si="3"/>
        <v>81.818181818181827</v>
      </c>
      <c r="O13" s="646">
        <v>60</v>
      </c>
      <c r="P13" s="647"/>
      <c r="Q13" s="647">
        <v>11.4</v>
      </c>
      <c r="R13" s="648">
        <f t="shared" si="4"/>
        <v>71.400000000000006</v>
      </c>
      <c r="S13" s="685">
        <v>1</v>
      </c>
      <c r="T13" s="487"/>
      <c r="U13" s="682"/>
      <c r="V13" s="641" t="s">
        <v>1060</v>
      </c>
      <c r="W13" s="685" t="s">
        <v>22</v>
      </c>
      <c r="X13" s="685" t="s">
        <v>11</v>
      </c>
      <c r="Y13" s="642">
        <v>60</v>
      </c>
      <c r="Z13" s="685" t="s">
        <v>1062</v>
      </c>
      <c r="AA13" s="685" t="s">
        <v>20</v>
      </c>
      <c r="AB13" s="685" t="s">
        <v>12</v>
      </c>
      <c r="AC13" s="685">
        <v>11.4</v>
      </c>
      <c r="AD13" s="641"/>
      <c r="AG13" s="642"/>
      <c r="AL13" s="641"/>
      <c r="AO13" s="642"/>
      <c r="AP13" s="641"/>
      <c r="AS13" s="642"/>
      <c r="AW13" s="642"/>
      <c r="BA13" s="643"/>
    </row>
    <row r="14" spans="1:53" s="685" customFormat="1" x14ac:dyDescent="0.15">
      <c r="A14" s="685">
        <v>1980</v>
      </c>
      <c r="B14" s="502">
        <v>29476</v>
      </c>
      <c r="C14" s="812" t="s">
        <v>1317</v>
      </c>
      <c r="D14" s="812"/>
      <c r="E14" s="685">
        <v>111</v>
      </c>
      <c r="F14" s="501">
        <v>0</v>
      </c>
      <c r="G14" s="649">
        <v>9</v>
      </c>
      <c r="J14" s="651">
        <v>11</v>
      </c>
      <c r="K14" s="647">
        <f t="shared" si="0"/>
        <v>81.818181818181827</v>
      </c>
      <c r="L14" s="647">
        <f t="shared" si="1"/>
        <v>0</v>
      </c>
      <c r="M14" s="647">
        <f t="shared" si="2"/>
        <v>0</v>
      </c>
      <c r="N14" s="650">
        <f t="shared" si="3"/>
        <v>81.818181818181827</v>
      </c>
      <c r="O14" s="646">
        <v>60</v>
      </c>
      <c r="P14" s="647"/>
      <c r="Q14" s="647"/>
      <c r="R14" s="648">
        <f t="shared" si="4"/>
        <v>60</v>
      </c>
      <c r="S14" s="685">
        <v>1</v>
      </c>
      <c r="T14" s="487"/>
      <c r="U14" s="682"/>
      <c r="V14" s="641" t="s">
        <v>1060</v>
      </c>
      <c r="W14" s="685" t="s">
        <v>22</v>
      </c>
      <c r="X14" s="685" t="s">
        <v>11</v>
      </c>
      <c r="Y14" s="642">
        <v>60</v>
      </c>
      <c r="AD14" s="641"/>
      <c r="AG14" s="642"/>
      <c r="AL14" s="641"/>
      <c r="AO14" s="642"/>
      <c r="AP14" s="641"/>
      <c r="AS14" s="642"/>
      <c r="AW14" s="642"/>
      <c r="BA14" s="643"/>
    </row>
    <row r="15" spans="1:53" s="669" customFormat="1" x14ac:dyDescent="0.15">
      <c r="A15" s="669">
        <v>1981</v>
      </c>
      <c r="B15" s="667"/>
      <c r="C15" s="812" t="s">
        <v>1317</v>
      </c>
      <c r="D15" s="812"/>
      <c r="E15" s="669">
        <v>143</v>
      </c>
      <c r="G15" s="649">
        <v>1</v>
      </c>
      <c r="J15" s="651">
        <v>11</v>
      </c>
      <c r="K15" s="647">
        <f t="shared" si="0"/>
        <v>9.0909090909090917</v>
      </c>
      <c r="L15" s="647">
        <f t="shared" si="1"/>
        <v>0</v>
      </c>
      <c r="M15" s="647">
        <f t="shared" si="2"/>
        <v>0</v>
      </c>
      <c r="N15" s="650">
        <f t="shared" si="3"/>
        <v>9.0909090909090917</v>
      </c>
      <c r="O15" s="646">
        <v>60</v>
      </c>
      <c r="P15" s="647"/>
      <c r="Q15" s="647"/>
      <c r="R15" s="648">
        <f t="shared" si="4"/>
        <v>60</v>
      </c>
      <c r="S15" s="669">
        <v>1</v>
      </c>
      <c r="T15" s="645"/>
      <c r="U15" s="667"/>
      <c r="V15" s="641" t="s">
        <v>1060</v>
      </c>
      <c r="W15" s="669" t="s">
        <v>22</v>
      </c>
      <c r="X15" s="669" t="s">
        <v>11</v>
      </c>
      <c r="Y15" s="642">
        <v>60</v>
      </c>
      <c r="AD15" s="641"/>
      <c r="AG15" s="642"/>
      <c r="AL15" s="641"/>
      <c r="AO15" s="642"/>
      <c r="AP15" s="641"/>
      <c r="AS15" s="642"/>
      <c r="AW15" s="642"/>
      <c r="BA15" s="643"/>
    </row>
    <row r="16" spans="1:53" s="669" customFormat="1" x14ac:dyDescent="0.15">
      <c r="A16" s="669">
        <v>1981</v>
      </c>
      <c r="B16" s="502"/>
      <c r="C16" s="812" t="s">
        <v>1317</v>
      </c>
      <c r="D16" s="812"/>
      <c r="E16" s="669">
        <v>222</v>
      </c>
      <c r="F16" s="501" t="s">
        <v>340</v>
      </c>
      <c r="G16" s="649">
        <v>1</v>
      </c>
      <c r="J16" s="651">
        <v>11</v>
      </c>
      <c r="K16" s="647">
        <f t="shared" si="0"/>
        <v>9.0909090909090917</v>
      </c>
      <c r="L16" s="647">
        <f t="shared" si="1"/>
        <v>0</v>
      </c>
      <c r="M16" s="647">
        <f t="shared" si="2"/>
        <v>0</v>
      </c>
      <c r="N16" s="650">
        <f t="shared" si="3"/>
        <v>9.0909090909090917</v>
      </c>
      <c r="O16" s="646">
        <v>22.9</v>
      </c>
      <c r="P16" s="647"/>
      <c r="Q16" s="647"/>
      <c r="R16" s="648">
        <f t="shared" si="4"/>
        <v>22.9</v>
      </c>
      <c r="S16" s="669">
        <v>1</v>
      </c>
      <c r="T16" s="487">
        <v>29730</v>
      </c>
      <c r="U16" s="667"/>
      <c r="V16" s="641" t="s">
        <v>1060</v>
      </c>
      <c r="W16" s="669" t="s">
        <v>22</v>
      </c>
      <c r="X16" s="669" t="s">
        <v>11</v>
      </c>
      <c r="Y16" s="642">
        <v>22.9</v>
      </c>
      <c r="AD16" s="641"/>
      <c r="AG16" s="642"/>
      <c r="AL16" s="641"/>
      <c r="AO16" s="642"/>
      <c r="AP16" s="641"/>
      <c r="AS16" s="642"/>
      <c r="AW16" s="642"/>
      <c r="BA16" s="643"/>
    </row>
    <row r="17" spans="1:53" s="669" customFormat="1" x14ac:dyDescent="0.15">
      <c r="A17" s="669">
        <v>1982</v>
      </c>
      <c r="B17" s="667"/>
      <c r="C17" s="812" t="s">
        <v>1317</v>
      </c>
      <c r="D17" s="812"/>
      <c r="E17" s="669">
        <v>109</v>
      </c>
      <c r="G17" s="649">
        <v>1</v>
      </c>
      <c r="J17" s="651">
        <v>11</v>
      </c>
      <c r="K17" s="647">
        <f t="shared" si="0"/>
        <v>9.0909090909090917</v>
      </c>
      <c r="L17" s="647">
        <f t="shared" si="1"/>
        <v>0</v>
      </c>
      <c r="M17" s="647">
        <f t="shared" si="2"/>
        <v>0</v>
      </c>
      <c r="N17" s="650">
        <f t="shared" si="3"/>
        <v>9.0909090909090917</v>
      </c>
      <c r="O17" s="646">
        <v>22.9</v>
      </c>
      <c r="P17" s="647"/>
      <c r="Q17" s="647"/>
      <c r="R17" s="648">
        <f t="shared" si="4"/>
        <v>22.9</v>
      </c>
      <c r="S17" s="669">
        <v>1</v>
      </c>
      <c r="T17" s="645"/>
      <c r="U17" s="667"/>
      <c r="V17" s="641" t="s">
        <v>1060</v>
      </c>
      <c r="W17" s="669" t="s">
        <v>22</v>
      </c>
      <c r="X17" s="669" t="s">
        <v>11</v>
      </c>
      <c r="Y17" s="642">
        <v>22.9</v>
      </c>
      <c r="AD17" s="641"/>
      <c r="AG17" s="642"/>
      <c r="AL17" s="641"/>
      <c r="AO17" s="642"/>
      <c r="AP17" s="641"/>
      <c r="AS17" s="642"/>
      <c r="AW17" s="642"/>
      <c r="BA17" s="643"/>
    </row>
    <row r="18" spans="1:53" s="685" customFormat="1" x14ac:dyDescent="0.15">
      <c r="A18" s="685">
        <v>1982</v>
      </c>
      <c r="B18" s="502">
        <v>30061</v>
      </c>
      <c r="C18" s="812" t="s">
        <v>1317</v>
      </c>
      <c r="D18" s="812"/>
      <c r="E18" s="685">
        <v>256</v>
      </c>
      <c r="F18" s="501">
        <v>0</v>
      </c>
      <c r="G18" s="649">
        <v>7</v>
      </c>
      <c r="J18" s="651">
        <v>11</v>
      </c>
      <c r="K18" s="647">
        <f t="shared" si="0"/>
        <v>63.636363636363633</v>
      </c>
      <c r="L18" s="647">
        <f t="shared" si="1"/>
        <v>0</v>
      </c>
      <c r="M18" s="647">
        <f t="shared" si="2"/>
        <v>0</v>
      </c>
      <c r="N18" s="650">
        <f t="shared" si="3"/>
        <v>63.636363636363633</v>
      </c>
      <c r="O18" s="646">
        <v>22.9</v>
      </c>
      <c r="P18" s="647"/>
      <c r="Q18" s="647"/>
      <c r="R18" s="648">
        <f t="shared" si="4"/>
        <v>22.9</v>
      </c>
      <c r="S18" s="685">
        <v>1</v>
      </c>
      <c r="T18" s="487"/>
      <c r="U18" s="682"/>
      <c r="V18" s="641" t="s">
        <v>1060</v>
      </c>
      <c r="W18" s="685" t="s">
        <v>22</v>
      </c>
      <c r="X18" s="685" t="s">
        <v>11</v>
      </c>
      <c r="Y18" s="642">
        <v>22.9</v>
      </c>
      <c r="AD18" s="641"/>
      <c r="AG18" s="642"/>
      <c r="AL18" s="641"/>
      <c r="AO18" s="642"/>
      <c r="AP18" s="641"/>
      <c r="AS18" s="642"/>
      <c r="AW18" s="642"/>
      <c r="BA18" s="643"/>
    </row>
    <row r="19" spans="1:53" s="669" customFormat="1" x14ac:dyDescent="0.15">
      <c r="A19" s="669">
        <v>1983</v>
      </c>
      <c r="B19" s="667"/>
      <c r="C19" s="812" t="s">
        <v>1317</v>
      </c>
      <c r="D19" s="812"/>
      <c r="E19" s="669">
        <v>43</v>
      </c>
      <c r="G19" s="649">
        <v>7</v>
      </c>
      <c r="J19" s="651">
        <v>11</v>
      </c>
      <c r="K19" s="647">
        <f t="shared" si="0"/>
        <v>63.636363636363633</v>
      </c>
      <c r="L19" s="647">
        <f t="shared" si="1"/>
        <v>0</v>
      </c>
      <c r="M19" s="647">
        <f t="shared" si="2"/>
        <v>0</v>
      </c>
      <c r="N19" s="650">
        <f t="shared" si="3"/>
        <v>63.636363636363633</v>
      </c>
      <c r="O19" s="646">
        <v>22.9</v>
      </c>
      <c r="P19" s="647"/>
      <c r="Q19" s="647"/>
      <c r="R19" s="648">
        <f t="shared" si="4"/>
        <v>22.9</v>
      </c>
      <c r="S19" s="669">
        <v>1</v>
      </c>
      <c r="T19" s="645"/>
      <c r="U19" s="667"/>
      <c r="V19" s="641" t="s">
        <v>1060</v>
      </c>
      <c r="W19" s="669" t="s">
        <v>22</v>
      </c>
      <c r="X19" s="669" t="s">
        <v>11</v>
      </c>
      <c r="Y19" s="642">
        <v>22.9</v>
      </c>
      <c r="AD19" s="641"/>
      <c r="AG19" s="642"/>
      <c r="AL19" s="641"/>
      <c r="AO19" s="642"/>
      <c r="AP19" s="641"/>
      <c r="AS19" s="642"/>
      <c r="AW19" s="642"/>
      <c r="BA19" s="643"/>
    </row>
    <row r="20" spans="1:53" s="676" customFormat="1" x14ac:dyDescent="0.15">
      <c r="A20" s="676">
        <v>1983</v>
      </c>
      <c r="B20" s="670">
        <v>30360</v>
      </c>
      <c r="C20" s="811" t="s">
        <v>1318</v>
      </c>
      <c r="D20" s="811"/>
      <c r="E20" s="676">
        <v>221</v>
      </c>
      <c r="G20" s="600">
        <v>7</v>
      </c>
      <c r="J20" s="602">
        <v>11</v>
      </c>
      <c r="K20" s="597">
        <f t="shared" si="0"/>
        <v>63.636363636363633</v>
      </c>
      <c r="L20" s="597">
        <f t="shared" si="1"/>
        <v>0</v>
      </c>
      <c r="M20" s="597">
        <f t="shared" si="2"/>
        <v>0</v>
      </c>
      <c r="N20" s="601">
        <f t="shared" si="3"/>
        <v>63.636363636363633</v>
      </c>
      <c r="O20" s="596">
        <v>22.9</v>
      </c>
      <c r="P20" s="597"/>
      <c r="Q20" s="597"/>
      <c r="R20" s="598">
        <f t="shared" si="4"/>
        <v>22.9</v>
      </c>
      <c r="S20" s="676">
        <v>1</v>
      </c>
      <c r="T20" s="577"/>
      <c r="U20" s="670">
        <v>30360</v>
      </c>
      <c r="V20" s="592" t="s">
        <v>1060</v>
      </c>
      <c r="W20" s="676" t="s">
        <v>22</v>
      </c>
      <c r="X20" s="676" t="s">
        <v>11</v>
      </c>
      <c r="Y20" s="593">
        <v>22.9</v>
      </c>
      <c r="AD20" s="592"/>
      <c r="AG20" s="593"/>
      <c r="AL20" s="592"/>
      <c r="AO20" s="593"/>
      <c r="AP20" s="592"/>
      <c r="AS20" s="593"/>
      <c r="AW20" s="593"/>
      <c r="BA20" s="594"/>
    </row>
    <row r="21" spans="1:53" s="684" customFormat="1" x14ac:dyDescent="0.15">
      <c r="A21" s="684">
        <v>1983</v>
      </c>
      <c r="B21" s="603">
        <v>30581</v>
      </c>
      <c r="C21" s="811" t="s">
        <v>1318</v>
      </c>
      <c r="D21" s="811"/>
      <c r="E21" s="684">
        <v>101</v>
      </c>
      <c r="F21" s="604">
        <v>0</v>
      </c>
      <c r="G21" s="600">
        <v>6</v>
      </c>
      <c r="J21" s="602">
        <v>11</v>
      </c>
      <c r="K21" s="597">
        <f t="shared" si="0"/>
        <v>54.54545454545454</v>
      </c>
      <c r="L21" s="597">
        <f t="shared" si="1"/>
        <v>0</v>
      </c>
      <c r="M21" s="597">
        <f t="shared" si="2"/>
        <v>0</v>
      </c>
      <c r="N21" s="601">
        <f t="shared" si="3"/>
        <v>54.54545454545454</v>
      </c>
      <c r="O21" s="596">
        <v>22.9</v>
      </c>
      <c r="P21" s="597"/>
      <c r="Q21" s="597"/>
      <c r="R21" s="598">
        <f t="shared" si="4"/>
        <v>22.9</v>
      </c>
      <c r="S21" s="684">
        <v>1</v>
      </c>
      <c r="T21" s="599"/>
      <c r="U21" s="683"/>
      <c r="V21" s="592" t="s">
        <v>1060</v>
      </c>
      <c r="W21" s="684" t="s">
        <v>22</v>
      </c>
      <c r="X21" s="684" t="s">
        <v>11</v>
      </c>
      <c r="Y21" s="593">
        <v>22.9</v>
      </c>
      <c r="AD21" s="592"/>
      <c r="AG21" s="593"/>
      <c r="AL21" s="592"/>
      <c r="AO21" s="593"/>
      <c r="AP21" s="592"/>
      <c r="AS21" s="593"/>
      <c r="AW21" s="593"/>
      <c r="BA21" s="594"/>
    </row>
    <row r="22" spans="1:53" s="684" customFormat="1" x14ac:dyDescent="0.15">
      <c r="A22" s="684">
        <v>1984</v>
      </c>
      <c r="B22" s="603"/>
      <c r="C22" s="811" t="s">
        <v>1318</v>
      </c>
      <c r="D22" s="811"/>
      <c r="E22" s="684">
        <v>0</v>
      </c>
      <c r="F22" s="604"/>
      <c r="G22" s="600">
        <v>6</v>
      </c>
      <c r="J22" s="602">
        <v>11</v>
      </c>
      <c r="K22" s="597">
        <f t="shared" si="0"/>
        <v>54.54545454545454</v>
      </c>
      <c r="L22" s="597">
        <f t="shared" si="1"/>
        <v>0</v>
      </c>
      <c r="M22" s="597">
        <f t="shared" si="2"/>
        <v>0</v>
      </c>
      <c r="N22" s="601">
        <f t="shared" si="3"/>
        <v>54.54545454545454</v>
      </c>
      <c r="O22" s="596">
        <v>22.9</v>
      </c>
      <c r="P22" s="597"/>
      <c r="Q22" s="597"/>
      <c r="R22" s="598">
        <f t="shared" si="4"/>
        <v>22.9</v>
      </c>
      <c r="S22" s="684">
        <v>1</v>
      </c>
      <c r="T22" s="599"/>
      <c r="U22" s="683"/>
      <c r="V22" s="592" t="s">
        <v>1060</v>
      </c>
      <c r="W22" s="684" t="s">
        <v>22</v>
      </c>
      <c r="X22" s="684" t="s">
        <v>11</v>
      </c>
      <c r="Y22" s="593">
        <v>22.9</v>
      </c>
      <c r="AD22" s="592"/>
      <c r="AG22" s="593"/>
      <c r="AL22" s="592"/>
      <c r="AO22" s="593"/>
      <c r="AP22" s="592"/>
      <c r="AS22" s="593"/>
      <c r="AW22" s="593"/>
      <c r="BA22" s="594"/>
    </row>
    <row r="23" spans="1:53" s="684" customFormat="1" x14ac:dyDescent="0.15">
      <c r="A23" s="684">
        <v>1984</v>
      </c>
      <c r="B23" s="603"/>
      <c r="C23" s="811" t="s">
        <v>1318</v>
      </c>
      <c r="D23" s="811"/>
      <c r="E23" s="684">
        <v>366</v>
      </c>
      <c r="F23" s="604"/>
      <c r="G23" s="600">
        <v>6</v>
      </c>
      <c r="J23" s="602">
        <v>11</v>
      </c>
      <c r="K23" s="597">
        <f t="shared" si="0"/>
        <v>54.54545454545454</v>
      </c>
      <c r="L23" s="597">
        <f t="shared" si="1"/>
        <v>0</v>
      </c>
      <c r="M23" s="597">
        <f t="shared" si="2"/>
        <v>0</v>
      </c>
      <c r="N23" s="601">
        <f t="shared" si="3"/>
        <v>54.54545454545454</v>
      </c>
      <c r="O23" s="596">
        <v>22.9</v>
      </c>
      <c r="P23" s="597"/>
      <c r="Q23" s="597"/>
      <c r="R23" s="598">
        <f t="shared" si="4"/>
        <v>22.9</v>
      </c>
      <c r="S23" s="684">
        <v>1</v>
      </c>
      <c r="T23" s="599"/>
      <c r="U23" s="683"/>
      <c r="V23" s="592" t="s">
        <v>1060</v>
      </c>
      <c r="W23" s="684" t="s">
        <v>22</v>
      </c>
      <c r="X23" s="684" t="s">
        <v>11</v>
      </c>
      <c r="Y23" s="593">
        <v>22.9</v>
      </c>
      <c r="AD23" s="592"/>
      <c r="AG23" s="593"/>
      <c r="AL23" s="592"/>
      <c r="AO23" s="593"/>
      <c r="AP23" s="592"/>
      <c r="AS23" s="593"/>
      <c r="AW23" s="593"/>
      <c r="BA23" s="594"/>
    </row>
    <row r="24" spans="1:53" s="684" customFormat="1" x14ac:dyDescent="0.15">
      <c r="A24" s="684">
        <v>1985</v>
      </c>
      <c r="C24" s="811" t="s">
        <v>1318</v>
      </c>
      <c r="D24" s="811"/>
      <c r="E24" s="684">
        <v>6</v>
      </c>
      <c r="F24" s="604"/>
      <c r="G24" s="600">
        <v>6</v>
      </c>
      <c r="J24" s="602">
        <v>11</v>
      </c>
      <c r="K24" s="597">
        <f t="shared" si="0"/>
        <v>54.54545454545454</v>
      </c>
      <c r="L24" s="597">
        <f t="shared" si="1"/>
        <v>0</v>
      </c>
      <c r="M24" s="597">
        <f t="shared" si="2"/>
        <v>0</v>
      </c>
      <c r="N24" s="601">
        <f t="shared" si="3"/>
        <v>54.54545454545454</v>
      </c>
      <c r="O24" s="596">
        <v>22.9</v>
      </c>
      <c r="P24" s="597"/>
      <c r="Q24" s="597"/>
      <c r="R24" s="598">
        <f t="shared" si="4"/>
        <v>22.9</v>
      </c>
      <c r="S24" s="684">
        <v>1</v>
      </c>
      <c r="T24" s="599"/>
      <c r="U24" s="683"/>
      <c r="V24" s="592" t="s">
        <v>1060</v>
      </c>
      <c r="W24" s="684" t="s">
        <v>22</v>
      </c>
      <c r="X24" s="684" t="s">
        <v>11</v>
      </c>
      <c r="Y24" s="593">
        <v>22.9</v>
      </c>
      <c r="AD24" s="592"/>
      <c r="AG24" s="593"/>
      <c r="AL24" s="592"/>
      <c r="AO24" s="593"/>
      <c r="AP24" s="592"/>
      <c r="AS24" s="593"/>
      <c r="AW24" s="593"/>
      <c r="BA24" s="594"/>
    </row>
    <row r="25" spans="1:53" s="684" customFormat="1" x14ac:dyDescent="0.15">
      <c r="A25" s="684">
        <v>1985</v>
      </c>
      <c r="B25" s="603">
        <v>31054</v>
      </c>
      <c r="C25" s="811" t="s">
        <v>1318</v>
      </c>
      <c r="D25" s="811"/>
      <c r="E25" s="684">
        <v>206</v>
      </c>
      <c r="F25" s="604">
        <v>0</v>
      </c>
      <c r="G25" s="600">
        <v>8</v>
      </c>
      <c r="J25" s="602">
        <v>12</v>
      </c>
      <c r="K25" s="597">
        <f t="shared" si="0"/>
        <v>66.666666666666657</v>
      </c>
      <c r="L25" s="597">
        <f t="shared" si="1"/>
        <v>0</v>
      </c>
      <c r="M25" s="597">
        <f t="shared" si="2"/>
        <v>0</v>
      </c>
      <c r="N25" s="601">
        <f t="shared" si="3"/>
        <v>66.666666666666657</v>
      </c>
      <c r="O25" s="596">
        <v>57.2</v>
      </c>
      <c r="P25" s="597"/>
      <c r="Q25" s="597"/>
      <c r="R25" s="598">
        <f t="shared" si="4"/>
        <v>57.2</v>
      </c>
      <c r="S25" s="684">
        <v>1</v>
      </c>
      <c r="T25" s="599"/>
      <c r="U25" s="683"/>
      <c r="V25" s="592" t="s">
        <v>1060</v>
      </c>
      <c r="W25" s="684" t="s">
        <v>22</v>
      </c>
      <c r="X25" s="684" t="s">
        <v>11</v>
      </c>
      <c r="Y25" s="593">
        <v>22.9</v>
      </c>
      <c r="Z25" s="592" t="s">
        <v>1059</v>
      </c>
      <c r="AA25" s="684" t="s">
        <v>74</v>
      </c>
      <c r="AB25" s="684" t="s">
        <v>11</v>
      </c>
      <c r="AC25" s="684">
        <v>34.299999999999997</v>
      </c>
      <c r="AD25" s="592"/>
      <c r="AG25" s="593"/>
      <c r="AL25" s="592"/>
      <c r="AO25" s="593"/>
      <c r="AP25" s="592"/>
      <c r="AS25" s="593"/>
      <c r="AW25" s="593"/>
      <c r="BA25" s="594"/>
    </row>
    <row r="26" spans="1:53" s="684" customFormat="1" x14ac:dyDescent="0.15">
      <c r="A26" s="684">
        <v>1985</v>
      </c>
      <c r="B26" s="603">
        <v>31260</v>
      </c>
      <c r="C26" s="811" t="s">
        <v>1318</v>
      </c>
      <c r="D26" s="811"/>
      <c r="E26" s="684">
        <v>129</v>
      </c>
      <c r="F26" s="604">
        <v>0</v>
      </c>
      <c r="G26" s="600">
        <v>8</v>
      </c>
      <c r="J26" s="602">
        <v>12</v>
      </c>
      <c r="K26" s="597">
        <f t="shared" si="0"/>
        <v>66.666666666666657</v>
      </c>
      <c r="L26" s="597">
        <f t="shared" si="1"/>
        <v>0</v>
      </c>
      <c r="M26" s="597">
        <f t="shared" si="2"/>
        <v>0</v>
      </c>
      <c r="N26" s="601">
        <f t="shared" si="3"/>
        <v>66.666666666666657</v>
      </c>
      <c r="O26" s="596">
        <v>57.2</v>
      </c>
      <c r="P26" s="597"/>
      <c r="Q26" s="597"/>
      <c r="R26" s="598">
        <f t="shared" si="4"/>
        <v>57.2</v>
      </c>
      <c r="S26" s="684">
        <v>1</v>
      </c>
      <c r="T26" s="599"/>
      <c r="U26" s="683"/>
      <c r="V26" s="592" t="s">
        <v>1060</v>
      </c>
      <c r="W26" s="684" t="s">
        <v>22</v>
      </c>
      <c r="X26" s="684" t="s">
        <v>11</v>
      </c>
      <c r="Y26" s="593">
        <v>22.9</v>
      </c>
      <c r="Z26" s="592" t="s">
        <v>1059</v>
      </c>
      <c r="AA26" s="684" t="s">
        <v>74</v>
      </c>
      <c r="AB26" s="684" t="s">
        <v>11</v>
      </c>
      <c r="AC26" s="684">
        <v>34.299999999999997</v>
      </c>
      <c r="AD26" s="592"/>
      <c r="AG26" s="593"/>
      <c r="AL26" s="592"/>
      <c r="AO26" s="593"/>
      <c r="AP26" s="592"/>
      <c r="AS26" s="593"/>
      <c r="AW26" s="593"/>
      <c r="BA26" s="594"/>
    </row>
    <row r="27" spans="1:53" s="676" customFormat="1" x14ac:dyDescent="0.15">
      <c r="A27" s="676">
        <v>1985</v>
      </c>
      <c r="B27" s="603">
        <v>31389</v>
      </c>
      <c r="C27" s="811" t="s">
        <v>1318</v>
      </c>
      <c r="D27" s="811"/>
      <c r="E27" s="676">
        <v>24</v>
      </c>
      <c r="F27" s="604" t="s">
        <v>340</v>
      </c>
      <c r="G27" s="600">
        <v>8</v>
      </c>
      <c r="J27" s="602">
        <v>12</v>
      </c>
      <c r="K27" s="597">
        <f t="shared" si="0"/>
        <v>66.666666666666657</v>
      </c>
      <c r="L27" s="597">
        <f t="shared" si="1"/>
        <v>0</v>
      </c>
      <c r="M27" s="597">
        <f t="shared" si="2"/>
        <v>0</v>
      </c>
      <c r="N27" s="601">
        <f t="shared" si="3"/>
        <v>66.666666666666657</v>
      </c>
      <c r="O27" s="596">
        <v>62.5</v>
      </c>
      <c r="P27" s="597"/>
      <c r="Q27" s="597"/>
      <c r="R27" s="598">
        <f t="shared" si="4"/>
        <v>62.5</v>
      </c>
      <c r="S27" s="676">
        <v>1</v>
      </c>
      <c r="T27" s="599">
        <v>31389</v>
      </c>
      <c r="U27" s="670"/>
      <c r="V27" s="592" t="s">
        <v>1060</v>
      </c>
      <c r="W27" s="676" t="s">
        <v>22</v>
      </c>
      <c r="X27" s="676" t="s">
        <v>11</v>
      </c>
      <c r="Y27" s="593">
        <v>28.6</v>
      </c>
      <c r="Z27" s="592" t="s">
        <v>1059</v>
      </c>
      <c r="AA27" s="684" t="s">
        <v>74</v>
      </c>
      <c r="AB27" s="684" t="s">
        <v>11</v>
      </c>
      <c r="AC27" s="684">
        <v>33.9</v>
      </c>
      <c r="AD27" s="592"/>
      <c r="AG27" s="593"/>
      <c r="AL27" s="592"/>
      <c r="AO27" s="593"/>
      <c r="AP27" s="592"/>
      <c r="AS27" s="593"/>
      <c r="AW27" s="593"/>
      <c r="BA27" s="594"/>
    </row>
    <row r="28" spans="1:53" s="676" customFormat="1" x14ac:dyDescent="0.15">
      <c r="A28" s="102">
        <v>1986</v>
      </c>
      <c r="B28" s="670"/>
      <c r="C28" s="811" t="s">
        <v>1318</v>
      </c>
      <c r="D28" s="811"/>
      <c r="E28" s="676">
        <v>0</v>
      </c>
      <c r="G28" s="600">
        <v>8</v>
      </c>
      <c r="J28" s="602">
        <v>12</v>
      </c>
      <c r="K28" s="597">
        <f t="shared" si="0"/>
        <v>66.666666666666657</v>
      </c>
      <c r="L28" s="597">
        <f t="shared" si="1"/>
        <v>0</v>
      </c>
      <c r="M28" s="597">
        <f t="shared" si="2"/>
        <v>0</v>
      </c>
      <c r="N28" s="601">
        <f t="shared" si="3"/>
        <v>66.666666666666657</v>
      </c>
      <c r="O28" s="596">
        <v>62.5</v>
      </c>
      <c r="P28" s="597"/>
      <c r="Q28" s="597"/>
      <c r="R28" s="598">
        <f t="shared" si="4"/>
        <v>62.5</v>
      </c>
      <c r="S28" s="676">
        <v>1</v>
      </c>
      <c r="T28" s="599"/>
      <c r="U28" s="670"/>
      <c r="V28" s="592" t="s">
        <v>1060</v>
      </c>
      <c r="W28" s="676" t="s">
        <v>22</v>
      </c>
      <c r="X28" s="676" t="s">
        <v>11</v>
      </c>
      <c r="Y28" s="593">
        <v>28.6</v>
      </c>
      <c r="Z28" s="592" t="s">
        <v>1059</v>
      </c>
      <c r="AA28" s="684" t="s">
        <v>74</v>
      </c>
      <c r="AB28" s="684" t="s">
        <v>11</v>
      </c>
      <c r="AC28" s="684">
        <v>33.9</v>
      </c>
      <c r="AD28" s="592"/>
      <c r="AG28" s="593"/>
      <c r="AL28" s="592"/>
      <c r="AO28" s="593"/>
      <c r="AP28" s="592"/>
      <c r="AS28" s="593"/>
      <c r="AW28" s="593"/>
      <c r="BA28" s="594"/>
    </row>
    <row r="29" spans="1:53" s="676" customFormat="1" x14ac:dyDescent="0.15">
      <c r="A29" s="102">
        <v>1986</v>
      </c>
      <c r="B29" s="670"/>
      <c r="C29" s="811" t="s">
        <v>1318</v>
      </c>
      <c r="D29" s="811"/>
      <c r="E29" s="676">
        <v>365</v>
      </c>
      <c r="G29" s="600">
        <v>8</v>
      </c>
      <c r="J29" s="602">
        <v>12</v>
      </c>
      <c r="K29" s="597">
        <f t="shared" si="0"/>
        <v>66.666666666666657</v>
      </c>
      <c r="L29" s="597">
        <f t="shared" si="1"/>
        <v>0</v>
      </c>
      <c r="M29" s="597">
        <f t="shared" si="2"/>
        <v>0</v>
      </c>
      <c r="N29" s="601">
        <f t="shared" si="3"/>
        <v>66.666666666666657</v>
      </c>
      <c r="O29" s="596">
        <v>62.5</v>
      </c>
      <c r="P29" s="597"/>
      <c r="Q29" s="597"/>
      <c r="R29" s="598">
        <f t="shared" si="4"/>
        <v>62.5</v>
      </c>
      <c r="S29" s="676">
        <v>1</v>
      </c>
      <c r="T29" s="599"/>
      <c r="U29" s="670"/>
      <c r="V29" s="592" t="s">
        <v>1060</v>
      </c>
      <c r="W29" s="676" t="s">
        <v>22</v>
      </c>
      <c r="X29" s="676" t="s">
        <v>11</v>
      </c>
      <c r="Y29" s="593">
        <v>28.6</v>
      </c>
      <c r="Z29" s="592" t="s">
        <v>1059</v>
      </c>
      <c r="AA29" s="684" t="s">
        <v>74</v>
      </c>
      <c r="AB29" s="684" t="s">
        <v>11</v>
      </c>
      <c r="AC29" s="684">
        <v>33.9</v>
      </c>
      <c r="AD29" s="592"/>
      <c r="AG29" s="593"/>
      <c r="AL29" s="592"/>
      <c r="AO29" s="593"/>
      <c r="AP29" s="592"/>
      <c r="AS29" s="593"/>
      <c r="AW29" s="593"/>
      <c r="BA29" s="594"/>
    </row>
    <row r="30" spans="1:53" s="676" customFormat="1" x14ac:dyDescent="0.15">
      <c r="A30" s="102">
        <v>1987</v>
      </c>
      <c r="B30" s="670"/>
      <c r="C30" s="811" t="s">
        <v>1318</v>
      </c>
      <c r="D30" s="811"/>
      <c r="E30" s="676">
        <v>0</v>
      </c>
      <c r="G30" s="600">
        <v>8</v>
      </c>
      <c r="J30" s="602">
        <v>12</v>
      </c>
      <c r="K30" s="597">
        <f t="shared" si="0"/>
        <v>66.666666666666657</v>
      </c>
      <c r="L30" s="597">
        <f t="shared" si="1"/>
        <v>0</v>
      </c>
      <c r="M30" s="597">
        <f t="shared" si="2"/>
        <v>0</v>
      </c>
      <c r="N30" s="601">
        <f t="shared" si="3"/>
        <v>66.666666666666657</v>
      </c>
      <c r="O30" s="596">
        <v>62.5</v>
      </c>
      <c r="P30" s="597"/>
      <c r="Q30" s="597"/>
      <c r="R30" s="598">
        <f t="shared" si="4"/>
        <v>62.5</v>
      </c>
      <c r="S30" s="676">
        <v>1</v>
      </c>
      <c r="T30" s="599"/>
      <c r="U30" s="670"/>
      <c r="V30" s="592" t="s">
        <v>1060</v>
      </c>
      <c r="W30" s="676" t="s">
        <v>22</v>
      </c>
      <c r="X30" s="676" t="s">
        <v>11</v>
      </c>
      <c r="Y30" s="593">
        <v>28.6</v>
      </c>
      <c r="Z30" s="592" t="s">
        <v>1059</v>
      </c>
      <c r="AA30" s="684" t="s">
        <v>74</v>
      </c>
      <c r="AB30" s="684" t="s">
        <v>11</v>
      </c>
      <c r="AC30" s="684">
        <v>33.9</v>
      </c>
      <c r="AD30" s="592"/>
      <c r="AG30" s="593"/>
      <c r="AL30" s="592"/>
      <c r="AO30" s="593"/>
      <c r="AP30" s="592"/>
      <c r="AS30" s="593"/>
      <c r="AW30" s="593"/>
      <c r="BA30" s="594"/>
    </row>
    <row r="31" spans="1:53" s="676" customFormat="1" x14ac:dyDescent="0.15">
      <c r="A31" s="102">
        <v>1987</v>
      </c>
      <c r="B31" s="670"/>
      <c r="C31" s="811" t="s">
        <v>1318</v>
      </c>
      <c r="D31" s="811"/>
      <c r="E31" s="676">
        <v>365</v>
      </c>
      <c r="G31" s="600">
        <v>8</v>
      </c>
      <c r="J31" s="602">
        <v>12</v>
      </c>
      <c r="K31" s="597">
        <f t="shared" si="0"/>
        <v>66.666666666666657</v>
      </c>
      <c r="L31" s="597">
        <f t="shared" si="1"/>
        <v>0</v>
      </c>
      <c r="M31" s="597">
        <f t="shared" si="2"/>
        <v>0</v>
      </c>
      <c r="N31" s="601">
        <f t="shared" si="3"/>
        <v>66.666666666666657</v>
      </c>
      <c r="O31" s="596">
        <v>62.5</v>
      </c>
      <c r="P31" s="597"/>
      <c r="Q31" s="597"/>
      <c r="R31" s="598">
        <f t="shared" si="4"/>
        <v>62.5</v>
      </c>
      <c r="S31" s="676">
        <v>1</v>
      </c>
      <c r="T31" s="599"/>
      <c r="U31" s="670"/>
      <c r="V31" s="592" t="s">
        <v>1060</v>
      </c>
      <c r="W31" s="676" t="s">
        <v>22</v>
      </c>
      <c r="X31" s="676" t="s">
        <v>11</v>
      </c>
      <c r="Y31" s="593">
        <v>28.6</v>
      </c>
      <c r="Z31" s="592" t="s">
        <v>1059</v>
      </c>
      <c r="AA31" s="684" t="s">
        <v>74</v>
      </c>
      <c r="AB31" s="684" t="s">
        <v>11</v>
      </c>
      <c r="AC31" s="684">
        <v>33.9</v>
      </c>
      <c r="AD31" s="592"/>
      <c r="AG31" s="593"/>
      <c r="AL31" s="592"/>
      <c r="AO31" s="593"/>
      <c r="AP31" s="592"/>
      <c r="AS31" s="593"/>
      <c r="AW31" s="593"/>
      <c r="BA31" s="594"/>
    </row>
    <row r="32" spans="1:53" s="676" customFormat="1" x14ac:dyDescent="0.15">
      <c r="A32" s="102">
        <v>1988</v>
      </c>
      <c r="B32" s="670"/>
      <c r="C32" s="811" t="s">
        <v>1318</v>
      </c>
      <c r="D32" s="811"/>
      <c r="E32" s="676">
        <v>58</v>
      </c>
      <c r="G32" s="600">
        <v>8</v>
      </c>
      <c r="J32" s="602">
        <v>12</v>
      </c>
      <c r="K32" s="597">
        <f t="shared" si="0"/>
        <v>66.666666666666657</v>
      </c>
      <c r="L32" s="597">
        <f t="shared" si="1"/>
        <v>0</v>
      </c>
      <c r="M32" s="597">
        <f t="shared" si="2"/>
        <v>0</v>
      </c>
      <c r="N32" s="601">
        <f t="shared" si="3"/>
        <v>66.666666666666657</v>
      </c>
      <c r="O32" s="596">
        <v>62.5</v>
      </c>
      <c r="P32" s="597"/>
      <c r="Q32" s="597"/>
      <c r="R32" s="598">
        <f t="shared" si="4"/>
        <v>62.5</v>
      </c>
      <c r="S32" s="676">
        <v>1</v>
      </c>
      <c r="T32" s="599"/>
      <c r="U32" s="670"/>
      <c r="V32" s="592" t="s">
        <v>1060</v>
      </c>
      <c r="W32" s="676" t="s">
        <v>22</v>
      </c>
      <c r="X32" s="676" t="s">
        <v>11</v>
      </c>
      <c r="Y32" s="593">
        <v>28.6</v>
      </c>
      <c r="Z32" s="592" t="s">
        <v>1059</v>
      </c>
      <c r="AA32" s="684" t="s">
        <v>74</v>
      </c>
      <c r="AB32" s="684" t="s">
        <v>11</v>
      </c>
      <c r="AC32" s="684">
        <v>33.9</v>
      </c>
      <c r="AD32" s="592"/>
      <c r="AG32" s="593"/>
      <c r="AL32" s="592"/>
      <c r="AO32" s="593"/>
      <c r="AP32" s="592"/>
      <c r="AS32" s="593"/>
      <c r="AW32" s="593"/>
      <c r="BA32" s="594"/>
    </row>
    <row r="33" spans="1:53" s="653" customFormat="1" x14ac:dyDescent="0.15">
      <c r="A33" s="653">
        <v>1988</v>
      </c>
      <c r="B33" s="652">
        <v>32201</v>
      </c>
      <c r="C33" s="812" t="s">
        <v>1063</v>
      </c>
      <c r="D33" s="812"/>
      <c r="E33" s="653">
        <v>308</v>
      </c>
      <c r="F33" s="653">
        <v>1</v>
      </c>
      <c r="G33" s="649">
        <v>0</v>
      </c>
      <c r="H33" s="653">
        <v>0</v>
      </c>
      <c r="I33" s="653">
        <v>0</v>
      </c>
      <c r="J33" s="651">
        <v>12</v>
      </c>
      <c r="K33" s="647">
        <f t="shared" si="0"/>
        <v>0</v>
      </c>
      <c r="L33" s="647">
        <f t="shared" si="1"/>
        <v>0</v>
      </c>
      <c r="M33" s="647">
        <f t="shared" si="2"/>
        <v>0</v>
      </c>
      <c r="N33" s="650">
        <f t="shared" si="3"/>
        <v>0</v>
      </c>
      <c r="O33" s="646">
        <v>0</v>
      </c>
      <c r="P33" s="647">
        <v>0</v>
      </c>
      <c r="Q33" s="647">
        <v>0</v>
      </c>
      <c r="R33" s="648">
        <f t="shared" si="4"/>
        <v>0</v>
      </c>
      <c r="S33" s="669">
        <v>1</v>
      </c>
      <c r="T33" s="645"/>
      <c r="U33" s="652">
        <v>32201</v>
      </c>
      <c r="V33" s="833" t="s">
        <v>1331</v>
      </c>
      <c r="W33" s="834"/>
      <c r="X33" s="834"/>
      <c r="Y33" s="835"/>
      <c r="Z33" s="677"/>
      <c r="AA33" s="677"/>
      <c r="AB33" s="677"/>
      <c r="AC33" s="677"/>
      <c r="AD33" s="641"/>
      <c r="AG33" s="642"/>
      <c r="AL33" s="641"/>
      <c r="AO33" s="642"/>
      <c r="AP33" s="641"/>
      <c r="AS33" s="642"/>
      <c r="AW33" s="642"/>
      <c r="BA33" s="643"/>
    </row>
    <row r="34" spans="1:53" s="653" customFormat="1" x14ac:dyDescent="0.15">
      <c r="A34" s="653">
        <v>1989</v>
      </c>
      <c r="B34" s="652"/>
      <c r="C34" s="812" t="s">
        <v>1063</v>
      </c>
      <c r="D34" s="812"/>
      <c r="E34" s="653">
        <v>0</v>
      </c>
      <c r="G34" s="649">
        <v>0</v>
      </c>
      <c r="H34" s="685">
        <v>0</v>
      </c>
      <c r="I34" s="685">
        <v>0</v>
      </c>
      <c r="J34" s="651">
        <v>12</v>
      </c>
      <c r="K34" s="647">
        <f t="shared" si="0"/>
        <v>0</v>
      </c>
      <c r="L34" s="647">
        <f t="shared" si="1"/>
        <v>0</v>
      </c>
      <c r="M34" s="647">
        <f t="shared" si="2"/>
        <v>0</v>
      </c>
      <c r="N34" s="650">
        <f t="shared" si="3"/>
        <v>0</v>
      </c>
      <c r="O34" s="646">
        <v>0</v>
      </c>
      <c r="P34" s="647">
        <v>0</v>
      </c>
      <c r="Q34" s="647">
        <v>0</v>
      </c>
      <c r="R34" s="648">
        <f t="shared" si="4"/>
        <v>0</v>
      </c>
      <c r="S34" s="669">
        <v>1</v>
      </c>
      <c r="T34" s="645"/>
      <c r="U34" s="652"/>
      <c r="V34" s="833" t="s">
        <v>1331</v>
      </c>
      <c r="W34" s="834"/>
      <c r="X34" s="834"/>
      <c r="Y34" s="835"/>
      <c r="Z34" s="677"/>
      <c r="AA34" s="677"/>
      <c r="AB34" s="677"/>
      <c r="AC34" s="677"/>
      <c r="AD34" s="641"/>
      <c r="AG34" s="642"/>
      <c r="AL34" s="641"/>
      <c r="AO34" s="642"/>
      <c r="AP34" s="641"/>
      <c r="AS34" s="642"/>
      <c r="AW34" s="642"/>
      <c r="BA34" s="643"/>
    </row>
    <row r="35" spans="1:53" s="653" customFormat="1" x14ac:dyDescent="0.15">
      <c r="A35" s="653">
        <v>1989</v>
      </c>
      <c r="B35" s="652"/>
      <c r="C35" s="812" t="s">
        <v>1063</v>
      </c>
      <c r="D35" s="812"/>
      <c r="E35" s="653">
        <v>365</v>
      </c>
      <c r="G35" s="649">
        <v>0</v>
      </c>
      <c r="H35" s="685">
        <v>0</v>
      </c>
      <c r="I35" s="685">
        <v>0</v>
      </c>
      <c r="J35" s="651">
        <v>12</v>
      </c>
      <c r="K35" s="647">
        <f t="shared" si="0"/>
        <v>0</v>
      </c>
      <c r="L35" s="647">
        <f t="shared" si="1"/>
        <v>0</v>
      </c>
      <c r="M35" s="647">
        <f t="shared" si="2"/>
        <v>0</v>
      </c>
      <c r="N35" s="650">
        <f t="shared" si="3"/>
        <v>0</v>
      </c>
      <c r="O35" s="646">
        <v>0</v>
      </c>
      <c r="P35" s="647">
        <v>0</v>
      </c>
      <c r="Q35" s="647">
        <v>0</v>
      </c>
      <c r="R35" s="648">
        <f t="shared" si="4"/>
        <v>0</v>
      </c>
      <c r="S35" s="669">
        <v>1</v>
      </c>
      <c r="T35" s="645"/>
      <c r="U35" s="652"/>
      <c r="V35" s="833" t="s">
        <v>1331</v>
      </c>
      <c r="W35" s="834"/>
      <c r="X35" s="834"/>
      <c r="Y35" s="835"/>
      <c r="Z35" s="677"/>
      <c r="AA35" s="677"/>
      <c r="AB35" s="677"/>
      <c r="AC35" s="677"/>
      <c r="AD35" s="641"/>
      <c r="AG35" s="642"/>
      <c r="AL35" s="641"/>
      <c r="AO35" s="642"/>
      <c r="AP35" s="641"/>
      <c r="AS35" s="642"/>
      <c r="AW35" s="642"/>
      <c r="BA35" s="643"/>
    </row>
    <row r="36" spans="1:53" s="653" customFormat="1" x14ac:dyDescent="0.15">
      <c r="A36" s="653">
        <v>1990</v>
      </c>
      <c r="B36" s="652"/>
      <c r="C36" s="812" t="s">
        <v>1063</v>
      </c>
      <c r="D36" s="812"/>
      <c r="E36" s="653">
        <v>0</v>
      </c>
      <c r="G36" s="649">
        <v>0</v>
      </c>
      <c r="H36" s="653">
        <v>0</v>
      </c>
      <c r="I36" s="653">
        <v>0</v>
      </c>
      <c r="J36" s="651">
        <v>12</v>
      </c>
      <c r="K36" s="647">
        <f t="shared" ref="K36:K38" si="5">G36/J36*100</f>
        <v>0</v>
      </c>
      <c r="L36" s="647">
        <f t="shared" ref="L36:L38" si="6">H36/J36*100</f>
        <v>0</v>
      </c>
      <c r="M36" s="647">
        <f t="shared" ref="M36:M38" si="7">I36/J36*100</f>
        <v>0</v>
      </c>
      <c r="N36" s="650">
        <f>SUM(K36:M36)</f>
        <v>0</v>
      </c>
      <c r="O36" s="646">
        <v>0</v>
      </c>
      <c r="P36" s="647">
        <v>0</v>
      </c>
      <c r="Q36" s="647">
        <v>0</v>
      </c>
      <c r="R36" s="648">
        <f>SUM(O36:Q36)</f>
        <v>0</v>
      </c>
      <c r="S36" s="653">
        <v>1</v>
      </c>
      <c r="T36" s="645"/>
      <c r="U36" s="652"/>
      <c r="V36" s="833" t="s">
        <v>1331</v>
      </c>
      <c r="W36" s="834"/>
      <c r="X36" s="834"/>
      <c r="Y36" s="835"/>
      <c r="AD36" s="641"/>
      <c r="AG36" s="642"/>
      <c r="AL36" s="641"/>
      <c r="AO36" s="642"/>
      <c r="AP36" s="641"/>
      <c r="AS36" s="642"/>
      <c r="AW36" s="642"/>
      <c r="BA36" s="643"/>
    </row>
    <row r="37" spans="1:53" s="653" customFormat="1" x14ac:dyDescent="0.15">
      <c r="A37" s="653">
        <v>1990</v>
      </c>
      <c r="B37" s="502"/>
      <c r="C37" s="812" t="s">
        <v>1063</v>
      </c>
      <c r="D37" s="812"/>
      <c r="E37" s="653">
        <f>365-E36</f>
        <v>365</v>
      </c>
      <c r="F37" s="501"/>
      <c r="G37" s="649">
        <v>0</v>
      </c>
      <c r="H37" s="685">
        <v>0</v>
      </c>
      <c r="I37" s="685">
        <v>0</v>
      </c>
      <c r="J37" s="651">
        <v>12</v>
      </c>
      <c r="K37" s="647">
        <f t="shared" si="5"/>
        <v>0</v>
      </c>
      <c r="L37" s="647">
        <f t="shared" si="6"/>
        <v>0</v>
      </c>
      <c r="M37" s="647">
        <f t="shared" si="7"/>
        <v>0</v>
      </c>
      <c r="N37" s="650">
        <f>SUM(K37:M37)</f>
        <v>0</v>
      </c>
      <c r="O37" s="646">
        <v>0</v>
      </c>
      <c r="P37" s="647">
        <v>0</v>
      </c>
      <c r="Q37" s="647">
        <v>0</v>
      </c>
      <c r="R37" s="648">
        <f t="shared" ref="R37:R86" si="8">SUM(O37:Q37)</f>
        <v>0</v>
      </c>
      <c r="S37" s="653">
        <v>1</v>
      </c>
      <c r="T37" s="645"/>
      <c r="U37" s="652"/>
      <c r="V37" s="833" t="s">
        <v>1331</v>
      </c>
      <c r="W37" s="834"/>
      <c r="X37" s="834"/>
      <c r="Y37" s="835"/>
      <c r="AD37" s="641"/>
      <c r="AG37" s="642"/>
      <c r="AL37" s="641"/>
      <c r="AO37" s="642"/>
      <c r="AP37" s="641"/>
      <c r="AS37" s="642"/>
      <c r="AW37" s="642"/>
      <c r="BA37" s="643"/>
    </row>
    <row r="38" spans="1:53" s="653" customFormat="1" x14ac:dyDescent="0.15">
      <c r="A38" s="653">
        <v>1991</v>
      </c>
      <c r="B38" s="502"/>
      <c r="C38" s="812" t="s">
        <v>1063</v>
      </c>
      <c r="D38" s="812"/>
      <c r="E38" s="653">
        <v>138</v>
      </c>
      <c r="F38" s="501"/>
      <c r="G38" s="649">
        <v>0</v>
      </c>
      <c r="H38" s="685">
        <v>0</v>
      </c>
      <c r="I38" s="685">
        <v>0</v>
      </c>
      <c r="J38" s="651">
        <v>12</v>
      </c>
      <c r="K38" s="647">
        <f t="shared" si="5"/>
        <v>0</v>
      </c>
      <c r="L38" s="647">
        <f t="shared" si="6"/>
        <v>0</v>
      </c>
      <c r="M38" s="647">
        <f t="shared" si="7"/>
        <v>0</v>
      </c>
      <c r="N38" s="650">
        <f t="shared" ref="N38:N87" si="9">SUM(K38:M38)</f>
        <v>0</v>
      </c>
      <c r="O38" s="646">
        <v>0</v>
      </c>
      <c r="P38" s="647">
        <v>0</v>
      </c>
      <c r="Q38" s="647">
        <v>0</v>
      </c>
      <c r="R38" s="648">
        <f t="shared" si="8"/>
        <v>0</v>
      </c>
      <c r="S38" s="653">
        <v>1</v>
      </c>
      <c r="T38" s="645"/>
      <c r="U38" s="652"/>
      <c r="V38" s="833" t="s">
        <v>1331</v>
      </c>
      <c r="W38" s="834"/>
      <c r="X38" s="834"/>
      <c r="Y38" s="835"/>
      <c r="AD38" s="641"/>
      <c r="AG38" s="642"/>
      <c r="AL38" s="641"/>
      <c r="AO38" s="642"/>
      <c r="AP38" s="641"/>
      <c r="AS38" s="642"/>
      <c r="AW38" s="642"/>
      <c r="BA38" s="643"/>
    </row>
    <row r="39" spans="1:53" s="677" customFormat="1" x14ac:dyDescent="0.15">
      <c r="A39" s="677">
        <v>1991</v>
      </c>
      <c r="B39" s="502">
        <v>33377</v>
      </c>
      <c r="C39" s="812" t="s">
        <v>1063</v>
      </c>
      <c r="D39" s="812"/>
      <c r="E39" s="677">
        <f>365-E38</f>
        <v>227</v>
      </c>
      <c r="F39" s="501" t="s">
        <v>340</v>
      </c>
      <c r="G39" s="649">
        <v>0</v>
      </c>
      <c r="H39" s="685">
        <v>0</v>
      </c>
      <c r="I39" s="685">
        <v>0</v>
      </c>
      <c r="J39" s="651">
        <v>12</v>
      </c>
      <c r="K39" s="647">
        <f t="shared" ref="K39:K42" si="10">G39/J39*100</f>
        <v>0</v>
      </c>
      <c r="L39" s="647">
        <f t="shared" ref="L39:L42" si="11">H39/J39*100</f>
        <v>0</v>
      </c>
      <c r="M39" s="647">
        <f t="shared" ref="M39:M42" si="12">I39/J39*100</f>
        <v>0</v>
      </c>
      <c r="N39" s="650">
        <f t="shared" si="9"/>
        <v>0</v>
      </c>
      <c r="O39" s="646">
        <v>0</v>
      </c>
      <c r="P39" s="647">
        <v>0</v>
      </c>
      <c r="Q39" s="647">
        <v>0</v>
      </c>
      <c r="R39" s="648">
        <f t="shared" si="8"/>
        <v>0</v>
      </c>
      <c r="S39" s="677">
        <v>1</v>
      </c>
      <c r="T39" s="487">
        <v>33377</v>
      </c>
      <c r="U39" s="671"/>
      <c r="V39" s="833" t="s">
        <v>1331</v>
      </c>
      <c r="W39" s="834"/>
      <c r="X39" s="834"/>
      <c r="Y39" s="835"/>
      <c r="AD39" s="641"/>
      <c r="AG39" s="642"/>
      <c r="AL39" s="641"/>
      <c r="AO39" s="642"/>
      <c r="AP39" s="641"/>
      <c r="AS39" s="642"/>
      <c r="AW39" s="642"/>
      <c r="BA39" s="643"/>
    </row>
    <row r="40" spans="1:53" s="677" customFormat="1" x14ac:dyDescent="0.15">
      <c r="A40" s="677">
        <v>1992</v>
      </c>
      <c r="B40" s="671"/>
      <c r="C40" s="812" t="s">
        <v>1063</v>
      </c>
      <c r="D40" s="812"/>
      <c r="E40" s="677">
        <v>0</v>
      </c>
      <c r="G40" s="649">
        <v>0</v>
      </c>
      <c r="H40" s="685">
        <v>0</v>
      </c>
      <c r="I40" s="685">
        <v>0</v>
      </c>
      <c r="J40" s="651">
        <v>12</v>
      </c>
      <c r="K40" s="647">
        <f t="shared" si="10"/>
        <v>0</v>
      </c>
      <c r="L40" s="647">
        <f t="shared" si="11"/>
        <v>0</v>
      </c>
      <c r="M40" s="647">
        <f t="shared" si="12"/>
        <v>0</v>
      </c>
      <c r="N40" s="650">
        <f t="shared" si="9"/>
        <v>0</v>
      </c>
      <c r="O40" s="646">
        <v>0</v>
      </c>
      <c r="P40" s="647">
        <v>0</v>
      </c>
      <c r="Q40" s="647">
        <v>0</v>
      </c>
      <c r="R40" s="648">
        <f t="shared" si="8"/>
        <v>0</v>
      </c>
      <c r="S40" s="677">
        <v>1</v>
      </c>
      <c r="T40" s="645"/>
      <c r="U40" s="671"/>
      <c r="V40" s="833" t="s">
        <v>1331</v>
      </c>
      <c r="W40" s="834"/>
      <c r="X40" s="834"/>
      <c r="Y40" s="835"/>
      <c r="AD40" s="641"/>
      <c r="AG40" s="642"/>
      <c r="AL40" s="641"/>
      <c r="AO40" s="642"/>
      <c r="AP40" s="641"/>
      <c r="AS40" s="642"/>
      <c r="AW40" s="642"/>
      <c r="BA40" s="643"/>
    </row>
    <row r="41" spans="1:53" s="677" customFormat="1" x14ac:dyDescent="0.15">
      <c r="A41" s="677">
        <v>1992</v>
      </c>
      <c r="B41" s="671"/>
      <c r="C41" s="812" t="s">
        <v>1063</v>
      </c>
      <c r="D41" s="812"/>
      <c r="E41" s="677">
        <v>366</v>
      </c>
      <c r="G41" s="649">
        <v>0</v>
      </c>
      <c r="H41" s="685">
        <v>0</v>
      </c>
      <c r="I41" s="685">
        <v>0</v>
      </c>
      <c r="J41" s="651">
        <v>12</v>
      </c>
      <c r="K41" s="647">
        <f t="shared" si="10"/>
        <v>0</v>
      </c>
      <c r="L41" s="647">
        <f t="shared" si="11"/>
        <v>0</v>
      </c>
      <c r="M41" s="647">
        <f t="shared" si="12"/>
        <v>0</v>
      </c>
      <c r="N41" s="650">
        <f t="shared" si="9"/>
        <v>0</v>
      </c>
      <c r="O41" s="646">
        <v>0</v>
      </c>
      <c r="P41" s="647">
        <v>0</v>
      </c>
      <c r="Q41" s="647">
        <v>0</v>
      </c>
      <c r="R41" s="648">
        <f t="shared" si="8"/>
        <v>0</v>
      </c>
      <c r="S41" s="677">
        <v>1</v>
      </c>
      <c r="T41" s="645"/>
      <c r="U41" s="671"/>
      <c r="V41" s="833" t="s">
        <v>1331</v>
      </c>
      <c r="W41" s="834"/>
      <c r="X41" s="834"/>
      <c r="Y41" s="835"/>
      <c r="AD41" s="641"/>
      <c r="AG41" s="642"/>
      <c r="AL41" s="641"/>
      <c r="AO41" s="642"/>
      <c r="AP41" s="641"/>
      <c r="AS41" s="642"/>
      <c r="AW41" s="642"/>
      <c r="BA41" s="643"/>
    </row>
    <row r="42" spans="1:53" s="677" customFormat="1" x14ac:dyDescent="0.15">
      <c r="A42" s="677">
        <v>1993</v>
      </c>
      <c r="B42" s="671"/>
      <c r="C42" s="812" t="s">
        <v>1063</v>
      </c>
      <c r="D42" s="812"/>
      <c r="E42" s="677">
        <v>55</v>
      </c>
      <c r="G42" s="649">
        <v>0</v>
      </c>
      <c r="H42" s="685">
        <v>0</v>
      </c>
      <c r="I42" s="685">
        <v>0</v>
      </c>
      <c r="J42" s="651">
        <v>12</v>
      </c>
      <c r="K42" s="647">
        <f t="shared" si="10"/>
        <v>0</v>
      </c>
      <c r="L42" s="647">
        <f t="shared" si="11"/>
        <v>0</v>
      </c>
      <c r="M42" s="647">
        <f t="shared" si="12"/>
        <v>0</v>
      </c>
      <c r="N42" s="650">
        <f t="shared" si="9"/>
        <v>0</v>
      </c>
      <c r="O42" s="646">
        <v>0</v>
      </c>
      <c r="P42" s="647">
        <v>0</v>
      </c>
      <c r="Q42" s="647">
        <v>0</v>
      </c>
      <c r="R42" s="648">
        <f t="shared" si="8"/>
        <v>0</v>
      </c>
      <c r="S42" s="677">
        <v>1</v>
      </c>
      <c r="T42" s="645"/>
      <c r="U42" s="671"/>
      <c r="V42" s="833" t="s">
        <v>1331</v>
      </c>
      <c r="W42" s="834"/>
      <c r="X42" s="834"/>
      <c r="Y42" s="835"/>
      <c r="AD42" s="641"/>
      <c r="AG42" s="642"/>
      <c r="AL42" s="641"/>
      <c r="AO42" s="642"/>
      <c r="AP42" s="641"/>
      <c r="AS42" s="642"/>
      <c r="AW42" s="642"/>
      <c r="BA42" s="643"/>
    </row>
    <row r="43" spans="1:53" s="676" customFormat="1" x14ac:dyDescent="0.15">
      <c r="A43" s="676">
        <v>1993</v>
      </c>
      <c r="B43" s="670">
        <v>34025</v>
      </c>
      <c r="C43" s="811" t="s">
        <v>1068</v>
      </c>
      <c r="D43" s="811"/>
      <c r="E43" s="676">
        <f>365-E42</f>
        <v>310</v>
      </c>
      <c r="F43" s="676">
        <v>1</v>
      </c>
      <c r="G43" s="600">
        <v>10</v>
      </c>
      <c r="J43" s="602">
        <v>12</v>
      </c>
      <c r="K43" s="597">
        <f t="shared" ref="K43:K65" si="13">G43/J43*100</f>
        <v>83.333333333333343</v>
      </c>
      <c r="L43" s="597">
        <f t="shared" ref="L43:L65" si="14">H43/J43*100</f>
        <v>0</v>
      </c>
      <c r="M43" s="597">
        <f t="shared" ref="M43:M65" si="15">I43/J43*100</f>
        <v>0</v>
      </c>
      <c r="N43" s="601">
        <f t="shared" si="9"/>
        <v>83.333333333333343</v>
      </c>
      <c r="O43" s="596">
        <v>55.3</v>
      </c>
      <c r="P43" s="597"/>
      <c r="Q43" s="597"/>
      <c r="R43" s="598">
        <f t="shared" si="8"/>
        <v>55.3</v>
      </c>
      <c r="S43" s="676">
        <v>1</v>
      </c>
      <c r="T43" s="577"/>
      <c r="U43" s="670">
        <v>34025</v>
      </c>
      <c r="V43" s="592" t="s">
        <v>1059</v>
      </c>
      <c r="W43" s="676" t="s">
        <v>74</v>
      </c>
      <c r="X43" s="676" t="s">
        <v>11</v>
      </c>
      <c r="Y43" s="593">
        <v>35.700000000000003</v>
      </c>
      <c r="Z43" s="676" t="s">
        <v>1060</v>
      </c>
      <c r="AA43" s="676" t="s">
        <v>22</v>
      </c>
      <c r="AB43" s="676" t="s">
        <v>11</v>
      </c>
      <c r="AC43" s="676">
        <v>19.600000000000001</v>
      </c>
      <c r="AD43" s="592"/>
      <c r="AG43" s="593"/>
      <c r="AL43" s="592"/>
      <c r="AO43" s="593"/>
      <c r="AP43" s="592"/>
      <c r="AS43" s="593"/>
      <c r="AW43" s="593"/>
      <c r="BA43" s="594"/>
    </row>
    <row r="44" spans="1:53" s="676" customFormat="1" x14ac:dyDescent="0.15">
      <c r="A44" s="676">
        <v>1994</v>
      </c>
      <c r="B44" s="670"/>
      <c r="C44" s="811" t="s">
        <v>1068</v>
      </c>
      <c r="D44" s="811"/>
      <c r="E44" s="676">
        <v>0</v>
      </c>
      <c r="G44" s="600">
        <v>10</v>
      </c>
      <c r="J44" s="602">
        <v>12</v>
      </c>
      <c r="K44" s="597">
        <f t="shared" si="13"/>
        <v>83.333333333333343</v>
      </c>
      <c r="L44" s="597">
        <f t="shared" si="14"/>
        <v>0</v>
      </c>
      <c r="M44" s="597">
        <f t="shared" si="15"/>
        <v>0</v>
      </c>
      <c r="N44" s="601">
        <f t="shared" si="9"/>
        <v>83.333333333333343</v>
      </c>
      <c r="O44" s="596">
        <v>55.3</v>
      </c>
      <c r="P44" s="597"/>
      <c r="Q44" s="597"/>
      <c r="R44" s="598">
        <f t="shared" si="8"/>
        <v>55.3</v>
      </c>
      <c r="S44" s="676">
        <v>1</v>
      </c>
      <c r="T44" s="577"/>
      <c r="U44" s="670"/>
      <c r="V44" s="592" t="s">
        <v>1059</v>
      </c>
      <c r="W44" s="676" t="s">
        <v>74</v>
      </c>
      <c r="X44" s="676" t="s">
        <v>11</v>
      </c>
      <c r="Y44" s="593">
        <v>35.700000000000003</v>
      </c>
      <c r="Z44" s="676" t="s">
        <v>1060</v>
      </c>
      <c r="AA44" s="676" t="s">
        <v>22</v>
      </c>
      <c r="AB44" s="676" t="s">
        <v>11</v>
      </c>
      <c r="AC44" s="676">
        <v>19.600000000000001</v>
      </c>
      <c r="AD44" s="592"/>
      <c r="AG44" s="593"/>
      <c r="AL44" s="592"/>
      <c r="AO44" s="593"/>
      <c r="AP44" s="592"/>
      <c r="AS44" s="593"/>
      <c r="AW44" s="593"/>
      <c r="BA44" s="594"/>
    </row>
    <row r="45" spans="1:53" s="676" customFormat="1" x14ac:dyDescent="0.15">
      <c r="A45" s="676">
        <v>1994</v>
      </c>
      <c r="B45" s="670"/>
      <c r="C45" s="811" t="s">
        <v>1068</v>
      </c>
      <c r="D45" s="811"/>
      <c r="E45" s="676">
        <f>365-E44</f>
        <v>365</v>
      </c>
      <c r="G45" s="600">
        <v>10</v>
      </c>
      <c r="J45" s="602">
        <v>12</v>
      </c>
      <c r="K45" s="597">
        <f t="shared" si="13"/>
        <v>83.333333333333343</v>
      </c>
      <c r="L45" s="597">
        <f t="shared" si="14"/>
        <v>0</v>
      </c>
      <c r="M45" s="597">
        <f t="shared" si="15"/>
        <v>0</v>
      </c>
      <c r="N45" s="601">
        <f t="shared" si="9"/>
        <v>83.333333333333343</v>
      </c>
      <c r="O45" s="596">
        <v>55.3</v>
      </c>
      <c r="P45" s="597"/>
      <c r="Q45" s="597"/>
      <c r="R45" s="598">
        <f t="shared" si="8"/>
        <v>55.3</v>
      </c>
      <c r="S45" s="676">
        <v>1</v>
      </c>
      <c r="T45" s="577"/>
      <c r="U45" s="670"/>
      <c r="V45" s="592" t="s">
        <v>1059</v>
      </c>
      <c r="W45" s="676" t="s">
        <v>74</v>
      </c>
      <c r="X45" s="676" t="s">
        <v>11</v>
      </c>
      <c r="Y45" s="593">
        <v>35.700000000000003</v>
      </c>
      <c r="Z45" s="676" t="s">
        <v>1060</v>
      </c>
      <c r="AA45" s="676" t="s">
        <v>22</v>
      </c>
      <c r="AB45" s="676" t="s">
        <v>11</v>
      </c>
      <c r="AC45" s="676">
        <v>19.600000000000001</v>
      </c>
      <c r="AD45" s="592"/>
      <c r="AG45" s="593"/>
      <c r="AL45" s="592"/>
      <c r="AO45" s="593"/>
      <c r="AP45" s="592"/>
      <c r="AS45" s="593"/>
      <c r="AW45" s="593"/>
      <c r="BA45" s="594"/>
    </row>
    <row r="46" spans="1:53" s="676" customFormat="1" x14ac:dyDescent="0.15">
      <c r="A46" s="676">
        <v>1995</v>
      </c>
      <c r="B46" s="670"/>
      <c r="C46" s="811" t="s">
        <v>1068</v>
      </c>
      <c r="D46" s="811"/>
      <c r="E46" s="676">
        <v>117</v>
      </c>
      <c r="G46" s="600">
        <v>10</v>
      </c>
      <c r="J46" s="602">
        <v>12</v>
      </c>
      <c r="K46" s="597">
        <f t="shared" si="13"/>
        <v>83.333333333333343</v>
      </c>
      <c r="L46" s="597">
        <f t="shared" si="14"/>
        <v>0</v>
      </c>
      <c r="M46" s="597">
        <f t="shared" si="15"/>
        <v>0</v>
      </c>
      <c r="N46" s="601">
        <f t="shared" si="9"/>
        <v>83.333333333333343</v>
      </c>
      <c r="O46" s="596">
        <v>55.3</v>
      </c>
      <c r="P46" s="597"/>
      <c r="Q46" s="597"/>
      <c r="R46" s="598">
        <f t="shared" si="8"/>
        <v>55.3</v>
      </c>
      <c r="S46" s="676">
        <v>1</v>
      </c>
      <c r="T46" s="577"/>
      <c r="U46" s="670"/>
      <c r="V46" s="592" t="s">
        <v>1059</v>
      </c>
      <c r="W46" s="676" t="s">
        <v>74</v>
      </c>
      <c r="X46" s="676" t="s">
        <v>11</v>
      </c>
      <c r="Y46" s="593">
        <v>35.700000000000003</v>
      </c>
      <c r="Z46" s="676" t="s">
        <v>1060</v>
      </c>
      <c r="AA46" s="676" t="s">
        <v>22</v>
      </c>
      <c r="AB46" s="676" t="s">
        <v>11</v>
      </c>
      <c r="AC46" s="676">
        <v>19.600000000000001</v>
      </c>
      <c r="AD46" s="592"/>
      <c r="AG46" s="593"/>
      <c r="AL46" s="592"/>
      <c r="AO46" s="593"/>
      <c r="AP46" s="592"/>
      <c r="AS46" s="593"/>
      <c r="AW46" s="593"/>
      <c r="BA46" s="594"/>
    </row>
    <row r="47" spans="1:53" s="676" customFormat="1" x14ac:dyDescent="0.15">
      <c r="A47" s="676">
        <v>1995</v>
      </c>
      <c r="B47" s="603">
        <v>34817</v>
      </c>
      <c r="C47" s="811" t="s">
        <v>1068</v>
      </c>
      <c r="D47" s="811"/>
      <c r="E47" s="676">
        <f>365-E46</f>
        <v>248</v>
      </c>
      <c r="F47" s="604">
        <v>0</v>
      </c>
      <c r="G47" s="600">
        <v>11</v>
      </c>
      <c r="J47" s="602">
        <v>12</v>
      </c>
      <c r="K47" s="597">
        <f t="shared" si="13"/>
        <v>91.666666666666657</v>
      </c>
      <c r="L47" s="597">
        <f t="shared" si="14"/>
        <v>0</v>
      </c>
      <c r="M47" s="597">
        <f t="shared" si="15"/>
        <v>0</v>
      </c>
      <c r="N47" s="601">
        <f t="shared" si="9"/>
        <v>91.666666666666657</v>
      </c>
      <c r="O47" s="596">
        <v>55.3</v>
      </c>
      <c r="P47" s="597"/>
      <c r="Q47" s="597"/>
      <c r="R47" s="598">
        <f t="shared" si="8"/>
        <v>55.3</v>
      </c>
      <c r="S47" s="676">
        <v>1</v>
      </c>
      <c r="T47" s="577"/>
      <c r="U47" s="670"/>
      <c r="V47" s="592" t="s">
        <v>1059</v>
      </c>
      <c r="W47" s="676" t="s">
        <v>74</v>
      </c>
      <c r="X47" s="676" t="s">
        <v>11</v>
      </c>
      <c r="Y47" s="593">
        <v>35.700000000000003</v>
      </c>
      <c r="Z47" s="676" t="s">
        <v>1060</v>
      </c>
      <c r="AA47" s="676" t="s">
        <v>22</v>
      </c>
      <c r="AB47" s="676" t="s">
        <v>11</v>
      </c>
      <c r="AC47" s="676">
        <v>19.600000000000001</v>
      </c>
      <c r="AD47" s="592"/>
      <c r="AG47" s="593"/>
      <c r="AL47" s="592"/>
      <c r="AO47" s="593"/>
      <c r="AP47" s="592"/>
      <c r="AS47" s="593"/>
      <c r="AW47" s="593"/>
      <c r="BA47" s="594"/>
    </row>
    <row r="48" spans="1:53" s="676" customFormat="1" x14ac:dyDescent="0.15">
      <c r="A48" s="676">
        <v>1996</v>
      </c>
      <c r="B48" s="670"/>
      <c r="C48" s="811" t="s">
        <v>1068</v>
      </c>
      <c r="D48" s="811"/>
      <c r="E48" s="676">
        <v>146</v>
      </c>
      <c r="G48" s="600">
        <v>11</v>
      </c>
      <c r="J48" s="602">
        <v>12</v>
      </c>
      <c r="K48" s="597">
        <f t="shared" si="13"/>
        <v>91.666666666666657</v>
      </c>
      <c r="L48" s="597">
        <f t="shared" si="14"/>
        <v>0</v>
      </c>
      <c r="M48" s="597">
        <f t="shared" si="15"/>
        <v>0</v>
      </c>
      <c r="N48" s="601">
        <f t="shared" si="9"/>
        <v>91.666666666666657</v>
      </c>
      <c r="O48" s="596">
        <v>55.3</v>
      </c>
      <c r="P48" s="597"/>
      <c r="Q48" s="597"/>
      <c r="R48" s="598">
        <f t="shared" si="8"/>
        <v>55.3</v>
      </c>
      <c r="S48" s="676">
        <v>1</v>
      </c>
      <c r="T48" s="577"/>
      <c r="U48" s="670"/>
      <c r="V48" s="592" t="s">
        <v>1059</v>
      </c>
      <c r="W48" s="676" t="s">
        <v>74</v>
      </c>
      <c r="X48" s="676" t="s">
        <v>11</v>
      </c>
      <c r="Y48" s="593">
        <v>35.700000000000003</v>
      </c>
      <c r="Z48" s="676" t="s">
        <v>1060</v>
      </c>
      <c r="AA48" s="676" t="s">
        <v>22</v>
      </c>
      <c r="AB48" s="676" t="s">
        <v>11</v>
      </c>
      <c r="AC48" s="676">
        <v>19.600000000000001</v>
      </c>
      <c r="AD48" s="592"/>
      <c r="AG48" s="593"/>
      <c r="AL48" s="592"/>
      <c r="AO48" s="593"/>
      <c r="AP48" s="592"/>
      <c r="AS48" s="593"/>
      <c r="AW48" s="593"/>
      <c r="BA48" s="594"/>
    </row>
    <row r="49" spans="1:53" s="676" customFormat="1" x14ac:dyDescent="0.15">
      <c r="A49" s="676">
        <v>1996</v>
      </c>
      <c r="B49" s="603">
        <v>35211</v>
      </c>
      <c r="C49" s="811" t="s">
        <v>1068</v>
      </c>
      <c r="D49" s="811"/>
      <c r="E49" s="676">
        <v>220</v>
      </c>
      <c r="F49" s="604" t="s">
        <v>340</v>
      </c>
      <c r="G49" s="600">
        <v>11</v>
      </c>
      <c r="J49" s="602">
        <v>12</v>
      </c>
      <c r="K49" s="597">
        <f t="shared" si="13"/>
        <v>91.666666666666657</v>
      </c>
      <c r="L49" s="597">
        <f t="shared" si="14"/>
        <v>0</v>
      </c>
      <c r="M49" s="597">
        <f t="shared" si="15"/>
        <v>0</v>
      </c>
      <c r="N49" s="601">
        <f t="shared" si="9"/>
        <v>91.666666666666657</v>
      </c>
      <c r="O49" s="596">
        <v>53.6</v>
      </c>
      <c r="P49" s="597"/>
      <c r="Q49" s="597"/>
      <c r="R49" s="598">
        <f t="shared" si="8"/>
        <v>53.6</v>
      </c>
      <c r="S49" s="676">
        <v>1</v>
      </c>
      <c r="T49" s="599">
        <v>35211</v>
      </c>
      <c r="U49" s="670"/>
      <c r="V49" s="592" t="s">
        <v>1059</v>
      </c>
      <c r="W49" s="676" t="s">
        <v>74</v>
      </c>
      <c r="X49" s="676" t="s">
        <v>11</v>
      </c>
      <c r="Y49" s="593">
        <v>35.700000000000003</v>
      </c>
      <c r="Z49" s="676" t="s">
        <v>1060</v>
      </c>
      <c r="AA49" s="676" t="s">
        <v>22</v>
      </c>
      <c r="AB49" s="676" t="s">
        <v>11</v>
      </c>
      <c r="AC49" s="676">
        <v>17.899999999999999</v>
      </c>
      <c r="AD49" s="592"/>
      <c r="AG49" s="593"/>
      <c r="AL49" s="592"/>
      <c r="AO49" s="593"/>
      <c r="AP49" s="592"/>
      <c r="AS49" s="593"/>
      <c r="AW49" s="593"/>
      <c r="BA49" s="594"/>
    </row>
    <row r="50" spans="1:53" s="676" customFormat="1" x14ac:dyDescent="0.15">
      <c r="A50" s="676">
        <v>1997</v>
      </c>
      <c r="B50" s="670"/>
      <c r="C50" s="811" t="s">
        <v>1068</v>
      </c>
      <c r="D50" s="811"/>
      <c r="E50" s="676">
        <v>315</v>
      </c>
      <c r="G50" s="600">
        <v>11</v>
      </c>
      <c r="J50" s="602">
        <v>12</v>
      </c>
      <c r="K50" s="597">
        <f t="shared" si="13"/>
        <v>91.666666666666657</v>
      </c>
      <c r="L50" s="597">
        <f t="shared" si="14"/>
        <v>0</v>
      </c>
      <c r="M50" s="597">
        <f t="shared" si="15"/>
        <v>0</v>
      </c>
      <c r="N50" s="601">
        <f t="shared" si="9"/>
        <v>91.666666666666657</v>
      </c>
      <c r="O50" s="596">
        <v>53.6</v>
      </c>
      <c r="P50" s="597"/>
      <c r="Q50" s="597"/>
      <c r="R50" s="598">
        <f t="shared" si="8"/>
        <v>53.6</v>
      </c>
      <c r="S50" s="676">
        <v>1</v>
      </c>
      <c r="T50" s="577"/>
      <c r="U50" s="670"/>
      <c r="V50" s="592" t="s">
        <v>1059</v>
      </c>
      <c r="W50" s="676" t="s">
        <v>74</v>
      </c>
      <c r="X50" s="676" t="s">
        <v>11</v>
      </c>
      <c r="Y50" s="593">
        <v>35.700000000000003</v>
      </c>
      <c r="Z50" s="676" t="s">
        <v>1060</v>
      </c>
      <c r="AA50" s="676" t="s">
        <v>22</v>
      </c>
      <c r="AB50" s="676" t="s">
        <v>11</v>
      </c>
      <c r="AC50" s="676">
        <v>17.899999999999999</v>
      </c>
      <c r="AD50" s="592"/>
      <c r="AG50" s="593"/>
      <c r="AL50" s="592"/>
      <c r="AO50" s="593"/>
      <c r="AP50" s="592"/>
      <c r="AS50" s="593"/>
      <c r="AW50" s="593"/>
      <c r="BA50" s="594"/>
    </row>
    <row r="51" spans="1:53" s="676" customFormat="1" x14ac:dyDescent="0.15">
      <c r="A51" s="676">
        <v>1997</v>
      </c>
      <c r="B51" s="603">
        <v>35746</v>
      </c>
      <c r="C51" s="811" t="s">
        <v>1068</v>
      </c>
      <c r="D51" s="811"/>
      <c r="E51" s="676">
        <f>365-E50</f>
        <v>50</v>
      </c>
      <c r="F51" s="604">
        <v>0</v>
      </c>
      <c r="G51" s="600">
        <v>11</v>
      </c>
      <c r="J51" s="602">
        <v>12</v>
      </c>
      <c r="K51" s="597">
        <f t="shared" si="13"/>
        <v>91.666666666666657</v>
      </c>
      <c r="L51" s="597">
        <f t="shared" si="14"/>
        <v>0</v>
      </c>
      <c r="M51" s="597">
        <f t="shared" si="15"/>
        <v>0</v>
      </c>
      <c r="N51" s="601">
        <f t="shared" si="9"/>
        <v>91.666666666666657</v>
      </c>
      <c r="O51" s="596">
        <v>35.700000000000003</v>
      </c>
      <c r="P51" s="597"/>
      <c r="Q51" s="597"/>
      <c r="R51" s="598">
        <f t="shared" si="8"/>
        <v>35.700000000000003</v>
      </c>
      <c r="S51" s="676">
        <v>1</v>
      </c>
      <c r="T51" s="577"/>
      <c r="U51" s="670"/>
      <c r="V51" s="592" t="s">
        <v>1059</v>
      </c>
      <c r="W51" s="676" t="s">
        <v>74</v>
      </c>
      <c r="X51" s="676" t="s">
        <v>11</v>
      </c>
      <c r="Y51" s="593">
        <v>35.700000000000003</v>
      </c>
      <c r="AD51" s="592"/>
      <c r="AG51" s="593"/>
      <c r="AL51" s="592"/>
      <c r="AO51" s="593"/>
      <c r="AP51" s="592"/>
      <c r="AS51" s="593"/>
      <c r="AW51" s="593"/>
      <c r="BA51" s="594"/>
    </row>
    <row r="52" spans="1:53" s="676" customFormat="1" x14ac:dyDescent="0.15">
      <c r="A52" s="676">
        <v>1998</v>
      </c>
      <c r="B52" s="670"/>
      <c r="C52" s="811" t="s">
        <v>1068</v>
      </c>
      <c r="D52" s="811"/>
      <c r="E52" s="676">
        <v>58</v>
      </c>
      <c r="G52" s="600">
        <v>11</v>
      </c>
      <c r="J52" s="602">
        <v>12</v>
      </c>
      <c r="K52" s="597">
        <f t="shared" si="13"/>
        <v>91.666666666666657</v>
      </c>
      <c r="L52" s="597">
        <f t="shared" si="14"/>
        <v>0</v>
      </c>
      <c r="M52" s="597">
        <f t="shared" si="15"/>
        <v>0</v>
      </c>
      <c r="N52" s="601">
        <f t="shared" si="9"/>
        <v>91.666666666666657</v>
      </c>
      <c r="O52" s="596">
        <v>35.700000000000003</v>
      </c>
      <c r="P52" s="597"/>
      <c r="Q52" s="597"/>
      <c r="R52" s="598">
        <f t="shared" si="8"/>
        <v>35.700000000000003</v>
      </c>
      <c r="S52" s="676">
        <v>1</v>
      </c>
      <c r="T52" s="577"/>
      <c r="U52" s="670"/>
      <c r="V52" s="592" t="s">
        <v>1059</v>
      </c>
      <c r="W52" s="676" t="s">
        <v>74</v>
      </c>
      <c r="X52" s="676" t="s">
        <v>11</v>
      </c>
      <c r="Y52" s="593">
        <v>35.700000000000003</v>
      </c>
      <c r="AD52" s="592"/>
      <c r="AG52" s="593"/>
      <c r="AL52" s="592"/>
      <c r="AO52" s="593"/>
      <c r="AP52" s="592"/>
      <c r="AS52" s="593"/>
      <c r="AW52" s="593"/>
      <c r="BA52" s="594"/>
    </row>
    <row r="53" spans="1:53" s="677" customFormat="1" x14ac:dyDescent="0.15">
      <c r="A53" s="677">
        <v>1998</v>
      </c>
      <c r="B53" s="671">
        <v>35854</v>
      </c>
      <c r="C53" s="812" t="s">
        <v>1065</v>
      </c>
      <c r="D53" s="812"/>
      <c r="E53" s="677">
        <f>365-E52</f>
        <v>307</v>
      </c>
      <c r="F53" s="677">
        <v>1</v>
      </c>
      <c r="G53" s="649">
        <v>10</v>
      </c>
      <c r="I53" s="677">
        <v>2</v>
      </c>
      <c r="J53" s="651">
        <v>12</v>
      </c>
      <c r="K53" s="647">
        <f t="shared" si="13"/>
        <v>83.333333333333343</v>
      </c>
      <c r="L53" s="647">
        <f t="shared" si="14"/>
        <v>0</v>
      </c>
      <c r="M53" s="647">
        <f t="shared" si="15"/>
        <v>16.666666666666664</v>
      </c>
      <c r="N53" s="650">
        <f t="shared" si="9"/>
        <v>100</v>
      </c>
      <c r="O53" s="646">
        <v>57.2</v>
      </c>
      <c r="P53" s="647"/>
      <c r="Q53" s="647">
        <v>8.9</v>
      </c>
      <c r="R53" s="648">
        <f t="shared" si="8"/>
        <v>66.100000000000009</v>
      </c>
      <c r="S53" s="677">
        <v>1</v>
      </c>
      <c r="T53" s="645"/>
      <c r="U53" s="671">
        <v>35854</v>
      </c>
      <c r="V53" s="641" t="s">
        <v>1059</v>
      </c>
      <c r="W53" s="677" t="s">
        <v>74</v>
      </c>
      <c r="X53" s="677" t="s">
        <v>11</v>
      </c>
      <c r="Y53" s="642">
        <v>35.700000000000003</v>
      </c>
      <c r="Z53" s="677" t="s">
        <v>1060</v>
      </c>
      <c r="AA53" s="677" t="s">
        <v>22</v>
      </c>
      <c r="AB53" s="677" t="s">
        <v>11</v>
      </c>
      <c r="AC53" s="677">
        <v>17.899999999999999</v>
      </c>
      <c r="AD53" s="641" t="s">
        <v>1061</v>
      </c>
      <c r="AE53" s="677" t="s">
        <v>88</v>
      </c>
      <c r="AF53" s="677" t="s">
        <v>11</v>
      </c>
      <c r="AG53" s="642">
        <v>3.6</v>
      </c>
      <c r="AH53" s="677" t="s">
        <v>1062</v>
      </c>
      <c r="AI53" s="677" t="s">
        <v>20</v>
      </c>
      <c r="AJ53" s="677" t="s">
        <v>12</v>
      </c>
      <c r="AK53" s="677">
        <v>8.9</v>
      </c>
      <c r="AL53" s="641"/>
      <c r="AO53" s="642"/>
      <c r="AP53" s="641"/>
      <c r="AS53" s="642"/>
      <c r="AW53" s="642"/>
      <c r="BA53" s="643"/>
    </row>
    <row r="54" spans="1:53" s="677" customFormat="1" x14ac:dyDescent="0.15">
      <c r="A54" s="677">
        <v>1999</v>
      </c>
      <c r="B54" s="671"/>
      <c r="C54" s="812" t="s">
        <v>1065</v>
      </c>
      <c r="D54" s="812"/>
      <c r="E54" s="677">
        <v>4</v>
      </c>
      <c r="G54" s="649">
        <v>10</v>
      </c>
      <c r="I54" s="677">
        <v>2</v>
      </c>
      <c r="J54" s="651">
        <v>12</v>
      </c>
      <c r="K54" s="647">
        <f t="shared" si="13"/>
        <v>83.333333333333343</v>
      </c>
      <c r="L54" s="647">
        <f t="shared" si="14"/>
        <v>0</v>
      </c>
      <c r="M54" s="647">
        <f t="shared" si="15"/>
        <v>16.666666666666664</v>
      </c>
      <c r="N54" s="650">
        <f t="shared" si="9"/>
        <v>100</v>
      </c>
      <c r="O54" s="646">
        <v>57.2</v>
      </c>
      <c r="P54" s="647"/>
      <c r="Q54" s="647">
        <v>8.9</v>
      </c>
      <c r="R54" s="648">
        <f t="shared" si="8"/>
        <v>66.100000000000009</v>
      </c>
      <c r="S54" s="677">
        <v>1</v>
      </c>
      <c r="T54" s="645"/>
      <c r="U54" s="671"/>
      <c r="V54" s="641" t="s">
        <v>1059</v>
      </c>
      <c r="W54" s="677" t="s">
        <v>74</v>
      </c>
      <c r="X54" s="677" t="s">
        <v>11</v>
      </c>
      <c r="Y54" s="642">
        <v>35.700000000000003</v>
      </c>
      <c r="Z54" s="677" t="s">
        <v>1060</v>
      </c>
      <c r="AA54" s="677" t="s">
        <v>22</v>
      </c>
      <c r="AB54" s="677" t="s">
        <v>11</v>
      </c>
      <c r="AC54" s="677">
        <v>17.899999999999999</v>
      </c>
      <c r="AD54" s="641" t="s">
        <v>1061</v>
      </c>
      <c r="AE54" s="677" t="s">
        <v>88</v>
      </c>
      <c r="AF54" s="677" t="s">
        <v>11</v>
      </c>
      <c r="AG54" s="642">
        <v>3.6</v>
      </c>
      <c r="AH54" s="677" t="s">
        <v>1062</v>
      </c>
      <c r="AI54" s="677" t="s">
        <v>20</v>
      </c>
      <c r="AJ54" s="677" t="s">
        <v>12</v>
      </c>
      <c r="AK54" s="677">
        <v>8.9</v>
      </c>
      <c r="AL54" s="641"/>
      <c r="AO54" s="642"/>
      <c r="AP54" s="641"/>
      <c r="AS54" s="642"/>
      <c r="AW54" s="642"/>
      <c r="BA54" s="643"/>
    </row>
    <row r="55" spans="1:53" s="677" customFormat="1" x14ac:dyDescent="0.15">
      <c r="A55" s="677">
        <v>1999</v>
      </c>
      <c r="B55" s="502">
        <v>36165</v>
      </c>
      <c r="C55" s="812" t="s">
        <v>1065</v>
      </c>
      <c r="D55" s="812"/>
      <c r="E55" s="677">
        <f>365-E54</f>
        <v>361</v>
      </c>
      <c r="F55" s="501">
        <v>0</v>
      </c>
      <c r="G55" s="649">
        <v>12</v>
      </c>
      <c r="J55" s="651">
        <v>12</v>
      </c>
      <c r="K55" s="647">
        <f t="shared" si="13"/>
        <v>100</v>
      </c>
      <c r="L55" s="647">
        <f t="shared" si="14"/>
        <v>0</v>
      </c>
      <c r="M55" s="647">
        <f t="shared" si="15"/>
        <v>0</v>
      </c>
      <c r="N55" s="650">
        <f t="shared" si="9"/>
        <v>100</v>
      </c>
      <c r="O55" s="646">
        <v>57.2</v>
      </c>
      <c r="P55" s="647"/>
      <c r="Q55" s="647"/>
      <c r="R55" s="648">
        <f t="shared" si="8"/>
        <v>57.2</v>
      </c>
      <c r="S55" s="677">
        <v>1</v>
      </c>
      <c r="T55" s="645"/>
      <c r="U55" s="671"/>
      <c r="V55" s="641" t="s">
        <v>1059</v>
      </c>
      <c r="W55" s="677" t="s">
        <v>74</v>
      </c>
      <c r="X55" s="677" t="s">
        <v>11</v>
      </c>
      <c r="Y55" s="642">
        <v>35.700000000000003</v>
      </c>
      <c r="Z55" s="677" t="s">
        <v>1060</v>
      </c>
      <c r="AA55" s="677" t="s">
        <v>22</v>
      </c>
      <c r="AB55" s="677" t="s">
        <v>11</v>
      </c>
      <c r="AC55" s="677">
        <v>17.899999999999999</v>
      </c>
      <c r="AD55" s="641" t="s">
        <v>1061</v>
      </c>
      <c r="AE55" s="677" t="s">
        <v>88</v>
      </c>
      <c r="AF55" s="677" t="s">
        <v>11</v>
      </c>
      <c r="AG55" s="642">
        <v>3.6</v>
      </c>
      <c r="AL55" s="641"/>
      <c r="AO55" s="642"/>
      <c r="AP55" s="641"/>
      <c r="AS55" s="642"/>
      <c r="AW55" s="642"/>
      <c r="BA55" s="643"/>
    </row>
    <row r="56" spans="1:53" s="677" customFormat="1" x14ac:dyDescent="0.15">
      <c r="A56" s="677">
        <v>2000</v>
      </c>
      <c r="B56" s="671"/>
      <c r="C56" s="812" t="s">
        <v>1065</v>
      </c>
      <c r="D56" s="812"/>
      <c r="E56" s="677">
        <v>0</v>
      </c>
      <c r="G56" s="649">
        <v>12</v>
      </c>
      <c r="J56" s="651">
        <v>12</v>
      </c>
      <c r="K56" s="647">
        <f t="shared" si="13"/>
        <v>100</v>
      </c>
      <c r="L56" s="647">
        <f t="shared" si="14"/>
        <v>0</v>
      </c>
      <c r="M56" s="647">
        <f t="shared" si="15"/>
        <v>0</v>
      </c>
      <c r="N56" s="650">
        <f t="shared" si="9"/>
        <v>100</v>
      </c>
      <c r="O56" s="646">
        <v>57.2</v>
      </c>
      <c r="P56" s="647"/>
      <c r="Q56" s="647"/>
      <c r="R56" s="648">
        <f t="shared" si="8"/>
        <v>57.2</v>
      </c>
      <c r="S56" s="677">
        <v>1</v>
      </c>
      <c r="T56" s="645"/>
      <c r="U56" s="671"/>
      <c r="V56" s="641" t="s">
        <v>1059</v>
      </c>
      <c r="W56" s="677" t="s">
        <v>74</v>
      </c>
      <c r="X56" s="677" t="s">
        <v>11</v>
      </c>
      <c r="Y56" s="642">
        <v>35.700000000000003</v>
      </c>
      <c r="Z56" s="677" t="s">
        <v>1060</v>
      </c>
      <c r="AA56" s="677" t="s">
        <v>22</v>
      </c>
      <c r="AB56" s="677" t="s">
        <v>11</v>
      </c>
      <c r="AC56" s="677">
        <v>17.899999999999999</v>
      </c>
      <c r="AD56" s="641" t="s">
        <v>1061</v>
      </c>
      <c r="AE56" s="677" t="s">
        <v>88</v>
      </c>
      <c r="AF56" s="677" t="s">
        <v>11</v>
      </c>
      <c r="AG56" s="642">
        <v>3.6</v>
      </c>
      <c r="AL56" s="641"/>
      <c r="AO56" s="642"/>
      <c r="AP56" s="641"/>
      <c r="AS56" s="642"/>
      <c r="AW56" s="642"/>
      <c r="BA56" s="643"/>
    </row>
    <row r="57" spans="1:53" s="677" customFormat="1" x14ac:dyDescent="0.15">
      <c r="A57" s="677">
        <v>2000</v>
      </c>
      <c r="B57" s="671"/>
      <c r="C57" s="812" t="s">
        <v>1065</v>
      </c>
      <c r="D57" s="812"/>
      <c r="E57" s="677">
        <v>366</v>
      </c>
      <c r="G57" s="649">
        <v>12</v>
      </c>
      <c r="J57" s="651">
        <v>12</v>
      </c>
      <c r="K57" s="647">
        <f t="shared" si="13"/>
        <v>100</v>
      </c>
      <c r="L57" s="647">
        <f t="shared" si="14"/>
        <v>0</v>
      </c>
      <c r="M57" s="647">
        <f t="shared" si="15"/>
        <v>0</v>
      </c>
      <c r="N57" s="650">
        <f t="shared" si="9"/>
        <v>100</v>
      </c>
      <c r="O57" s="646">
        <v>57.2</v>
      </c>
      <c r="P57" s="647"/>
      <c r="Q57" s="647"/>
      <c r="R57" s="648">
        <f t="shared" si="8"/>
        <v>57.2</v>
      </c>
      <c r="S57" s="677">
        <v>1</v>
      </c>
      <c r="T57" s="645"/>
      <c r="U57" s="671"/>
      <c r="V57" s="641" t="s">
        <v>1059</v>
      </c>
      <c r="W57" s="677" t="s">
        <v>74</v>
      </c>
      <c r="X57" s="677" t="s">
        <v>11</v>
      </c>
      <c r="Y57" s="642">
        <v>35.700000000000003</v>
      </c>
      <c r="Z57" s="677" t="s">
        <v>1060</v>
      </c>
      <c r="AA57" s="677" t="s">
        <v>22</v>
      </c>
      <c r="AB57" s="677" t="s">
        <v>11</v>
      </c>
      <c r="AC57" s="677">
        <v>17.899999999999999</v>
      </c>
      <c r="AD57" s="641" t="s">
        <v>1061</v>
      </c>
      <c r="AE57" s="677" t="s">
        <v>88</v>
      </c>
      <c r="AF57" s="677" t="s">
        <v>11</v>
      </c>
      <c r="AG57" s="642">
        <v>3.6</v>
      </c>
      <c r="AL57" s="641"/>
      <c r="AO57" s="642"/>
      <c r="AP57" s="641"/>
      <c r="AS57" s="642"/>
      <c r="AW57" s="642"/>
      <c r="BA57" s="643"/>
    </row>
    <row r="58" spans="1:53" s="677" customFormat="1" x14ac:dyDescent="0.15">
      <c r="A58" s="677">
        <v>2001</v>
      </c>
      <c r="B58" s="671"/>
      <c r="C58" s="812" t="s">
        <v>1065</v>
      </c>
      <c r="D58" s="812"/>
      <c r="E58" s="677">
        <v>146</v>
      </c>
      <c r="G58" s="649">
        <v>12</v>
      </c>
      <c r="J58" s="651">
        <v>12</v>
      </c>
      <c r="K58" s="647">
        <f t="shared" si="13"/>
        <v>100</v>
      </c>
      <c r="L58" s="647">
        <f t="shared" si="14"/>
        <v>0</v>
      </c>
      <c r="M58" s="647">
        <f t="shared" si="15"/>
        <v>0</v>
      </c>
      <c r="N58" s="650">
        <f t="shared" si="9"/>
        <v>100</v>
      </c>
      <c r="O58" s="646">
        <v>57.2</v>
      </c>
      <c r="P58" s="647"/>
      <c r="Q58" s="647"/>
      <c r="R58" s="648">
        <f t="shared" si="8"/>
        <v>57.2</v>
      </c>
      <c r="S58" s="677">
        <v>1</v>
      </c>
      <c r="T58" s="645"/>
      <c r="U58" s="671"/>
      <c r="V58" s="641" t="s">
        <v>1059</v>
      </c>
      <c r="W58" s="677" t="s">
        <v>74</v>
      </c>
      <c r="X58" s="677" t="s">
        <v>11</v>
      </c>
      <c r="Y58" s="642">
        <v>35.700000000000003</v>
      </c>
      <c r="Z58" s="677" t="s">
        <v>1060</v>
      </c>
      <c r="AA58" s="677" t="s">
        <v>22</v>
      </c>
      <c r="AB58" s="677" t="s">
        <v>11</v>
      </c>
      <c r="AC58" s="677">
        <v>17.899999999999999</v>
      </c>
      <c r="AD58" s="641" t="s">
        <v>1061</v>
      </c>
      <c r="AE58" s="677" t="s">
        <v>88</v>
      </c>
      <c r="AF58" s="677" t="s">
        <v>11</v>
      </c>
      <c r="AG58" s="642">
        <v>3.6</v>
      </c>
      <c r="AL58" s="641"/>
      <c r="AO58" s="642"/>
      <c r="AP58" s="641"/>
      <c r="AS58" s="642"/>
      <c r="AW58" s="642"/>
      <c r="BA58" s="643"/>
    </row>
    <row r="59" spans="1:53" s="677" customFormat="1" x14ac:dyDescent="0.15">
      <c r="A59" s="677">
        <v>2001</v>
      </c>
      <c r="B59" s="502">
        <v>37038</v>
      </c>
      <c r="C59" s="812" t="s">
        <v>1065</v>
      </c>
      <c r="D59" s="812"/>
      <c r="E59" s="677">
        <f>365-E58</f>
        <v>219</v>
      </c>
      <c r="F59" s="501" t="s">
        <v>340</v>
      </c>
      <c r="G59" s="649">
        <v>12</v>
      </c>
      <c r="J59" s="651">
        <v>12</v>
      </c>
      <c r="K59" s="647">
        <f t="shared" si="13"/>
        <v>100</v>
      </c>
      <c r="L59" s="647">
        <f t="shared" si="14"/>
        <v>0</v>
      </c>
      <c r="M59" s="647">
        <f t="shared" si="15"/>
        <v>0</v>
      </c>
      <c r="N59" s="650">
        <f t="shared" si="9"/>
        <v>100</v>
      </c>
      <c r="O59" s="646">
        <v>51.8</v>
      </c>
      <c r="P59" s="647"/>
      <c r="Q59" s="647"/>
      <c r="R59" s="648">
        <f t="shared" si="8"/>
        <v>51.8</v>
      </c>
      <c r="S59" s="677">
        <v>1</v>
      </c>
      <c r="T59" s="487">
        <v>37038</v>
      </c>
      <c r="U59" s="671"/>
      <c r="V59" s="641" t="s">
        <v>1059</v>
      </c>
      <c r="W59" s="677" t="s">
        <v>74</v>
      </c>
      <c r="X59" s="677" t="s">
        <v>11</v>
      </c>
      <c r="Y59" s="642">
        <v>33.9</v>
      </c>
      <c r="Z59" s="677" t="s">
        <v>1060</v>
      </c>
      <c r="AA59" s="677" t="s">
        <v>22</v>
      </c>
      <c r="AB59" s="677" t="s">
        <v>11</v>
      </c>
      <c r="AC59" s="677">
        <v>16.100000000000001</v>
      </c>
      <c r="AD59" s="641" t="s">
        <v>1061</v>
      </c>
      <c r="AE59" s="677" t="s">
        <v>88</v>
      </c>
      <c r="AF59" s="677" t="s">
        <v>11</v>
      </c>
      <c r="AG59" s="642">
        <v>1.8</v>
      </c>
      <c r="AL59" s="641"/>
      <c r="AO59" s="642"/>
      <c r="AP59" s="641"/>
      <c r="AS59" s="642"/>
      <c r="AW59" s="642"/>
      <c r="BA59" s="643"/>
    </row>
    <row r="60" spans="1:53" s="677" customFormat="1" x14ac:dyDescent="0.15">
      <c r="A60" s="677">
        <v>2002</v>
      </c>
      <c r="B60" s="671"/>
      <c r="C60" s="812" t="s">
        <v>1065</v>
      </c>
      <c r="D60" s="812"/>
      <c r="E60" s="677">
        <v>0</v>
      </c>
      <c r="G60" s="649">
        <v>12</v>
      </c>
      <c r="J60" s="651">
        <v>12</v>
      </c>
      <c r="K60" s="647">
        <f t="shared" si="13"/>
        <v>100</v>
      </c>
      <c r="L60" s="647">
        <f t="shared" si="14"/>
        <v>0</v>
      </c>
      <c r="M60" s="647">
        <f t="shared" si="15"/>
        <v>0</v>
      </c>
      <c r="N60" s="650">
        <f t="shared" si="9"/>
        <v>100</v>
      </c>
      <c r="O60" s="646">
        <v>51.8</v>
      </c>
      <c r="P60" s="647"/>
      <c r="Q60" s="647"/>
      <c r="R60" s="648">
        <f t="shared" si="8"/>
        <v>51.8</v>
      </c>
      <c r="S60" s="677">
        <v>1</v>
      </c>
      <c r="T60" s="645"/>
      <c r="U60" s="671"/>
      <c r="V60" s="641" t="s">
        <v>1059</v>
      </c>
      <c r="W60" s="677" t="s">
        <v>74</v>
      </c>
      <c r="X60" s="677" t="s">
        <v>11</v>
      </c>
      <c r="Y60" s="642">
        <v>33.9</v>
      </c>
      <c r="Z60" s="677" t="s">
        <v>1060</v>
      </c>
      <c r="AA60" s="677" t="s">
        <v>22</v>
      </c>
      <c r="AB60" s="677" t="s">
        <v>11</v>
      </c>
      <c r="AC60" s="677">
        <v>16.100000000000001</v>
      </c>
      <c r="AD60" s="641" t="s">
        <v>1061</v>
      </c>
      <c r="AE60" s="677" t="s">
        <v>88</v>
      </c>
      <c r="AF60" s="677" t="s">
        <v>11</v>
      </c>
      <c r="AG60" s="642">
        <v>1.8</v>
      </c>
      <c r="AL60" s="641"/>
      <c r="AO60" s="642"/>
      <c r="AP60" s="641"/>
      <c r="AS60" s="642"/>
      <c r="AW60" s="642"/>
      <c r="BA60" s="643"/>
    </row>
    <row r="61" spans="1:53" s="677" customFormat="1" x14ac:dyDescent="0.15">
      <c r="A61" s="677">
        <v>2002</v>
      </c>
      <c r="B61" s="671"/>
      <c r="C61" s="812" t="s">
        <v>1065</v>
      </c>
      <c r="D61" s="812"/>
      <c r="E61" s="677">
        <f>365-E60</f>
        <v>365</v>
      </c>
      <c r="G61" s="649">
        <v>12</v>
      </c>
      <c r="J61" s="651">
        <v>12</v>
      </c>
      <c r="K61" s="647">
        <f t="shared" si="13"/>
        <v>100</v>
      </c>
      <c r="L61" s="647">
        <f t="shared" si="14"/>
        <v>0</v>
      </c>
      <c r="M61" s="647">
        <f t="shared" si="15"/>
        <v>0</v>
      </c>
      <c r="N61" s="650">
        <f t="shared" si="9"/>
        <v>100</v>
      </c>
      <c r="O61" s="646">
        <v>51.8</v>
      </c>
      <c r="P61" s="647"/>
      <c r="Q61" s="647"/>
      <c r="R61" s="648">
        <f t="shared" si="8"/>
        <v>51.8</v>
      </c>
      <c r="S61" s="677">
        <v>1</v>
      </c>
      <c r="T61" s="645"/>
      <c r="U61" s="671"/>
      <c r="V61" s="641" t="s">
        <v>1059</v>
      </c>
      <c r="W61" s="677" t="s">
        <v>74</v>
      </c>
      <c r="X61" s="677" t="s">
        <v>11</v>
      </c>
      <c r="Y61" s="642">
        <v>33.9</v>
      </c>
      <c r="Z61" s="677" t="s">
        <v>1060</v>
      </c>
      <c r="AA61" s="677" t="s">
        <v>22</v>
      </c>
      <c r="AB61" s="677" t="s">
        <v>11</v>
      </c>
      <c r="AC61" s="677">
        <v>16.100000000000001</v>
      </c>
      <c r="AD61" s="641" t="s">
        <v>1061</v>
      </c>
      <c r="AE61" s="677" t="s">
        <v>88</v>
      </c>
      <c r="AF61" s="677" t="s">
        <v>11</v>
      </c>
      <c r="AG61" s="642">
        <v>1.8</v>
      </c>
      <c r="AL61" s="641"/>
      <c r="AO61" s="642"/>
      <c r="AP61" s="641"/>
      <c r="AS61" s="642"/>
      <c r="AW61" s="642"/>
      <c r="BA61" s="643"/>
    </row>
    <row r="62" spans="1:53" s="677" customFormat="1" x14ac:dyDescent="0.15">
      <c r="A62" s="677">
        <v>2003</v>
      </c>
      <c r="B62" s="671"/>
      <c r="C62" s="812" t="s">
        <v>1065</v>
      </c>
      <c r="D62" s="812"/>
      <c r="E62" s="677">
        <v>58</v>
      </c>
      <c r="G62" s="649">
        <v>12</v>
      </c>
      <c r="J62" s="651">
        <v>12</v>
      </c>
      <c r="K62" s="647">
        <f t="shared" si="13"/>
        <v>100</v>
      </c>
      <c r="L62" s="647">
        <f t="shared" si="14"/>
        <v>0</v>
      </c>
      <c r="M62" s="647">
        <f t="shared" si="15"/>
        <v>0</v>
      </c>
      <c r="N62" s="650">
        <f t="shared" si="9"/>
        <v>100</v>
      </c>
      <c r="O62" s="646">
        <v>51.8</v>
      </c>
      <c r="P62" s="647"/>
      <c r="Q62" s="647"/>
      <c r="R62" s="648">
        <f t="shared" si="8"/>
        <v>51.8</v>
      </c>
      <c r="S62" s="677">
        <v>1</v>
      </c>
      <c r="T62" s="645"/>
      <c r="U62" s="671"/>
      <c r="V62" s="641" t="s">
        <v>1059</v>
      </c>
      <c r="W62" s="677" t="s">
        <v>74</v>
      </c>
      <c r="X62" s="677" t="s">
        <v>11</v>
      </c>
      <c r="Y62" s="642">
        <v>33.9</v>
      </c>
      <c r="Z62" s="677" t="s">
        <v>1060</v>
      </c>
      <c r="AA62" s="677" t="s">
        <v>22</v>
      </c>
      <c r="AB62" s="677" t="s">
        <v>11</v>
      </c>
      <c r="AC62" s="677">
        <v>16.100000000000001</v>
      </c>
      <c r="AD62" s="641" t="s">
        <v>1061</v>
      </c>
      <c r="AE62" s="677" t="s">
        <v>88</v>
      </c>
      <c r="AF62" s="677" t="s">
        <v>11</v>
      </c>
      <c r="AG62" s="642">
        <v>1.8</v>
      </c>
      <c r="AL62" s="641"/>
      <c r="AO62" s="642"/>
      <c r="AP62" s="641"/>
      <c r="AS62" s="642"/>
      <c r="AW62" s="642"/>
      <c r="BA62" s="643"/>
    </row>
    <row r="63" spans="1:53" s="676" customFormat="1" x14ac:dyDescent="0.15">
      <c r="A63" s="676">
        <v>2003</v>
      </c>
      <c r="B63" s="670">
        <v>37680</v>
      </c>
      <c r="C63" s="811" t="s">
        <v>1064</v>
      </c>
      <c r="D63" s="811"/>
      <c r="E63" s="676">
        <f>365-E62</f>
        <v>307</v>
      </c>
      <c r="F63" s="676">
        <v>1</v>
      </c>
      <c r="G63" s="600">
        <v>4</v>
      </c>
      <c r="I63" s="676">
        <v>6</v>
      </c>
      <c r="J63" s="602">
        <v>12</v>
      </c>
      <c r="K63" s="597">
        <f t="shared" si="13"/>
        <v>33.333333333333329</v>
      </c>
      <c r="L63" s="597">
        <f t="shared" si="14"/>
        <v>0</v>
      </c>
      <c r="M63" s="597">
        <f t="shared" si="15"/>
        <v>50</v>
      </c>
      <c r="N63" s="601">
        <f t="shared" si="9"/>
        <v>83.333333333333329</v>
      </c>
      <c r="O63" s="596">
        <v>16.100000000000001</v>
      </c>
      <c r="P63" s="597"/>
      <c r="Q63" s="597">
        <v>42.8</v>
      </c>
      <c r="R63" s="598">
        <f t="shared" si="8"/>
        <v>58.9</v>
      </c>
      <c r="S63" s="676">
        <v>1</v>
      </c>
      <c r="T63" s="577"/>
      <c r="U63" s="670">
        <v>37680</v>
      </c>
      <c r="V63" s="592" t="s">
        <v>1066</v>
      </c>
      <c r="W63" s="676" t="s">
        <v>114</v>
      </c>
      <c r="X63" s="676" t="s">
        <v>12</v>
      </c>
      <c r="Y63" s="593">
        <v>35.700000000000003</v>
      </c>
      <c r="Z63" s="676" t="s">
        <v>1060</v>
      </c>
      <c r="AA63" s="676" t="s">
        <v>22</v>
      </c>
      <c r="AB63" s="676" t="s">
        <v>11</v>
      </c>
      <c r="AC63" s="676">
        <v>16.100000000000001</v>
      </c>
      <c r="AD63" s="592" t="s">
        <v>1062</v>
      </c>
      <c r="AE63" s="676" t="s">
        <v>20</v>
      </c>
      <c r="AF63" s="676" t="s">
        <v>12</v>
      </c>
      <c r="AG63" s="593">
        <v>7.1</v>
      </c>
      <c r="AL63" s="592"/>
      <c r="AO63" s="593"/>
      <c r="AP63" s="592"/>
      <c r="AS63" s="593"/>
      <c r="AW63" s="593"/>
      <c r="BA63" s="594"/>
    </row>
    <row r="64" spans="1:53" s="676" customFormat="1" x14ac:dyDescent="0.15">
      <c r="A64" s="676">
        <v>2004</v>
      </c>
      <c r="B64" s="670"/>
      <c r="C64" s="811" t="s">
        <v>1064</v>
      </c>
      <c r="D64" s="811"/>
      <c r="E64" s="676">
        <v>137</v>
      </c>
      <c r="G64" s="600">
        <v>4</v>
      </c>
      <c r="I64" s="676">
        <v>6</v>
      </c>
      <c r="J64" s="602">
        <v>12</v>
      </c>
      <c r="K64" s="597">
        <f t="shared" si="13"/>
        <v>33.333333333333329</v>
      </c>
      <c r="L64" s="597">
        <f t="shared" si="14"/>
        <v>0</v>
      </c>
      <c r="M64" s="597">
        <f t="shared" si="15"/>
        <v>50</v>
      </c>
      <c r="N64" s="601">
        <f t="shared" si="9"/>
        <v>83.333333333333329</v>
      </c>
      <c r="O64" s="596">
        <v>16.100000000000001</v>
      </c>
      <c r="P64" s="597"/>
      <c r="Q64" s="597">
        <v>42.8</v>
      </c>
      <c r="R64" s="598">
        <f t="shared" si="8"/>
        <v>58.9</v>
      </c>
      <c r="S64" s="676">
        <v>1</v>
      </c>
      <c r="T64" s="577"/>
      <c r="U64" s="670"/>
      <c r="V64" s="592" t="s">
        <v>1066</v>
      </c>
      <c r="W64" s="676" t="s">
        <v>114</v>
      </c>
      <c r="X64" s="676" t="s">
        <v>12</v>
      </c>
      <c r="Y64" s="593">
        <v>35.700000000000003</v>
      </c>
      <c r="Z64" s="676" t="s">
        <v>1060</v>
      </c>
      <c r="AA64" s="676" t="s">
        <v>22</v>
      </c>
      <c r="AB64" s="676" t="s">
        <v>11</v>
      </c>
      <c r="AC64" s="676">
        <v>16.100000000000001</v>
      </c>
      <c r="AD64" s="592" t="s">
        <v>1062</v>
      </c>
      <c r="AE64" s="676" t="s">
        <v>20</v>
      </c>
      <c r="AF64" s="676" t="s">
        <v>12</v>
      </c>
      <c r="AG64" s="593">
        <v>7.1</v>
      </c>
      <c r="AL64" s="592"/>
      <c r="AO64" s="593"/>
      <c r="AP64" s="592"/>
      <c r="AS64" s="593"/>
      <c r="AW64" s="593"/>
      <c r="BA64" s="594"/>
    </row>
    <row r="65" spans="1:53" s="676" customFormat="1" x14ac:dyDescent="0.15">
      <c r="A65" s="676">
        <v>2004</v>
      </c>
      <c r="B65" s="603">
        <v>38124</v>
      </c>
      <c r="C65" s="811" t="s">
        <v>1064</v>
      </c>
      <c r="D65" s="811"/>
      <c r="E65" s="676">
        <v>229</v>
      </c>
      <c r="F65" s="604">
        <v>0</v>
      </c>
      <c r="G65" s="600">
        <v>3</v>
      </c>
      <c r="I65" s="676">
        <v>6</v>
      </c>
      <c r="J65" s="602">
        <v>12</v>
      </c>
      <c r="K65" s="597">
        <f t="shared" si="13"/>
        <v>25</v>
      </c>
      <c r="L65" s="597">
        <f t="shared" si="14"/>
        <v>0</v>
      </c>
      <c r="M65" s="597">
        <f t="shared" si="15"/>
        <v>50</v>
      </c>
      <c r="N65" s="601">
        <f t="shared" si="9"/>
        <v>75</v>
      </c>
      <c r="O65" s="596">
        <v>16.100000000000001</v>
      </c>
      <c r="P65" s="597"/>
      <c r="Q65" s="597">
        <v>42.8</v>
      </c>
      <c r="R65" s="598">
        <f t="shared" si="8"/>
        <v>58.9</v>
      </c>
      <c r="S65" s="676">
        <v>1</v>
      </c>
      <c r="T65" s="577"/>
      <c r="U65" s="670"/>
      <c r="V65" s="592" t="s">
        <v>1066</v>
      </c>
      <c r="W65" s="676" t="s">
        <v>114</v>
      </c>
      <c r="X65" s="676" t="s">
        <v>12</v>
      </c>
      <c r="Y65" s="593">
        <v>35.700000000000003</v>
      </c>
      <c r="Z65" s="676" t="s">
        <v>1060</v>
      </c>
      <c r="AA65" s="676" t="s">
        <v>22</v>
      </c>
      <c r="AB65" s="676" t="s">
        <v>11</v>
      </c>
      <c r="AC65" s="676">
        <v>16.100000000000001</v>
      </c>
      <c r="AD65" s="592" t="s">
        <v>1062</v>
      </c>
      <c r="AE65" s="676" t="s">
        <v>20</v>
      </c>
      <c r="AF65" s="676" t="s">
        <v>12</v>
      </c>
      <c r="AG65" s="593">
        <v>7.1</v>
      </c>
      <c r="AL65" s="592"/>
      <c r="AO65" s="593"/>
      <c r="AP65" s="592"/>
      <c r="AS65" s="593"/>
      <c r="AW65" s="593"/>
      <c r="BA65" s="594"/>
    </row>
    <row r="66" spans="1:53" s="676" customFormat="1" x14ac:dyDescent="0.15">
      <c r="A66" s="676">
        <v>2005</v>
      </c>
      <c r="B66" s="670"/>
      <c r="C66" s="811" t="s">
        <v>1064</v>
      </c>
      <c r="D66" s="811"/>
      <c r="E66" s="676">
        <v>31</v>
      </c>
      <c r="G66" s="600">
        <v>3</v>
      </c>
      <c r="I66" s="676">
        <v>6</v>
      </c>
      <c r="J66" s="602">
        <v>12</v>
      </c>
      <c r="K66" s="597">
        <f t="shared" ref="K66:K78" si="16">G66/J66*100</f>
        <v>25</v>
      </c>
      <c r="L66" s="597">
        <f t="shared" ref="L66:L78" si="17">H66/J66*100</f>
        <v>0</v>
      </c>
      <c r="M66" s="597">
        <f t="shared" ref="M66:M78" si="18">I66/J66*100</f>
        <v>50</v>
      </c>
      <c r="N66" s="601">
        <f t="shared" si="9"/>
        <v>75</v>
      </c>
      <c r="O66" s="596">
        <v>16.100000000000001</v>
      </c>
      <c r="P66" s="597"/>
      <c r="Q66" s="597">
        <v>42.8</v>
      </c>
      <c r="R66" s="598">
        <f t="shared" si="8"/>
        <v>58.9</v>
      </c>
      <c r="S66" s="676">
        <v>1</v>
      </c>
      <c r="T66" s="577"/>
      <c r="U66" s="670"/>
      <c r="V66" s="592" t="s">
        <v>1066</v>
      </c>
      <c r="W66" s="676" t="s">
        <v>114</v>
      </c>
      <c r="X66" s="676" t="s">
        <v>12</v>
      </c>
      <c r="Y66" s="593">
        <v>35.700000000000003</v>
      </c>
      <c r="Z66" s="676" t="s">
        <v>1060</v>
      </c>
      <c r="AA66" s="676" t="s">
        <v>22</v>
      </c>
      <c r="AB66" s="676" t="s">
        <v>11</v>
      </c>
      <c r="AC66" s="676">
        <v>16.100000000000001</v>
      </c>
      <c r="AD66" s="592" t="s">
        <v>1062</v>
      </c>
      <c r="AE66" s="676" t="s">
        <v>20</v>
      </c>
      <c r="AF66" s="676" t="s">
        <v>12</v>
      </c>
      <c r="AG66" s="593">
        <v>7.1</v>
      </c>
      <c r="AL66" s="592"/>
      <c r="AO66" s="593"/>
      <c r="AP66" s="592"/>
      <c r="AS66" s="593"/>
      <c r="AW66" s="593"/>
      <c r="BA66" s="594"/>
    </row>
    <row r="67" spans="1:53" s="676" customFormat="1" x14ac:dyDescent="0.15">
      <c r="A67" s="676">
        <v>2005</v>
      </c>
      <c r="B67" s="603">
        <v>38384</v>
      </c>
      <c r="C67" s="811" t="s">
        <v>1064</v>
      </c>
      <c r="D67" s="811"/>
      <c r="E67" s="676">
        <v>334</v>
      </c>
      <c r="F67" s="604">
        <v>0</v>
      </c>
      <c r="G67" s="600">
        <v>3</v>
      </c>
      <c r="I67" s="676">
        <v>5</v>
      </c>
      <c r="J67" s="602">
        <v>12</v>
      </c>
      <c r="K67" s="597">
        <f>G67/J67*100</f>
        <v>25</v>
      </c>
      <c r="L67" s="597">
        <f>H67/J67*100</f>
        <v>0</v>
      </c>
      <c r="M67" s="597">
        <f>I67/J67*100</f>
        <v>41.666666666666671</v>
      </c>
      <c r="N67" s="601">
        <f t="shared" si="9"/>
        <v>66.666666666666671</v>
      </c>
      <c r="O67" s="596">
        <v>16.100000000000001</v>
      </c>
      <c r="P67" s="597"/>
      <c r="Q67" s="597">
        <v>42.8</v>
      </c>
      <c r="R67" s="598">
        <f t="shared" si="8"/>
        <v>58.9</v>
      </c>
      <c r="S67" s="676">
        <v>1</v>
      </c>
      <c r="T67" s="577"/>
      <c r="U67" s="670"/>
      <c r="V67" s="592" t="s">
        <v>1066</v>
      </c>
      <c r="W67" s="676" t="s">
        <v>114</v>
      </c>
      <c r="X67" s="676" t="s">
        <v>12</v>
      </c>
      <c r="Y67" s="593">
        <v>35.700000000000003</v>
      </c>
      <c r="Z67" s="676" t="s">
        <v>1060</v>
      </c>
      <c r="AA67" s="676" t="s">
        <v>22</v>
      </c>
      <c r="AB67" s="676" t="s">
        <v>11</v>
      </c>
      <c r="AC67" s="676">
        <v>16.100000000000001</v>
      </c>
      <c r="AD67" s="592" t="s">
        <v>1062</v>
      </c>
      <c r="AE67" s="676" t="s">
        <v>20</v>
      </c>
      <c r="AF67" s="676" t="s">
        <v>12</v>
      </c>
      <c r="AG67" s="593">
        <v>7.1</v>
      </c>
      <c r="AL67" s="592"/>
      <c r="AO67" s="593"/>
      <c r="AP67" s="592"/>
      <c r="AS67" s="593"/>
      <c r="AW67" s="593"/>
      <c r="BA67" s="594"/>
    </row>
    <row r="68" spans="1:53" s="676" customFormat="1" x14ac:dyDescent="0.15">
      <c r="A68" s="676">
        <v>2006</v>
      </c>
      <c r="B68" s="670"/>
      <c r="C68" s="811" t="s">
        <v>1064</v>
      </c>
      <c r="D68" s="811"/>
      <c r="E68" s="676">
        <v>140</v>
      </c>
      <c r="G68" s="600">
        <v>3</v>
      </c>
      <c r="I68" s="676">
        <v>5</v>
      </c>
      <c r="J68" s="602">
        <v>12</v>
      </c>
      <c r="K68" s="597">
        <f t="shared" si="16"/>
        <v>25</v>
      </c>
      <c r="L68" s="597">
        <f t="shared" si="17"/>
        <v>0</v>
      </c>
      <c r="M68" s="597">
        <f t="shared" si="18"/>
        <v>41.666666666666671</v>
      </c>
      <c r="N68" s="601">
        <f t="shared" si="9"/>
        <v>66.666666666666671</v>
      </c>
      <c r="O68" s="596">
        <v>16.100000000000001</v>
      </c>
      <c r="P68" s="597"/>
      <c r="Q68" s="597">
        <v>42.8</v>
      </c>
      <c r="R68" s="598">
        <f t="shared" si="8"/>
        <v>58.9</v>
      </c>
      <c r="S68" s="676">
        <v>1</v>
      </c>
      <c r="T68" s="577"/>
      <c r="U68" s="670"/>
      <c r="V68" s="592" t="s">
        <v>1066</v>
      </c>
      <c r="W68" s="676" t="s">
        <v>114</v>
      </c>
      <c r="X68" s="676" t="s">
        <v>12</v>
      </c>
      <c r="Y68" s="593">
        <v>35.700000000000003</v>
      </c>
      <c r="Z68" s="676" t="s">
        <v>1060</v>
      </c>
      <c r="AA68" s="676" t="s">
        <v>22</v>
      </c>
      <c r="AB68" s="676" t="s">
        <v>11</v>
      </c>
      <c r="AC68" s="676">
        <v>16.100000000000001</v>
      </c>
      <c r="AD68" s="592" t="s">
        <v>1062</v>
      </c>
      <c r="AE68" s="676" t="s">
        <v>20</v>
      </c>
      <c r="AF68" s="676" t="s">
        <v>12</v>
      </c>
      <c r="AG68" s="593">
        <v>7.1</v>
      </c>
      <c r="AL68" s="592"/>
      <c r="AO68" s="593"/>
      <c r="AP68" s="592"/>
      <c r="AS68" s="593"/>
      <c r="AW68" s="593"/>
      <c r="BA68" s="594"/>
    </row>
    <row r="69" spans="1:53" s="676" customFormat="1" x14ac:dyDescent="0.15">
      <c r="A69" s="676">
        <v>2006</v>
      </c>
      <c r="B69" s="603">
        <v>38858</v>
      </c>
      <c r="C69" s="811" t="s">
        <v>1064</v>
      </c>
      <c r="D69" s="811"/>
      <c r="E69" s="676">
        <v>23</v>
      </c>
      <c r="F69" s="604" t="s">
        <v>340</v>
      </c>
      <c r="G69" s="600">
        <v>3</v>
      </c>
      <c r="I69" s="676">
        <v>5</v>
      </c>
      <c r="J69" s="602">
        <v>12</v>
      </c>
      <c r="K69" s="597">
        <f>G69/J69*100</f>
        <v>25</v>
      </c>
      <c r="L69" s="597">
        <f>H69/J69*100</f>
        <v>0</v>
      </c>
      <c r="M69" s="597">
        <f>I69/J69*100</f>
        <v>41.666666666666671</v>
      </c>
      <c r="N69" s="601">
        <f t="shared" si="9"/>
        <v>66.666666666666671</v>
      </c>
      <c r="O69" s="596">
        <v>19.600000000000001</v>
      </c>
      <c r="P69" s="597"/>
      <c r="Q69" s="597">
        <v>41</v>
      </c>
      <c r="R69" s="598">
        <f t="shared" si="8"/>
        <v>60.6</v>
      </c>
      <c r="S69" s="676">
        <v>1</v>
      </c>
      <c r="T69" s="599">
        <v>38858</v>
      </c>
      <c r="U69" s="670"/>
      <c r="V69" s="592" t="s">
        <v>1066</v>
      </c>
      <c r="W69" s="676" t="s">
        <v>114</v>
      </c>
      <c r="X69" s="676" t="s">
        <v>12</v>
      </c>
      <c r="Y69" s="593">
        <v>32.1</v>
      </c>
      <c r="Z69" s="676" t="s">
        <v>1060</v>
      </c>
      <c r="AA69" s="676" t="s">
        <v>22</v>
      </c>
      <c r="AB69" s="676" t="s">
        <v>11</v>
      </c>
      <c r="AC69" s="676">
        <v>19.600000000000001</v>
      </c>
      <c r="AD69" s="592" t="s">
        <v>1062</v>
      </c>
      <c r="AE69" s="676" t="s">
        <v>20</v>
      </c>
      <c r="AF69" s="676" t="s">
        <v>12</v>
      </c>
      <c r="AG69" s="593">
        <v>8.9</v>
      </c>
      <c r="AL69" s="592"/>
      <c r="AO69" s="593"/>
      <c r="AP69" s="592"/>
      <c r="AS69" s="593"/>
      <c r="AW69" s="593"/>
      <c r="BA69" s="594"/>
    </row>
    <row r="70" spans="1:53" s="676" customFormat="1" x14ac:dyDescent="0.15">
      <c r="A70" s="676">
        <v>2006</v>
      </c>
      <c r="B70" s="603">
        <v>38881</v>
      </c>
      <c r="C70" s="811" t="s">
        <v>1064</v>
      </c>
      <c r="D70" s="811"/>
      <c r="E70" s="676">
        <v>202</v>
      </c>
      <c r="F70" s="604">
        <v>0</v>
      </c>
      <c r="G70" s="600">
        <v>6</v>
      </c>
      <c r="I70" s="676">
        <v>5</v>
      </c>
      <c r="J70" s="602">
        <v>12</v>
      </c>
      <c r="K70" s="597">
        <f t="shared" si="16"/>
        <v>50</v>
      </c>
      <c r="L70" s="597">
        <f t="shared" si="17"/>
        <v>0</v>
      </c>
      <c r="M70" s="597">
        <f t="shared" si="18"/>
        <v>41.666666666666671</v>
      </c>
      <c r="N70" s="601">
        <f t="shared" si="9"/>
        <v>91.666666666666671</v>
      </c>
      <c r="O70" s="596">
        <v>19.600000000000001</v>
      </c>
      <c r="P70" s="597"/>
      <c r="Q70" s="597">
        <v>41</v>
      </c>
      <c r="R70" s="598">
        <f t="shared" si="8"/>
        <v>60.6</v>
      </c>
      <c r="S70" s="676">
        <v>1</v>
      </c>
      <c r="T70" s="577"/>
      <c r="U70" s="670"/>
      <c r="V70" s="592" t="s">
        <v>1066</v>
      </c>
      <c r="W70" s="676" t="s">
        <v>114</v>
      </c>
      <c r="X70" s="676" t="s">
        <v>12</v>
      </c>
      <c r="Y70" s="593">
        <v>32.1</v>
      </c>
      <c r="Z70" s="676" t="s">
        <v>1060</v>
      </c>
      <c r="AA70" s="676" t="s">
        <v>22</v>
      </c>
      <c r="AB70" s="676" t="s">
        <v>11</v>
      </c>
      <c r="AC70" s="676">
        <v>19.600000000000001</v>
      </c>
      <c r="AD70" s="592" t="s">
        <v>1062</v>
      </c>
      <c r="AE70" s="676" t="s">
        <v>20</v>
      </c>
      <c r="AF70" s="676" t="s">
        <v>12</v>
      </c>
      <c r="AG70" s="593">
        <v>8.9</v>
      </c>
      <c r="AL70" s="592"/>
      <c r="AO70" s="593"/>
      <c r="AP70" s="592"/>
      <c r="AS70" s="593"/>
      <c r="AW70" s="593"/>
      <c r="BA70" s="594"/>
    </row>
    <row r="71" spans="1:53" s="676" customFormat="1" x14ac:dyDescent="0.15">
      <c r="A71" s="676">
        <v>2007</v>
      </c>
      <c r="B71" s="670"/>
      <c r="C71" s="811" t="s">
        <v>1064</v>
      </c>
      <c r="D71" s="811"/>
      <c r="E71" s="676">
        <v>196</v>
      </c>
      <c r="G71" s="600">
        <v>3</v>
      </c>
      <c r="I71" s="676">
        <v>5</v>
      </c>
      <c r="J71" s="602">
        <v>12</v>
      </c>
      <c r="K71" s="597">
        <f t="shared" si="16"/>
        <v>25</v>
      </c>
      <c r="L71" s="597">
        <f t="shared" si="17"/>
        <v>0</v>
      </c>
      <c r="M71" s="597">
        <f t="shared" si="18"/>
        <v>41.666666666666671</v>
      </c>
      <c r="N71" s="601">
        <f t="shared" si="9"/>
        <v>66.666666666666671</v>
      </c>
      <c r="O71" s="596">
        <v>19.600000000000001</v>
      </c>
      <c r="P71" s="597"/>
      <c r="Q71" s="597">
        <v>41</v>
      </c>
      <c r="R71" s="598">
        <f t="shared" si="8"/>
        <v>60.6</v>
      </c>
      <c r="S71" s="676">
        <v>1</v>
      </c>
      <c r="T71" s="577"/>
      <c r="U71" s="670"/>
      <c r="V71" s="592" t="s">
        <v>1066</v>
      </c>
      <c r="W71" s="676" t="s">
        <v>114</v>
      </c>
      <c r="X71" s="676" t="s">
        <v>12</v>
      </c>
      <c r="Y71" s="593">
        <v>32.1</v>
      </c>
      <c r="Z71" s="676" t="s">
        <v>1060</v>
      </c>
      <c r="AA71" s="676" t="s">
        <v>22</v>
      </c>
      <c r="AB71" s="676" t="s">
        <v>11</v>
      </c>
      <c r="AC71" s="676">
        <v>19.600000000000001</v>
      </c>
      <c r="AD71" s="592" t="s">
        <v>1062</v>
      </c>
      <c r="AE71" s="676" t="s">
        <v>20</v>
      </c>
      <c r="AF71" s="676" t="s">
        <v>12</v>
      </c>
      <c r="AG71" s="593">
        <v>8.9</v>
      </c>
      <c r="AL71" s="592"/>
      <c r="AO71" s="593"/>
      <c r="AP71" s="592"/>
      <c r="AS71" s="593"/>
      <c r="AW71" s="593"/>
      <c r="BA71" s="594"/>
    </row>
    <row r="72" spans="1:53" s="676" customFormat="1" x14ac:dyDescent="0.15">
      <c r="A72" s="676">
        <v>2007</v>
      </c>
      <c r="B72" s="603">
        <v>39279</v>
      </c>
      <c r="C72" s="811" t="s">
        <v>1064</v>
      </c>
      <c r="D72" s="811"/>
      <c r="E72" s="676">
        <v>169</v>
      </c>
      <c r="F72" s="604">
        <v>0</v>
      </c>
      <c r="G72" s="600">
        <v>6</v>
      </c>
      <c r="I72" s="676">
        <v>2</v>
      </c>
      <c r="J72" s="602">
        <v>12</v>
      </c>
      <c r="K72" s="597">
        <f t="shared" si="16"/>
        <v>50</v>
      </c>
      <c r="L72" s="597">
        <f t="shared" si="17"/>
        <v>0</v>
      </c>
      <c r="M72" s="597">
        <f t="shared" si="18"/>
        <v>16.666666666666664</v>
      </c>
      <c r="N72" s="601">
        <f t="shared" si="9"/>
        <v>66.666666666666657</v>
      </c>
      <c r="O72" s="596">
        <v>19.600000000000001</v>
      </c>
      <c r="P72" s="597"/>
      <c r="Q72" s="597">
        <v>8.9</v>
      </c>
      <c r="R72" s="598">
        <f t="shared" si="8"/>
        <v>28.5</v>
      </c>
      <c r="S72" s="676">
        <v>1</v>
      </c>
      <c r="T72" s="577"/>
      <c r="U72" s="670"/>
      <c r="V72" s="592" t="s">
        <v>1060</v>
      </c>
      <c r="W72" s="676" t="s">
        <v>22</v>
      </c>
      <c r="X72" s="676" t="s">
        <v>11</v>
      </c>
      <c r="Y72" s="593">
        <v>19.600000000000001</v>
      </c>
      <c r="Z72" s="676" t="s">
        <v>1062</v>
      </c>
      <c r="AA72" s="676" t="s">
        <v>20</v>
      </c>
      <c r="AB72" s="676" t="s">
        <v>12</v>
      </c>
      <c r="AC72" s="676">
        <v>8.9</v>
      </c>
      <c r="AD72" s="592"/>
      <c r="AG72" s="593"/>
      <c r="AL72" s="592"/>
      <c r="AO72" s="593"/>
      <c r="AP72" s="592"/>
      <c r="AS72" s="593"/>
      <c r="AW72" s="593"/>
      <c r="BA72" s="594"/>
    </row>
    <row r="73" spans="1:53" s="676" customFormat="1" x14ac:dyDescent="0.15">
      <c r="A73" s="676">
        <v>2008</v>
      </c>
      <c r="B73" s="670"/>
      <c r="C73" s="811" t="s">
        <v>1064</v>
      </c>
      <c r="D73" s="811"/>
      <c r="E73" s="676">
        <v>59</v>
      </c>
      <c r="G73" s="600">
        <v>6</v>
      </c>
      <c r="I73" s="676">
        <v>2</v>
      </c>
      <c r="J73" s="602">
        <v>12</v>
      </c>
      <c r="K73" s="597">
        <f t="shared" si="16"/>
        <v>50</v>
      </c>
      <c r="L73" s="597">
        <f t="shared" si="17"/>
        <v>0</v>
      </c>
      <c r="M73" s="597">
        <f t="shared" si="18"/>
        <v>16.666666666666664</v>
      </c>
      <c r="N73" s="601">
        <f t="shared" si="9"/>
        <v>66.666666666666657</v>
      </c>
      <c r="O73" s="596">
        <v>19.600000000000001</v>
      </c>
      <c r="P73" s="597"/>
      <c r="Q73" s="597">
        <v>8.9</v>
      </c>
      <c r="R73" s="598">
        <f t="shared" si="8"/>
        <v>28.5</v>
      </c>
      <c r="S73" s="676">
        <v>1</v>
      </c>
      <c r="T73" s="577"/>
      <c r="U73" s="670"/>
      <c r="V73" s="592" t="s">
        <v>1060</v>
      </c>
      <c r="W73" s="676" t="s">
        <v>22</v>
      </c>
      <c r="X73" s="676" t="s">
        <v>11</v>
      </c>
      <c r="Y73" s="593">
        <v>19.600000000000001</v>
      </c>
      <c r="Z73" s="676" t="s">
        <v>1062</v>
      </c>
      <c r="AA73" s="676" t="s">
        <v>20</v>
      </c>
      <c r="AB73" s="676" t="s">
        <v>12</v>
      </c>
      <c r="AC73" s="676">
        <v>8.9</v>
      </c>
      <c r="AD73" s="592"/>
      <c r="AG73" s="593"/>
      <c r="AL73" s="592"/>
      <c r="AO73" s="593"/>
      <c r="AP73" s="592"/>
      <c r="AS73" s="593"/>
      <c r="AW73" s="593"/>
      <c r="BA73" s="594"/>
    </row>
    <row r="74" spans="1:53" s="677" customFormat="1" x14ac:dyDescent="0.15">
      <c r="A74" s="677">
        <v>2008</v>
      </c>
      <c r="B74" s="671">
        <v>39507</v>
      </c>
      <c r="C74" s="812" t="s">
        <v>1067</v>
      </c>
      <c r="D74" s="812"/>
      <c r="E74" s="677">
        <v>307</v>
      </c>
      <c r="F74" s="677">
        <v>1</v>
      </c>
      <c r="G74" s="649">
        <v>3</v>
      </c>
      <c r="I74" s="677">
        <v>7</v>
      </c>
      <c r="J74" s="651">
        <v>12</v>
      </c>
      <c r="K74" s="647">
        <f t="shared" si="16"/>
        <v>25</v>
      </c>
      <c r="L74" s="647">
        <f t="shared" si="17"/>
        <v>0</v>
      </c>
      <c r="M74" s="647">
        <f t="shared" si="18"/>
        <v>58.333333333333336</v>
      </c>
      <c r="N74" s="650">
        <f t="shared" si="9"/>
        <v>83.333333333333343</v>
      </c>
      <c r="O74" s="646">
        <v>19.600000000000001</v>
      </c>
      <c r="P74" s="647"/>
      <c r="Q74" s="647">
        <v>41</v>
      </c>
      <c r="R74" s="648">
        <f t="shared" si="8"/>
        <v>60.6</v>
      </c>
      <c r="S74" s="677">
        <v>1</v>
      </c>
      <c r="T74" s="645"/>
      <c r="U74" s="671">
        <v>39507</v>
      </c>
      <c r="V74" s="641" t="s">
        <v>1066</v>
      </c>
      <c r="W74" s="677" t="s">
        <v>114</v>
      </c>
      <c r="X74" s="677" t="s">
        <v>12</v>
      </c>
      <c r="Y74" s="642">
        <v>32.1</v>
      </c>
      <c r="Z74" s="677" t="s">
        <v>1060</v>
      </c>
      <c r="AA74" s="677" t="s">
        <v>22</v>
      </c>
      <c r="AB74" s="677" t="s">
        <v>11</v>
      </c>
      <c r="AC74" s="677">
        <v>19.600000000000001</v>
      </c>
      <c r="AD74" s="641" t="s">
        <v>1062</v>
      </c>
      <c r="AE74" s="677" t="s">
        <v>20</v>
      </c>
      <c r="AF74" s="677" t="s">
        <v>12</v>
      </c>
      <c r="AG74" s="642">
        <v>8.9</v>
      </c>
      <c r="AL74" s="641"/>
      <c r="AO74" s="642"/>
      <c r="AP74" s="641"/>
      <c r="AS74" s="642"/>
      <c r="AW74" s="642"/>
      <c r="BA74" s="643"/>
    </row>
    <row r="75" spans="1:53" s="677" customFormat="1" x14ac:dyDescent="0.15">
      <c r="A75" s="677">
        <v>2009</v>
      </c>
      <c r="B75" s="671"/>
      <c r="C75" s="812" t="s">
        <v>1067</v>
      </c>
      <c r="D75" s="812"/>
      <c r="E75" s="677">
        <v>0</v>
      </c>
      <c r="G75" s="649">
        <v>3</v>
      </c>
      <c r="I75" s="677">
        <v>7</v>
      </c>
      <c r="J75" s="651">
        <v>12</v>
      </c>
      <c r="K75" s="647">
        <f t="shared" si="16"/>
        <v>25</v>
      </c>
      <c r="L75" s="647">
        <f t="shared" si="17"/>
        <v>0</v>
      </c>
      <c r="M75" s="647">
        <f t="shared" si="18"/>
        <v>58.333333333333336</v>
      </c>
      <c r="N75" s="650">
        <f t="shared" si="9"/>
        <v>83.333333333333343</v>
      </c>
      <c r="O75" s="646">
        <v>19.600000000000001</v>
      </c>
      <c r="P75" s="647"/>
      <c r="Q75" s="647">
        <v>41</v>
      </c>
      <c r="R75" s="648">
        <f t="shared" si="8"/>
        <v>60.6</v>
      </c>
      <c r="S75" s="677">
        <v>1</v>
      </c>
      <c r="T75" s="645"/>
      <c r="U75" s="671"/>
      <c r="V75" s="641" t="s">
        <v>1066</v>
      </c>
      <c r="W75" s="677" t="s">
        <v>114</v>
      </c>
      <c r="X75" s="677" t="s">
        <v>12</v>
      </c>
      <c r="Y75" s="642">
        <v>32.1</v>
      </c>
      <c r="Z75" s="677" t="s">
        <v>1060</v>
      </c>
      <c r="AA75" s="677" t="s">
        <v>22</v>
      </c>
      <c r="AB75" s="677" t="s">
        <v>11</v>
      </c>
      <c r="AC75" s="677">
        <v>19.600000000000001</v>
      </c>
      <c r="AD75" s="641" t="s">
        <v>1062</v>
      </c>
      <c r="AE75" s="677" t="s">
        <v>20</v>
      </c>
      <c r="AF75" s="677" t="s">
        <v>12</v>
      </c>
      <c r="AG75" s="642">
        <v>8.9</v>
      </c>
      <c r="AL75" s="641"/>
      <c r="AO75" s="642"/>
      <c r="AP75" s="641"/>
      <c r="AS75" s="642"/>
      <c r="AW75" s="642"/>
      <c r="BA75" s="643"/>
    </row>
    <row r="76" spans="1:53" s="677" customFormat="1" x14ac:dyDescent="0.15">
      <c r="A76" s="677">
        <v>2009</v>
      </c>
      <c r="B76" s="671"/>
      <c r="C76" s="812" t="s">
        <v>1067</v>
      </c>
      <c r="D76" s="812"/>
      <c r="E76" s="677">
        <v>365</v>
      </c>
      <c r="G76" s="649">
        <v>3</v>
      </c>
      <c r="I76" s="677">
        <v>7</v>
      </c>
      <c r="J76" s="651">
        <v>12</v>
      </c>
      <c r="K76" s="647">
        <f t="shared" si="16"/>
        <v>25</v>
      </c>
      <c r="L76" s="647">
        <f t="shared" si="17"/>
        <v>0</v>
      </c>
      <c r="M76" s="647">
        <f t="shared" si="18"/>
        <v>58.333333333333336</v>
      </c>
      <c r="N76" s="650">
        <f t="shared" si="9"/>
        <v>83.333333333333343</v>
      </c>
      <c r="O76" s="646">
        <v>19.600000000000001</v>
      </c>
      <c r="P76" s="647"/>
      <c r="Q76" s="647">
        <v>41</v>
      </c>
      <c r="R76" s="648">
        <f t="shared" si="8"/>
        <v>60.6</v>
      </c>
      <c r="S76" s="677">
        <v>1</v>
      </c>
      <c r="T76" s="645"/>
      <c r="U76" s="671"/>
      <c r="V76" s="641" t="s">
        <v>1066</v>
      </c>
      <c r="W76" s="677" t="s">
        <v>114</v>
      </c>
      <c r="X76" s="677" t="s">
        <v>12</v>
      </c>
      <c r="Y76" s="642">
        <v>32.1</v>
      </c>
      <c r="Z76" s="677" t="s">
        <v>1060</v>
      </c>
      <c r="AA76" s="677" t="s">
        <v>22</v>
      </c>
      <c r="AB76" s="677" t="s">
        <v>11</v>
      </c>
      <c r="AC76" s="677">
        <v>19.600000000000001</v>
      </c>
      <c r="AD76" s="641" t="s">
        <v>1062</v>
      </c>
      <c r="AE76" s="677" t="s">
        <v>20</v>
      </c>
      <c r="AF76" s="677" t="s">
        <v>12</v>
      </c>
      <c r="AG76" s="642">
        <v>8.9</v>
      </c>
      <c r="AL76" s="641"/>
      <c r="AO76" s="642"/>
      <c r="AP76" s="641"/>
      <c r="AS76" s="642"/>
      <c r="AW76" s="642"/>
      <c r="BA76" s="643"/>
    </row>
    <row r="77" spans="1:53" s="677" customFormat="1" x14ac:dyDescent="0.15">
      <c r="A77" s="677">
        <v>2010</v>
      </c>
      <c r="B77" s="671"/>
      <c r="C77" s="812" t="s">
        <v>1067</v>
      </c>
      <c r="D77" s="812"/>
      <c r="E77" s="677">
        <v>60</v>
      </c>
      <c r="G77" s="649">
        <v>3</v>
      </c>
      <c r="I77" s="677">
        <v>8</v>
      </c>
      <c r="J77" s="651">
        <v>12</v>
      </c>
      <c r="K77" s="647">
        <f t="shared" si="16"/>
        <v>25</v>
      </c>
      <c r="L77" s="647">
        <f t="shared" si="17"/>
        <v>0</v>
      </c>
      <c r="M77" s="647">
        <f t="shared" si="18"/>
        <v>66.666666666666657</v>
      </c>
      <c r="N77" s="650">
        <f t="shared" si="9"/>
        <v>91.666666666666657</v>
      </c>
      <c r="O77" s="646">
        <v>19.600000000000001</v>
      </c>
      <c r="P77" s="647"/>
      <c r="Q77" s="647">
        <v>41</v>
      </c>
      <c r="R77" s="648">
        <f t="shared" si="8"/>
        <v>60.6</v>
      </c>
      <c r="S77" s="677">
        <v>1</v>
      </c>
      <c r="T77" s="645"/>
      <c r="U77" s="671"/>
      <c r="V77" s="641" t="s">
        <v>1066</v>
      </c>
      <c r="W77" s="677" t="s">
        <v>114</v>
      </c>
      <c r="X77" s="677" t="s">
        <v>12</v>
      </c>
      <c r="Y77" s="642">
        <v>32.1</v>
      </c>
      <c r="Z77" s="677" t="s">
        <v>1060</v>
      </c>
      <c r="AA77" s="677" t="s">
        <v>22</v>
      </c>
      <c r="AB77" s="677" t="s">
        <v>11</v>
      </c>
      <c r="AC77" s="677">
        <v>19.600000000000001</v>
      </c>
      <c r="AD77" s="641" t="s">
        <v>1062</v>
      </c>
      <c r="AE77" s="677" t="s">
        <v>20</v>
      </c>
      <c r="AF77" s="677" t="s">
        <v>12</v>
      </c>
      <c r="AG77" s="642">
        <v>8.9</v>
      </c>
      <c r="AL77" s="641"/>
      <c r="AO77" s="642"/>
      <c r="AP77" s="641"/>
      <c r="AS77" s="642"/>
      <c r="AW77" s="642"/>
      <c r="BA77" s="643"/>
    </row>
    <row r="78" spans="1:53" s="677" customFormat="1" x14ac:dyDescent="0.15">
      <c r="A78" s="677">
        <v>2010</v>
      </c>
      <c r="B78" s="502">
        <v>40239</v>
      </c>
      <c r="C78" s="812" t="s">
        <v>1067</v>
      </c>
      <c r="D78" s="812"/>
      <c r="E78" s="677">
        <f>365-E77</f>
        <v>305</v>
      </c>
      <c r="F78" s="501">
        <v>0</v>
      </c>
      <c r="G78" s="649">
        <v>3</v>
      </c>
      <c r="I78" s="677">
        <v>5</v>
      </c>
      <c r="J78" s="651">
        <v>12</v>
      </c>
      <c r="K78" s="647">
        <f t="shared" si="16"/>
        <v>25</v>
      </c>
      <c r="L78" s="647">
        <f t="shared" si="17"/>
        <v>0</v>
      </c>
      <c r="M78" s="647">
        <f t="shared" si="18"/>
        <v>41.666666666666671</v>
      </c>
      <c r="N78" s="650">
        <f t="shared" si="9"/>
        <v>66.666666666666671</v>
      </c>
      <c r="O78" s="646">
        <v>19.600000000000001</v>
      </c>
      <c r="P78" s="647"/>
      <c r="Q78" s="647">
        <v>32.1</v>
      </c>
      <c r="R78" s="648">
        <f t="shared" si="8"/>
        <v>51.7</v>
      </c>
      <c r="S78" s="677">
        <v>1</v>
      </c>
      <c r="T78" s="645"/>
      <c r="U78" s="671"/>
      <c r="V78" s="641" t="s">
        <v>1066</v>
      </c>
      <c r="W78" s="677" t="s">
        <v>114</v>
      </c>
      <c r="X78" s="677" t="s">
        <v>12</v>
      </c>
      <c r="Y78" s="642">
        <v>32.1</v>
      </c>
      <c r="Z78" s="677" t="s">
        <v>1060</v>
      </c>
      <c r="AA78" s="677" t="s">
        <v>22</v>
      </c>
      <c r="AB78" s="677" t="s">
        <v>11</v>
      </c>
      <c r="AC78" s="677">
        <v>19.600000000000001</v>
      </c>
      <c r="AD78" s="641"/>
      <c r="AG78" s="642"/>
      <c r="AL78" s="641"/>
      <c r="AO78" s="642"/>
      <c r="AP78" s="641"/>
      <c r="AS78" s="642"/>
      <c r="AW78" s="642"/>
      <c r="BA78" s="643"/>
    </row>
    <row r="79" spans="1:53" s="677" customFormat="1" x14ac:dyDescent="0.15">
      <c r="A79" s="677">
        <v>2011</v>
      </c>
      <c r="B79" s="671"/>
      <c r="C79" s="812" t="s">
        <v>1067</v>
      </c>
      <c r="D79" s="812"/>
      <c r="E79" s="677">
        <v>141</v>
      </c>
      <c r="G79" s="649">
        <v>3</v>
      </c>
      <c r="I79" s="677">
        <v>5</v>
      </c>
      <c r="J79" s="651">
        <v>12</v>
      </c>
      <c r="K79" s="647">
        <f t="shared" ref="K79:K85" si="19">G79/J79*100</f>
        <v>25</v>
      </c>
      <c r="L79" s="647">
        <f t="shared" ref="L79:L85" si="20">H79/J79*100</f>
        <v>0</v>
      </c>
      <c r="M79" s="647">
        <f t="shared" ref="M79:M85" si="21">I79/J79*100</f>
        <v>41.666666666666671</v>
      </c>
      <c r="N79" s="650">
        <f t="shared" si="9"/>
        <v>66.666666666666671</v>
      </c>
      <c r="O79" s="646">
        <v>19.600000000000001</v>
      </c>
      <c r="P79" s="647"/>
      <c r="Q79" s="647">
        <v>32.1</v>
      </c>
      <c r="R79" s="648">
        <f t="shared" si="8"/>
        <v>51.7</v>
      </c>
      <c r="S79" s="677">
        <v>1</v>
      </c>
      <c r="T79" s="645"/>
      <c r="U79" s="671"/>
      <c r="V79" s="641" t="s">
        <v>1066</v>
      </c>
      <c r="W79" s="677" t="s">
        <v>114</v>
      </c>
      <c r="X79" s="677" t="s">
        <v>12</v>
      </c>
      <c r="Y79" s="642">
        <v>32.1</v>
      </c>
      <c r="Z79" s="677" t="s">
        <v>1060</v>
      </c>
      <c r="AA79" s="677" t="s">
        <v>22</v>
      </c>
      <c r="AB79" s="677" t="s">
        <v>11</v>
      </c>
      <c r="AC79" s="677">
        <v>19.600000000000001</v>
      </c>
      <c r="AD79" s="641"/>
      <c r="AG79" s="642"/>
      <c r="AL79" s="641"/>
      <c r="AO79" s="642"/>
      <c r="AP79" s="641"/>
      <c r="AS79" s="642"/>
      <c r="AW79" s="642"/>
      <c r="BA79" s="643"/>
    </row>
    <row r="80" spans="1:53" s="677" customFormat="1" x14ac:dyDescent="0.15">
      <c r="A80" s="677">
        <v>2011</v>
      </c>
      <c r="B80" s="502">
        <v>40685</v>
      </c>
      <c r="C80" s="812" t="s">
        <v>1067</v>
      </c>
      <c r="D80" s="812"/>
      <c r="E80" s="677">
        <v>75</v>
      </c>
      <c r="F80" s="501" t="s">
        <v>340</v>
      </c>
      <c r="G80" s="649">
        <v>3</v>
      </c>
      <c r="I80" s="677">
        <v>6</v>
      </c>
      <c r="J80" s="651">
        <v>12</v>
      </c>
      <c r="K80" s="647">
        <f t="shared" si="19"/>
        <v>25</v>
      </c>
      <c r="L80" s="647">
        <f t="shared" si="20"/>
        <v>0</v>
      </c>
      <c r="M80" s="647">
        <f t="shared" si="21"/>
        <v>50</v>
      </c>
      <c r="N80" s="650">
        <f>SUM(K80:M80)</f>
        <v>75</v>
      </c>
      <c r="O80" s="646">
        <v>16.100000000000001</v>
      </c>
      <c r="P80" s="647"/>
      <c r="Q80" s="647">
        <v>33.9</v>
      </c>
      <c r="R80" s="648">
        <f>SUM(O80:Q80)</f>
        <v>50</v>
      </c>
      <c r="S80" s="677">
        <v>1</v>
      </c>
      <c r="T80" s="487">
        <v>40685</v>
      </c>
      <c r="U80" s="671"/>
      <c r="V80" s="641" t="s">
        <v>1066</v>
      </c>
      <c r="W80" s="677" t="s">
        <v>114</v>
      </c>
      <c r="X80" s="677" t="s">
        <v>12</v>
      </c>
      <c r="Y80" s="642">
        <v>33.9</v>
      </c>
      <c r="Z80" s="677" t="s">
        <v>1060</v>
      </c>
      <c r="AA80" s="677" t="s">
        <v>22</v>
      </c>
      <c r="AB80" s="677" t="s">
        <v>11</v>
      </c>
      <c r="AC80" s="677">
        <v>16.100000000000001</v>
      </c>
      <c r="AD80" s="641"/>
      <c r="AG80" s="642"/>
      <c r="AL80" s="641"/>
      <c r="AO80" s="642"/>
      <c r="AP80" s="641"/>
      <c r="AS80" s="642"/>
      <c r="AW80" s="642"/>
      <c r="BA80" s="643"/>
    </row>
    <row r="81" spans="1:53" s="677" customFormat="1" x14ac:dyDescent="0.15">
      <c r="A81" s="677">
        <v>2011</v>
      </c>
      <c r="B81" s="502">
        <v>40760</v>
      </c>
      <c r="C81" s="812" t="s">
        <v>1067</v>
      </c>
      <c r="D81" s="812"/>
      <c r="E81" s="677">
        <v>149</v>
      </c>
      <c r="F81" s="501">
        <v>0</v>
      </c>
      <c r="G81" s="649"/>
      <c r="I81" s="677">
        <v>5</v>
      </c>
      <c r="J81" s="651">
        <v>12</v>
      </c>
      <c r="K81" s="647">
        <f t="shared" si="19"/>
        <v>0</v>
      </c>
      <c r="L81" s="647">
        <f t="shared" si="20"/>
        <v>0</v>
      </c>
      <c r="M81" s="647">
        <f t="shared" si="21"/>
        <v>41.666666666666671</v>
      </c>
      <c r="N81" s="650">
        <f t="shared" si="9"/>
        <v>41.666666666666671</v>
      </c>
      <c r="O81" s="646"/>
      <c r="P81" s="647"/>
      <c r="Q81" s="647">
        <v>33.9</v>
      </c>
      <c r="R81" s="648">
        <f t="shared" si="8"/>
        <v>33.9</v>
      </c>
      <c r="S81" s="677">
        <v>1</v>
      </c>
      <c r="T81" s="645"/>
      <c r="U81" s="671"/>
      <c r="V81" s="641" t="s">
        <v>1066</v>
      </c>
      <c r="W81" s="677" t="s">
        <v>114</v>
      </c>
      <c r="X81" s="677" t="s">
        <v>12</v>
      </c>
      <c r="Y81" s="642">
        <v>33.9</v>
      </c>
      <c r="AD81" s="641"/>
      <c r="AG81" s="642"/>
      <c r="AL81" s="641"/>
      <c r="AO81" s="642"/>
      <c r="AP81" s="641"/>
      <c r="AS81" s="642"/>
      <c r="AW81" s="642"/>
      <c r="BA81" s="643"/>
    </row>
    <row r="82" spans="1:53" s="677" customFormat="1" x14ac:dyDescent="0.15">
      <c r="A82" s="677">
        <v>2012</v>
      </c>
      <c r="B82" s="502"/>
      <c r="C82" s="812" t="s">
        <v>1067</v>
      </c>
      <c r="D82" s="812"/>
      <c r="E82" s="677">
        <v>82</v>
      </c>
      <c r="F82" s="501"/>
      <c r="G82" s="649"/>
      <c r="I82" s="677">
        <v>5</v>
      </c>
      <c r="J82" s="651">
        <v>12</v>
      </c>
      <c r="K82" s="647">
        <f t="shared" si="19"/>
        <v>0</v>
      </c>
      <c r="L82" s="647">
        <f t="shared" si="20"/>
        <v>0</v>
      </c>
      <c r="M82" s="647">
        <f t="shared" si="21"/>
        <v>41.666666666666671</v>
      </c>
      <c r="N82" s="650">
        <f t="shared" si="9"/>
        <v>41.666666666666671</v>
      </c>
      <c r="O82" s="646"/>
      <c r="P82" s="647"/>
      <c r="Q82" s="647">
        <v>33.9</v>
      </c>
      <c r="R82" s="648">
        <f t="shared" si="8"/>
        <v>33.9</v>
      </c>
      <c r="S82" s="677">
        <v>1</v>
      </c>
      <c r="T82" s="487"/>
      <c r="U82" s="671"/>
      <c r="V82" s="641" t="s">
        <v>1066</v>
      </c>
      <c r="W82" s="677" t="s">
        <v>114</v>
      </c>
      <c r="X82" s="677" t="s">
        <v>12</v>
      </c>
      <c r="Y82" s="642">
        <v>33.9</v>
      </c>
      <c r="AD82" s="641"/>
      <c r="AG82" s="642"/>
      <c r="AL82" s="641"/>
      <c r="AO82" s="642"/>
      <c r="AP82" s="641"/>
      <c r="AS82" s="642"/>
      <c r="AW82" s="642"/>
      <c r="BA82" s="643"/>
    </row>
    <row r="83" spans="1:53" s="677" customFormat="1" x14ac:dyDescent="0.15">
      <c r="A83" s="677">
        <v>2012</v>
      </c>
      <c r="B83" s="502">
        <v>40991</v>
      </c>
      <c r="C83" s="812" t="s">
        <v>1067</v>
      </c>
      <c r="D83" s="812"/>
      <c r="E83" s="677">
        <v>206</v>
      </c>
      <c r="F83" s="501">
        <v>0</v>
      </c>
      <c r="G83" s="649"/>
      <c r="I83" s="677">
        <v>4</v>
      </c>
      <c r="J83" s="651">
        <v>12</v>
      </c>
      <c r="K83" s="647">
        <f t="shared" si="19"/>
        <v>0</v>
      </c>
      <c r="L83" s="647">
        <f t="shared" si="20"/>
        <v>0</v>
      </c>
      <c r="M83" s="647">
        <f t="shared" si="21"/>
        <v>33.333333333333329</v>
      </c>
      <c r="N83" s="650">
        <f t="shared" si="9"/>
        <v>33.333333333333329</v>
      </c>
      <c r="O83" s="646"/>
      <c r="P83" s="647"/>
      <c r="Q83" s="647">
        <v>33.9</v>
      </c>
      <c r="R83" s="648">
        <f t="shared" si="8"/>
        <v>33.9</v>
      </c>
      <c r="S83" s="677">
        <v>1</v>
      </c>
      <c r="T83" s="487"/>
      <c r="U83" s="671"/>
      <c r="V83" s="641" t="s">
        <v>1066</v>
      </c>
      <c r="W83" s="677" t="s">
        <v>114</v>
      </c>
      <c r="X83" s="677" t="s">
        <v>12</v>
      </c>
      <c r="Y83" s="642">
        <v>33.9</v>
      </c>
      <c r="AD83" s="641"/>
      <c r="AG83" s="642"/>
      <c r="AL83" s="641"/>
      <c r="AO83" s="642"/>
      <c r="AP83" s="641"/>
      <c r="AS83" s="642"/>
      <c r="AW83" s="642"/>
      <c r="BA83" s="643"/>
    </row>
    <row r="84" spans="1:53" s="677" customFormat="1" x14ac:dyDescent="0.15">
      <c r="A84" s="677">
        <v>2012</v>
      </c>
      <c r="B84" s="502">
        <v>41197</v>
      </c>
      <c r="C84" s="812" t="s">
        <v>1067</v>
      </c>
      <c r="D84" s="812"/>
      <c r="E84" s="677">
        <v>78</v>
      </c>
      <c r="F84" s="501">
        <v>0</v>
      </c>
      <c r="G84" s="649"/>
      <c r="I84" s="677">
        <v>3</v>
      </c>
      <c r="J84" s="651">
        <v>12</v>
      </c>
      <c r="K84" s="647">
        <f t="shared" si="19"/>
        <v>0</v>
      </c>
      <c r="L84" s="647">
        <f t="shared" si="20"/>
        <v>0</v>
      </c>
      <c r="M84" s="647">
        <f t="shared" si="21"/>
        <v>25</v>
      </c>
      <c r="N84" s="650">
        <f t="shared" si="9"/>
        <v>25</v>
      </c>
      <c r="O84" s="646"/>
      <c r="P84" s="647"/>
      <c r="Q84" s="647">
        <v>33.9</v>
      </c>
      <c r="R84" s="648">
        <f t="shared" si="8"/>
        <v>33.9</v>
      </c>
      <c r="S84" s="677">
        <v>1</v>
      </c>
      <c r="T84" s="487"/>
      <c r="U84" s="671"/>
      <c r="V84" s="641" t="s">
        <v>1066</v>
      </c>
      <c r="W84" s="677" t="s">
        <v>114</v>
      </c>
      <c r="X84" s="677" t="s">
        <v>12</v>
      </c>
      <c r="Y84" s="642">
        <v>33.9</v>
      </c>
      <c r="AD84" s="641"/>
      <c r="AG84" s="642"/>
      <c r="AL84" s="641"/>
      <c r="AO84" s="642"/>
      <c r="AP84" s="641"/>
      <c r="AS84" s="642"/>
      <c r="AW84" s="642"/>
      <c r="BA84" s="643"/>
    </row>
    <row r="85" spans="1:53" s="677" customFormat="1" x14ac:dyDescent="0.15">
      <c r="A85" s="677">
        <v>2013</v>
      </c>
      <c r="B85" s="502"/>
      <c r="C85" s="812" t="s">
        <v>1067</v>
      </c>
      <c r="D85" s="812"/>
      <c r="E85" s="677">
        <v>58</v>
      </c>
      <c r="F85" s="501"/>
      <c r="G85" s="649"/>
      <c r="I85" s="677">
        <v>3</v>
      </c>
      <c r="J85" s="651">
        <v>12</v>
      </c>
      <c r="K85" s="647">
        <f t="shared" si="19"/>
        <v>0</v>
      </c>
      <c r="L85" s="647">
        <f t="shared" si="20"/>
        <v>0</v>
      </c>
      <c r="M85" s="647">
        <f t="shared" si="21"/>
        <v>25</v>
      </c>
      <c r="N85" s="650">
        <f t="shared" si="9"/>
        <v>25</v>
      </c>
      <c r="O85" s="646"/>
      <c r="P85" s="647"/>
      <c r="Q85" s="647">
        <v>33.9</v>
      </c>
      <c r="R85" s="648">
        <f t="shared" si="8"/>
        <v>33.9</v>
      </c>
      <c r="S85" s="677">
        <v>1</v>
      </c>
      <c r="T85" s="487"/>
      <c r="U85" s="671"/>
      <c r="V85" s="641" t="s">
        <v>1066</v>
      </c>
      <c r="W85" s="677" t="s">
        <v>114</v>
      </c>
      <c r="X85" s="677" t="s">
        <v>12</v>
      </c>
      <c r="Y85" s="642">
        <v>33.9</v>
      </c>
      <c r="AD85" s="641"/>
      <c r="AG85" s="642"/>
      <c r="AL85" s="641"/>
      <c r="AO85" s="642"/>
      <c r="AP85" s="641"/>
      <c r="AS85" s="642"/>
      <c r="AW85" s="642"/>
      <c r="BA85" s="643"/>
    </row>
    <row r="86" spans="1:53" s="676" customFormat="1" x14ac:dyDescent="0.15">
      <c r="A86" s="676">
        <v>2013</v>
      </c>
      <c r="B86" s="670">
        <v>41333</v>
      </c>
      <c r="C86" s="811" t="s">
        <v>1271</v>
      </c>
      <c r="D86" s="811"/>
      <c r="E86" s="676">
        <v>34</v>
      </c>
      <c r="F86" s="676">
        <v>1</v>
      </c>
      <c r="G86" s="600">
        <v>11</v>
      </c>
      <c r="J86" s="602">
        <v>12</v>
      </c>
      <c r="K86" s="597">
        <f>G86/J86*100</f>
        <v>91.666666666666657</v>
      </c>
      <c r="L86" s="597">
        <f>H86/J86*100</f>
        <v>0</v>
      </c>
      <c r="M86" s="597">
        <f>I86/J86*100</f>
        <v>0</v>
      </c>
      <c r="N86" s="601">
        <f t="shared" si="9"/>
        <v>91.666666666666657</v>
      </c>
      <c r="O86" s="596">
        <v>53.6</v>
      </c>
      <c r="P86" s="597"/>
      <c r="Q86" s="597"/>
      <c r="R86" s="598">
        <f t="shared" si="8"/>
        <v>53.6</v>
      </c>
      <c r="S86" s="676">
        <v>1</v>
      </c>
      <c r="T86" s="599"/>
      <c r="U86" s="670">
        <v>41333</v>
      </c>
      <c r="V86" s="592" t="s">
        <v>1059</v>
      </c>
      <c r="W86" s="676" t="s">
        <v>74</v>
      </c>
      <c r="X86" s="676" t="s">
        <v>11</v>
      </c>
      <c r="Y86" s="593">
        <v>35.700000000000003</v>
      </c>
      <c r="Z86" s="676" t="s">
        <v>1060</v>
      </c>
      <c r="AA86" s="676" t="s">
        <v>22</v>
      </c>
      <c r="AB86" s="676" t="s">
        <v>11</v>
      </c>
      <c r="AC86" s="676">
        <v>14.3</v>
      </c>
      <c r="AD86" s="592" t="s">
        <v>1272</v>
      </c>
      <c r="AE86" s="676" t="s">
        <v>107</v>
      </c>
      <c r="AF86" s="676" t="s">
        <v>11</v>
      </c>
      <c r="AG86" s="593">
        <v>3.6</v>
      </c>
      <c r="AL86" s="592"/>
      <c r="AO86" s="593"/>
      <c r="AP86" s="592"/>
      <c r="AS86" s="593"/>
      <c r="AW86" s="593"/>
      <c r="BA86" s="594"/>
    </row>
    <row r="87" spans="1:53" s="676" customFormat="1" x14ac:dyDescent="0.15">
      <c r="A87" s="676">
        <v>2013</v>
      </c>
      <c r="B87" s="603">
        <v>41367</v>
      </c>
      <c r="C87" s="811" t="s">
        <v>1271</v>
      </c>
      <c r="D87" s="811"/>
      <c r="E87" s="676">
        <f>365-E86-E85</f>
        <v>273</v>
      </c>
      <c r="F87" s="604">
        <v>0</v>
      </c>
      <c r="G87" s="600">
        <v>12</v>
      </c>
      <c r="J87" s="602">
        <v>12</v>
      </c>
      <c r="K87" s="597">
        <f>G87/J87*100</f>
        <v>100</v>
      </c>
      <c r="L87" s="597">
        <f>H87/J87*100</f>
        <v>0</v>
      </c>
      <c r="M87" s="597">
        <f>I87/J87*100</f>
        <v>0</v>
      </c>
      <c r="N87" s="601">
        <f t="shared" si="9"/>
        <v>100</v>
      </c>
      <c r="O87" s="596">
        <v>53.6</v>
      </c>
      <c r="P87" s="597"/>
      <c r="Q87" s="597"/>
      <c r="R87" s="598">
        <f>SUM(O87:Q87)</f>
        <v>53.6</v>
      </c>
      <c r="S87" s="676">
        <v>1</v>
      </c>
      <c r="T87" s="599"/>
      <c r="U87" s="670"/>
      <c r="V87" s="592" t="s">
        <v>1059</v>
      </c>
      <c r="W87" s="676" t="s">
        <v>74</v>
      </c>
      <c r="X87" s="676" t="s">
        <v>11</v>
      </c>
      <c r="Y87" s="593">
        <v>35.700000000000003</v>
      </c>
      <c r="Z87" s="676" t="s">
        <v>1060</v>
      </c>
      <c r="AA87" s="676" t="s">
        <v>22</v>
      </c>
      <c r="AB87" s="676" t="s">
        <v>11</v>
      </c>
      <c r="AC87" s="676">
        <v>14.3</v>
      </c>
      <c r="AD87" s="592" t="s">
        <v>1272</v>
      </c>
      <c r="AE87" s="676" t="s">
        <v>107</v>
      </c>
      <c r="AF87" s="676" t="s">
        <v>11</v>
      </c>
      <c r="AG87" s="593">
        <v>3.6</v>
      </c>
      <c r="AL87" s="592"/>
      <c r="AO87" s="593"/>
      <c r="AP87" s="592"/>
      <c r="AS87" s="593"/>
      <c r="AW87" s="593"/>
      <c r="BA87" s="594"/>
    </row>
    <row r="88" spans="1:53" s="676" customFormat="1" x14ac:dyDescent="0.15">
      <c r="A88" s="676">
        <v>2014</v>
      </c>
      <c r="B88" s="603"/>
      <c r="C88" s="811" t="s">
        <v>1271</v>
      </c>
      <c r="D88" s="811"/>
      <c r="E88" s="676">
        <v>61</v>
      </c>
      <c r="F88" s="604"/>
      <c r="G88" s="600">
        <v>12</v>
      </c>
      <c r="J88" s="602">
        <v>12</v>
      </c>
      <c r="K88" s="597">
        <f>G88/J88*100</f>
        <v>100</v>
      </c>
      <c r="L88" s="597">
        <f>H88/J88*100</f>
        <v>0</v>
      </c>
      <c r="M88" s="597">
        <f>I88/J88*100</f>
        <v>0</v>
      </c>
      <c r="N88" s="601">
        <f>SUM(K88:M88)</f>
        <v>100</v>
      </c>
      <c r="O88" s="596">
        <v>53.6</v>
      </c>
      <c r="P88" s="597"/>
      <c r="Q88" s="597"/>
      <c r="R88" s="598">
        <f>SUM(O88:Q88)</f>
        <v>53.6</v>
      </c>
      <c r="S88" s="676">
        <v>1</v>
      </c>
      <c r="T88" s="599"/>
      <c r="U88" s="670"/>
      <c r="V88" s="592" t="s">
        <v>1059</v>
      </c>
      <c r="W88" s="676" t="s">
        <v>74</v>
      </c>
      <c r="X88" s="676" t="s">
        <v>11</v>
      </c>
      <c r="Y88" s="593">
        <v>35.700000000000003</v>
      </c>
      <c r="Z88" s="676" t="s">
        <v>1060</v>
      </c>
      <c r="AA88" s="676" t="s">
        <v>22</v>
      </c>
      <c r="AB88" s="676" t="s">
        <v>11</v>
      </c>
      <c r="AC88" s="676">
        <v>14.3</v>
      </c>
      <c r="AD88" s="592" t="s">
        <v>1272</v>
      </c>
      <c r="AE88" s="676" t="s">
        <v>107</v>
      </c>
      <c r="AF88" s="676" t="s">
        <v>11</v>
      </c>
      <c r="AG88" s="593">
        <v>3.6</v>
      </c>
      <c r="AL88" s="592"/>
      <c r="AO88" s="593"/>
      <c r="AP88" s="592"/>
      <c r="AS88" s="593"/>
      <c r="AW88" s="593"/>
      <c r="BA88" s="594"/>
    </row>
    <row r="89" spans="1:53" s="676" customFormat="1" x14ac:dyDescent="0.15">
      <c r="A89" s="676">
        <v>2014</v>
      </c>
      <c r="B89" s="603">
        <v>41701</v>
      </c>
      <c r="C89" s="811" t="s">
        <v>1271</v>
      </c>
      <c r="D89" s="811"/>
      <c r="E89" s="676">
        <v>11</v>
      </c>
      <c r="F89" s="604">
        <v>0</v>
      </c>
      <c r="G89" s="600">
        <v>11</v>
      </c>
      <c r="J89" s="602">
        <v>12</v>
      </c>
      <c r="K89" s="597">
        <f>G89/J89*100</f>
        <v>91.666666666666657</v>
      </c>
      <c r="L89" s="597">
        <f>H89/J89*100</f>
        <v>0</v>
      </c>
      <c r="M89" s="597">
        <f>I89/J89*100</f>
        <v>0</v>
      </c>
      <c r="N89" s="601">
        <f>SUM(K89:M89)</f>
        <v>91.666666666666657</v>
      </c>
      <c r="O89" s="596">
        <v>53.6</v>
      </c>
      <c r="P89" s="597"/>
      <c r="Q89" s="597"/>
      <c r="R89" s="598">
        <f>SUM(O89:Q89)</f>
        <v>53.6</v>
      </c>
      <c r="S89" s="676">
        <v>1</v>
      </c>
      <c r="T89" s="599"/>
      <c r="U89" s="670"/>
      <c r="V89" s="592" t="s">
        <v>1059</v>
      </c>
      <c r="W89" s="676" t="s">
        <v>74</v>
      </c>
      <c r="X89" s="676" t="s">
        <v>11</v>
      </c>
      <c r="Y89" s="593">
        <v>35.700000000000003</v>
      </c>
      <c r="Z89" s="676" t="s">
        <v>1060</v>
      </c>
      <c r="AA89" s="676" t="s">
        <v>22</v>
      </c>
      <c r="AB89" s="676" t="s">
        <v>11</v>
      </c>
      <c r="AC89" s="676">
        <v>14.3</v>
      </c>
      <c r="AD89" s="592" t="s">
        <v>1272</v>
      </c>
      <c r="AE89" s="676" t="s">
        <v>107</v>
      </c>
      <c r="AF89" s="676" t="s">
        <v>11</v>
      </c>
      <c r="AG89" s="593">
        <v>3.6</v>
      </c>
      <c r="AL89" s="592"/>
      <c r="AO89" s="593"/>
      <c r="AP89" s="592"/>
      <c r="AS89" s="593"/>
      <c r="AW89" s="593"/>
      <c r="BA89" s="594"/>
    </row>
    <row r="90" spans="1:53" s="676" customFormat="1" ht="9.75" customHeight="1" x14ac:dyDescent="0.15">
      <c r="A90" s="676">
        <v>2014</v>
      </c>
      <c r="B90" s="603">
        <v>41712</v>
      </c>
      <c r="C90" s="811" t="s">
        <v>1271</v>
      </c>
      <c r="D90" s="811"/>
      <c r="E90" s="676">
        <v>293</v>
      </c>
      <c r="F90" s="604">
        <v>0</v>
      </c>
      <c r="G90" s="600">
        <v>8</v>
      </c>
      <c r="J90" s="602">
        <v>12</v>
      </c>
      <c r="K90" s="597">
        <f>G90/J90*100</f>
        <v>66.666666666666657</v>
      </c>
      <c r="L90" s="597">
        <f>H90/J90*100</f>
        <v>0</v>
      </c>
      <c r="M90" s="597">
        <f>I90/J90*100</f>
        <v>0</v>
      </c>
      <c r="N90" s="601">
        <f>SUM(K90:M90)</f>
        <v>66.666666666666657</v>
      </c>
      <c r="O90" s="596">
        <v>37.5</v>
      </c>
      <c r="P90" s="597"/>
      <c r="Q90" s="597"/>
      <c r="R90" s="598">
        <f>SUM(O90:Q90)</f>
        <v>37.5</v>
      </c>
      <c r="S90" s="676">
        <v>1</v>
      </c>
      <c r="T90" s="599"/>
      <c r="U90" s="670">
        <v>41712</v>
      </c>
      <c r="V90" s="592" t="s">
        <v>1059</v>
      </c>
      <c r="W90" s="676" t="s">
        <v>74</v>
      </c>
      <c r="X90" s="676" t="s">
        <v>11</v>
      </c>
      <c r="Y90" s="593">
        <v>35.700000000000003</v>
      </c>
      <c r="Z90" s="676" t="s">
        <v>1272</v>
      </c>
      <c r="AA90" s="676" t="s">
        <v>107</v>
      </c>
      <c r="AB90" s="676" t="s">
        <v>11</v>
      </c>
      <c r="AC90" s="676">
        <v>1.8</v>
      </c>
      <c r="AD90" s="592"/>
      <c r="AG90" s="593"/>
      <c r="AL90" s="592"/>
      <c r="AO90" s="593"/>
      <c r="AP90" s="592"/>
      <c r="AS90" s="593"/>
      <c r="AW90" s="593"/>
      <c r="BA90" s="594"/>
    </row>
    <row r="91" spans="1:53" s="709" customFormat="1" ht="9.75" customHeight="1" x14ac:dyDescent="0.15">
      <c r="A91" s="709">
        <v>2015</v>
      </c>
      <c r="B91" s="603"/>
      <c r="C91" s="811" t="s">
        <v>1271</v>
      </c>
      <c r="D91" s="811"/>
      <c r="E91" s="709">
        <v>0</v>
      </c>
      <c r="F91" s="604"/>
      <c r="G91" s="600">
        <v>9</v>
      </c>
      <c r="J91" s="602">
        <v>12</v>
      </c>
      <c r="K91" s="597">
        <f t="shared" ref="K91" si="22">G91/J91*100</f>
        <v>75</v>
      </c>
      <c r="L91" s="597">
        <f t="shared" ref="L91:L92" si="23">H91/J91*100</f>
        <v>0</v>
      </c>
      <c r="M91" s="597">
        <f t="shared" ref="M91:M92" si="24">I91/J91*100</f>
        <v>0</v>
      </c>
      <c r="N91" s="601">
        <f t="shared" ref="N91:N92" si="25">SUM(K91:M91)</f>
        <v>75</v>
      </c>
      <c r="O91" s="596">
        <v>37.5</v>
      </c>
      <c r="P91" s="597"/>
      <c r="Q91" s="597"/>
      <c r="R91" s="598">
        <f t="shared" ref="R91:R92" si="26">SUM(O91:Q91)</f>
        <v>37.5</v>
      </c>
      <c r="S91" s="709">
        <v>1</v>
      </c>
      <c r="T91" s="599"/>
      <c r="U91" s="705"/>
      <c r="V91" s="592" t="s">
        <v>1059</v>
      </c>
      <c r="W91" s="709" t="s">
        <v>74</v>
      </c>
      <c r="X91" s="709" t="s">
        <v>11</v>
      </c>
      <c r="Y91" s="593">
        <v>35.700000000000003</v>
      </c>
      <c r="Z91" s="709" t="s">
        <v>1272</v>
      </c>
      <c r="AA91" s="709" t="s">
        <v>107</v>
      </c>
      <c r="AB91" s="709" t="s">
        <v>11</v>
      </c>
      <c r="AC91" s="709">
        <v>1.8</v>
      </c>
      <c r="AD91" s="592"/>
      <c r="AG91" s="593"/>
      <c r="AL91" s="592"/>
      <c r="AO91" s="593"/>
      <c r="AP91" s="592"/>
      <c r="AS91" s="593"/>
      <c r="AW91" s="593"/>
      <c r="BA91" s="594"/>
    </row>
    <row r="92" spans="1:53" s="709" customFormat="1" ht="9.75" customHeight="1" x14ac:dyDescent="0.15">
      <c r="A92" s="709">
        <v>2015</v>
      </c>
      <c r="B92" s="603"/>
      <c r="C92" s="811" t="s">
        <v>1271</v>
      </c>
      <c r="D92" s="811"/>
      <c r="E92" s="709">
        <v>365</v>
      </c>
      <c r="F92" s="604"/>
      <c r="G92" s="600">
        <v>9</v>
      </c>
      <c r="J92" s="602">
        <v>12</v>
      </c>
      <c r="K92" s="597">
        <f>G92/J92*100</f>
        <v>75</v>
      </c>
      <c r="L92" s="597">
        <f t="shared" si="23"/>
        <v>0</v>
      </c>
      <c r="M92" s="597">
        <f t="shared" si="24"/>
        <v>0</v>
      </c>
      <c r="N92" s="601">
        <f t="shared" si="25"/>
        <v>75</v>
      </c>
      <c r="O92" s="596">
        <v>37.5</v>
      </c>
      <c r="P92" s="597"/>
      <c r="Q92" s="597"/>
      <c r="R92" s="598">
        <f t="shared" si="26"/>
        <v>37.5</v>
      </c>
      <c r="S92" s="709">
        <v>1</v>
      </c>
      <c r="T92" s="599"/>
      <c r="U92" s="705"/>
      <c r="V92" s="592" t="s">
        <v>1059</v>
      </c>
      <c r="W92" s="709" t="s">
        <v>74</v>
      </c>
      <c r="X92" s="709" t="s">
        <v>11</v>
      </c>
      <c r="Y92" s="593">
        <v>35.700000000000003</v>
      </c>
      <c r="Z92" s="709" t="s">
        <v>1272</v>
      </c>
      <c r="AA92" s="709" t="s">
        <v>107</v>
      </c>
      <c r="AB92" s="709" t="s">
        <v>11</v>
      </c>
      <c r="AC92" s="709">
        <v>1.8</v>
      </c>
      <c r="AD92" s="592"/>
      <c r="AG92" s="593"/>
      <c r="AL92" s="592"/>
      <c r="AO92" s="593"/>
      <c r="AP92" s="592"/>
      <c r="AS92" s="593"/>
      <c r="AW92" s="593"/>
      <c r="BA92" s="594"/>
    </row>
    <row r="94" spans="1:53" x14ac:dyDescent="0.15">
      <c r="B94" s="2"/>
      <c r="C94" s="2"/>
      <c r="D94" s="2"/>
      <c r="E94" s="2"/>
      <c r="F94" s="2"/>
      <c r="G94" s="2"/>
      <c r="H94" s="2"/>
      <c r="I94" s="2"/>
      <c r="J94" s="2"/>
      <c r="K94" s="2"/>
      <c r="L94" s="2"/>
      <c r="M94" s="2"/>
      <c r="N94" s="2"/>
    </row>
    <row r="95" spans="1:53" s="2" customFormat="1" ht="18" customHeight="1" x14ac:dyDescent="0.2">
      <c r="B95" s="22" t="s">
        <v>1284</v>
      </c>
    </row>
    <row r="96" spans="1:53" s="2" customFormat="1" ht="9" customHeight="1" x14ac:dyDescent="0.15"/>
    <row r="97" spans="1:30" s="364" customFormat="1" ht="9" customHeight="1" x14ac:dyDescent="0.15">
      <c r="A97" s="362"/>
      <c r="B97" s="363" t="s">
        <v>1235</v>
      </c>
      <c r="C97" s="363"/>
      <c r="D97" s="363"/>
      <c r="E97" s="363"/>
      <c r="F97" s="363"/>
      <c r="G97" s="363" t="s">
        <v>1236</v>
      </c>
      <c r="H97" s="363"/>
      <c r="I97" s="363"/>
      <c r="J97" s="363"/>
      <c r="K97" s="363"/>
      <c r="L97" s="363"/>
      <c r="M97" s="363"/>
      <c r="N97" s="363"/>
      <c r="R97" s="802" t="s">
        <v>1237</v>
      </c>
      <c r="S97" s="802"/>
      <c r="T97" s="802"/>
      <c r="U97" s="802"/>
      <c r="V97" s="802"/>
      <c r="W97" s="802"/>
      <c r="X97" s="365"/>
      <c r="Y97" s="365"/>
      <c r="AA97" s="365"/>
      <c r="AB97" s="365"/>
      <c r="AC97" s="365"/>
      <c r="AD97" s="365"/>
    </row>
    <row r="98" spans="1:30" s="369" customFormat="1" ht="9" customHeight="1" x14ac:dyDescent="0.15">
      <c r="A98" s="366"/>
      <c r="B98" s="367" t="s">
        <v>1239</v>
      </c>
      <c r="C98" s="368"/>
      <c r="D98" s="368"/>
      <c r="E98" s="368"/>
      <c r="F98" s="368"/>
      <c r="G98" s="367" t="s">
        <v>1238</v>
      </c>
      <c r="H98" s="368"/>
      <c r="I98" s="368"/>
      <c r="J98" s="368"/>
      <c r="K98" s="368"/>
      <c r="L98" s="368"/>
      <c r="M98" s="368"/>
      <c r="N98" s="368"/>
      <c r="R98" s="370" t="s">
        <v>1240</v>
      </c>
      <c r="S98" s="371"/>
      <c r="T98" s="372"/>
      <c r="U98" s="372"/>
      <c r="V98" s="372"/>
      <c r="W98" s="370" t="s">
        <v>1241</v>
      </c>
      <c r="X98" s="372"/>
      <c r="Y98" s="372"/>
      <c r="AA98" s="372"/>
      <c r="AB98" s="372"/>
      <c r="AC98" s="372"/>
      <c r="AD98" s="372"/>
    </row>
    <row r="99" spans="1:30" s="351" customFormat="1" ht="12" customHeight="1" x14ac:dyDescent="0.15">
      <c r="A99" s="373" t="s">
        <v>3</v>
      </c>
      <c r="B99" s="374" t="s">
        <v>8</v>
      </c>
      <c r="C99" s="374" t="s">
        <v>9</v>
      </c>
      <c r="D99" s="374" t="s">
        <v>10</v>
      </c>
      <c r="E99" s="375" t="s">
        <v>1215</v>
      </c>
      <c r="F99" s="374"/>
      <c r="G99" s="351" t="s">
        <v>3</v>
      </c>
      <c r="H99" s="803" t="s">
        <v>0</v>
      </c>
      <c r="I99" s="803"/>
      <c r="J99" s="803" t="s">
        <v>1</v>
      </c>
      <c r="K99" s="803"/>
      <c r="L99" s="803" t="s">
        <v>2</v>
      </c>
      <c r="M99" s="803"/>
      <c r="N99" s="804" t="s">
        <v>1215</v>
      </c>
      <c r="O99" s="804"/>
      <c r="P99" s="376"/>
      <c r="Q99" s="376"/>
      <c r="R99" s="377" t="s">
        <v>3</v>
      </c>
      <c r="S99" s="378" t="s">
        <v>136</v>
      </c>
      <c r="T99" s="376" t="s">
        <v>134</v>
      </c>
      <c r="U99" s="374" t="s">
        <v>135</v>
      </c>
      <c r="V99" s="376"/>
      <c r="W99" s="379" t="s">
        <v>26</v>
      </c>
    </row>
    <row r="100" spans="1:30" s="681" customFormat="1" ht="9" customHeight="1" x14ac:dyDescent="0.15">
      <c r="A100" s="681">
        <v>1978</v>
      </c>
      <c r="B100" s="674">
        <f>(K9*($E9/365))</f>
        <v>44.682440846824399</v>
      </c>
      <c r="C100" s="674">
        <f>(L9*($E9/365))</f>
        <v>0</v>
      </c>
      <c r="D100" s="674">
        <f>(M9*($E9/365))</f>
        <v>14.89414694894147</v>
      </c>
      <c r="E100" s="675">
        <f t="shared" ref="E100:E111" si="27">SUM(B100:D100)</f>
        <v>59.576587795765867</v>
      </c>
      <c r="G100" s="681">
        <v>1978</v>
      </c>
      <c r="H100" s="809">
        <f>(O9/$R9*100*($E9/365))</f>
        <v>68.838494301830309</v>
      </c>
      <c r="I100" s="809"/>
      <c r="J100" s="809">
        <f>(P9/$R9*100*($E9/365))</f>
        <v>0</v>
      </c>
      <c r="K100" s="809"/>
      <c r="L100" s="809">
        <f>(Q9/$R9*100*($E9/365))</f>
        <v>13.079313917347759</v>
      </c>
      <c r="M100" s="809"/>
      <c r="N100" s="781">
        <f>H100+J100+L100</f>
        <v>81.91780821917807</v>
      </c>
      <c r="O100" s="781"/>
      <c r="R100" s="681">
        <v>1978</v>
      </c>
      <c r="S100" s="674">
        <f>(O9*($E9/365))</f>
        <v>49.150684931506845</v>
      </c>
      <c r="T100" s="674">
        <f>(P9*($E9/365))</f>
        <v>0</v>
      </c>
      <c r="U100" s="674">
        <f>(Q9*($E9/365))</f>
        <v>9.3386301369863016</v>
      </c>
      <c r="W100" s="679">
        <f t="shared" ref="W100:W111" si="28">SUM(S100:U100)</f>
        <v>58.489315068493148</v>
      </c>
      <c r="Y100" s="71" t="s">
        <v>1332</v>
      </c>
    </row>
    <row r="101" spans="1:30" s="681" customFormat="1" ht="9" customHeight="1" x14ac:dyDescent="0.15">
      <c r="A101" s="681">
        <v>1979</v>
      </c>
      <c r="B101" s="674">
        <f>(K10*($E10/365))+(K11*($E11/365))</f>
        <v>56.064757160647567</v>
      </c>
      <c r="C101" s="674">
        <f>(L10*($E10/365))+(L11*($E11/365))</f>
        <v>0</v>
      </c>
      <c r="D101" s="674">
        <f>(M10*($E10/365))+(M11*($E11/365))</f>
        <v>18.181818181818183</v>
      </c>
      <c r="E101" s="675">
        <f t="shared" si="27"/>
        <v>74.246575342465746</v>
      </c>
      <c r="G101" s="681">
        <v>1979</v>
      </c>
      <c r="H101" s="809">
        <f>(O10/$R10*100*($E10/365))+(O11/$R11*100*($E11/365))</f>
        <v>84.033613445378137</v>
      </c>
      <c r="I101" s="809"/>
      <c r="J101" s="809">
        <f>(P10/$R10*100*($E10/365))+(P11/$R11*100*($E11/365))</f>
        <v>0</v>
      </c>
      <c r="K101" s="809"/>
      <c r="L101" s="809">
        <f>(Q10/$R10*100*($E10/365))+(Q11/$R11*100*($E11/365))</f>
        <v>15.966386554621847</v>
      </c>
      <c r="M101" s="809"/>
      <c r="N101" s="781">
        <f t="shared" ref="N101:N136" si="29">H101+J101+L101</f>
        <v>99.999999999999986</v>
      </c>
      <c r="O101" s="781"/>
      <c r="R101" s="681">
        <v>1979</v>
      </c>
      <c r="S101" s="674">
        <f>(O10*($E10/365))+(O11*($E11/365))</f>
        <v>60</v>
      </c>
      <c r="T101" s="674">
        <f>(P10*($E10/365))+(P11*($E11/365))</f>
        <v>0</v>
      </c>
      <c r="U101" s="674">
        <f>(Q10*($E10/365))+(Q11*($E11/365))</f>
        <v>11.4</v>
      </c>
      <c r="W101" s="679">
        <f t="shared" si="28"/>
        <v>71.400000000000006</v>
      </c>
    </row>
    <row r="102" spans="1:30" s="681" customFormat="1" ht="9" customHeight="1" x14ac:dyDescent="0.15">
      <c r="A102" s="681">
        <v>1980</v>
      </c>
      <c r="B102" s="674">
        <f>(K12*($E12/366))+(K13*($E13/366))+(K14*($E14/366))</f>
        <v>69.200198708395433</v>
      </c>
      <c r="C102" s="674">
        <f>(L12*($E12/366))+(L13*($E13/366))+(L14*($E14/366))</f>
        <v>0</v>
      </c>
      <c r="D102" s="674">
        <f>(M12*($E12/366))+(M13*($E13/366))+(M14*($E14/366))</f>
        <v>12.617983109786389</v>
      </c>
      <c r="E102" s="675">
        <f t="shared" si="27"/>
        <v>81.818181818181827</v>
      </c>
      <c r="G102" s="681">
        <v>1980</v>
      </c>
      <c r="H102" s="809">
        <f>(O12/$R12*100*($E12/366))+(O13/$R13*100*($E13/366))+(O14/$R14*100*($E14/366))</f>
        <v>88.875878220140507</v>
      </c>
      <c r="I102" s="809"/>
      <c r="J102" s="809">
        <f>(P12/$R12*100*($E12/366))+(P13/$R13*100*($E13/366))+(P14/$R14*100*($E14/366))</f>
        <v>0</v>
      </c>
      <c r="K102" s="809"/>
      <c r="L102" s="809">
        <f>(Q12/$R12*100*($E12/366))+(Q13/$R13*100*($E13/366))+(Q14/$R14*100*($E14/366))</f>
        <v>11.124121779859482</v>
      </c>
      <c r="M102" s="809"/>
      <c r="N102" s="781">
        <f t="shared" si="29"/>
        <v>99.999999999999986</v>
      </c>
      <c r="O102" s="781"/>
      <c r="R102" s="681">
        <v>1980</v>
      </c>
      <c r="S102" s="674">
        <f>(O12*($E12/366))+(O13*($E13/366))+(O14*($E14/366))</f>
        <v>60</v>
      </c>
      <c r="T102" s="674">
        <f>(P12*($E12/366))+(P13*($E13/366))+(P14*($E14/366))</f>
        <v>0</v>
      </c>
      <c r="U102" s="674">
        <f>(Q12*($E12/366))+(Q13*($E13/366))+(Q14*($E14/366))</f>
        <v>7.942622950819672</v>
      </c>
      <c r="W102" s="679">
        <f t="shared" si="28"/>
        <v>67.942622950819668</v>
      </c>
    </row>
    <row r="103" spans="1:30" s="681" customFormat="1" ht="9" customHeight="1" x14ac:dyDescent="0.15">
      <c r="A103" s="681">
        <v>1981</v>
      </c>
      <c r="B103" s="674">
        <f>(K15*($E15/365))+(K16*($E16/365))</f>
        <v>9.0909090909090917</v>
      </c>
      <c r="C103" s="674">
        <f>(L15*($E15/365))+(L16*($E16/365))</f>
        <v>0</v>
      </c>
      <c r="D103" s="674">
        <f>(M15*($E15/365))+(M16*($E16/365))</f>
        <v>0</v>
      </c>
      <c r="E103" s="675">
        <f t="shared" si="27"/>
        <v>9.0909090909090917</v>
      </c>
      <c r="G103" s="681">
        <v>1981</v>
      </c>
      <c r="H103" s="809">
        <f>(O15/$R15*100*($E15/365))+(O16/$R16*100*($E16/365))</f>
        <v>100</v>
      </c>
      <c r="I103" s="809"/>
      <c r="J103" s="809">
        <f>(P15/$R15*100*($E15/365))+(P16/$R16*100*($E16/365))</f>
        <v>0</v>
      </c>
      <c r="K103" s="809"/>
      <c r="L103" s="809">
        <f>(Q15/$R15*100*($E15/365))+(Q16/$R16*100*($E16/365))</f>
        <v>0</v>
      </c>
      <c r="M103" s="809"/>
      <c r="N103" s="781">
        <f t="shared" si="29"/>
        <v>100</v>
      </c>
      <c r="O103" s="781"/>
      <c r="R103" s="681">
        <v>1981</v>
      </c>
      <c r="S103" s="674">
        <f>(O15*($E15/365))+(O16*($E16/365))</f>
        <v>37.435068493150688</v>
      </c>
      <c r="T103" s="674">
        <f>(P15*($E15/365))+(P16*($E16/365))</f>
        <v>0</v>
      </c>
      <c r="U103" s="674">
        <f>(Q15*($E15/365))+(Q16*($E16/365))</f>
        <v>0</v>
      </c>
      <c r="W103" s="679">
        <f t="shared" si="28"/>
        <v>37.435068493150688</v>
      </c>
      <c r="Y103" s="71"/>
    </row>
    <row r="104" spans="1:30" s="681" customFormat="1" ht="9" customHeight="1" x14ac:dyDescent="0.15">
      <c r="A104" s="681">
        <v>1982</v>
      </c>
      <c r="B104" s="674">
        <f>(K17*($E17/365))+(K18*($E18/365))</f>
        <v>47.34744707347447</v>
      </c>
      <c r="C104" s="674">
        <f>(L17*($E17/365))+(L18*($E18/365))</f>
        <v>0</v>
      </c>
      <c r="D104" s="674">
        <f>(M17*($E17/365))+(M18*($E18/365))</f>
        <v>0</v>
      </c>
      <c r="E104" s="675">
        <f t="shared" si="27"/>
        <v>47.34744707347447</v>
      </c>
      <c r="G104" s="681">
        <v>1982</v>
      </c>
      <c r="H104" s="809">
        <f>(O17/$R17*100*($E17/365))+(O18/$R18*100*($E18/365))</f>
        <v>100</v>
      </c>
      <c r="I104" s="809"/>
      <c r="J104" s="809">
        <f>(P17/$R17*100*($E17/365))+(P18/$R18*100*($E18/365))</f>
        <v>0</v>
      </c>
      <c r="K104" s="809"/>
      <c r="L104" s="809">
        <f>(Q17/$R17*100*($E17/365))+(Q18/$R18*100*($E18/365))</f>
        <v>0</v>
      </c>
      <c r="M104" s="809"/>
      <c r="N104" s="781">
        <f t="shared" si="29"/>
        <v>100</v>
      </c>
      <c r="O104" s="781"/>
      <c r="R104" s="681">
        <v>1982</v>
      </c>
      <c r="S104" s="674">
        <f>(O17*($E17/365))+(O18*($E18/365))</f>
        <v>22.9</v>
      </c>
      <c r="T104" s="674">
        <f>(P17*($E17/365))+(P18*($E18/365))</f>
        <v>0</v>
      </c>
      <c r="U104" s="674">
        <f>(Q17*($E17/365))+(Q18*($E18/365))</f>
        <v>0</v>
      </c>
      <c r="W104" s="679">
        <f t="shared" si="28"/>
        <v>22.9</v>
      </c>
    </row>
    <row r="105" spans="1:30" s="681" customFormat="1" ht="9" customHeight="1" x14ac:dyDescent="0.15">
      <c r="A105" s="681">
        <v>1983</v>
      </c>
      <c r="B105" s="674">
        <f>(K19*($E19/365))+(K20*($E20/365))+(K21*($E21/365))</f>
        <v>61.120797011207969</v>
      </c>
      <c r="C105" s="674">
        <f>(L19*($E19/365))+(L20*($E20/365))+(L21*($E21/365))</f>
        <v>0</v>
      </c>
      <c r="D105" s="674">
        <f>(M19*($E19/365))+(M20*($E20/365))+(M21*($E21/365))</f>
        <v>0</v>
      </c>
      <c r="E105" s="675">
        <f t="shared" si="27"/>
        <v>61.120797011207969</v>
      </c>
      <c r="G105" s="681">
        <v>1983</v>
      </c>
      <c r="H105" s="809">
        <f>(O19/$R19*100*($E19/365))+(O20/$R20*100*($E20/365))+(O21/$R21*100*($E21/365))</f>
        <v>100</v>
      </c>
      <c r="I105" s="809"/>
      <c r="J105" s="809">
        <f>(P19/$R19*100*($E19/365))+(P20/$R20*100*($E20/365))+(P21/$R21*100*($E21/365))</f>
        <v>0</v>
      </c>
      <c r="K105" s="809"/>
      <c r="L105" s="809">
        <f>(Q19/$R19*100*($E19/365))+(Q20/$R20*100*($E20/365))+(Q21/$R21*100*($E21/365))</f>
        <v>0</v>
      </c>
      <c r="M105" s="809"/>
      <c r="N105" s="781">
        <f t="shared" si="29"/>
        <v>100</v>
      </c>
      <c r="O105" s="781"/>
      <c r="R105" s="681">
        <v>1983</v>
      </c>
      <c r="S105" s="674">
        <f>(O19*($E19/365))+(O20*($E20/365))+(O21*($E21/365))</f>
        <v>22.9</v>
      </c>
      <c r="T105" s="674">
        <f>(P19*($E19/365))+(P20*($E20/365))+(P21*($E21/365))</f>
        <v>0</v>
      </c>
      <c r="U105" s="674">
        <f>(Q19*($E19/365))+(Q20*($E20/365))+(Q21*($E21/365))</f>
        <v>0</v>
      </c>
      <c r="W105" s="679">
        <f t="shared" si="28"/>
        <v>22.9</v>
      </c>
    </row>
    <row r="106" spans="1:30" s="681" customFormat="1" ht="9" customHeight="1" x14ac:dyDescent="0.15">
      <c r="A106" s="681">
        <v>1984</v>
      </c>
      <c r="B106" s="674">
        <f>(K22*($E22/366))+(K23*($E23/366))</f>
        <v>54.54545454545454</v>
      </c>
      <c r="C106" s="674">
        <f>(L22*($E22/366))+(L23*($E23/366))</f>
        <v>0</v>
      </c>
      <c r="D106" s="674">
        <f>(M22*($E22/366))+(M23*($E23/366))</f>
        <v>0</v>
      </c>
      <c r="E106" s="675">
        <f t="shared" si="27"/>
        <v>54.54545454545454</v>
      </c>
      <c r="G106" s="681">
        <v>1984</v>
      </c>
      <c r="H106" s="809">
        <f>(O22/$R22*100*($E22/366))+(O23/$R23*100*($E23/366))</f>
        <v>100</v>
      </c>
      <c r="I106" s="809"/>
      <c r="J106" s="809">
        <f>(P22/$R22*100*($E22/366))+(P23/$R23*100*($E23/366))</f>
        <v>0</v>
      </c>
      <c r="K106" s="809"/>
      <c r="L106" s="809">
        <f>(Q22/$R22*100*($E22/366))+(Q23/$R23*100*($E23/366))</f>
        <v>0</v>
      </c>
      <c r="M106" s="809"/>
      <c r="N106" s="781">
        <f t="shared" si="29"/>
        <v>100</v>
      </c>
      <c r="O106" s="781"/>
      <c r="R106" s="681">
        <v>1984</v>
      </c>
      <c r="S106" s="674">
        <f>(O22*($E22/366))+(O23*($E23/366))</f>
        <v>22.9</v>
      </c>
      <c r="T106" s="674">
        <f>(P22*($E22/366))+(P23*($E23/366))</f>
        <v>0</v>
      </c>
      <c r="U106" s="674">
        <f>(Q22*($E22/366))+(Q23*($E23/366))</f>
        <v>0</v>
      </c>
      <c r="W106" s="679">
        <f t="shared" si="28"/>
        <v>22.9</v>
      </c>
    </row>
    <row r="107" spans="1:30" s="681" customFormat="1" ht="9" customHeight="1" x14ac:dyDescent="0.15">
      <c r="A107" s="681">
        <v>1985</v>
      </c>
      <c r="B107" s="674">
        <f>(K24*($E24/365))+(K25*($E25/365))+(K26*($E26/365))+(K27*($E27/365))</f>
        <v>66.467413864674128</v>
      </c>
      <c r="C107" s="674">
        <f>(L24*($E24/365))+(L25*($E25/365))+(L26*($E26/365))+(L27*($E27/365))</f>
        <v>0</v>
      </c>
      <c r="D107" s="674">
        <f>(M24*($E24/365))+(M25*($E25/365))+(M26*($E26/365))+(M27*($E27/365))</f>
        <v>0</v>
      </c>
      <c r="E107" s="675">
        <f t="shared" si="27"/>
        <v>66.467413864674128</v>
      </c>
      <c r="G107" s="681">
        <v>1985</v>
      </c>
      <c r="H107" s="809">
        <f>(O24/$R24*100*($E24/365))+(O25/$R25*100*($E25/365))+(O26/$R26*100*($E26/365))+(O27/$R27*100*($E27/365))</f>
        <v>100</v>
      </c>
      <c r="I107" s="809"/>
      <c r="J107" s="809">
        <f>(P24/$R24*100*($E24/365))+(P25/$R25*100*($E25/365))+(P26/$R26*100*($E26/365))+(P27/$R27*100*($E27/365))</f>
        <v>0</v>
      </c>
      <c r="K107" s="809"/>
      <c r="L107" s="809">
        <f>(Q24/$R24*100*($E24/365))+(Q25/$R25*100*($E25/365))+(Q26/$R26*100*($E26/365))+(Q27/$R27*100*($E27/365))</f>
        <v>0</v>
      </c>
      <c r="M107" s="809"/>
      <c r="N107" s="781">
        <f t="shared" si="29"/>
        <v>100</v>
      </c>
      <c r="O107" s="781"/>
      <c r="R107" s="681">
        <v>1985</v>
      </c>
      <c r="S107" s="674">
        <f>(O24*($E24/365))+(O25*($E25/365))+(O26*($E26/365))+(O27*($E27/365))</f>
        <v>56.98465753424658</v>
      </c>
      <c r="T107" s="674">
        <f>(P24*($E24/365))+(P25*($E25/365))+(P26*($E26/365))+(P27*($E27/365))</f>
        <v>0</v>
      </c>
      <c r="U107" s="674">
        <f>(Q24*($E24/365))+(Q25*($E25/365))+(Q26*($E26/365))+(Q27*($E27/365))</f>
        <v>0</v>
      </c>
      <c r="W107" s="679">
        <f t="shared" si="28"/>
        <v>56.98465753424658</v>
      </c>
    </row>
    <row r="108" spans="1:30" s="681" customFormat="1" ht="9" customHeight="1" x14ac:dyDescent="0.15">
      <c r="A108" s="681">
        <v>1986</v>
      </c>
      <c r="B108" s="674">
        <f>(K28*($E28/365))+(K29*($E29/365))</f>
        <v>66.666666666666657</v>
      </c>
      <c r="C108" s="674">
        <f>(L28*($E28/365))+(L29*($E29/365))</f>
        <v>0</v>
      </c>
      <c r="D108" s="674">
        <f>(M28*($E28/365))+(M29*($E29/365))</f>
        <v>0</v>
      </c>
      <c r="E108" s="675">
        <f t="shared" si="27"/>
        <v>66.666666666666657</v>
      </c>
      <c r="G108" s="681">
        <v>1986</v>
      </c>
      <c r="H108" s="809">
        <f>(O28/$R28*100*($E28/365))+(O29/$R29*100*($E29/365))</f>
        <v>100</v>
      </c>
      <c r="I108" s="809"/>
      <c r="J108" s="809">
        <f>(P28/$R28*100*($E28/365))+(P29/$R29*100*($E29/365))</f>
        <v>0</v>
      </c>
      <c r="K108" s="809"/>
      <c r="L108" s="809">
        <f>(Q28/$R28*100*($E28/365))+(Q29/$R29*100*($E29/365))</f>
        <v>0</v>
      </c>
      <c r="M108" s="809"/>
      <c r="N108" s="781">
        <f t="shared" si="29"/>
        <v>100</v>
      </c>
      <c r="O108" s="781"/>
      <c r="R108" s="681">
        <v>1986</v>
      </c>
      <c r="S108" s="674">
        <f>(O28*($E28/365))+(O29*($E29/365))</f>
        <v>62.5</v>
      </c>
      <c r="T108" s="674">
        <f>(P28*($E28/365))+(P29*($E29/365))</f>
        <v>0</v>
      </c>
      <c r="U108" s="674">
        <f>(Q28*($E28/365))+(Q29*($E29/365))</f>
        <v>0</v>
      </c>
      <c r="W108" s="679">
        <f t="shared" si="28"/>
        <v>62.5</v>
      </c>
    </row>
    <row r="109" spans="1:30" s="681" customFormat="1" ht="9" customHeight="1" x14ac:dyDescent="0.15">
      <c r="A109" s="681">
        <v>1987</v>
      </c>
      <c r="B109" s="674">
        <f>(K30*($E30/365))+(K31*($E31/365))</f>
        <v>66.666666666666657</v>
      </c>
      <c r="C109" s="674">
        <f>(L30*($E30/365))+(L31*($E31/365))</f>
        <v>0</v>
      </c>
      <c r="D109" s="674">
        <f>(M30*($E30/365))+(M31*($E31/365))</f>
        <v>0</v>
      </c>
      <c r="E109" s="675">
        <f t="shared" si="27"/>
        <v>66.666666666666657</v>
      </c>
      <c r="G109" s="681">
        <v>1987</v>
      </c>
      <c r="H109" s="809">
        <f>(O30/$R30*100*($E30/365))+(O31/$R31*100*($E31/365))</f>
        <v>100</v>
      </c>
      <c r="I109" s="809"/>
      <c r="J109" s="809">
        <f>(P30/$R30*100*($E30/365))+(P31/$R31*100*($E31/365))</f>
        <v>0</v>
      </c>
      <c r="K109" s="809"/>
      <c r="L109" s="809">
        <f>(Q30/$R30*100*($E30/365))+(Q31/$R31*100*($E31/365))</f>
        <v>0</v>
      </c>
      <c r="M109" s="809"/>
      <c r="N109" s="781">
        <f t="shared" si="29"/>
        <v>100</v>
      </c>
      <c r="O109" s="781"/>
      <c r="R109" s="681">
        <v>1987</v>
      </c>
      <c r="S109" s="674">
        <f>(O30*($E30/365))+(O31*($E31/365))</f>
        <v>62.5</v>
      </c>
      <c r="T109" s="674">
        <f>(P30*($E30/365))+(P31*($E31/365))</f>
        <v>0</v>
      </c>
      <c r="U109" s="674">
        <f>(Q30*($E30/365))+(Q31*($E31/365))</f>
        <v>0</v>
      </c>
      <c r="W109" s="679">
        <f t="shared" si="28"/>
        <v>62.5</v>
      </c>
    </row>
    <row r="110" spans="1:30" s="681" customFormat="1" ht="9" customHeight="1" x14ac:dyDescent="0.15">
      <c r="A110" s="681">
        <v>1988</v>
      </c>
      <c r="B110" s="674">
        <f>(K32*($E32/366))+(K33*($E33/366))</f>
        <v>10.564663023679417</v>
      </c>
      <c r="C110" s="674">
        <f>(L32*($E32/366))+(L33*($E33/366))</f>
        <v>0</v>
      </c>
      <c r="D110" s="674">
        <f>(M32*($E32/366))+(M33*($E33/366))</f>
        <v>0</v>
      </c>
      <c r="E110" s="675">
        <f t="shared" si="27"/>
        <v>10.564663023679417</v>
      </c>
      <c r="G110" s="681">
        <v>1988</v>
      </c>
      <c r="H110" s="809">
        <f>(O32/$R32*100*($E32/365))</f>
        <v>15.890410958904111</v>
      </c>
      <c r="I110" s="809"/>
      <c r="J110" s="809">
        <f>(P32/$R32*100*($E32/365))</f>
        <v>0</v>
      </c>
      <c r="K110" s="809"/>
      <c r="L110" s="809">
        <f>(Q32/$R32*100*($E32/365))</f>
        <v>0</v>
      </c>
      <c r="M110" s="809"/>
      <c r="N110" s="781">
        <f t="shared" si="29"/>
        <v>15.890410958904111</v>
      </c>
      <c r="O110" s="781"/>
      <c r="R110" s="681">
        <v>1988</v>
      </c>
      <c r="S110" s="674">
        <f>(O32*($E32/366))+(O33*($E33/366))</f>
        <v>9.9043715846994544</v>
      </c>
      <c r="T110" s="674">
        <f>(P32*($E32/366))+(P33*($E33/366))</f>
        <v>0</v>
      </c>
      <c r="U110" s="674">
        <f>(Q32*($E32/366))+(Q33*($E33/366))</f>
        <v>0</v>
      </c>
      <c r="W110" s="679">
        <f t="shared" si="28"/>
        <v>9.9043715846994544</v>
      </c>
    </row>
    <row r="111" spans="1:30" s="4" customFormat="1" ht="9" customHeight="1" x14ac:dyDescent="0.15">
      <c r="A111" s="4">
        <v>1989</v>
      </c>
      <c r="B111" s="678">
        <f>(K34*($E34/365))+(K35*($E35/365))</f>
        <v>0</v>
      </c>
      <c r="C111" s="678">
        <f>(L34*($E34/365))+(L35*($E35/365))</f>
        <v>0</v>
      </c>
      <c r="D111" s="678">
        <f>(M34*($E34/365))+(M35*($E35/365))</f>
        <v>0</v>
      </c>
      <c r="E111" s="673">
        <f t="shared" si="27"/>
        <v>0</v>
      </c>
      <c r="G111" s="4">
        <v>1989</v>
      </c>
      <c r="H111" s="820">
        <v>0</v>
      </c>
      <c r="I111" s="820"/>
      <c r="J111" s="820">
        <v>0</v>
      </c>
      <c r="K111" s="820"/>
      <c r="L111" s="820">
        <v>0</v>
      </c>
      <c r="M111" s="820"/>
      <c r="N111" s="808">
        <f t="shared" si="29"/>
        <v>0</v>
      </c>
      <c r="O111" s="808"/>
      <c r="R111" s="4">
        <v>1989</v>
      </c>
      <c r="S111" s="678">
        <f>(O34*($E34/365))+(O35*($E35/365))</f>
        <v>0</v>
      </c>
      <c r="T111" s="678">
        <f>(P34*($E34/365))+(P35*($E35/365))</f>
        <v>0</v>
      </c>
      <c r="U111" s="678">
        <f>(Q34*($E34/365))+(Q35*($E35/365))</f>
        <v>0</v>
      </c>
      <c r="W111" s="672">
        <f t="shared" si="28"/>
        <v>0</v>
      </c>
    </row>
    <row r="112" spans="1:30" ht="9" customHeight="1" x14ac:dyDescent="0.15">
      <c r="A112" s="1">
        <v>1990</v>
      </c>
      <c r="B112" s="8">
        <f>(K36*($E36/365))+(K37*($E37/365))</f>
        <v>0</v>
      </c>
      <c r="C112" s="8">
        <f>(L36*($E36/365))+(L37*($E37/365))</f>
        <v>0</v>
      </c>
      <c r="D112" s="8">
        <f>(M36*($E36/365))+(M37*($E37/365))</f>
        <v>0</v>
      </c>
      <c r="E112" s="64">
        <f t="shared" ref="E112:E134" si="30">SUM(B112:D112)</f>
        <v>0</v>
      </c>
      <c r="G112" s="1">
        <v>1990</v>
      </c>
      <c r="H112" s="809">
        <v>0</v>
      </c>
      <c r="I112" s="809"/>
      <c r="J112" s="809">
        <v>0</v>
      </c>
      <c r="K112" s="809"/>
      <c r="L112" s="809">
        <v>0</v>
      </c>
      <c r="M112" s="809"/>
      <c r="N112" s="781">
        <f t="shared" si="29"/>
        <v>0</v>
      </c>
      <c r="O112" s="781"/>
      <c r="R112" s="1">
        <v>1990</v>
      </c>
      <c r="S112" s="8">
        <f>(O36*($E36/365))+(O37*($E37/365))</f>
        <v>0</v>
      </c>
      <c r="T112" s="8">
        <f>(P36*($E36/365))+(P37*($E37/365))</f>
        <v>0</v>
      </c>
      <c r="U112" s="8">
        <f>(Q36*($E36/365))+(Q37*($E37/365))</f>
        <v>0</v>
      </c>
      <c r="W112" s="14">
        <f>SUM(S112:U112)</f>
        <v>0</v>
      </c>
      <c r="Y112" s="71"/>
    </row>
    <row r="113" spans="1:23" ht="9" customHeight="1" x14ac:dyDescent="0.15">
      <c r="A113" s="1">
        <v>1991</v>
      </c>
      <c r="B113" s="8">
        <f>(K38*($E38/365))+(K39*($E39/365))</f>
        <v>0</v>
      </c>
      <c r="C113" s="8">
        <f>(L38*($E38/365))+(L39*($E39/365))</f>
        <v>0</v>
      </c>
      <c r="D113" s="8">
        <f>(M38*($E38/365))+(M39*($E39/365))</f>
        <v>0</v>
      </c>
      <c r="E113" s="64">
        <f t="shared" si="30"/>
        <v>0</v>
      </c>
      <c r="G113" s="1">
        <v>1991</v>
      </c>
      <c r="H113" s="809">
        <v>0</v>
      </c>
      <c r="I113" s="809"/>
      <c r="J113" s="809">
        <v>0</v>
      </c>
      <c r="K113" s="809"/>
      <c r="L113" s="809">
        <v>0</v>
      </c>
      <c r="M113" s="809"/>
      <c r="N113" s="781">
        <f t="shared" si="29"/>
        <v>0</v>
      </c>
      <c r="O113" s="781"/>
      <c r="R113" s="1">
        <v>1991</v>
      </c>
      <c r="S113" s="8">
        <f>(O38*($E38/365))+(O39*($E39/365))</f>
        <v>0</v>
      </c>
      <c r="T113" s="8">
        <f>(P38*($E38/365))+(P39*($E39/365))</f>
        <v>0</v>
      </c>
      <c r="U113" s="8">
        <f>(Q38*($E38/365))+(Q39*($E39/365))</f>
        <v>0</v>
      </c>
      <c r="W113" s="14">
        <f>SUM(S113:U113)</f>
        <v>0</v>
      </c>
    </row>
    <row r="114" spans="1:23" ht="9" customHeight="1" x14ac:dyDescent="0.15">
      <c r="A114" s="1">
        <v>1992</v>
      </c>
      <c r="B114" s="8">
        <f>(K40*($E40/366))+(K41*($E41/366))</f>
        <v>0</v>
      </c>
      <c r="C114" s="8">
        <f>(L40*($E40/366))+(L41*($E41/366))</f>
        <v>0</v>
      </c>
      <c r="D114" s="8">
        <f>(M40*($E40/366))+(M41*($E41/366))</f>
        <v>0</v>
      </c>
      <c r="E114" s="64">
        <f t="shared" si="30"/>
        <v>0</v>
      </c>
      <c r="G114" s="1">
        <v>1992</v>
      </c>
      <c r="H114" s="809">
        <v>0</v>
      </c>
      <c r="I114" s="809"/>
      <c r="J114" s="809">
        <v>0</v>
      </c>
      <c r="K114" s="809"/>
      <c r="L114" s="809">
        <v>0</v>
      </c>
      <c r="M114" s="809"/>
      <c r="N114" s="781">
        <f t="shared" si="29"/>
        <v>0</v>
      </c>
      <c r="O114" s="781"/>
      <c r="R114" s="1">
        <v>1992</v>
      </c>
      <c r="S114" s="8">
        <f>(O40*($E40/366))+(O41*($E41/366))</f>
        <v>0</v>
      </c>
      <c r="T114" s="8">
        <f>(P40*($E40/366))+(P41*($E41/366))</f>
        <v>0</v>
      </c>
      <c r="U114" s="8">
        <f>(Q40*($E40/366))+(Q41*($E41/366))</f>
        <v>0</v>
      </c>
      <c r="W114" s="14">
        <f t="shared" ref="W114:W134" si="31">SUM(S114:U114)</f>
        <v>0</v>
      </c>
    </row>
    <row r="115" spans="1:23" ht="9" customHeight="1" x14ac:dyDescent="0.15">
      <c r="A115" s="1">
        <v>1993</v>
      </c>
      <c r="B115" s="8">
        <f>(K42*($E42/365))+(K43*($E43/365))</f>
        <v>70.776255707762559</v>
      </c>
      <c r="C115" s="8">
        <f>(L42*($E42/365))+(L43*($E43/365))</f>
        <v>0</v>
      </c>
      <c r="D115" s="8">
        <f>(M42*($E42/365))+(M43*($E43/365))</f>
        <v>0</v>
      </c>
      <c r="E115" s="64">
        <f t="shared" si="30"/>
        <v>70.776255707762559</v>
      </c>
      <c r="G115" s="1">
        <v>1993</v>
      </c>
      <c r="H115" s="809">
        <f>0+(O43/$R43*100*($E43/365))</f>
        <v>84.93150684931507</v>
      </c>
      <c r="I115" s="809"/>
      <c r="J115" s="809">
        <f>0+(P43/$R43*100*($E43/365))</f>
        <v>0</v>
      </c>
      <c r="K115" s="809"/>
      <c r="L115" s="809">
        <f>0+(Q43/$R43*100*($E43/365))</f>
        <v>0</v>
      </c>
      <c r="M115" s="809"/>
      <c r="N115" s="781">
        <f t="shared" si="29"/>
        <v>84.93150684931507</v>
      </c>
      <c r="O115" s="781"/>
      <c r="R115" s="1">
        <v>1993</v>
      </c>
      <c r="S115" s="8">
        <f>(O42*($E42/365))+(O43*($E43/365))</f>
        <v>46.967123287671228</v>
      </c>
      <c r="T115" s="8">
        <f>(P42*($E42/365))+(P43*($E43/365))</f>
        <v>0</v>
      </c>
      <c r="U115" s="8">
        <f>(Q42*($E42/365))+(Q43*($E43/365))</f>
        <v>0</v>
      </c>
      <c r="W115" s="14">
        <f t="shared" si="31"/>
        <v>46.967123287671228</v>
      </c>
    </row>
    <row r="116" spans="1:23" ht="9" customHeight="1" x14ac:dyDescent="0.15">
      <c r="A116" s="1">
        <v>1994</v>
      </c>
      <c r="B116" s="8">
        <f>(K44*($E44/365))+(K45*($E45/365))</f>
        <v>83.333333333333343</v>
      </c>
      <c r="C116" s="8">
        <f>(L44*($E44/365))+(L45*($E45/365))</f>
        <v>0</v>
      </c>
      <c r="D116" s="8">
        <f>(M44*($E44/365))+(M45*($E45/365))</f>
        <v>0</v>
      </c>
      <c r="E116" s="64">
        <f t="shared" si="30"/>
        <v>83.333333333333343</v>
      </c>
      <c r="G116" s="1">
        <v>1994</v>
      </c>
      <c r="H116" s="809">
        <f>(O44/$R44*100*($E44/365))+(O45/$R45*100*($E45/365))</f>
        <v>100</v>
      </c>
      <c r="I116" s="809"/>
      <c r="J116" s="809">
        <f>(P44/$R44*100*($E44/365))+(P45/$R45*100*($E45/365))</f>
        <v>0</v>
      </c>
      <c r="K116" s="809"/>
      <c r="L116" s="809">
        <f>(Q44/$R44*100*($E44/365))+(Q45/$R45*100*($E45/365))</f>
        <v>0</v>
      </c>
      <c r="M116" s="809"/>
      <c r="N116" s="781">
        <f t="shared" si="29"/>
        <v>100</v>
      </c>
      <c r="O116" s="781"/>
      <c r="R116" s="1">
        <v>1994</v>
      </c>
      <c r="S116" s="8">
        <f>(O44*($E44/365))+(O45*($E45/365))</f>
        <v>55.3</v>
      </c>
      <c r="T116" s="8">
        <f>(P44*($E44/365))+(P45*($E45/365))</f>
        <v>0</v>
      </c>
      <c r="U116" s="8">
        <f>(Q44*($E44/365))+(Q45*($E45/365))</f>
        <v>0</v>
      </c>
      <c r="W116" s="14">
        <f t="shared" si="31"/>
        <v>55.3</v>
      </c>
    </row>
    <row r="117" spans="1:23" ht="9" customHeight="1" x14ac:dyDescent="0.15">
      <c r="A117" s="1">
        <v>1995</v>
      </c>
      <c r="B117" s="8">
        <f>(K46*($E46/365))+(K47*($E47/365))</f>
        <v>88.995433789954333</v>
      </c>
      <c r="C117" s="8">
        <f>(L46*($E46/365))+(L47*($E47/365))</f>
        <v>0</v>
      </c>
      <c r="D117" s="8">
        <f>(M46*($E46/365))+(M47*($E47/365))</f>
        <v>0</v>
      </c>
      <c r="E117" s="64">
        <f t="shared" si="30"/>
        <v>88.995433789954333</v>
      </c>
      <c r="G117" s="1">
        <v>1995</v>
      </c>
      <c r="H117" s="809">
        <f>(O46/$R46*100*($E46/365))+(O47/$R47*100*($E47/365))</f>
        <v>100</v>
      </c>
      <c r="I117" s="809"/>
      <c r="J117" s="809">
        <f>(P46/$R46*100*($E46/365))+(P47/$R47*100*($E47/365))</f>
        <v>0</v>
      </c>
      <c r="K117" s="809"/>
      <c r="L117" s="809">
        <f>(Q46/$R46*100*($E46/365))+(Q47/$R47*100*($E47/365))</f>
        <v>0</v>
      </c>
      <c r="M117" s="809"/>
      <c r="N117" s="781">
        <f t="shared" si="29"/>
        <v>100</v>
      </c>
      <c r="O117" s="781"/>
      <c r="R117" s="1">
        <v>1995</v>
      </c>
      <c r="S117" s="8">
        <f>(O46*($E46/365))+(O47*($E47/365))</f>
        <v>55.3</v>
      </c>
      <c r="T117" s="8">
        <f>(P46*($E46/365))+(P47*($E47/365))</f>
        <v>0</v>
      </c>
      <c r="U117" s="8">
        <f>(Q46*($E46/365))+(Q47*($E47/365))</f>
        <v>0</v>
      </c>
      <c r="W117" s="14">
        <f t="shared" si="31"/>
        <v>55.3</v>
      </c>
    </row>
    <row r="118" spans="1:23" ht="9" customHeight="1" x14ac:dyDescent="0.15">
      <c r="A118" s="1">
        <v>1996</v>
      </c>
      <c r="B118" s="8">
        <f>(K48*($E48/366))+(K49*($E49/366))</f>
        <v>91.666666666666657</v>
      </c>
      <c r="C118" s="8">
        <f>(L48*($E48/366))+(L49*($E49/366))</f>
        <v>0</v>
      </c>
      <c r="D118" s="8">
        <f>(M48*($E48/366))+(M49*($E49/366))</f>
        <v>0</v>
      </c>
      <c r="E118" s="64">
        <f t="shared" si="30"/>
        <v>91.666666666666657</v>
      </c>
      <c r="G118" s="1">
        <v>1996</v>
      </c>
      <c r="H118" s="809">
        <f>(O48/$R48*100*($E48/366))+(O49/$R49*100*($E49/366))</f>
        <v>100</v>
      </c>
      <c r="I118" s="809"/>
      <c r="J118" s="809">
        <f>(P48/$R48*100*($E48/366))+(P49/$R49*100*($E49/366))</f>
        <v>0</v>
      </c>
      <c r="K118" s="809"/>
      <c r="L118" s="809">
        <f>(Q48/$R48*100*($E48/366))+(Q49/$R49*100*($E49/366))</f>
        <v>0</v>
      </c>
      <c r="M118" s="809"/>
      <c r="N118" s="781">
        <f t="shared" si="29"/>
        <v>100</v>
      </c>
      <c r="O118" s="781"/>
      <c r="R118" s="1">
        <v>1996</v>
      </c>
      <c r="S118" s="8">
        <f>(O48*($E48/366))+(O49*($E49/366))</f>
        <v>54.278142076502732</v>
      </c>
      <c r="T118" s="8">
        <f>(P48*($E48/366))+(P49*($E49/366))</f>
        <v>0</v>
      </c>
      <c r="U118" s="8">
        <f>(Q48*($E48/366))+(Q49*($E49/366))</f>
        <v>0</v>
      </c>
      <c r="W118" s="14">
        <f t="shared" si="31"/>
        <v>54.278142076502732</v>
      </c>
    </row>
    <row r="119" spans="1:23" ht="9" customHeight="1" x14ac:dyDescent="0.15">
      <c r="A119" s="1">
        <v>1997</v>
      </c>
      <c r="B119" s="8">
        <f>(K50*($E50/365))+(K51*($E51/365))</f>
        <v>91.666666666666657</v>
      </c>
      <c r="C119" s="8">
        <f>(L50*($E50/365))+(L51*($E51/365))</f>
        <v>0</v>
      </c>
      <c r="D119" s="8">
        <f>(M50*($E50/365))+(M51*($E51/365))</f>
        <v>0</v>
      </c>
      <c r="E119" s="64">
        <f t="shared" si="30"/>
        <v>91.666666666666657</v>
      </c>
      <c r="G119" s="1">
        <v>1997</v>
      </c>
      <c r="H119" s="809">
        <f>(O50/$R50*100*($E50/365))+(O51/$R51*100*($E51/365))</f>
        <v>100</v>
      </c>
      <c r="I119" s="809"/>
      <c r="J119" s="809">
        <f>(P50/$R50*100*($E50/365))+(P51/$R51*100*($E51/365))</f>
        <v>0</v>
      </c>
      <c r="K119" s="809"/>
      <c r="L119" s="809">
        <f>(Q50/$R50*100*($E50/365))+(Q51/$R51*100*($E51/365))</f>
        <v>0</v>
      </c>
      <c r="M119" s="809"/>
      <c r="N119" s="781">
        <f t="shared" si="29"/>
        <v>100</v>
      </c>
      <c r="O119" s="781"/>
      <c r="R119" s="1">
        <v>1997</v>
      </c>
      <c r="S119" s="8">
        <f>(O50*($E50/365))+(O51*($E51/365))</f>
        <v>51.147945205479459</v>
      </c>
      <c r="T119" s="8">
        <f>(P50*($E50/365))+(P51*($E51/365))</f>
        <v>0</v>
      </c>
      <c r="U119" s="8">
        <f>(Q50*($E50/365))+(Q51*($E51/365))</f>
        <v>0</v>
      </c>
      <c r="W119" s="14">
        <f t="shared" si="31"/>
        <v>51.147945205479459</v>
      </c>
    </row>
    <row r="120" spans="1:23" ht="9" customHeight="1" x14ac:dyDescent="0.15">
      <c r="A120" s="1">
        <v>1998</v>
      </c>
      <c r="B120" s="8">
        <f>(K52*($E52/365))+(K53*($E53/365))</f>
        <v>84.657534246575352</v>
      </c>
      <c r="C120" s="8">
        <f>(L52*($E52/365))+(L53*($E53/365))</f>
        <v>0</v>
      </c>
      <c r="D120" s="8">
        <f>(M52*($E52/365))+(M53*($E53/365))</f>
        <v>14.018264840182646</v>
      </c>
      <c r="E120" s="64">
        <f t="shared" si="30"/>
        <v>98.675799086757991</v>
      </c>
      <c r="G120" s="1">
        <v>1998</v>
      </c>
      <c r="H120" s="809">
        <f>(O52/$R52*100*($E52/365))+(O53/$R53*100*($E53/365))</f>
        <v>88.675108283422787</v>
      </c>
      <c r="I120" s="809"/>
      <c r="J120" s="809">
        <f>(P52/$R52*100*($E52/365))+(P53/$R53*100*($E53/365))</f>
        <v>0</v>
      </c>
      <c r="K120" s="809"/>
      <c r="L120" s="809">
        <f>(Q52/$R52*100*($E52/365))+(Q53/$R53*100*($E53/365))</f>
        <v>11.324891716577206</v>
      </c>
      <c r="M120" s="809"/>
      <c r="N120" s="781">
        <f t="shared" si="29"/>
        <v>100</v>
      </c>
      <c r="O120" s="781"/>
      <c r="R120" s="1">
        <v>1998</v>
      </c>
      <c r="S120" s="8">
        <f>(O52*($E52/365))+(O53*($E53/365))</f>
        <v>53.783561643835618</v>
      </c>
      <c r="T120" s="8">
        <f>(P52*($E52/365))+(P53*($E53/365))</f>
        <v>0</v>
      </c>
      <c r="U120" s="8">
        <f>(Q52*($E52/365))+(Q53*($E53/365))</f>
        <v>7.4857534246575348</v>
      </c>
      <c r="W120" s="14">
        <f t="shared" si="31"/>
        <v>61.269315068493157</v>
      </c>
    </row>
    <row r="121" spans="1:23" ht="9" customHeight="1" x14ac:dyDescent="0.15">
      <c r="A121" s="1">
        <v>1999</v>
      </c>
      <c r="B121" s="8">
        <f>(K54*($E54/365))+(K55*($E55/365))</f>
        <v>99.817351598173516</v>
      </c>
      <c r="C121" s="8">
        <f>(L54*($E54/365))+(L55*($E55/365))</f>
        <v>0</v>
      </c>
      <c r="D121" s="8">
        <f>(M54*($E54/365))+(M55*($E55/365))</f>
        <v>0.18264840182648398</v>
      </c>
      <c r="E121" s="64">
        <f t="shared" si="30"/>
        <v>100</v>
      </c>
      <c r="G121" s="1">
        <v>1999</v>
      </c>
      <c r="H121" s="809">
        <f>(O54/$R54*100*($E54/365))+(O55/$R55*100*($E55/365))</f>
        <v>99.85244440760161</v>
      </c>
      <c r="I121" s="809"/>
      <c r="J121" s="809">
        <f>(P54/$R54*100*($E54/365))+(P55/$R55*100*($E55/365))</f>
        <v>0</v>
      </c>
      <c r="K121" s="809"/>
      <c r="L121" s="809">
        <f>(Q54/$R54*100*($E54/365))+(Q55/$R55*100*($E55/365))</f>
        <v>0.14755559239840008</v>
      </c>
      <c r="M121" s="809"/>
      <c r="N121" s="781">
        <f t="shared" si="29"/>
        <v>100.00000000000001</v>
      </c>
      <c r="O121" s="781"/>
      <c r="R121" s="1">
        <v>1999</v>
      </c>
      <c r="S121" s="8">
        <f>(O54*($E54/365))+(O55*($E55/365))</f>
        <v>57.2</v>
      </c>
      <c r="T121" s="8">
        <f>(P54*($E54/365))+(P55*($E55/365))</f>
        <v>0</v>
      </c>
      <c r="U121" s="8">
        <f>(Q54*($E54/365))+(Q55*($E55/365))</f>
        <v>9.7534246575342473E-2</v>
      </c>
      <c r="W121" s="14">
        <f t="shared" si="31"/>
        <v>57.297534246575346</v>
      </c>
    </row>
    <row r="122" spans="1:23" ht="9" customHeight="1" x14ac:dyDescent="0.15">
      <c r="A122" s="1">
        <v>2000</v>
      </c>
      <c r="B122" s="8">
        <f>(K56*($E56/366))+(K57*($E57/366))</f>
        <v>100</v>
      </c>
      <c r="C122" s="8">
        <f>(L56*($E56/366))+(L57*($E57/366))</f>
        <v>0</v>
      </c>
      <c r="D122" s="8">
        <f>(M56*($E56/366))+(M57*($E57/366))</f>
        <v>0</v>
      </c>
      <c r="E122" s="64">
        <f t="shared" si="30"/>
        <v>100</v>
      </c>
      <c r="G122" s="1">
        <v>2000</v>
      </c>
      <c r="H122" s="809">
        <f>(O56/$R56*100*($E56/366))+(O57/$R57*100*($E57/366))</f>
        <v>100</v>
      </c>
      <c r="I122" s="809"/>
      <c r="J122" s="809">
        <f>(P56/$R56*100*($E56/366))+(P57/$R57*100*($E57/366))</f>
        <v>0</v>
      </c>
      <c r="K122" s="809"/>
      <c r="L122" s="809">
        <f>(Q56/$R56*100*($E56/366))+(Q57/$R57*100*($E57/366))</f>
        <v>0</v>
      </c>
      <c r="M122" s="809"/>
      <c r="N122" s="781">
        <f t="shared" si="29"/>
        <v>100</v>
      </c>
      <c r="O122" s="781"/>
      <c r="R122" s="1">
        <v>2000</v>
      </c>
      <c r="S122" s="8">
        <f>(O56*($E56/366))+(O57*($E57/366))</f>
        <v>57.2</v>
      </c>
      <c r="T122" s="8">
        <f>(P56*($E56/366))+(P57*($E57/366))</f>
        <v>0</v>
      </c>
      <c r="U122" s="8">
        <f>(Q56*($E56/366))+(Q57*($E57/366))</f>
        <v>0</v>
      </c>
      <c r="W122" s="14">
        <f t="shared" si="31"/>
        <v>57.2</v>
      </c>
    </row>
    <row r="123" spans="1:23" ht="9" customHeight="1" x14ac:dyDescent="0.15">
      <c r="A123" s="1">
        <v>2001</v>
      </c>
      <c r="B123" s="8">
        <f>(K58*($E58/365))+(K59*($E59/365))</f>
        <v>100</v>
      </c>
      <c r="C123" s="8">
        <f>(L58*($E58/365))+(L59*($E59/365))</f>
        <v>0</v>
      </c>
      <c r="D123" s="8">
        <f>(M58*($E58/365))+(M59*($E59/365))</f>
        <v>0</v>
      </c>
      <c r="E123" s="64">
        <f t="shared" si="30"/>
        <v>100</v>
      </c>
      <c r="G123" s="1">
        <v>2001</v>
      </c>
      <c r="H123" s="809">
        <f>(O58/$R58*100*($E58/365))+(O59/$R59*100*($E59/365))</f>
        <v>100</v>
      </c>
      <c r="I123" s="809"/>
      <c r="J123" s="809">
        <f>(P58/$R58*100*($E58/365))+(P59/$R59*100*($E59/365))</f>
        <v>0</v>
      </c>
      <c r="K123" s="809"/>
      <c r="L123" s="809">
        <f>(Q58/$R58*100*($E58/365))+(Q59/$R59*100*($E59/365))</f>
        <v>0</v>
      </c>
      <c r="M123" s="809"/>
      <c r="N123" s="781">
        <f t="shared" si="29"/>
        <v>100</v>
      </c>
      <c r="O123" s="781"/>
      <c r="R123" s="1">
        <v>2001</v>
      </c>
      <c r="S123" s="8">
        <f>(O58*($E58/365))+(O59*($E59/365))</f>
        <v>53.96</v>
      </c>
      <c r="T123" s="8">
        <f>(P58*($E58/365))+(P59*($E59/365))</f>
        <v>0</v>
      </c>
      <c r="U123" s="8">
        <f>(Q58*($E58/365))+(Q59*($E59/365))</f>
        <v>0</v>
      </c>
      <c r="W123" s="14">
        <f t="shared" si="31"/>
        <v>53.96</v>
      </c>
    </row>
    <row r="124" spans="1:23" ht="9" customHeight="1" x14ac:dyDescent="0.15">
      <c r="A124" s="1">
        <v>2002</v>
      </c>
      <c r="B124" s="8">
        <f>(K60*($E60/365))+(K61*($E61/365))</f>
        <v>100</v>
      </c>
      <c r="C124" s="8">
        <f>(L60*($E60/365))+(L61*($E61/365))</f>
        <v>0</v>
      </c>
      <c r="D124" s="8">
        <f>(M60*($E60/365))+(M61*($E61/365))</f>
        <v>0</v>
      </c>
      <c r="E124" s="64">
        <f t="shared" si="30"/>
        <v>100</v>
      </c>
      <c r="G124" s="1">
        <v>2002</v>
      </c>
      <c r="H124" s="809">
        <f>(O60/$R60*100*($E60/365))+(O61/$R61*100*($E61/365))</f>
        <v>100</v>
      </c>
      <c r="I124" s="809"/>
      <c r="J124" s="809">
        <f>(P60/$R60*100*($E60/365))+(P61/$R61*100*($E61/365))</f>
        <v>0</v>
      </c>
      <c r="K124" s="809"/>
      <c r="L124" s="809">
        <f>(Q60/$R60*100*($E60/365))+(Q61/$R61*100*($E61/365))</f>
        <v>0</v>
      </c>
      <c r="M124" s="809"/>
      <c r="N124" s="781">
        <f t="shared" si="29"/>
        <v>100</v>
      </c>
      <c r="O124" s="781"/>
      <c r="R124" s="1">
        <v>2002</v>
      </c>
      <c r="S124" s="8">
        <f>(O60*($E60/365))+(O61*($E61/365))</f>
        <v>51.8</v>
      </c>
      <c r="T124" s="8">
        <f>(P60*($E60/365))+(P61*($E61/365))</f>
        <v>0</v>
      </c>
      <c r="U124" s="8">
        <f>(Q60*($E60/365))+(Q61*($E61/365))</f>
        <v>0</v>
      </c>
      <c r="W124" s="14">
        <f t="shared" si="31"/>
        <v>51.8</v>
      </c>
    </row>
    <row r="125" spans="1:23" ht="9" customHeight="1" x14ac:dyDescent="0.15">
      <c r="A125" s="1">
        <v>2003</v>
      </c>
      <c r="B125" s="8">
        <f>(K62*($E62/365))+(K63*($E63/365))</f>
        <v>43.926940639269404</v>
      </c>
      <c r="C125" s="8">
        <f>(L62*($E62/365))+(L63*($E63/365))</f>
        <v>0</v>
      </c>
      <c r="D125" s="8">
        <f>(M62*($E62/365))+(M63*($E63/365))</f>
        <v>42.054794520547944</v>
      </c>
      <c r="E125" s="64">
        <f t="shared" si="30"/>
        <v>85.981735159817347</v>
      </c>
      <c r="G125" s="1">
        <v>2003</v>
      </c>
      <c r="H125" s="809">
        <f>(O62/$R62*100*($E62/365))+(O63/$R63*100*($E63/365))</f>
        <v>38.881317301207062</v>
      </c>
      <c r="I125" s="809"/>
      <c r="J125" s="809">
        <f>(P62/$R62*100*($E62/365))+(P63/$R63*100*($E63/365))</f>
        <v>0</v>
      </c>
      <c r="K125" s="809"/>
      <c r="L125" s="809">
        <f>(Q62/$R62*100*($E62/365))+(Q63/$R63*100*($E63/365))</f>
        <v>61.118682698792938</v>
      </c>
      <c r="M125" s="809"/>
      <c r="N125" s="781">
        <f t="shared" si="29"/>
        <v>100</v>
      </c>
      <c r="O125" s="781"/>
      <c r="R125" s="1">
        <v>2003</v>
      </c>
      <c r="S125" s="8">
        <f>(O62*($E62/365))+(O63*($E63/365))</f>
        <v>21.772876712328767</v>
      </c>
      <c r="T125" s="8">
        <f>(P62*($E62/365))+(P63*($E63/365))</f>
        <v>0</v>
      </c>
      <c r="U125" s="8">
        <f>(Q62*($E62/365))+(Q63*($E63/365))</f>
        <v>35.998904109589041</v>
      </c>
      <c r="W125" s="14">
        <f t="shared" si="31"/>
        <v>57.771780821917808</v>
      </c>
    </row>
    <row r="126" spans="1:23" ht="9" customHeight="1" x14ac:dyDescent="0.15">
      <c r="A126" s="1">
        <v>2004</v>
      </c>
      <c r="B126" s="8">
        <f>(K64*($E64/366))+(K65*($E65/366))</f>
        <v>28.119307832422585</v>
      </c>
      <c r="C126" s="8">
        <f>(L64*($E64/366))+(L65*($E65/366))</f>
        <v>0</v>
      </c>
      <c r="D126" s="8">
        <f>(M64*($E64/366))+(M65*($E65/366))</f>
        <v>50</v>
      </c>
      <c r="E126" s="64">
        <f t="shared" si="30"/>
        <v>78.119307832422578</v>
      </c>
      <c r="G126" s="1">
        <v>2004</v>
      </c>
      <c r="H126" s="809">
        <f>(O64/$R64*100*($E64/366))+(O65/$R65*100*($E65/366))</f>
        <v>27.334465195246182</v>
      </c>
      <c r="I126" s="809"/>
      <c r="J126" s="809">
        <f>(P64/$R64*100*($E64/366))+(P65/$R65*100*($E65/366))</f>
        <v>0</v>
      </c>
      <c r="K126" s="809"/>
      <c r="L126" s="809">
        <f>(Q64/$R64*100*($E64/366))+(Q65/$R65*100*($E65/366))</f>
        <v>72.665534804753833</v>
      </c>
      <c r="M126" s="809"/>
      <c r="N126" s="781">
        <f t="shared" si="29"/>
        <v>100.00000000000001</v>
      </c>
      <c r="O126" s="781"/>
      <c r="R126" s="1">
        <v>2004</v>
      </c>
      <c r="S126" s="8">
        <f>(O64*($E64/366))+(O65*($E65/366))</f>
        <v>16.100000000000001</v>
      </c>
      <c r="T126" s="8">
        <f>(P64*($E64/366))+(P65*($E65/366))</f>
        <v>0</v>
      </c>
      <c r="U126" s="8">
        <f>(Q64*($E64/366))+(Q65*($E65/366))</f>
        <v>42.8</v>
      </c>
      <c r="W126" s="14">
        <f t="shared" si="31"/>
        <v>58.9</v>
      </c>
    </row>
    <row r="127" spans="1:23" ht="9" customHeight="1" x14ac:dyDescent="0.15">
      <c r="A127" s="1">
        <v>2005</v>
      </c>
      <c r="B127" s="8">
        <f>(K66*($E66/365))+(K67*($E67/365))</f>
        <v>25</v>
      </c>
      <c r="C127" s="8">
        <f>(L66*($E66/365))+(L67*($E67/365))</f>
        <v>0</v>
      </c>
      <c r="D127" s="8">
        <f>(M66*($E66/365))+(M67*($E67/365))</f>
        <v>42.374429223744301</v>
      </c>
      <c r="E127" s="64">
        <f>SUM(B127:D127)</f>
        <v>67.374429223744301</v>
      </c>
      <c r="G127" s="1">
        <v>2005</v>
      </c>
      <c r="H127" s="809">
        <f>(O66/$R66*100*($E66/365))+(O67/$R67*100*($E67/365))</f>
        <v>27.334465195246182</v>
      </c>
      <c r="I127" s="809"/>
      <c r="J127" s="809">
        <f>(P66/$R66*100*($E66/365))+(P67/$R67*100*($E67/365))</f>
        <v>0</v>
      </c>
      <c r="K127" s="809"/>
      <c r="L127" s="809">
        <f>(Q66/$R66*100*($E66/365))+(Q67/$R67*100*($E67/365))</f>
        <v>72.665534804753818</v>
      </c>
      <c r="M127" s="809"/>
      <c r="N127" s="781">
        <f>H127+J127+L127</f>
        <v>100</v>
      </c>
      <c r="O127" s="781"/>
      <c r="R127" s="1">
        <v>2005</v>
      </c>
      <c r="S127" s="8">
        <f>(O66*($E66/365))+(O67*($E67/365))</f>
        <v>16.100000000000001</v>
      </c>
      <c r="T127" s="8">
        <f>(P66*($E66/365))+(P67*($E67/365))</f>
        <v>0</v>
      </c>
      <c r="U127" s="8">
        <f>(Q66*($E66/365))+(Q67*($E67/365))</f>
        <v>42.8</v>
      </c>
      <c r="W127" s="14">
        <f t="shared" si="31"/>
        <v>58.9</v>
      </c>
    </row>
    <row r="128" spans="1:23" ht="9" customHeight="1" x14ac:dyDescent="0.15">
      <c r="A128" s="1">
        <v>2006</v>
      </c>
      <c r="B128" s="8">
        <f>(K68*($E68/365))*(K69*($E69/365))+(K70*($E70/365))</f>
        <v>42.777256520923245</v>
      </c>
      <c r="C128" s="8">
        <f>(L68*($E68/365))+($L69*($E69/365))+(L70*($E70/365))</f>
        <v>0</v>
      </c>
      <c r="D128" s="8">
        <f>(M68*($E68/365))+(M69*($E69/365))+(M70*($E70/365))</f>
        <v>41.666666666666671</v>
      </c>
      <c r="E128" s="64">
        <f t="shared" si="30"/>
        <v>84.443923187589917</v>
      </c>
      <c r="G128" s="1">
        <v>2006</v>
      </c>
      <c r="H128" s="809">
        <f>(O68/$R68*100*($E68/365))+(O69/$R69*100*($E69/365))+(O70/$R70*100*($E70/365))</f>
        <v>30.422062603032174</v>
      </c>
      <c r="I128" s="809"/>
      <c r="J128" s="809">
        <f>(P68/$R68*100*($E68/365))+(P69/$R69*100*($E69/365))+(P70/$R70*100*($E70/365))</f>
        <v>0</v>
      </c>
      <c r="K128" s="809"/>
      <c r="L128" s="809">
        <f>(Q68/$R68*100*($E68/365))+(Q69/$R69*100*($E69/365))+(Q70/$R70*100*($E70/365))</f>
        <v>69.577937396967826</v>
      </c>
      <c r="M128" s="809"/>
      <c r="N128" s="781">
        <f t="shared" si="29"/>
        <v>100</v>
      </c>
      <c r="O128" s="781"/>
      <c r="R128" s="1">
        <v>2006</v>
      </c>
      <c r="S128" s="8">
        <f>(O68*($E68/365))+(O69*($E69/365))+(O70*($E70/365))</f>
        <v>18.257534246575343</v>
      </c>
      <c r="T128" s="8">
        <f>(P68*($E68/365))+(P69*($E69/365))+(P70*($E70/365))</f>
        <v>0</v>
      </c>
      <c r="U128" s="8">
        <f>(Q68*($E68/365))+(Q69*($E69/365))+(Q70*($E70/365))</f>
        <v>41.690410958904103</v>
      </c>
      <c r="W128" s="14">
        <f t="shared" si="31"/>
        <v>59.947945205479442</v>
      </c>
    </row>
    <row r="129" spans="1:23" ht="9" customHeight="1" x14ac:dyDescent="0.15">
      <c r="A129" s="1">
        <v>2007</v>
      </c>
      <c r="B129" s="7">
        <f>(K71*($E71/365))+(K72*($E72/365))</f>
        <v>36.575342465753423</v>
      </c>
      <c r="C129" s="7">
        <f>(L71*($E71/365))+(L72*($E72/365))</f>
        <v>0</v>
      </c>
      <c r="D129" s="7">
        <f>(M71*($E71/365))+(M72*($E72/365))</f>
        <v>30.091324200913245</v>
      </c>
      <c r="E129" s="64">
        <f t="shared" si="30"/>
        <v>66.666666666666671</v>
      </c>
      <c r="G129" s="1">
        <v>2007</v>
      </c>
      <c r="H129" s="809">
        <f>(O71/$R71*100*($E71/365))+(O72/$R72*100*($E72/365))</f>
        <v>49.210219363681148</v>
      </c>
      <c r="I129" s="809"/>
      <c r="J129" s="809">
        <f>(P71/$R71*100*($E71/365))+(P72/$R72*100*($E72/365))</f>
        <v>0</v>
      </c>
      <c r="K129" s="809"/>
      <c r="L129" s="809">
        <f>(Q71/$R71*100*($E71/365))+(Q72/$R72*100*($E72/365))</f>
        <v>50.789780636318859</v>
      </c>
      <c r="M129" s="809"/>
      <c r="N129" s="781">
        <f t="shared" si="29"/>
        <v>100</v>
      </c>
      <c r="O129" s="781"/>
      <c r="R129" s="1">
        <v>2007</v>
      </c>
      <c r="S129" s="7">
        <f>(O71*($E71/365))+(O72*($E72/365))</f>
        <v>19.600000000000001</v>
      </c>
      <c r="T129" s="7">
        <f>(P71*($E71/365))+(P72*($E72/365))</f>
        <v>0</v>
      </c>
      <c r="U129" s="7">
        <f>(Q71*($E71/365))+(Q72*($E72/365))</f>
        <v>26.137260273972604</v>
      </c>
      <c r="W129" s="14">
        <f t="shared" si="31"/>
        <v>45.737260273972609</v>
      </c>
    </row>
    <row r="130" spans="1:23" ht="9" customHeight="1" x14ac:dyDescent="0.15">
      <c r="A130" s="1">
        <v>2008</v>
      </c>
      <c r="B130" s="7">
        <f>(K73*($E73/366))+(K74*($E74/366))</f>
        <v>29.030054644808743</v>
      </c>
      <c r="C130" s="7">
        <f>(L73*($E73/366))+(L74*($E74/366))</f>
        <v>0</v>
      </c>
      <c r="D130" s="7">
        <f>(M73*($E73/366))+(M74*($E74/366))</f>
        <v>51.616575591985431</v>
      </c>
      <c r="E130" s="64">
        <f t="shared" si="30"/>
        <v>80.646630236794181</v>
      </c>
      <c r="G130" s="1">
        <v>2008</v>
      </c>
      <c r="H130" s="809">
        <f>(O73/$R73*100*($E73/366))+(O74/$R74*100*($E74/366))</f>
        <v>38.215619663778298</v>
      </c>
      <c r="I130" s="809"/>
      <c r="J130" s="809">
        <f>(P73/$R73*100*($E73/366))+(P74/$R74*100*($E74/366))</f>
        <v>0</v>
      </c>
      <c r="K130" s="809"/>
      <c r="L130" s="809">
        <f>(Q73/$R73*100*($E73/366))+(Q74/$R74*100*($E74/366))</f>
        <v>61.784380336221723</v>
      </c>
      <c r="M130" s="809"/>
      <c r="N130" s="781">
        <f t="shared" si="29"/>
        <v>100.00000000000003</v>
      </c>
      <c r="O130" s="781"/>
      <c r="R130" s="1">
        <v>2008</v>
      </c>
      <c r="S130" s="7">
        <f>(O73*($E73/366))+(O74*($E74/366))</f>
        <v>19.600000000000001</v>
      </c>
      <c r="T130" s="7">
        <f>(P73*($E73/366))+(P74*($E74/366))</f>
        <v>0</v>
      </c>
      <c r="U130" s="7">
        <f>(Q73*($E73/366))+(Q74*($E74/366))</f>
        <v>35.825409836065575</v>
      </c>
      <c r="W130" s="14">
        <f t="shared" si="31"/>
        <v>55.425409836065576</v>
      </c>
    </row>
    <row r="131" spans="1:23" ht="9" customHeight="1" x14ac:dyDescent="0.15">
      <c r="A131" s="1">
        <v>2009</v>
      </c>
      <c r="B131" s="7">
        <f>(K75*($E75/365))+(K76*($E76/365))</f>
        <v>25</v>
      </c>
      <c r="C131" s="7">
        <f>(L75*($E75/365))+(L76*($E76/365))</f>
        <v>0</v>
      </c>
      <c r="D131" s="7">
        <f>(M75*($E75/365))+(M76*($E76/365))</f>
        <v>58.333333333333336</v>
      </c>
      <c r="E131" s="64">
        <f t="shared" si="30"/>
        <v>83.333333333333343</v>
      </c>
      <c r="G131" s="1">
        <v>2009</v>
      </c>
      <c r="H131" s="809">
        <f>(O75/$R75*100*($E75/365))+(O76/$R76*100*($E76/365))</f>
        <v>32.343234323432348</v>
      </c>
      <c r="I131" s="809"/>
      <c r="J131" s="809">
        <f>(P75/$R75*100*($E75/365))+(P76/$R76*100*($E76/365))</f>
        <v>0</v>
      </c>
      <c r="K131" s="809"/>
      <c r="L131" s="809">
        <f>(Q75/$R75*100*($E75/365))+(Q76/$R76*100*($E76/365))</f>
        <v>67.656765676567659</v>
      </c>
      <c r="M131" s="809"/>
      <c r="N131" s="781">
        <f t="shared" si="29"/>
        <v>100</v>
      </c>
      <c r="O131" s="781"/>
      <c r="R131" s="1">
        <v>2009</v>
      </c>
      <c r="S131" s="7">
        <f>(O75*($E75/365))+(O76*($E76/365))</f>
        <v>19.600000000000001</v>
      </c>
      <c r="T131" s="7">
        <f>(P75*($E75/365))+(P76*($E76/365))</f>
        <v>0</v>
      </c>
      <c r="U131" s="7">
        <f>(Q75*($E75/365))+(Q76*($E76/365))</f>
        <v>41</v>
      </c>
      <c r="W131" s="14">
        <f t="shared" si="31"/>
        <v>60.6</v>
      </c>
    </row>
    <row r="132" spans="1:23" ht="9" customHeight="1" x14ac:dyDescent="0.15">
      <c r="A132" s="1">
        <v>2010</v>
      </c>
      <c r="B132" s="7">
        <f>(K77*($E77/365))+(K78*($E78/365))</f>
        <v>25</v>
      </c>
      <c r="C132" s="7">
        <f>(L77*($E77/365))+(L78*($E78/365))</f>
        <v>0</v>
      </c>
      <c r="D132" s="7">
        <f>(M77*($E77/365))+(M78*($E78/365))</f>
        <v>45.776255707762559</v>
      </c>
      <c r="E132" s="64">
        <f t="shared" si="30"/>
        <v>70.776255707762559</v>
      </c>
      <c r="G132" s="1">
        <v>2010</v>
      </c>
      <c r="H132" s="809">
        <f>(O77/$R77*100*($E77/365))+(O78/$R78*100*($E78/365))</f>
        <v>36.995771859319419</v>
      </c>
      <c r="I132" s="809"/>
      <c r="J132" s="809">
        <f>(P77/$R77*100*($E77/365))+(P78/$R78*100*($E78/365))</f>
        <v>0</v>
      </c>
      <c r="K132" s="809"/>
      <c r="L132" s="809">
        <f>(Q77/$R77*100*($E77/365))+(Q78/$R78*100*($E78/365))</f>
        <v>63.004228140680581</v>
      </c>
      <c r="M132" s="809"/>
      <c r="N132" s="781">
        <f t="shared" si="29"/>
        <v>100</v>
      </c>
      <c r="O132" s="781"/>
      <c r="R132" s="1">
        <v>2010</v>
      </c>
      <c r="S132" s="7">
        <f>(O77*($E77/365))+(O78*($E78/365))</f>
        <v>19.600000000000001</v>
      </c>
      <c r="T132" s="7">
        <f>(P77*($E77/365))+(P78*($E78/365))</f>
        <v>0</v>
      </c>
      <c r="U132" s="7">
        <f>(Q77*($E77/365))+(Q78*($E78/365))</f>
        <v>33.563013698630137</v>
      </c>
      <c r="W132" s="14">
        <f t="shared" si="31"/>
        <v>53.163013698630138</v>
      </c>
    </row>
    <row r="133" spans="1:23" ht="9" customHeight="1" x14ac:dyDescent="0.15">
      <c r="A133" s="1">
        <v>2011</v>
      </c>
      <c r="B133" s="7">
        <f>(K79*($E79/365))+(K80*($E80/365))+(K81*($E81/365))</f>
        <v>14.794520547945206</v>
      </c>
      <c r="C133" s="7">
        <f>(L79*($E79/365))+(L80*($E80/365))+(L81*($E81/365))</f>
        <v>0</v>
      </c>
      <c r="D133" s="7">
        <f>(M79*($E79/365))+(M80*($E80/365))+(M81*($E81/365))</f>
        <v>43.37899543378996</v>
      </c>
      <c r="E133" s="64">
        <f t="shared" si="30"/>
        <v>58.173515981735164</v>
      </c>
      <c r="G133" s="1">
        <v>2011</v>
      </c>
      <c r="H133" s="809">
        <f>(O79/$R79*100*($E79/365))+(O80/$R80*100*($E80/365))+(O81/$R81*100*($E81/365))</f>
        <v>21.261519302615191</v>
      </c>
      <c r="I133" s="809"/>
      <c r="J133" s="809">
        <f>(P79/$R79*100*($E79/365))+(P80/$R80*100*($E80/365))+(P81/$R81*100*($E81/365))</f>
        <v>0</v>
      </c>
      <c r="K133" s="809"/>
      <c r="L133" s="809">
        <f>(Q79/$R79*100*($E79/365))+(Q80/$R80*100*($E80/365))+(Q81/$R81*100*($E81/365))</f>
        <v>78.738480697384801</v>
      </c>
      <c r="M133" s="809"/>
      <c r="N133" s="781">
        <f t="shared" si="29"/>
        <v>100</v>
      </c>
      <c r="O133" s="781"/>
      <c r="R133" s="1">
        <v>2011</v>
      </c>
      <c r="S133" s="7">
        <f>(O79*($E79/365))+(O80*($E80/365))+(O81*($E81/365))</f>
        <v>10.879726027397261</v>
      </c>
      <c r="T133" s="7">
        <f>(P79*($E79/365))+(P80*($E80/365))+(P81*($E81/365))</f>
        <v>0</v>
      </c>
      <c r="U133" s="7">
        <f>(Q79*($E79/365))+(Q80*($E80/365))+(Q81*($E81/365))</f>
        <v>33.204657534246579</v>
      </c>
      <c r="W133" s="14">
        <f t="shared" si="31"/>
        <v>44.08438356164384</v>
      </c>
    </row>
    <row r="134" spans="1:23" ht="9" customHeight="1" x14ac:dyDescent="0.15">
      <c r="A134" s="1">
        <v>2012</v>
      </c>
      <c r="B134" s="7">
        <f>(K82*($E82/366))+(K83*($E83/366))+(K84*($E84/366))</f>
        <v>0</v>
      </c>
      <c r="C134" s="7">
        <f>(L82*($E82/366))+(L83*($E83/366))+(L84*($E84/366))</f>
        <v>0</v>
      </c>
      <c r="D134" s="7">
        <f>(M82*($E82/366))+(M83*($E83/366))+(M84*($E84/366))</f>
        <v>33.424408014571945</v>
      </c>
      <c r="E134" s="64">
        <f t="shared" si="30"/>
        <v>33.424408014571945</v>
      </c>
      <c r="G134" s="1">
        <v>2012</v>
      </c>
      <c r="H134" s="809">
        <f>(O82/$R82*100*($E82/366))+(O83/$R83*100*($E83/366))+(O84/$R84*100*($E84/366))</f>
        <v>0</v>
      </c>
      <c r="I134" s="809"/>
      <c r="J134" s="809">
        <f>(P82/$R82*100*($E82/366))+(P83/$R83*100*($E83/366))+(P84/$R84*100*($E84/366))</f>
        <v>0</v>
      </c>
      <c r="K134" s="809"/>
      <c r="L134" s="809">
        <f>(Q82/$R82*100*($E82/366))+(Q83/$R83*100*($E83/366))+(Q84/$R84*100*($E84/366))</f>
        <v>99.999999999999986</v>
      </c>
      <c r="M134" s="809"/>
      <c r="N134" s="781">
        <f t="shared" si="29"/>
        <v>99.999999999999986</v>
      </c>
      <c r="O134" s="781"/>
      <c r="R134" s="1">
        <v>2012</v>
      </c>
      <c r="S134" s="7">
        <f>(O82*($E82/366))+(O83*($E83/366))+(O84*($E84/366))</f>
        <v>0</v>
      </c>
      <c r="T134" s="7">
        <f>(P82*($E82/366))+(P83*($E83/366))+(P84*($E84/366))</f>
        <v>0</v>
      </c>
      <c r="U134" s="7">
        <f>(Q82*($E82/366))+(Q83*($E83/366))+(Q84*($E84/366))</f>
        <v>33.9</v>
      </c>
      <c r="W134" s="14">
        <f t="shared" si="31"/>
        <v>33.9</v>
      </c>
    </row>
    <row r="135" spans="1:23" ht="9" customHeight="1" x14ac:dyDescent="0.15">
      <c r="A135" s="1">
        <v>2013</v>
      </c>
      <c r="B135" s="7">
        <f>(K85*($E85/365))+(K86*($E86/365))+(K87*($E87/365))</f>
        <v>83.333333333333343</v>
      </c>
      <c r="C135" s="7">
        <f>(L85*($E85/365))+(L86*($E86/365))+(L87*($E87/365))</f>
        <v>0</v>
      </c>
      <c r="D135" s="7">
        <f>(M85*($E85/365))+(M86*($E86/365))+(M87*($E87/365))</f>
        <v>3.9726027397260277</v>
      </c>
      <c r="E135" s="315">
        <f>SUM(B135:D135)</f>
        <v>87.305936073059371</v>
      </c>
      <c r="G135" s="1">
        <v>2013</v>
      </c>
      <c r="H135" s="809">
        <f>(O85/$R85*100*($E85/365))+(O86/$R86*100*($E86/365))+(O87/$R87*100*($E87/365))</f>
        <v>84.109589041095902</v>
      </c>
      <c r="I135" s="809"/>
      <c r="J135" s="809">
        <f>(P85/$R85*100*($E85/365))+(P86/$R86*100*($E86/365))+(P87/$R87*100*($E87/365))</f>
        <v>0</v>
      </c>
      <c r="K135" s="809"/>
      <c r="L135" s="809">
        <f>(Q85/$R85*100*($E85/365))+(Q86/$R86*100*($E86/365))+(Q87/$R87*100*($E87/365))</f>
        <v>15.890410958904111</v>
      </c>
      <c r="M135" s="809"/>
      <c r="N135" s="781">
        <f t="shared" si="29"/>
        <v>100.00000000000001</v>
      </c>
      <c r="O135" s="781"/>
      <c r="R135" s="1">
        <v>2013</v>
      </c>
      <c r="S135" s="7">
        <f>(O85*($E85/365))+(O86*($E86/365))+(O87*($E87/365))</f>
        <v>45.082739726027398</v>
      </c>
      <c r="T135" s="7">
        <f>(P85*($E85/365))+(P86*($E86/365))+(P87*($E87/365))</f>
        <v>0</v>
      </c>
      <c r="U135" s="7">
        <f>(Q85*($E85/365))+(Q86*($E86/365))+(Q87*($E87/365))</f>
        <v>5.3868493150684937</v>
      </c>
      <c r="W135" s="14">
        <f>SUM(S135:U135)</f>
        <v>50.469589041095894</v>
      </c>
    </row>
    <row r="136" spans="1:23" ht="9" customHeight="1" x14ac:dyDescent="0.15">
      <c r="A136" s="1">
        <v>2014</v>
      </c>
      <c r="B136" s="7">
        <f>(K88*($E88/365))+(K89*($E89/365))+(K90*($E90/365))</f>
        <v>72.990867579908667</v>
      </c>
      <c r="C136" s="7">
        <f>(L88*($E88/365))+(L89*($E89/365))+(L90*($E90/365))</f>
        <v>0</v>
      </c>
      <c r="D136" s="7">
        <f>(M88*($E88/365))+(M89*($E89/365))+(M90*($E90/365))</f>
        <v>0</v>
      </c>
      <c r="E136" s="521">
        <f>SUM(B136:D136)</f>
        <v>72.990867579908667</v>
      </c>
      <c r="G136" s="1">
        <v>2014</v>
      </c>
      <c r="H136" s="809">
        <f>(O88/$R88*100*($E88/365))+(O89/$R89*100*($E89/365))+(O90/$R90*100*($E90/365))</f>
        <v>100</v>
      </c>
      <c r="I136" s="809"/>
      <c r="J136" s="809">
        <f>(P88/$R88*100*($E88/365))+(P89/$R89*100*($E89/365))+(P90/$R90*100*($E90/365))</f>
        <v>0</v>
      </c>
      <c r="K136" s="809"/>
      <c r="L136" s="809">
        <f>(Q88/$R88*100*($E88/365))+(Q89/$R89*100*($E89/365))+(Q90/$R90*100*($E90/365))</f>
        <v>0</v>
      </c>
      <c r="M136" s="809"/>
      <c r="N136" s="781">
        <f t="shared" si="29"/>
        <v>100</v>
      </c>
      <c r="O136" s="781"/>
      <c r="R136" s="1">
        <v>2014</v>
      </c>
      <c r="S136" s="7">
        <f>(O88*($E88/365))+(O89*($E89/365))+(O90*($E90/365))</f>
        <v>40.675890410958907</v>
      </c>
      <c r="T136" s="7">
        <f>(P88*($E88/365))+(P89*($E89/365))+(P90*($E90/365))</f>
        <v>0</v>
      </c>
      <c r="U136" s="7">
        <f>(Q88*($E88/365))+(Q89*($E89/365))+(Q90*($E90/365))</f>
        <v>0</v>
      </c>
      <c r="W136" s="14">
        <f>SUM(S136:U136)</f>
        <v>40.675890410958907</v>
      </c>
    </row>
    <row r="137" spans="1:23" s="713" customFormat="1" ht="9" customHeight="1" x14ac:dyDescent="0.15">
      <c r="A137" s="713">
        <v>2015</v>
      </c>
      <c r="B137" s="711">
        <f>(K91*($E91/365))+(K92*($E92/365))</f>
        <v>75</v>
      </c>
      <c r="C137" s="711">
        <f>(L91*($E91/365))+(L92*($E92/365))</f>
        <v>0</v>
      </c>
      <c r="D137" s="711">
        <f>(M91*($E91/365))+(M92*($E92/365))</f>
        <v>0</v>
      </c>
      <c r="E137" s="708">
        <f>SUM(B137:D137)</f>
        <v>75</v>
      </c>
      <c r="G137" s="713">
        <v>2015</v>
      </c>
      <c r="H137" s="809">
        <f>(O91/$R91*100*($E91/365))+(O92/$R92*100*($E92/365))</f>
        <v>100</v>
      </c>
      <c r="I137" s="809"/>
      <c r="J137" s="809">
        <f>(P91/$R91*100*($E91/365))+(P92/$R92*100*($E92/365))</f>
        <v>0</v>
      </c>
      <c r="K137" s="809"/>
      <c r="L137" s="809">
        <f>(Q91/$R91*100*($E91/365))+(Q92/$R92*100*($E92/365))</f>
        <v>0</v>
      </c>
      <c r="M137" s="809"/>
      <c r="N137" s="781">
        <f>H137+J137+L137</f>
        <v>100</v>
      </c>
      <c r="O137" s="781"/>
      <c r="R137" s="713">
        <v>2015</v>
      </c>
      <c r="S137" s="711">
        <f>(O91*($E91/365))+(O92*($E92/365))</f>
        <v>37.5</v>
      </c>
      <c r="T137" s="711">
        <f>(P91*($E91/365))+(P92*($E92/365))</f>
        <v>0</v>
      </c>
      <c r="U137" s="711">
        <f>(Q91*($E91/365))+(Q92*($E92/365))</f>
        <v>0</v>
      </c>
      <c r="W137" s="712">
        <f>SUM(S137:U137)</f>
        <v>37.5</v>
      </c>
    </row>
    <row r="138" spans="1:23" s="713" customFormat="1" ht="9" customHeight="1" x14ac:dyDescent="0.15">
      <c r="B138" s="711"/>
      <c r="C138" s="711"/>
      <c r="D138" s="711"/>
      <c r="E138" s="708"/>
    </row>
  </sheetData>
  <mergeCells count="273">
    <mergeCell ref="H137:I137"/>
    <mergeCell ref="J137:K137"/>
    <mergeCell ref="L137:M137"/>
    <mergeCell ref="N137:O137"/>
    <mergeCell ref="C77:D77"/>
    <mergeCell ref="J103:K103"/>
    <mergeCell ref="J104:K104"/>
    <mergeCell ref="AT4:AW4"/>
    <mergeCell ref="AX4:BA4"/>
    <mergeCell ref="C85:D85"/>
    <mergeCell ref="C86:D86"/>
    <mergeCell ref="C87:D87"/>
    <mergeCell ref="C39:D39"/>
    <mergeCell ref="C40:D40"/>
    <mergeCell ref="Z4:AC4"/>
    <mergeCell ref="AD4:AG4"/>
    <mergeCell ref="AH4:AK4"/>
    <mergeCell ref="AL4:AO4"/>
    <mergeCell ref="U4:U5"/>
    <mergeCell ref="V4:Y4"/>
    <mergeCell ref="AP4:AS4"/>
    <mergeCell ref="S4:S5"/>
    <mergeCell ref="T4:T5"/>
    <mergeCell ref="C41:D41"/>
    <mergeCell ref="C42:D42"/>
    <mergeCell ref="C91:D91"/>
    <mergeCell ref="C92:D92"/>
    <mergeCell ref="C43:D43"/>
    <mergeCell ref="C69:D69"/>
    <mergeCell ref="C80:D80"/>
    <mergeCell ref="J122:K122"/>
    <mergeCell ref="J123:K123"/>
    <mergeCell ref="J124:K124"/>
    <mergeCell ref="C52:D52"/>
    <mergeCell ref="C53:D53"/>
    <mergeCell ref="C54:D54"/>
    <mergeCell ref="C55:D55"/>
    <mergeCell ref="C56:D56"/>
    <mergeCell ref="C57:D57"/>
    <mergeCell ref="J106:K106"/>
    <mergeCell ref="C78:D78"/>
    <mergeCell ref="C68:D68"/>
    <mergeCell ref="C70:D70"/>
    <mergeCell ref="C71:D71"/>
    <mergeCell ref="C72:D72"/>
    <mergeCell ref="C67:D67"/>
    <mergeCell ref="C66:D66"/>
    <mergeCell ref="C58:D58"/>
    <mergeCell ref="H106:I106"/>
    <mergeCell ref="J121:K121"/>
    <mergeCell ref="H99:I99"/>
    <mergeCell ref="J99:K99"/>
    <mergeCell ref="L99:M99"/>
    <mergeCell ref="L112:M112"/>
    <mergeCell ref="L113:M113"/>
    <mergeCell ref="J113:K113"/>
    <mergeCell ref="J114:K114"/>
    <mergeCell ref="J115:K115"/>
    <mergeCell ref="H109:I109"/>
    <mergeCell ref="J109:K109"/>
    <mergeCell ref="L109:M109"/>
    <mergeCell ref="L116:M116"/>
    <mergeCell ref="L117:M117"/>
    <mergeCell ref="H115:I115"/>
    <mergeCell ref="J112:K112"/>
    <mergeCell ref="J120:K120"/>
    <mergeCell ref="L118:M118"/>
    <mergeCell ref="H116:I116"/>
    <mergeCell ref="H117:I117"/>
    <mergeCell ref="H118:I118"/>
    <mergeCell ref="H119:I119"/>
    <mergeCell ref="L103:M103"/>
    <mergeCell ref="N117:O117"/>
    <mergeCell ref="N118:O118"/>
    <mergeCell ref="N119:O119"/>
    <mergeCell ref="L120:M120"/>
    <mergeCell ref="L121:M121"/>
    <mergeCell ref="N120:O120"/>
    <mergeCell ref="N109:O109"/>
    <mergeCell ref="N112:O112"/>
    <mergeCell ref="N113:O113"/>
    <mergeCell ref="N114:O114"/>
    <mergeCell ref="N115:O115"/>
    <mergeCell ref="L110:M110"/>
    <mergeCell ref="L111:M111"/>
    <mergeCell ref="N121:O121"/>
    <mergeCell ref="N111:O111"/>
    <mergeCell ref="L114:M114"/>
    <mergeCell ref="L119:M119"/>
    <mergeCell ref="L115:M115"/>
    <mergeCell ref="N116:O116"/>
    <mergeCell ref="N122:O122"/>
    <mergeCell ref="N129:O129"/>
    <mergeCell ref="N123:O123"/>
    <mergeCell ref="N124:O124"/>
    <mergeCell ref="N125:O125"/>
    <mergeCell ref="N126:O126"/>
    <mergeCell ref="N127:O127"/>
    <mergeCell ref="N128:O128"/>
    <mergeCell ref="L134:M134"/>
    <mergeCell ref="N134:O134"/>
    <mergeCell ref="L126:M126"/>
    <mergeCell ref="L127:M127"/>
    <mergeCell ref="L122:M122"/>
    <mergeCell ref="L123:M123"/>
    <mergeCell ref="N132:O132"/>
    <mergeCell ref="N133:O133"/>
    <mergeCell ref="N130:O130"/>
    <mergeCell ref="N131:O131"/>
    <mergeCell ref="L130:M130"/>
    <mergeCell ref="L131:M131"/>
    <mergeCell ref="L124:M124"/>
    <mergeCell ref="L125:M125"/>
    <mergeCell ref="L132:M132"/>
    <mergeCell ref="H133:I133"/>
    <mergeCell ref="H122:I122"/>
    <mergeCell ref="H123:I123"/>
    <mergeCell ref="H124:I124"/>
    <mergeCell ref="H125:I125"/>
    <mergeCell ref="H126:I126"/>
    <mergeCell ref="H127:I127"/>
    <mergeCell ref="H128:I128"/>
    <mergeCell ref="H129:I129"/>
    <mergeCell ref="J133:K133"/>
    <mergeCell ref="J125:K125"/>
    <mergeCell ref="J126:K126"/>
    <mergeCell ref="J127:K127"/>
    <mergeCell ref="J128:K128"/>
    <mergeCell ref="L133:M133"/>
    <mergeCell ref="L128:M128"/>
    <mergeCell ref="L129:M129"/>
    <mergeCell ref="J131:K131"/>
    <mergeCell ref="L104:M104"/>
    <mergeCell ref="N110:O110"/>
    <mergeCell ref="N103:O103"/>
    <mergeCell ref="N104:O104"/>
    <mergeCell ref="N105:O105"/>
    <mergeCell ref="N106:O106"/>
    <mergeCell ref="L106:M106"/>
    <mergeCell ref="N107:O107"/>
    <mergeCell ref="L107:M107"/>
    <mergeCell ref="N108:O108"/>
    <mergeCell ref="L105:M105"/>
    <mergeCell ref="L108:M108"/>
    <mergeCell ref="A4:A5"/>
    <mergeCell ref="B4:B5"/>
    <mergeCell ref="C4:D5"/>
    <mergeCell ref="E4:E5"/>
    <mergeCell ref="F4:F5"/>
    <mergeCell ref="G4:J4"/>
    <mergeCell ref="C9:D9"/>
    <mergeCell ref="C36:D36"/>
    <mergeCell ref="K4:N4"/>
    <mergeCell ref="C16:D16"/>
    <mergeCell ref="C17:D17"/>
    <mergeCell ref="C18:D18"/>
    <mergeCell ref="C19:D19"/>
    <mergeCell ref="C20:D20"/>
    <mergeCell ref="C22:D22"/>
    <mergeCell ref="C10:D10"/>
    <mergeCell ref="C29:D29"/>
    <mergeCell ref="C30:D30"/>
    <mergeCell ref="C31:D31"/>
    <mergeCell ref="G3:M3"/>
    <mergeCell ref="O3:Q3"/>
    <mergeCell ref="C37:D37"/>
    <mergeCell ref="C38:D38"/>
    <mergeCell ref="O4:R4"/>
    <mergeCell ref="C65:D65"/>
    <mergeCell ref="C46:D46"/>
    <mergeCell ref="C47:D47"/>
    <mergeCell ref="C48:D48"/>
    <mergeCell ref="C35:D35"/>
    <mergeCell ref="C6:D8"/>
    <mergeCell ref="C13:D13"/>
    <mergeCell ref="C21:D21"/>
    <mergeCell ref="C24:D24"/>
    <mergeCell ref="C25:D25"/>
    <mergeCell ref="C63:D63"/>
    <mergeCell ref="C64:D64"/>
    <mergeCell ref="C49:D49"/>
    <mergeCell ref="C44:D44"/>
    <mergeCell ref="C45:D45"/>
    <mergeCell ref="C61:D61"/>
    <mergeCell ref="C62:D62"/>
    <mergeCell ref="C50:D50"/>
    <mergeCell ref="C51:D51"/>
    <mergeCell ref="C59:D59"/>
    <mergeCell ref="C60:D60"/>
    <mergeCell ref="C83:D83"/>
    <mergeCell ref="J102:K102"/>
    <mergeCell ref="J105:K105"/>
    <mergeCell ref="C75:D75"/>
    <mergeCell ref="C76:D76"/>
    <mergeCell ref="C79:D79"/>
    <mergeCell ref="C73:D73"/>
    <mergeCell ref="C74:D74"/>
    <mergeCell ref="C81:D81"/>
    <mergeCell ref="C84:D84"/>
    <mergeCell ref="C82:D82"/>
    <mergeCell ref="L136:M136"/>
    <mergeCell ref="N136:O136"/>
    <mergeCell ref="C88:D88"/>
    <mergeCell ref="C89:D89"/>
    <mergeCell ref="C90:D90"/>
    <mergeCell ref="N135:O135"/>
    <mergeCell ref="H135:I135"/>
    <mergeCell ref="H100:I100"/>
    <mergeCell ref="J100:K100"/>
    <mergeCell ref="L100:M100"/>
    <mergeCell ref="N100:O100"/>
    <mergeCell ref="H101:I101"/>
    <mergeCell ref="J101:K101"/>
    <mergeCell ref="L101:M101"/>
    <mergeCell ref="N101:O101"/>
    <mergeCell ref="L135:M135"/>
    <mergeCell ref="H112:I112"/>
    <mergeCell ref="H113:I113"/>
    <mergeCell ref="H136:I136"/>
    <mergeCell ref="H102:I102"/>
    <mergeCell ref="H103:I103"/>
    <mergeCell ref="H104:I104"/>
    <mergeCell ref="H105:I105"/>
    <mergeCell ref="J135:K135"/>
    <mergeCell ref="J136:K136"/>
    <mergeCell ref="H107:I107"/>
    <mergeCell ref="J107:K107"/>
    <mergeCell ref="H108:I108"/>
    <mergeCell ref="J108:K108"/>
    <mergeCell ref="H120:I120"/>
    <mergeCell ref="H121:I121"/>
    <mergeCell ref="H130:I130"/>
    <mergeCell ref="H131:I131"/>
    <mergeCell ref="J129:K129"/>
    <mergeCell ref="J130:K130"/>
    <mergeCell ref="H134:I134"/>
    <mergeCell ref="J116:K116"/>
    <mergeCell ref="J117:K117"/>
    <mergeCell ref="J118:K118"/>
    <mergeCell ref="J119:K119"/>
    <mergeCell ref="H111:I111"/>
    <mergeCell ref="J111:K111"/>
    <mergeCell ref="J134:K134"/>
    <mergeCell ref="H114:I114"/>
    <mergeCell ref="H110:I110"/>
    <mergeCell ref="J110:K110"/>
    <mergeCell ref="J132:K132"/>
    <mergeCell ref="H132:I132"/>
    <mergeCell ref="V35:Y35"/>
    <mergeCell ref="V36:Y36"/>
    <mergeCell ref="V37:Y37"/>
    <mergeCell ref="V38:Y38"/>
    <mergeCell ref="V39:Y39"/>
    <mergeCell ref="V40:Y40"/>
    <mergeCell ref="V41:Y41"/>
    <mergeCell ref="V42:Y42"/>
    <mergeCell ref="L102:M102"/>
    <mergeCell ref="R97:W97"/>
    <mergeCell ref="N99:O99"/>
    <mergeCell ref="N102:O102"/>
    <mergeCell ref="V33:Y33"/>
    <mergeCell ref="V34:Y34"/>
    <mergeCell ref="C11:D11"/>
    <mergeCell ref="C12:D12"/>
    <mergeCell ref="C14:D14"/>
    <mergeCell ref="C15:D15"/>
    <mergeCell ref="C23:D23"/>
    <mergeCell ref="C26:D26"/>
    <mergeCell ref="C27:D27"/>
    <mergeCell ref="C28:D28"/>
    <mergeCell ref="C32:D32"/>
    <mergeCell ref="C33:D33"/>
    <mergeCell ref="C34:D34"/>
  </mergeCells>
  <phoneticPr fontId="0" type="noConversion"/>
  <pageMargins left="0.78740157499999996" right="0.78740157499999996" top="0.984251969" bottom="0.984251969" header="0.4921259845" footer="0.4921259845"/>
  <pageSetup paperSize="9" scale="57" fitToWidth="0" orientation="landscape"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99"/>
  <sheetViews>
    <sheetView zoomScale="120" zoomScaleNormal="120" workbookViewId="0">
      <pane xSplit="1" ySplit="5" topLeftCell="B52" activePane="bottomRight" state="frozen"/>
      <selection pane="topRight" activeCell="B1" sqref="B1"/>
      <selection pane="bottomLeft" activeCell="A6" sqref="A6"/>
      <selection pane="bottomRight" activeCell="W97" sqref="W97"/>
    </sheetView>
  </sheetViews>
  <sheetFormatPr baseColWidth="10" defaultColWidth="10.7109375" defaultRowHeight="9" x14ac:dyDescent="0.15"/>
  <cols>
    <col min="1" max="1" width="5.85546875" style="1" customWidth="1"/>
    <col min="2" max="6" width="7.85546875" style="1" customWidth="1"/>
    <col min="7" max="18" width="4.5703125" style="1" customWidth="1"/>
    <col min="19" max="21" width="7.85546875" style="1" customWidth="1"/>
    <col min="22" max="53" width="5.7109375" style="1" customWidth="1"/>
    <col min="54" max="16384" width="10.7109375" style="1"/>
  </cols>
  <sheetData>
    <row r="1" spans="1:53" s="2" customFormat="1" ht="15" customHeight="1" x14ac:dyDescent="0.2">
      <c r="B1" s="22" t="s">
        <v>14</v>
      </c>
    </row>
    <row r="2" spans="1:53" s="2" customFormat="1" ht="15" customHeight="1" x14ac:dyDescent="0.2">
      <c r="B2" s="22" t="s">
        <v>138</v>
      </c>
    </row>
    <row r="3" spans="1:53" s="2" customFormat="1" x14ac:dyDescent="0.15">
      <c r="G3" s="814"/>
      <c r="H3" s="814"/>
      <c r="I3" s="814"/>
      <c r="J3" s="814"/>
      <c r="K3" s="814"/>
      <c r="L3" s="814"/>
      <c r="M3" s="814"/>
      <c r="O3" s="814"/>
      <c r="P3" s="814"/>
      <c r="Q3" s="814"/>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1" t="s">
        <v>23</v>
      </c>
      <c r="AU5" s="351" t="s">
        <v>24</v>
      </c>
      <c r="AV5" s="351" t="s">
        <v>25</v>
      </c>
      <c r="AW5" s="353" t="s">
        <v>1217</v>
      </c>
      <c r="AX5" s="351" t="s">
        <v>23</v>
      </c>
      <c r="AY5" s="351" t="s">
        <v>24</v>
      </c>
      <c r="AZ5" s="351" t="s">
        <v>25</v>
      </c>
      <c r="BA5" s="354" t="s">
        <v>1217</v>
      </c>
    </row>
    <row r="6" spans="1:53" s="73" customFormat="1" x14ac:dyDescent="0.15">
      <c r="A6" s="73">
        <v>1990</v>
      </c>
      <c r="B6" s="85"/>
      <c r="C6" s="826" t="s">
        <v>1283</v>
      </c>
      <c r="D6" s="826"/>
      <c r="E6" s="73">
        <v>176</v>
      </c>
      <c r="G6" s="480"/>
      <c r="H6" s="531"/>
      <c r="I6" s="531"/>
      <c r="J6" s="482"/>
      <c r="K6" s="477"/>
      <c r="L6" s="477"/>
      <c r="M6" s="477"/>
      <c r="N6" s="481"/>
      <c r="O6" s="476"/>
      <c r="P6" s="477"/>
      <c r="Q6" s="477"/>
      <c r="R6" s="478"/>
      <c r="T6" s="95"/>
      <c r="U6" s="85"/>
      <c r="V6" s="82"/>
      <c r="Y6" s="83"/>
      <c r="AD6" s="82"/>
      <c r="AG6" s="83"/>
      <c r="AL6" s="82"/>
      <c r="AO6" s="83"/>
      <c r="AP6" s="82"/>
      <c r="AS6" s="83"/>
      <c r="AW6" s="83"/>
      <c r="BA6" s="84"/>
    </row>
    <row r="7" spans="1:53" s="334" customFormat="1" x14ac:dyDescent="0.15">
      <c r="A7" s="334">
        <v>1990</v>
      </c>
      <c r="B7" s="355">
        <v>33050</v>
      </c>
      <c r="C7" s="812" t="s">
        <v>1073</v>
      </c>
      <c r="D7" s="812"/>
      <c r="E7" s="334">
        <v>189</v>
      </c>
      <c r="F7" s="334" t="s">
        <v>348</v>
      </c>
      <c r="G7" s="497">
        <v>10</v>
      </c>
      <c r="H7" s="532">
        <v>3</v>
      </c>
      <c r="I7" s="532"/>
      <c r="J7" s="499">
        <v>21</v>
      </c>
      <c r="K7" s="495">
        <f t="shared" ref="K7:K37" si="0">G7/J7*100</f>
        <v>47.619047619047613</v>
      </c>
      <c r="L7" s="495">
        <f t="shared" ref="L7:L37" si="1">H7/J7*100</f>
        <v>14.285714285714285</v>
      </c>
      <c r="M7" s="495">
        <f t="shared" ref="M7:M37" si="2">I7/J7*100</f>
        <v>0</v>
      </c>
      <c r="N7" s="498">
        <f t="shared" ref="N7:N37" si="3">SUM(K7:M7)</f>
        <v>61.904761904761898</v>
      </c>
      <c r="O7" s="494">
        <v>63</v>
      </c>
      <c r="P7" s="495">
        <v>20</v>
      </c>
      <c r="Q7" s="495"/>
      <c r="R7" s="496">
        <f t="shared" ref="R7:R57" si="4">SUM(O7:Q7)</f>
        <v>83</v>
      </c>
      <c r="S7" s="334">
        <v>3</v>
      </c>
      <c r="T7" s="342">
        <v>33033</v>
      </c>
      <c r="U7" s="355">
        <v>33050</v>
      </c>
      <c r="V7" s="343" t="s">
        <v>1087</v>
      </c>
      <c r="W7" s="334" t="s">
        <v>22</v>
      </c>
      <c r="X7" s="334" t="s">
        <v>11</v>
      </c>
      <c r="Y7" s="344">
        <v>63</v>
      </c>
      <c r="Z7" s="334" t="s">
        <v>1088</v>
      </c>
      <c r="AA7" s="334" t="s">
        <v>1089</v>
      </c>
      <c r="AB7" s="334" t="s">
        <v>18</v>
      </c>
      <c r="AC7" s="334">
        <v>11</v>
      </c>
      <c r="AD7" s="343" t="s">
        <v>1090</v>
      </c>
      <c r="AE7" s="334" t="s">
        <v>17</v>
      </c>
      <c r="AF7" s="334" t="s">
        <v>18</v>
      </c>
      <c r="AG7" s="344">
        <v>9</v>
      </c>
      <c r="AL7" s="343"/>
      <c r="AO7" s="344"/>
      <c r="AP7" s="343"/>
      <c r="AS7" s="344"/>
      <c r="AW7" s="344"/>
      <c r="BA7" s="345"/>
    </row>
    <row r="8" spans="1:53" s="334" customFormat="1" x14ac:dyDescent="0.15">
      <c r="A8" s="334">
        <v>1991</v>
      </c>
      <c r="B8" s="355"/>
      <c r="C8" s="812" t="s">
        <v>1073</v>
      </c>
      <c r="D8" s="812"/>
      <c r="E8" s="334">
        <v>0</v>
      </c>
      <c r="G8" s="497">
        <v>10</v>
      </c>
      <c r="H8" s="532">
        <v>3</v>
      </c>
      <c r="I8" s="532"/>
      <c r="J8" s="499">
        <v>21</v>
      </c>
      <c r="K8" s="495">
        <f t="shared" si="0"/>
        <v>47.619047619047613</v>
      </c>
      <c r="L8" s="495">
        <f t="shared" si="1"/>
        <v>14.285714285714285</v>
      </c>
      <c r="M8" s="495">
        <f t="shared" si="2"/>
        <v>0</v>
      </c>
      <c r="N8" s="498">
        <f t="shared" si="3"/>
        <v>61.904761904761898</v>
      </c>
      <c r="O8" s="494">
        <v>63</v>
      </c>
      <c r="P8" s="495">
        <v>20</v>
      </c>
      <c r="Q8" s="495"/>
      <c r="R8" s="496">
        <f t="shared" si="4"/>
        <v>83</v>
      </c>
      <c r="S8" s="334">
        <v>3</v>
      </c>
      <c r="T8" s="342"/>
      <c r="U8" s="355"/>
      <c r="V8" s="343" t="s">
        <v>1087</v>
      </c>
      <c r="W8" s="334" t="s">
        <v>22</v>
      </c>
      <c r="X8" s="334" t="s">
        <v>11</v>
      </c>
      <c r="Y8" s="344">
        <v>63</v>
      </c>
      <c r="Z8" s="334" t="s">
        <v>1088</v>
      </c>
      <c r="AA8" s="334" t="s">
        <v>1089</v>
      </c>
      <c r="AB8" s="334" t="s">
        <v>18</v>
      </c>
      <c r="AC8" s="334">
        <v>11</v>
      </c>
      <c r="AD8" s="343" t="s">
        <v>1090</v>
      </c>
      <c r="AE8" s="334" t="s">
        <v>17</v>
      </c>
      <c r="AF8" s="334" t="s">
        <v>18</v>
      </c>
      <c r="AG8" s="344">
        <v>9</v>
      </c>
      <c r="AL8" s="343"/>
      <c r="AO8" s="344"/>
      <c r="AP8" s="343"/>
      <c r="AS8" s="344"/>
      <c r="AW8" s="344"/>
      <c r="BA8" s="345"/>
    </row>
    <row r="9" spans="1:53" s="334" customFormat="1" x14ac:dyDescent="0.15">
      <c r="A9" s="334">
        <v>1991</v>
      </c>
      <c r="B9" s="355"/>
      <c r="C9" s="812" t="s">
        <v>1073</v>
      </c>
      <c r="D9" s="812"/>
      <c r="E9" s="334">
        <v>365</v>
      </c>
      <c r="G9" s="497">
        <v>10</v>
      </c>
      <c r="H9" s="532">
        <v>3</v>
      </c>
      <c r="I9" s="532"/>
      <c r="J9" s="499">
        <v>21</v>
      </c>
      <c r="K9" s="495">
        <f t="shared" si="0"/>
        <v>47.619047619047613</v>
      </c>
      <c r="L9" s="495">
        <f t="shared" si="1"/>
        <v>14.285714285714285</v>
      </c>
      <c r="M9" s="495">
        <f t="shared" si="2"/>
        <v>0</v>
      </c>
      <c r="N9" s="498">
        <f t="shared" si="3"/>
        <v>61.904761904761898</v>
      </c>
      <c r="O9" s="494">
        <v>63</v>
      </c>
      <c r="P9" s="495">
        <v>20</v>
      </c>
      <c r="Q9" s="495"/>
      <c r="R9" s="496">
        <f t="shared" si="4"/>
        <v>83</v>
      </c>
      <c r="S9" s="334">
        <v>3</v>
      </c>
      <c r="T9" s="342"/>
      <c r="U9" s="355"/>
      <c r="V9" s="343" t="s">
        <v>1087</v>
      </c>
      <c r="W9" s="334" t="s">
        <v>22</v>
      </c>
      <c r="X9" s="334" t="s">
        <v>11</v>
      </c>
      <c r="Y9" s="344">
        <v>63</v>
      </c>
      <c r="Z9" s="334" t="s">
        <v>1088</v>
      </c>
      <c r="AA9" s="334" t="s">
        <v>1089</v>
      </c>
      <c r="AB9" s="334" t="s">
        <v>18</v>
      </c>
      <c r="AC9" s="334">
        <v>11</v>
      </c>
      <c r="AD9" s="343" t="s">
        <v>1090</v>
      </c>
      <c r="AE9" s="334" t="s">
        <v>17</v>
      </c>
      <c r="AF9" s="334" t="s">
        <v>18</v>
      </c>
      <c r="AG9" s="344">
        <v>9</v>
      </c>
      <c r="AL9" s="343"/>
      <c r="AO9" s="344"/>
      <c r="AP9" s="343"/>
      <c r="AS9" s="344"/>
      <c r="AW9" s="344"/>
      <c r="BA9" s="345"/>
    </row>
    <row r="10" spans="1:53" s="334" customFormat="1" x14ac:dyDescent="0.15">
      <c r="A10" s="334">
        <v>1992</v>
      </c>
      <c r="B10" s="355"/>
      <c r="C10" s="812" t="s">
        <v>1073</v>
      </c>
      <c r="D10" s="812"/>
      <c r="E10" s="334">
        <v>184</v>
      </c>
      <c r="G10" s="497">
        <v>10</v>
      </c>
      <c r="H10" s="532">
        <v>3</v>
      </c>
      <c r="I10" s="532"/>
      <c r="J10" s="499">
        <v>21</v>
      </c>
      <c r="K10" s="495">
        <f t="shared" si="0"/>
        <v>47.619047619047613</v>
      </c>
      <c r="L10" s="495">
        <f t="shared" si="1"/>
        <v>14.285714285714285</v>
      </c>
      <c r="M10" s="495">
        <f t="shared" si="2"/>
        <v>0</v>
      </c>
      <c r="N10" s="498">
        <f t="shared" si="3"/>
        <v>61.904761904761898</v>
      </c>
      <c r="O10" s="494">
        <v>63</v>
      </c>
      <c r="P10" s="495">
        <v>20</v>
      </c>
      <c r="Q10" s="495"/>
      <c r="R10" s="496">
        <f t="shared" si="4"/>
        <v>83</v>
      </c>
      <c r="S10" s="334">
        <v>3</v>
      </c>
      <c r="T10" s="342"/>
      <c r="U10" s="355"/>
      <c r="V10" s="343" t="s">
        <v>1087</v>
      </c>
      <c r="W10" s="334" t="s">
        <v>22</v>
      </c>
      <c r="X10" s="334" t="s">
        <v>11</v>
      </c>
      <c r="Y10" s="344">
        <v>63</v>
      </c>
      <c r="Z10" s="334" t="s">
        <v>1088</v>
      </c>
      <c r="AA10" s="334" t="s">
        <v>1089</v>
      </c>
      <c r="AB10" s="334" t="s">
        <v>18</v>
      </c>
      <c r="AC10" s="334">
        <v>11</v>
      </c>
      <c r="AD10" s="343" t="s">
        <v>1090</v>
      </c>
      <c r="AE10" s="334" t="s">
        <v>17</v>
      </c>
      <c r="AF10" s="334" t="s">
        <v>18</v>
      </c>
      <c r="AG10" s="344">
        <v>9</v>
      </c>
      <c r="AL10" s="343"/>
      <c r="AO10" s="344"/>
      <c r="AP10" s="343"/>
      <c r="AS10" s="344"/>
      <c r="AW10" s="344"/>
      <c r="BA10" s="345"/>
    </row>
    <row r="11" spans="1:53" s="73" customFormat="1" x14ac:dyDescent="0.15">
      <c r="A11" s="73">
        <v>1992</v>
      </c>
      <c r="B11" s="85">
        <v>33788</v>
      </c>
      <c r="C11" s="811" t="s">
        <v>1074</v>
      </c>
      <c r="D11" s="811"/>
      <c r="E11" s="73">
        <v>182</v>
      </c>
      <c r="F11" s="73">
        <v>1</v>
      </c>
      <c r="G11" s="480">
        <v>15</v>
      </c>
      <c r="H11" s="531">
        <v>4</v>
      </c>
      <c r="I11" s="531"/>
      <c r="J11" s="482">
        <v>19</v>
      </c>
      <c r="K11" s="477">
        <f t="shared" si="0"/>
        <v>78.94736842105263</v>
      </c>
      <c r="L11" s="477">
        <f t="shared" si="1"/>
        <v>21.052631578947366</v>
      </c>
      <c r="M11" s="477">
        <f t="shared" si="2"/>
        <v>0</v>
      </c>
      <c r="N11" s="481">
        <f t="shared" si="3"/>
        <v>100</v>
      </c>
      <c r="O11" s="476">
        <v>45</v>
      </c>
      <c r="P11" s="477">
        <v>7.5</v>
      </c>
      <c r="Q11" s="477"/>
      <c r="R11" s="478">
        <f t="shared" si="4"/>
        <v>52.5</v>
      </c>
      <c r="S11" s="73">
        <v>2</v>
      </c>
      <c r="T11" s="95">
        <v>33761</v>
      </c>
      <c r="U11" s="85">
        <v>33788</v>
      </c>
      <c r="V11" s="82" t="s">
        <v>1091</v>
      </c>
      <c r="W11" s="225" t="s">
        <v>74</v>
      </c>
      <c r="X11" s="225" t="s">
        <v>11</v>
      </c>
      <c r="Y11" s="83">
        <v>38</v>
      </c>
      <c r="Z11" s="82" t="s">
        <v>1090</v>
      </c>
      <c r="AA11" s="225" t="s">
        <v>17</v>
      </c>
      <c r="AB11" s="225" t="s">
        <v>18</v>
      </c>
      <c r="AC11" s="225">
        <v>7.5</v>
      </c>
      <c r="AD11" s="82" t="s">
        <v>1092</v>
      </c>
      <c r="AE11" s="225" t="s">
        <v>88</v>
      </c>
      <c r="AF11" s="225" t="s">
        <v>11</v>
      </c>
      <c r="AG11" s="83">
        <v>7</v>
      </c>
      <c r="AL11" s="82"/>
      <c r="AO11" s="83"/>
      <c r="AP11" s="82"/>
      <c r="AS11" s="83"/>
      <c r="AW11" s="83"/>
      <c r="BA11" s="84"/>
    </row>
    <row r="12" spans="1:53" s="73" customFormat="1" x14ac:dyDescent="0.15">
      <c r="A12" s="73">
        <v>1993</v>
      </c>
      <c r="B12" s="85"/>
      <c r="C12" s="811" t="s">
        <v>1074</v>
      </c>
      <c r="D12" s="811"/>
      <c r="E12" s="73">
        <v>0</v>
      </c>
      <c r="G12" s="480">
        <v>15</v>
      </c>
      <c r="H12" s="531">
        <v>4</v>
      </c>
      <c r="I12" s="531"/>
      <c r="J12" s="482">
        <v>19</v>
      </c>
      <c r="K12" s="477">
        <f t="shared" si="0"/>
        <v>78.94736842105263</v>
      </c>
      <c r="L12" s="477">
        <f t="shared" si="1"/>
        <v>21.052631578947366</v>
      </c>
      <c r="M12" s="477">
        <f t="shared" si="2"/>
        <v>0</v>
      </c>
      <c r="N12" s="481">
        <f t="shared" si="3"/>
        <v>100</v>
      </c>
      <c r="O12" s="476">
        <v>45</v>
      </c>
      <c r="P12" s="477">
        <v>7.5</v>
      </c>
      <c r="Q12" s="477"/>
      <c r="R12" s="478">
        <f t="shared" si="4"/>
        <v>52.5</v>
      </c>
      <c r="S12" s="73">
        <v>2</v>
      </c>
      <c r="T12" s="95"/>
      <c r="U12" s="85"/>
      <c r="V12" s="82" t="s">
        <v>1091</v>
      </c>
      <c r="W12" s="225" t="s">
        <v>74</v>
      </c>
      <c r="X12" s="225" t="s">
        <v>11</v>
      </c>
      <c r="Y12" s="83">
        <v>38</v>
      </c>
      <c r="Z12" s="225" t="s">
        <v>1090</v>
      </c>
      <c r="AA12" s="225" t="s">
        <v>17</v>
      </c>
      <c r="AB12" s="225" t="s">
        <v>18</v>
      </c>
      <c r="AC12" s="225">
        <v>7.5</v>
      </c>
      <c r="AD12" s="82" t="s">
        <v>1092</v>
      </c>
      <c r="AE12" s="225" t="s">
        <v>88</v>
      </c>
      <c r="AF12" s="225" t="s">
        <v>11</v>
      </c>
      <c r="AG12" s="83">
        <v>7</v>
      </c>
      <c r="AL12" s="82"/>
      <c r="AO12" s="83"/>
      <c r="AP12" s="82"/>
      <c r="AS12" s="83"/>
      <c r="AW12" s="83"/>
      <c r="BA12" s="84"/>
    </row>
    <row r="13" spans="1:53" s="73" customFormat="1" x14ac:dyDescent="0.15">
      <c r="A13" s="73">
        <v>1993</v>
      </c>
      <c r="B13" s="85"/>
      <c r="C13" s="811" t="s">
        <v>1074</v>
      </c>
      <c r="D13" s="811"/>
      <c r="E13" s="73">
        <v>365</v>
      </c>
      <c r="G13" s="480">
        <v>15</v>
      </c>
      <c r="H13" s="531">
        <v>4</v>
      </c>
      <c r="I13" s="531"/>
      <c r="J13" s="482">
        <v>19</v>
      </c>
      <c r="K13" s="477">
        <f t="shared" si="0"/>
        <v>78.94736842105263</v>
      </c>
      <c r="L13" s="477">
        <f t="shared" si="1"/>
        <v>21.052631578947366</v>
      </c>
      <c r="M13" s="477">
        <f t="shared" si="2"/>
        <v>0</v>
      </c>
      <c r="N13" s="481">
        <f t="shared" si="3"/>
        <v>100</v>
      </c>
      <c r="O13" s="476">
        <v>45</v>
      </c>
      <c r="P13" s="477">
        <v>7.5</v>
      </c>
      <c r="Q13" s="477"/>
      <c r="R13" s="478">
        <f t="shared" si="4"/>
        <v>52.5</v>
      </c>
      <c r="S13" s="73">
        <v>2</v>
      </c>
      <c r="T13" s="95"/>
      <c r="U13" s="85"/>
      <c r="V13" s="82" t="s">
        <v>1091</v>
      </c>
      <c r="W13" s="225" t="s">
        <v>74</v>
      </c>
      <c r="X13" s="225" t="s">
        <v>11</v>
      </c>
      <c r="Y13" s="83">
        <v>38</v>
      </c>
      <c r="Z13" s="82" t="s">
        <v>1090</v>
      </c>
      <c r="AA13" s="225" t="s">
        <v>17</v>
      </c>
      <c r="AB13" s="225" t="s">
        <v>18</v>
      </c>
      <c r="AC13" s="225">
        <v>7.5</v>
      </c>
      <c r="AD13" s="82" t="s">
        <v>1092</v>
      </c>
      <c r="AE13" s="225" t="s">
        <v>88</v>
      </c>
      <c r="AF13" s="225" t="s">
        <v>11</v>
      </c>
      <c r="AG13" s="83">
        <v>7</v>
      </c>
      <c r="AL13" s="82"/>
      <c r="AO13" s="83"/>
      <c r="AP13" s="82"/>
      <c r="AS13" s="83"/>
      <c r="AW13" s="83"/>
      <c r="BA13" s="84"/>
    </row>
    <row r="14" spans="1:53" s="73" customFormat="1" x14ac:dyDescent="0.15">
      <c r="A14" s="73">
        <v>1994</v>
      </c>
      <c r="B14" s="85"/>
      <c r="C14" s="811" t="s">
        <v>1074</v>
      </c>
      <c r="D14" s="811"/>
      <c r="E14" s="73">
        <v>16</v>
      </c>
      <c r="G14" s="480">
        <v>15</v>
      </c>
      <c r="H14" s="531">
        <v>4</v>
      </c>
      <c r="I14" s="531"/>
      <c r="J14" s="482">
        <v>19</v>
      </c>
      <c r="K14" s="477">
        <f t="shared" si="0"/>
        <v>78.94736842105263</v>
      </c>
      <c r="L14" s="477">
        <f t="shared" si="1"/>
        <v>21.052631578947366</v>
      </c>
      <c r="M14" s="477">
        <f t="shared" si="2"/>
        <v>0</v>
      </c>
      <c r="N14" s="481">
        <f t="shared" si="3"/>
        <v>100</v>
      </c>
      <c r="O14" s="476">
        <v>45</v>
      </c>
      <c r="P14" s="477">
        <v>7.5</v>
      </c>
      <c r="Q14" s="477"/>
      <c r="R14" s="478">
        <f t="shared" si="4"/>
        <v>52.5</v>
      </c>
      <c r="S14" s="73">
        <v>2</v>
      </c>
      <c r="T14" s="95"/>
      <c r="U14" s="85"/>
      <c r="V14" s="82" t="s">
        <v>1091</v>
      </c>
      <c r="W14" s="225" t="s">
        <v>74</v>
      </c>
      <c r="X14" s="225" t="s">
        <v>11</v>
      </c>
      <c r="Y14" s="83">
        <v>38</v>
      </c>
      <c r="Z14" s="225" t="s">
        <v>1090</v>
      </c>
      <c r="AA14" s="225" t="s">
        <v>17</v>
      </c>
      <c r="AB14" s="225" t="s">
        <v>18</v>
      </c>
      <c r="AC14" s="225">
        <v>7.5</v>
      </c>
      <c r="AD14" s="82" t="s">
        <v>1092</v>
      </c>
      <c r="AE14" s="225" t="s">
        <v>88</v>
      </c>
      <c r="AF14" s="225" t="s">
        <v>11</v>
      </c>
      <c r="AG14" s="83">
        <v>7</v>
      </c>
      <c r="AL14" s="82"/>
      <c r="AO14" s="83"/>
      <c r="AP14" s="82"/>
      <c r="AS14" s="83"/>
      <c r="AW14" s="83"/>
      <c r="BA14" s="84"/>
    </row>
    <row r="15" spans="1:53" s="73" customFormat="1" x14ac:dyDescent="0.15">
      <c r="A15" s="73">
        <v>1994</v>
      </c>
      <c r="B15" s="149">
        <v>34351</v>
      </c>
      <c r="C15" s="811" t="s">
        <v>1074</v>
      </c>
      <c r="D15" s="811"/>
      <c r="E15" s="73">
        <v>349</v>
      </c>
      <c r="F15" s="150">
        <v>0</v>
      </c>
      <c r="G15" s="480">
        <v>15</v>
      </c>
      <c r="H15" s="531">
        <v>3</v>
      </c>
      <c r="I15" s="531"/>
      <c r="J15" s="482">
        <v>19</v>
      </c>
      <c r="K15" s="477">
        <f t="shared" si="0"/>
        <v>78.94736842105263</v>
      </c>
      <c r="L15" s="477">
        <f t="shared" si="1"/>
        <v>15.789473684210526</v>
      </c>
      <c r="M15" s="477">
        <f t="shared" si="2"/>
        <v>0</v>
      </c>
      <c r="N15" s="481">
        <f t="shared" si="3"/>
        <v>94.73684210526315</v>
      </c>
      <c r="O15" s="476">
        <v>45</v>
      </c>
      <c r="P15" s="477">
        <v>7.5</v>
      </c>
      <c r="Q15" s="477"/>
      <c r="R15" s="478">
        <f t="shared" si="4"/>
        <v>52.5</v>
      </c>
      <c r="S15" s="73">
        <v>2</v>
      </c>
      <c r="T15" s="95"/>
      <c r="U15" s="85"/>
      <c r="V15" s="82" t="s">
        <v>1091</v>
      </c>
      <c r="W15" s="225" t="s">
        <v>74</v>
      </c>
      <c r="X15" s="225" t="s">
        <v>11</v>
      </c>
      <c r="Y15" s="83">
        <v>38</v>
      </c>
      <c r="Z15" s="82" t="s">
        <v>1090</v>
      </c>
      <c r="AA15" s="225" t="s">
        <v>17</v>
      </c>
      <c r="AB15" s="225" t="s">
        <v>18</v>
      </c>
      <c r="AC15" s="225">
        <v>7.5</v>
      </c>
      <c r="AD15" s="82" t="s">
        <v>1092</v>
      </c>
      <c r="AE15" s="225" t="s">
        <v>88</v>
      </c>
      <c r="AF15" s="225" t="s">
        <v>11</v>
      </c>
      <c r="AG15" s="83">
        <v>7</v>
      </c>
      <c r="AL15" s="82"/>
      <c r="AO15" s="83"/>
      <c r="AP15" s="82"/>
      <c r="AS15" s="83"/>
      <c r="AW15" s="83"/>
      <c r="BA15" s="84"/>
    </row>
    <row r="16" spans="1:53" s="73" customFormat="1" x14ac:dyDescent="0.15">
      <c r="A16" s="73">
        <v>1995</v>
      </c>
      <c r="B16" s="85"/>
      <c r="C16" s="811" t="s">
        <v>1074</v>
      </c>
      <c r="D16" s="811"/>
      <c r="E16" s="73">
        <v>0</v>
      </c>
      <c r="G16" s="480">
        <v>15</v>
      </c>
      <c r="H16" s="531">
        <v>3</v>
      </c>
      <c r="I16" s="531"/>
      <c r="J16" s="482">
        <v>19</v>
      </c>
      <c r="K16" s="477">
        <f t="shared" si="0"/>
        <v>78.94736842105263</v>
      </c>
      <c r="L16" s="477">
        <f t="shared" si="1"/>
        <v>15.789473684210526</v>
      </c>
      <c r="M16" s="477">
        <f t="shared" si="2"/>
        <v>0</v>
      </c>
      <c r="N16" s="481">
        <f t="shared" si="3"/>
        <v>94.73684210526315</v>
      </c>
      <c r="O16" s="476">
        <v>45</v>
      </c>
      <c r="P16" s="477">
        <v>7.5</v>
      </c>
      <c r="Q16" s="477"/>
      <c r="R16" s="478">
        <f t="shared" si="4"/>
        <v>52.5</v>
      </c>
      <c r="S16" s="73">
        <v>2</v>
      </c>
      <c r="T16" s="95"/>
      <c r="U16" s="85"/>
      <c r="V16" s="82" t="s">
        <v>1091</v>
      </c>
      <c r="W16" s="225" t="s">
        <v>74</v>
      </c>
      <c r="X16" s="225" t="s">
        <v>11</v>
      </c>
      <c r="Y16" s="83">
        <v>38</v>
      </c>
      <c r="Z16" s="225" t="s">
        <v>1090</v>
      </c>
      <c r="AA16" s="225" t="s">
        <v>17</v>
      </c>
      <c r="AB16" s="225" t="s">
        <v>18</v>
      </c>
      <c r="AC16" s="225">
        <v>7.5</v>
      </c>
      <c r="AD16" s="82" t="s">
        <v>1092</v>
      </c>
      <c r="AE16" s="225" t="s">
        <v>88</v>
      </c>
      <c r="AF16" s="225" t="s">
        <v>11</v>
      </c>
      <c r="AG16" s="83">
        <v>7</v>
      </c>
      <c r="AL16" s="82"/>
      <c r="AO16" s="83"/>
      <c r="AP16" s="82"/>
      <c r="AS16" s="83"/>
      <c r="AW16" s="83"/>
      <c r="BA16" s="84"/>
    </row>
    <row r="17" spans="1:53" s="73" customFormat="1" x14ac:dyDescent="0.15">
      <c r="A17" s="73">
        <v>1995</v>
      </c>
      <c r="B17" s="85"/>
      <c r="C17" s="811" t="s">
        <v>1074</v>
      </c>
      <c r="D17" s="811"/>
      <c r="E17" s="73">
        <v>365</v>
      </c>
      <c r="G17" s="480">
        <v>15</v>
      </c>
      <c r="H17" s="531">
        <v>3</v>
      </c>
      <c r="I17" s="531"/>
      <c r="J17" s="482">
        <v>19</v>
      </c>
      <c r="K17" s="477">
        <f t="shared" si="0"/>
        <v>78.94736842105263</v>
      </c>
      <c r="L17" s="477">
        <f t="shared" si="1"/>
        <v>15.789473684210526</v>
      </c>
      <c r="M17" s="477">
        <f t="shared" si="2"/>
        <v>0</v>
      </c>
      <c r="N17" s="481">
        <f t="shared" si="3"/>
        <v>94.73684210526315</v>
      </c>
      <c r="O17" s="476">
        <v>45</v>
      </c>
      <c r="P17" s="477">
        <v>7.5</v>
      </c>
      <c r="Q17" s="477"/>
      <c r="R17" s="478">
        <f t="shared" si="4"/>
        <v>52.5</v>
      </c>
      <c r="S17" s="73">
        <v>2</v>
      </c>
      <c r="T17" s="95"/>
      <c r="U17" s="85"/>
      <c r="V17" s="82" t="s">
        <v>1091</v>
      </c>
      <c r="W17" s="225" t="s">
        <v>74</v>
      </c>
      <c r="X17" s="225" t="s">
        <v>11</v>
      </c>
      <c r="Y17" s="83">
        <v>38</v>
      </c>
      <c r="Z17" s="82" t="s">
        <v>1090</v>
      </c>
      <c r="AA17" s="225" t="s">
        <v>17</v>
      </c>
      <c r="AB17" s="225" t="s">
        <v>18</v>
      </c>
      <c r="AC17" s="225">
        <v>7.5</v>
      </c>
      <c r="AD17" s="82" t="s">
        <v>1092</v>
      </c>
      <c r="AE17" s="225" t="s">
        <v>88</v>
      </c>
      <c r="AF17" s="225" t="s">
        <v>11</v>
      </c>
      <c r="AG17" s="83">
        <v>7</v>
      </c>
      <c r="AL17" s="82"/>
      <c r="AO17" s="83"/>
      <c r="AP17" s="82"/>
      <c r="AS17" s="83"/>
      <c r="AW17" s="83"/>
      <c r="BA17" s="84"/>
    </row>
    <row r="18" spans="1:53" s="73" customFormat="1" x14ac:dyDescent="0.15">
      <c r="A18" s="73">
        <v>1996</v>
      </c>
      <c r="B18" s="85"/>
      <c r="C18" s="811" t="s">
        <v>1074</v>
      </c>
      <c r="D18" s="811"/>
      <c r="E18" s="73">
        <v>206</v>
      </c>
      <c r="G18" s="480">
        <v>15</v>
      </c>
      <c r="H18" s="531">
        <v>3</v>
      </c>
      <c r="I18" s="531"/>
      <c r="J18" s="482">
        <v>19</v>
      </c>
      <c r="K18" s="477">
        <f t="shared" si="0"/>
        <v>78.94736842105263</v>
      </c>
      <c r="L18" s="477">
        <f t="shared" si="1"/>
        <v>15.789473684210526</v>
      </c>
      <c r="M18" s="477">
        <f t="shared" si="2"/>
        <v>0</v>
      </c>
      <c r="N18" s="481">
        <f t="shared" si="3"/>
        <v>94.73684210526315</v>
      </c>
      <c r="O18" s="476">
        <v>45</v>
      </c>
      <c r="P18" s="477">
        <v>7.5</v>
      </c>
      <c r="Q18" s="477"/>
      <c r="R18" s="478">
        <f t="shared" si="4"/>
        <v>52.5</v>
      </c>
      <c r="S18" s="73">
        <v>2</v>
      </c>
      <c r="T18" s="95"/>
      <c r="U18" s="85"/>
      <c r="V18" s="82" t="s">
        <v>1091</v>
      </c>
      <c r="W18" s="225" t="s">
        <v>74</v>
      </c>
      <c r="X18" s="225" t="s">
        <v>11</v>
      </c>
      <c r="Y18" s="83">
        <v>38</v>
      </c>
      <c r="Z18" s="225" t="s">
        <v>1090</v>
      </c>
      <c r="AA18" s="225" t="s">
        <v>17</v>
      </c>
      <c r="AB18" s="225" t="s">
        <v>18</v>
      </c>
      <c r="AC18" s="225">
        <v>7.5</v>
      </c>
      <c r="AD18" s="82" t="s">
        <v>1092</v>
      </c>
      <c r="AE18" s="225" t="s">
        <v>88</v>
      </c>
      <c r="AF18" s="225" t="s">
        <v>11</v>
      </c>
      <c r="AG18" s="83">
        <v>7</v>
      </c>
      <c r="AL18" s="82"/>
      <c r="AO18" s="83"/>
      <c r="AP18" s="82"/>
      <c r="AS18" s="83"/>
      <c r="AW18" s="83"/>
      <c r="BA18" s="84"/>
    </row>
    <row r="19" spans="1:53" s="334" customFormat="1" x14ac:dyDescent="0.15">
      <c r="A19" s="334">
        <v>1996</v>
      </c>
      <c r="B19" s="355">
        <v>35271</v>
      </c>
      <c r="C19" s="812" t="s">
        <v>1075</v>
      </c>
      <c r="D19" s="812"/>
      <c r="E19" s="334">
        <v>160</v>
      </c>
      <c r="F19" s="334">
        <v>1</v>
      </c>
      <c r="G19" s="497">
        <v>12</v>
      </c>
      <c r="H19" s="532">
        <v>4</v>
      </c>
      <c r="I19" s="532"/>
      <c r="J19" s="499">
        <v>16</v>
      </c>
      <c r="K19" s="495">
        <f t="shared" si="0"/>
        <v>75</v>
      </c>
      <c r="L19" s="495">
        <f t="shared" si="1"/>
        <v>25</v>
      </c>
      <c r="M19" s="495">
        <f t="shared" si="2"/>
        <v>0</v>
      </c>
      <c r="N19" s="498">
        <f t="shared" si="3"/>
        <v>100</v>
      </c>
      <c r="O19" s="494">
        <v>40.5</v>
      </c>
      <c r="P19" s="495">
        <v>9</v>
      </c>
      <c r="Q19" s="495"/>
      <c r="R19" s="496">
        <f t="shared" si="4"/>
        <v>49.5</v>
      </c>
      <c r="S19" s="334">
        <v>5</v>
      </c>
      <c r="T19" s="342">
        <v>35217</v>
      </c>
      <c r="U19" s="355">
        <v>35271</v>
      </c>
      <c r="V19" s="343" t="s">
        <v>1091</v>
      </c>
      <c r="W19" s="334" t="s">
        <v>74</v>
      </c>
      <c r="X19" s="334" t="s">
        <v>11</v>
      </c>
      <c r="Y19" s="344">
        <v>34</v>
      </c>
      <c r="Z19" s="343" t="s">
        <v>1090</v>
      </c>
      <c r="AA19" s="334" t="s">
        <v>17</v>
      </c>
      <c r="AB19" s="334" t="s">
        <v>18</v>
      </c>
      <c r="AC19" s="334">
        <v>9</v>
      </c>
      <c r="AD19" s="343" t="s">
        <v>1092</v>
      </c>
      <c r="AE19" s="334" t="s">
        <v>88</v>
      </c>
      <c r="AF19" s="334" t="s">
        <v>11</v>
      </c>
      <c r="AG19" s="344">
        <v>6.5</v>
      </c>
      <c r="AL19" s="343"/>
      <c r="AO19" s="344"/>
      <c r="AP19" s="343"/>
      <c r="AS19" s="344"/>
      <c r="AW19" s="344"/>
      <c r="BA19" s="345"/>
    </row>
    <row r="20" spans="1:53" s="334" customFormat="1" x14ac:dyDescent="0.15">
      <c r="A20" s="334">
        <v>1997</v>
      </c>
      <c r="B20" s="355"/>
      <c r="C20" s="812" t="s">
        <v>1075</v>
      </c>
      <c r="D20" s="812"/>
      <c r="E20" s="334">
        <v>311</v>
      </c>
      <c r="G20" s="497">
        <v>12</v>
      </c>
      <c r="H20" s="532">
        <v>4</v>
      </c>
      <c r="I20" s="532"/>
      <c r="J20" s="499">
        <v>16</v>
      </c>
      <c r="K20" s="495">
        <f t="shared" si="0"/>
        <v>75</v>
      </c>
      <c r="L20" s="495">
        <f t="shared" si="1"/>
        <v>25</v>
      </c>
      <c r="M20" s="495">
        <f t="shared" si="2"/>
        <v>0</v>
      </c>
      <c r="N20" s="498">
        <f t="shared" si="3"/>
        <v>100</v>
      </c>
      <c r="O20" s="494">
        <v>40.5</v>
      </c>
      <c r="P20" s="495">
        <v>9</v>
      </c>
      <c r="Q20" s="495"/>
      <c r="R20" s="496">
        <f t="shared" si="4"/>
        <v>49.5</v>
      </c>
      <c r="S20" s="334">
        <v>5</v>
      </c>
      <c r="T20" s="342"/>
      <c r="U20" s="355"/>
      <c r="V20" s="343" t="s">
        <v>1091</v>
      </c>
      <c r="W20" s="334" t="s">
        <v>74</v>
      </c>
      <c r="X20" s="334" t="s">
        <v>11</v>
      </c>
      <c r="Y20" s="344">
        <v>34</v>
      </c>
      <c r="Z20" s="334" t="s">
        <v>1090</v>
      </c>
      <c r="AA20" s="334" t="s">
        <v>17</v>
      </c>
      <c r="AB20" s="334" t="s">
        <v>18</v>
      </c>
      <c r="AC20" s="334">
        <v>9</v>
      </c>
      <c r="AD20" s="343" t="s">
        <v>1092</v>
      </c>
      <c r="AE20" s="334" t="s">
        <v>88</v>
      </c>
      <c r="AF20" s="334" t="s">
        <v>11</v>
      </c>
      <c r="AG20" s="344">
        <v>6.5</v>
      </c>
      <c r="AL20" s="343"/>
      <c r="AO20" s="344"/>
      <c r="AP20" s="343"/>
      <c r="AS20" s="344"/>
      <c r="AW20" s="344"/>
      <c r="BA20" s="345"/>
    </row>
    <row r="21" spans="1:53" s="334" customFormat="1" x14ac:dyDescent="0.15">
      <c r="A21" s="334">
        <v>1997</v>
      </c>
      <c r="B21" s="445">
        <v>35742</v>
      </c>
      <c r="C21" s="812" t="s">
        <v>1075</v>
      </c>
      <c r="D21" s="812"/>
      <c r="E21" s="334">
        <v>54</v>
      </c>
      <c r="F21" s="441">
        <v>0</v>
      </c>
      <c r="G21" s="497">
        <v>11</v>
      </c>
      <c r="H21" s="532">
        <v>4</v>
      </c>
      <c r="I21" s="532"/>
      <c r="J21" s="499">
        <v>16</v>
      </c>
      <c r="K21" s="495">
        <f t="shared" si="0"/>
        <v>68.75</v>
      </c>
      <c r="L21" s="495">
        <f t="shared" si="1"/>
        <v>25</v>
      </c>
      <c r="M21" s="495">
        <f t="shared" si="2"/>
        <v>0</v>
      </c>
      <c r="N21" s="498">
        <f t="shared" si="3"/>
        <v>93.75</v>
      </c>
      <c r="O21" s="494">
        <v>40.5</v>
      </c>
      <c r="P21" s="495">
        <v>9</v>
      </c>
      <c r="Q21" s="495"/>
      <c r="R21" s="496">
        <f t="shared" si="4"/>
        <v>49.5</v>
      </c>
      <c r="S21" s="334">
        <v>5</v>
      </c>
      <c r="T21" s="342"/>
      <c r="U21" s="355"/>
      <c r="V21" s="343" t="s">
        <v>1091</v>
      </c>
      <c r="W21" s="334" t="s">
        <v>74</v>
      </c>
      <c r="X21" s="334" t="s">
        <v>11</v>
      </c>
      <c r="Y21" s="344">
        <v>34</v>
      </c>
      <c r="Z21" s="343" t="s">
        <v>1090</v>
      </c>
      <c r="AA21" s="334" t="s">
        <v>17</v>
      </c>
      <c r="AB21" s="334" t="s">
        <v>18</v>
      </c>
      <c r="AC21" s="334">
        <v>9</v>
      </c>
      <c r="AD21" s="343" t="s">
        <v>1092</v>
      </c>
      <c r="AE21" s="334" t="s">
        <v>88</v>
      </c>
      <c r="AF21" s="334" t="s">
        <v>11</v>
      </c>
      <c r="AG21" s="344">
        <v>6.5</v>
      </c>
      <c r="AL21" s="343"/>
      <c r="AO21" s="344"/>
      <c r="AP21" s="343"/>
      <c r="AS21" s="344"/>
      <c r="AW21" s="344"/>
      <c r="BA21" s="345"/>
    </row>
    <row r="22" spans="1:53" s="334" customFormat="1" x14ac:dyDescent="0.15">
      <c r="A22" s="334">
        <v>1998</v>
      </c>
      <c r="B22" s="355"/>
      <c r="C22" s="812" t="s">
        <v>1075</v>
      </c>
      <c r="D22" s="812"/>
      <c r="E22" s="334">
        <v>27</v>
      </c>
      <c r="G22" s="497">
        <v>11</v>
      </c>
      <c r="H22" s="532">
        <v>4</v>
      </c>
      <c r="I22" s="532"/>
      <c r="J22" s="499">
        <v>16</v>
      </c>
      <c r="K22" s="495">
        <f t="shared" si="0"/>
        <v>68.75</v>
      </c>
      <c r="L22" s="495">
        <f t="shared" si="1"/>
        <v>25</v>
      </c>
      <c r="M22" s="495">
        <f t="shared" si="2"/>
        <v>0</v>
      </c>
      <c r="N22" s="498">
        <f t="shared" si="3"/>
        <v>93.75</v>
      </c>
      <c r="O22" s="494">
        <v>40.5</v>
      </c>
      <c r="P22" s="495">
        <v>9</v>
      </c>
      <c r="Q22" s="495"/>
      <c r="R22" s="496">
        <f t="shared" si="4"/>
        <v>49.5</v>
      </c>
      <c r="S22" s="334">
        <v>5</v>
      </c>
      <c r="T22" s="342"/>
      <c r="U22" s="355"/>
      <c r="V22" s="343" t="s">
        <v>1091</v>
      </c>
      <c r="W22" s="334" t="s">
        <v>74</v>
      </c>
      <c r="X22" s="334" t="s">
        <v>11</v>
      </c>
      <c r="Y22" s="344">
        <v>34</v>
      </c>
      <c r="Z22" s="334" t="s">
        <v>1090</v>
      </c>
      <c r="AA22" s="334" t="s">
        <v>17</v>
      </c>
      <c r="AB22" s="334" t="s">
        <v>18</v>
      </c>
      <c r="AC22" s="334">
        <v>9</v>
      </c>
      <c r="AD22" s="343" t="s">
        <v>1092</v>
      </c>
      <c r="AE22" s="334" t="s">
        <v>88</v>
      </c>
      <c r="AF22" s="334" t="s">
        <v>11</v>
      </c>
      <c r="AG22" s="344">
        <v>6.5</v>
      </c>
      <c r="AL22" s="343"/>
      <c r="AO22" s="344"/>
      <c r="AP22" s="343"/>
      <c r="AS22" s="344"/>
      <c r="AW22" s="344"/>
      <c r="BA22" s="345"/>
    </row>
    <row r="23" spans="1:53" s="73" customFormat="1" x14ac:dyDescent="0.15">
      <c r="A23" s="73">
        <v>1998</v>
      </c>
      <c r="B23" s="85">
        <v>35823</v>
      </c>
      <c r="C23" s="811" t="s">
        <v>1076</v>
      </c>
      <c r="D23" s="811"/>
      <c r="E23" s="73">
        <v>203</v>
      </c>
      <c r="F23" s="73">
        <v>2</v>
      </c>
      <c r="G23" s="480">
        <v>7</v>
      </c>
      <c r="H23" s="531">
        <v>3</v>
      </c>
      <c r="I23" s="531"/>
      <c r="J23" s="482">
        <v>17</v>
      </c>
      <c r="K23" s="477">
        <f t="shared" si="0"/>
        <v>41.17647058823529</v>
      </c>
      <c r="L23" s="477">
        <f t="shared" si="1"/>
        <v>17.647058823529413</v>
      </c>
      <c r="M23" s="477">
        <f t="shared" si="2"/>
        <v>0</v>
      </c>
      <c r="N23" s="481">
        <f t="shared" si="3"/>
        <v>58.823529411764703</v>
      </c>
      <c r="O23" s="476">
        <v>40.5</v>
      </c>
      <c r="P23" s="477">
        <v>9</v>
      </c>
      <c r="Q23" s="477"/>
      <c r="R23" s="478">
        <f>SUM(O23:Q23)</f>
        <v>49.5</v>
      </c>
      <c r="S23" s="73">
        <v>6</v>
      </c>
      <c r="T23" s="95"/>
      <c r="U23" s="85">
        <v>35823</v>
      </c>
      <c r="V23" s="82" t="s">
        <v>1091</v>
      </c>
      <c r="W23" s="225" t="s">
        <v>74</v>
      </c>
      <c r="X23" s="225" t="s">
        <v>11</v>
      </c>
      <c r="Y23" s="83">
        <v>34</v>
      </c>
      <c r="Z23" s="82" t="s">
        <v>1090</v>
      </c>
      <c r="AA23" s="225" t="s">
        <v>17</v>
      </c>
      <c r="AB23" s="225" t="s">
        <v>18</v>
      </c>
      <c r="AC23" s="225">
        <v>9</v>
      </c>
      <c r="AD23" s="82" t="s">
        <v>1092</v>
      </c>
      <c r="AE23" s="225" t="s">
        <v>88</v>
      </c>
      <c r="AF23" s="225" t="s">
        <v>11</v>
      </c>
      <c r="AG23" s="83">
        <v>6.5</v>
      </c>
      <c r="AL23" s="82"/>
      <c r="AO23" s="83"/>
      <c r="AP23" s="82"/>
      <c r="AS23" s="83"/>
      <c r="AW23" s="83"/>
      <c r="BA23" s="84"/>
    </row>
    <row r="24" spans="1:53" s="334" customFormat="1" x14ac:dyDescent="0.15">
      <c r="A24" s="334">
        <v>1998</v>
      </c>
      <c r="B24" s="355">
        <v>36026</v>
      </c>
      <c r="C24" s="812" t="s">
        <v>1077</v>
      </c>
      <c r="D24" s="812"/>
      <c r="E24" s="334">
        <v>135</v>
      </c>
      <c r="F24" s="334">
        <v>1</v>
      </c>
      <c r="G24" s="497"/>
      <c r="H24" s="532"/>
      <c r="I24" s="532">
        <v>18</v>
      </c>
      <c r="J24" s="499">
        <v>19</v>
      </c>
      <c r="K24" s="495">
        <f t="shared" si="0"/>
        <v>0</v>
      </c>
      <c r="L24" s="495">
        <f t="shared" si="1"/>
        <v>0</v>
      </c>
      <c r="M24" s="495">
        <f t="shared" si="2"/>
        <v>94.73684210526315</v>
      </c>
      <c r="N24" s="498">
        <f t="shared" si="3"/>
        <v>94.73684210526315</v>
      </c>
      <c r="O24" s="494"/>
      <c r="P24" s="495"/>
      <c r="Q24" s="495">
        <v>37</v>
      </c>
      <c r="R24" s="496">
        <f t="shared" si="4"/>
        <v>37</v>
      </c>
      <c r="S24" s="334">
        <v>4</v>
      </c>
      <c r="T24" s="342">
        <v>35966</v>
      </c>
      <c r="U24" s="355">
        <v>36026</v>
      </c>
      <c r="V24" s="343" t="s">
        <v>1093</v>
      </c>
      <c r="W24" s="334" t="s">
        <v>20</v>
      </c>
      <c r="X24" s="334" t="s">
        <v>12</v>
      </c>
      <c r="Y24" s="344">
        <v>37</v>
      </c>
      <c r="AD24" s="343"/>
      <c r="AG24" s="344"/>
      <c r="AL24" s="343"/>
      <c r="AO24" s="344"/>
      <c r="AP24" s="343"/>
      <c r="AS24" s="344"/>
      <c r="AW24" s="344"/>
      <c r="BA24" s="345"/>
    </row>
    <row r="25" spans="1:53" s="334" customFormat="1" x14ac:dyDescent="0.15">
      <c r="A25" s="334">
        <v>1999</v>
      </c>
      <c r="B25" s="355"/>
      <c r="C25" s="812" t="s">
        <v>1077</v>
      </c>
      <c r="D25" s="812"/>
      <c r="E25" s="334">
        <v>200</v>
      </c>
      <c r="G25" s="497"/>
      <c r="H25" s="532"/>
      <c r="I25" s="532">
        <v>18</v>
      </c>
      <c r="J25" s="499">
        <v>19</v>
      </c>
      <c r="K25" s="495">
        <f t="shared" si="0"/>
        <v>0</v>
      </c>
      <c r="L25" s="495">
        <f t="shared" si="1"/>
        <v>0</v>
      </c>
      <c r="M25" s="495">
        <f t="shared" si="2"/>
        <v>94.73684210526315</v>
      </c>
      <c r="N25" s="498">
        <f t="shared" si="3"/>
        <v>94.73684210526315</v>
      </c>
      <c r="O25" s="494"/>
      <c r="P25" s="495"/>
      <c r="Q25" s="495">
        <v>37</v>
      </c>
      <c r="R25" s="496">
        <f t="shared" si="4"/>
        <v>37</v>
      </c>
      <c r="S25" s="334">
        <v>4</v>
      </c>
      <c r="T25" s="342"/>
      <c r="U25" s="355"/>
      <c r="V25" s="343" t="s">
        <v>1093</v>
      </c>
      <c r="W25" s="334" t="s">
        <v>20</v>
      </c>
      <c r="X25" s="334" t="s">
        <v>12</v>
      </c>
      <c r="Y25" s="344">
        <v>37</v>
      </c>
      <c r="AD25" s="343"/>
      <c r="AG25" s="344"/>
      <c r="AL25" s="343"/>
      <c r="AO25" s="344"/>
      <c r="AP25" s="343"/>
      <c r="AS25" s="344"/>
      <c r="AW25" s="344"/>
      <c r="BA25" s="345"/>
    </row>
    <row r="26" spans="1:53" s="334" customFormat="1" x14ac:dyDescent="0.15">
      <c r="A26" s="334">
        <v>1999</v>
      </c>
      <c r="B26" s="445">
        <v>36361</v>
      </c>
      <c r="C26" s="812" t="s">
        <v>1077</v>
      </c>
      <c r="D26" s="812"/>
      <c r="E26" s="334">
        <v>132</v>
      </c>
      <c r="F26" s="441">
        <v>0</v>
      </c>
      <c r="G26" s="497"/>
      <c r="H26" s="532"/>
      <c r="I26" s="532">
        <v>17</v>
      </c>
      <c r="J26" s="499">
        <v>18</v>
      </c>
      <c r="K26" s="495">
        <f>G26/J26*100</f>
        <v>0</v>
      </c>
      <c r="L26" s="495">
        <f>H26/J26*100</f>
        <v>0</v>
      </c>
      <c r="M26" s="495">
        <f>I26/J26*100</f>
        <v>94.444444444444443</v>
      </c>
      <c r="N26" s="498">
        <f>SUM(K26:M26)</f>
        <v>94.444444444444443</v>
      </c>
      <c r="O26" s="494"/>
      <c r="P26" s="495"/>
      <c r="Q26" s="495">
        <v>37</v>
      </c>
      <c r="R26" s="496">
        <f>SUM(O26:Q26)</f>
        <v>37</v>
      </c>
      <c r="S26" s="334">
        <v>4</v>
      </c>
      <c r="T26" s="342"/>
      <c r="U26" s="355"/>
      <c r="V26" s="343" t="s">
        <v>1093</v>
      </c>
      <c r="W26" s="334" t="s">
        <v>20</v>
      </c>
      <c r="X26" s="334" t="s">
        <v>12</v>
      </c>
      <c r="Y26" s="344">
        <v>37</v>
      </c>
      <c r="AD26" s="343"/>
      <c r="AG26" s="344"/>
      <c r="AL26" s="343"/>
      <c r="AO26" s="344"/>
      <c r="AP26" s="343"/>
      <c r="AS26" s="344"/>
      <c r="AW26" s="344"/>
      <c r="BA26" s="345"/>
    </row>
    <row r="27" spans="1:53" s="334" customFormat="1" x14ac:dyDescent="0.15">
      <c r="A27" s="334">
        <v>1999</v>
      </c>
      <c r="B27" s="445">
        <v>36493</v>
      </c>
      <c r="C27" s="812" t="s">
        <v>1077</v>
      </c>
      <c r="D27" s="812"/>
      <c r="E27" s="334">
        <v>33</v>
      </c>
      <c r="F27" s="441">
        <v>0</v>
      </c>
      <c r="G27" s="497"/>
      <c r="H27" s="532"/>
      <c r="I27" s="532">
        <v>16</v>
      </c>
      <c r="J27" s="499">
        <v>17</v>
      </c>
      <c r="K27" s="495">
        <f t="shared" si="0"/>
        <v>0</v>
      </c>
      <c r="L27" s="495">
        <f t="shared" si="1"/>
        <v>0</v>
      </c>
      <c r="M27" s="495">
        <f t="shared" si="2"/>
        <v>94.117647058823522</v>
      </c>
      <c r="N27" s="498">
        <f t="shared" si="3"/>
        <v>94.117647058823522</v>
      </c>
      <c r="O27" s="494"/>
      <c r="P27" s="495"/>
      <c r="Q27" s="495">
        <v>37</v>
      </c>
      <c r="R27" s="496">
        <f t="shared" si="4"/>
        <v>37</v>
      </c>
      <c r="S27" s="334">
        <v>4</v>
      </c>
      <c r="T27" s="342"/>
      <c r="U27" s="355"/>
      <c r="V27" s="343" t="s">
        <v>1093</v>
      </c>
      <c r="W27" s="334" t="s">
        <v>20</v>
      </c>
      <c r="X27" s="334" t="s">
        <v>12</v>
      </c>
      <c r="Y27" s="344">
        <v>37</v>
      </c>
      <c r="AD27" s="343"/>
      <c r="AG27" s="344"/>
      <c r="AL27" s="343"/>
      <c r="AO27" s="344"/>
      <c r="AP27" s="343"/>
      <c r="AS27" s="344"/>
      <c r="AW27" s="344"/>
      <c r="BA27" s="345"/>
    </row>
    <row r="28" spans="1:53" s="334" customFormat="1" x14ac:dyDescent="0.15">
      <c r="A28" s="334">
        <v>2000</v>
      </c>
      <c r="B28" s="355"/>
      <c r="C28" s="812" t="s">
        <v>1077</v>
      </c>
      <c r="D28" s="812"/>
      <c r="E28" s="334">
        <v>0</v>
      </c>
      <c r="G28" s="497"/>
      <c r="H28" s="532"/>
      <c r="I28" s="532">
        <v>16</v>
      </c>
      <c r="J28" s="499">
        <v>17</v>
      </c>
      <c r="K28" s="495">
        <f t="shared" si="0"/>
        <v>0</v>
      </c>
      <c r="L28" s="495">
        <f t="shared" si="1"/>
        <v>0</v>
      </c>
      <c r="M28" s="495">
        <f t="shared" si="2"/>
        <v>94.117647058823522</v>
      </c>
      <c r="N28" s="498">
        <f t="shared" si="3"/>
        <v>94.117647058823522</v>
      </c>
      <c r="O28" s="494"/>
      <c r="P28" s="495"/>
      <c r="Q28" s="495">
        <v>37</v>
      </c>
      <c r="R28" s="496">
        <f t="shared" si="4"/>
        <v>37</v>
      </c>
      <c r="S28" s="334">
        <v>4</v>
      </c>
      <c r="T28" s="342"/>
      <c r="U28" s="355"/>
      <c r="V28" s="343" t="s">
        <v>1093</v>
      </c>
      <c r="W28" s="334" t="s">
        <v>20</v>
      </c>
      <c r="X28" s="334" t="s">
        <v>12</v>
      </c>
      <c r="Y28" s="344">
        <v>37</v>
      </c>
      <c r="AD28" s="343"/>
      <c r="AG28" s="344"/>
      <c r="AL28" s="343"/>
      <c r="AO28" s="344"/>
      <c r="AP28" s="343"/>
      <c r="AS28" s="344"/>
      <c r="AW28" s="344"/>
      <c r="BA28" s="345"/>
    </row>
    <row r="29" spans="1:53" s="334" customFormat="1" x14ac:dyDescent="0.15">
      <c r="A29" s="334">
        <v>2000</v>
      </c>
      <c r="B29" s="355"/>
      <c r="C29" s="812" t="s">
        <v>1077</v>
      </c>
      <c r="D29" s="812"/>
      <c r="E29" s="334">
        <v>366</v>
      </c>
      <c r="G29" s="497"/>
      <c r="H29" s="532"/>
      <c r="I29" s="532">
        <v>16</v>
      </c>
      <c r="J29" s="499">
        <v>17</v>
      </c>
      <c r="K29" s="495">
        <f t="shared" si="0"/>
        <v>0</v>
      </c>
      <c r="L29" s="495">
        <f t="shared" si="1"/>
        <v>0</v>
      </c>
      <c r="M29" s="495">
        <f t="shared" si="2"/>
        <v>94.117647058823522</v>
      </c>
      <c r="N29" s="498">
        <f t="shared" si="3"/>
        <v>94.117647058823522</v>
      </c>
      <c r="O29" s="494"/>
      <c r="P29" s="495"/>
      <c r="Q29" s="495">
        <v>37</v>
      </c>
      <c r="R29" s="496">
        <f t="shared" si="4"/>
        <v>37</v>
      </c>
      <c r="S29" s="334">
        <v>4</v>
      </c>
      <c r="T29" s="342"/>
      <c r="U29" s="355"/>
      <c r="V29" s="343" t="s">
        <v>1093</v>
      </c>
      <c r="W29" s="334" t="s">
        <v>20</v>
      </c>
      <c r="X29" s="334" t="s">
        <v>12</v>
      </c>
      <c r="Y29" s="344">
        <v>37</v>
      </c>
      <c r="AD29" s="343"/>
      <c r="AG29" s="344"/>
      <c r="AL29" s="343"/>
      <c r="AO29" s="344"/>
      <c r="AP29" s="343"/>
      <c r="AS29" s="344"/>
      <c r="AW29" s="344"/>
      <c r="BA29" s="345"/>
    </row>
    <row r="30" spans="1:53" s="334" customFormat="1" x14ac:dyDescent="0.15">
      <c r="A30" s="334">
        <v>2001</v>
      </c>
      <c r="B30" s="355"/>
      <c r="C30" s="812" t="s">
        <v>1077</v>
      </c>
      <c r="D30" s="812"/>
      <c r="E30" s="334">
        <v>0</v>
      </c>
      <c r="G30" s="497"/>
      <c r="H30" s="532"/>
      <c r="I30" s="532">
        <v>16</v>
      </c>
      <c r="J30" s="499">
        <v>17</v>
      </c>
      <c r="K30" s="495">
        <f t="shared" si="0"/>
        <v>0</v>
      </c>
      <c r="L30" s="495">
        <f t="shared" si="1"/>
        <v>0</v>
      </c>
      <c r="M30" s="495">
        <f t="shared" si="2"/>
        <v>94.117647058823522</v>
      </c>
      <c r="N30" s="498">
        <f t="shared" si="3"/>
        <v>94.117647058823522</v>
      </c>
      <c r="O30" s="494"/>
      <c r="P30" s="495"/>
      <c r="Q30" s="495">
        <v>37</v>
      </c>
      <c r="R30" s="496">
        <f t="shared" si="4"/>
        <v>37</v>
      </c>
      <c r="S30" s="334">
        <v>4</v>
      </c>
      <c r="T30" s="342"/>
      <c r="U30" s="355"/>
      <c r="V30" s="343" t="s">
        <v>1093</v>
      </c>
      <c r="W30" s="334" t="s">
        <v>20</v>
      </c>
      <c r="X30" s="334" t="s">
        <v>12</v>
      </c>
      <c r="Y30" s="344">
        <v>37</v>
      </c>
      <c r="AD30" s="343"/>
      <c r="AG30" s="344"/>
      <c r="AL30" s="343"/>
      <c r="AO30" s="344"/>
      <c r="AP30" s="343"/>
      <c r="AS30" s="344"/>
      <c r="AW30" s="344"/>
      <c r="BA30" s="345"/>
    </row>
    <row r="31" spans="1:53" s="334" customFormat="1" x14ac:dyDescent="0.15">
      <c r="A31" s="334">
        <v>2001</v>
      </c>
      <c r="B31" s="355"/>
      <c r="C31" s="812" t="s">
        <v>1077</v>
      </c>
      <c r="D31" s="812"/>
      <c r="E31" s="334">
        <v>365</v>
      </c>
      <c r="G31" s="497"/>
      <c r="H31" s="532"/>
      <c r="I31" s="532">
        <v>16</v>
      </c>
      <c r="J31" s="499">
        <v>17</v>
      </c>
      <c r="K31" s="495">
        <f t="shared" si="0"/>
        <v>0</v>
      </c>
      <c r="L31" s="495">
        <f t="shared" si="1"/>
        <v>0</v>
      </c>
      <c r="M31" s="495">
        <f t="shared" si="2"/>
        <v>94.117647058823522</v>
      </c>
      <c r="N31" s="498">
        <f t="shared" si="3"/>
        <v>94.117647058823522</v>
      </c>
      <c r="O31" s="494"/>
      <c r="P31" s="495"/>
      <c r="Q31" s="495">
        <v>37</v>
      </c>
      <c r="R31" s="496">
        <f t="shared" si="4"/>
        <v>37</v>
      </c>
      <c r="S31" s="334">
        <v>4</v>
      </c>
      <c r="T31" s="342"/>
      <c r="U31" s="355"/>
      <c r="V31" s="343" t="s">
        <v>1093</v>
      </c>
      <c r="W31" s="334" t="s">
        <v>20</v>
      </c>
      <c r="X31" s="334" t="s">
        <v>12</v>
      </c>
      <c r="Y31" s="344">
        <v>37</v>
      </c>
      <c r="AD31" s="343"/>
      <c r="AG31" s="344"/>
      <c r="AL31" s="343"/>
      <c r="AO31" s="344"/>
      <c r="AP31" s="343"/>
      <c r="AS31" s="344"/>
      <c r="AW31" s="344"/>
      <c r="BA31" s="345"/>
    </row>
    <row r="32" spans="1:53" s="334" customFormat="1" x14ac:dyDescent="0.15">
      <c r="A32" s="334">
        <v>2002</v>
      </c>
      <c r="B32" s="335"/>
      <c r="C32" s="812" t="s">
        <v>1077</v>
      </c>
      <c r="D32" s="812"/>
      <c r="E32" s="334">
        <v>195</v>
      </c>
      <c r="G32" s="497"/>
      <c r="H32" s="532"/>
      <c r="I32" s="532">
        <v>16</v>
      </c>
      <c r="J32" s="499">
        <v>17</v>
      </c>
      <c r="K32" s="495">
        <f t="shared" si="0"/>
        <v>0</v>
      </c>
      <c r="L32" s="495">
        <f t="shared" si="1"/>
        <v>0</v>
      </c>
      <c r="M32" s="495">
        <f t="shared" si="2"/>
        <v>94.117647058823522</v>
      </c>
      <c r="N32" s="498">
        <f t="shared" si="3"/>
        <v>94.117647058823522</v>
      </c>
      <c r="O32" s="494"/>
      <c r="P32" s="495"/>
      <c r="Q32" s="495">
        <v>37</v>
      </c>
      <c r="R32" s="496">
        <f t="shared" si="4"/>
        <v>37</v>
      </c>
      <c r="S32" s="334">
        <v>4</v>
      </c>
      <c r="T32" s="342"/>
      <c r="U32" s="355"/>
      <c r="V32" s="343" t="s">
        <v>1093</v>
      </c>
      <c r="W32" s="334" t="s">
        <v>20</v>
      </c>
      <c r="X32" s="334" t="s">
        <v>12</v>
      </c>
      <c r="Y32" s="344">
        <v>37</v>
      </c>
      <c r="AD32" s="343"/>
      <c r="AG32" s="344"/>
      <c r="AL32" s="343"/>
      <c r="AO32" s="344"/>
      <c r="AP32" s="343"/>
      <c r="AS32" s="344"/>
      <c r="AW32" s="344"/>
      <c r="BA32" s="345"/>
    </row>
    <row r="33" spans="1:53" s="73" customFormat="1" x14ac:dyDescent="0.15">
      <c r="A33" s="73">
        <v>2002</v>
      </c>
      <c r="B33" s="121">
        <v>37452</v>
      </c>
      <c r="C33" s="811" t="s">
        <v>1078</v>
      </c>
      <c r="D33" s="811"/>
      <c r="E33" s="73">
        <v>170</v>
      </c>
      <c r="F33" s="73">
        <v>1</v>
      </c>
      <c r="G33" s="480">
        <v>3</v>
      </c>
      <c r="H33" s="531">
        <v>3</v>
      </c>
      <c r="I33" s="531">
        <v>11</v>
      </c>
      <c r="J33" s="482">
        <v>17</v>
      </c>
      <c r="K33" s="477">
        <f t="shared" si="0"/>
        <v>17.647058823529413</v>
      </c>
      <c r="L33" s="477">
        <f t="shared" si="1"/>
        <v>17.647058823529413</v>
      </c>
      <c r="M33" s="477">
        <f t="shared" si="2"/>
        <v>64.705882352941174</v>
      </c>
      <c r="N33" s="481">
        <f t="shared" si="3"/>
        <v>100</v>
      </c>
      <c r="O33" s="476">
        <v>4.5</v>
      </c>
      <c r="P33" s="477">
        <v>11</v>
      </c>
      <c r="Q33" s="477">
        <v>35</v>
      </c>
      <c r="R33" s="478">
        <f t="shared" si="4"/>
        <v>50.5</v>
      </c>
      <c r="S33" s="73">
        <v>2</v>
      </c>
      <c r="T33" s="95">
        <v>37422</v>
      </c>
      <c r="U33" s="85">
        <v>37452</v>
      </c>
      <c r="V33" s="82" t="s">
        <v>1093</v>
      </c>
      <c r="W33" s="225" t="s">
        <v>20</v>
      </c>
      <c r="X33" s="225" t="s">
        <v>12</v>
      </c>
      <c r="Y33" s="83">
        <v>35</v>
      </c>
      <c r="Z33" s="225" t="s">
        <v>1090</v>
      </c>
      <c r="AA33" s="225" t="s">
        <v>17</v>
      </c>
      <c r="AB33" s="225" t="s">
        <v>18</v>
      </c>
      <c r="AC33" s="225">
        <v>11</v>
      </c>
      <c r="AD33" s="82" t="s">
        <v>1094</v>
      </c>
      <c r="AE33" s="225" t="s">
        <v>1095</v>
      </c>
      <c r="AF33" s="225" t="s">
        <v>11</v>
      </c>
      <c r="AG33" s="83">
        <v>4.5</v>
      </c>
      <c r="AL33" s="82"/>
      <c r="AO33" s="83"/>
      <c r="AP33" s="82"/>
      <c r="AS33" s="83"/>
      <c r="AW33" s="83"/>
      <c r="BA33" s="84"/>
    </row>
    <row r="34" spans="1:53" s="73" customFormat="1" x14ac:dyDescent="0.15">
      <c r="A34" s="73">
        <v>2003</v>
      </c>
      <c r="B34" s="121"/>
      <c r="C34" s="811" t="s">
        <v>1078</v>
      </c>
      <c r="D34" s="811"/>
      <c r="E34" s="73">
        <v>159</v>
      </c>
      <c r="G34" s="480">
        <v>3</v>
      </c>
      <c r="H34" s="531">
        <v>3</v>
      </c>
      <c r="I34" s="531">
        <v>11</v>
      </c>
      <c r="J34" s="482">
        <v>17</v>
      </c>
      <c r="K34" s="477">
        <f t="shared" si="0"/>
        <v>17.647058823529413</v>
      </c>
      <c r="L34" s="477">
        <f t="shared" si="1"/>
        <v>17.647058823529413</v>
      </c>
      <c r="M34" s="477">
        <f t="shared" si="2"/>
        <v>64.705882352941174</v>
      </c>
      <c r="N34" s="481">
        <f t="shared" si="3"/>
        <v>100</v>
      </c>
      <c r="O34" s="476">
        <v>4.5</v>
      </c>
      <c r="P34" s="477">
        <v>11</v>
      </c>
      <c r="Q34" s="477">
        <v>35</v>
      </c>
      <c r="R34" s="478">
        <f t="shared" si="4"/>
        <v>50.5</v>
      </c>
      <c r="S34" s="73">
        <v>2</v>
      </c>
      <c r="T34" s="95"/>
      <c r="U34" s="85"/>
      <c r="V34" s="82" t="s">
        <v>1093</v>
      </c>
      <c r="W34" s="225" t="s">
        <v>20</v>
      </c>
      <c r="X34" s="225" t="s">
        <v>12</v>
      </c>
      <c r="Y34" s="83">
        <v>35</v>
      </c>
      <c r="Z34" s="225" t="s">
        <v>1090</v>
      </c>
      <c r="AA34" s="225" t="s">
        <v>17</v>
      </c>
      <c r="AB34" s="225" t="s">
        <v>18</v>
      </c>
      <c r="AC34" s="225">
        <v>11</v>
      </c>
      <c r="AD34" s="82" t="s">
        <v>1094</v>
      </c>
      <c r="AE34" s="225" t="s">
        <v>1095</v>
      </c>
      <c r="AF34" s="225" t="s">
        <v>11</v>
      </c>
      <c r="AG34" s="83">
        <v>4.5</v>
      </c>
      <c r="AL34" s="82"/>
      <c r="AO34" s="83"/>
      <c r="AP34" s="82"/>
      <c r="AS34" s="83"/>
      <c r="AW34" s="83"/>
      <c r="BA34" s="84"/>
    </row>
    <row r="35" spans="1:53" s="73" customFormat="1" x14ac:dyDescent="0.15">
      <c r="A35" s="73">
        <v>2003</v>
      </c>
      <c r="B35" s="154">
        <v>37781</v>
      </c>
      <c r="C35" s="811" t="s">
        <v>1078</v>
      </c>
      <c r="D35" s="811"/>
      <c r="E35" s="73">
        <v>99</v>
      </c>
      <c r="F35" s="150">
        <v>0</v>
      </c>
      <c r="G35" s="480">
        <v>3</v>
      </c>
      <c r="H35" s="531">
        <v>3</v>
      </c>
      <c r="I35" s="531">
        <v>10</v>
      </c>
      <c r="J35" s="482">
        <v>17</v>
      </c>
      <c r="K35" s="477">
        <f>G35/J35*100</f>
        <v>17.647058823529413</v>
      </c>
      <c r="L35" s="477">
        <f>H35/J35*100</f>
        <v>17.647058823529413</v>
      </c>
      <c r="M35" s="477">
        <f>I35/J35*100</f>
        <v>58.82352941176471</v>
      </c>
      <c r="N35" s="481">
        <f>SUM(K35:M35)</f>
        <v>94.117647058823536</v>
      </c>
      <c r="O35" s="476">
        <v>4.5</v>
      </c>
      <c r="P35" s="477">
        <v>11</v>
      </c>
      <c r="Q35" s="477">
        <v>35</v>
      </c>
      <c r="R35" s="478">
        <f>SUM(O35:Q35)</f>
        <v>50.5</v>
      </c>
      <c r="S35" s="73">
        <v>2</v>
      </c>
      <c r="T35" s="95"/>
      <c r="U35" s="85"/>
      <c r="V35" s="82" t="s">
        <v>1093</v>
      </c>
      <c r="W35" s="225" t="s">
        <v>20</v>
      </c>
      <c r="X35" s="225" t="s">
        <v>12</v>
      </c>
      <c r="Y35" s="83">
        <v>35</v>
      </c>
      <c r="Z35" s="225" t="s">
        <v>1090</v>
      </c>
      <c r="AA35" s="225" t="s">
        <v>17</v>
      </c>
      <c r="AB35" s="225" t="s">
        <v>18</v>
      </c>
      <c r="AC35" s="225">
        <v>11</v>
      </c>
      <c r="AD35" s="82" t="s">
        <v>1094</v>
      </c>
      <c r="AE35" s="225" t="s">
        <v>1095</v>
      </c>
      <c r="AF35" s="225" t="s">
        <v>11</v>
      </c>
      <c r="AG35" s="83">
        <v>4.5</v>
      </c>
      <c r="AL35" s="82"/>
      <c r="AO35" s="83"/>
      <c r="AP35" s="82"/>
      <c r="AS35" s="83"/>
      <c r="AW35" s="83"/>
      <c r="BA35" s="84"/>
    </row>
    <row r="36" spans="1:53" s="73" customFormat="1" x14ac:dyDescent="0.15">
      <c r="A36" s="73">
        <v>2003</v>
      </c>
      <c r="B36" s="154">
        <v>37880</v>
      </c>
      <c r="C36" s="811" t="s">
        <v>1078</v>
      </c>
      <c r="D36" s="811"/>
      <c r="E36" s="73">
        <v>107</v>
      </c>
      <c r="F36" s="150">
        <v>0</v>
      </c>
      <c r="G36" s="480">
        <v>3</v>
      </c>
      <c r="H36" s="531">
        <v>3</v>
      </c>
      <c r="I36" s="531">
        <v>9</v>
      </c>
      <c r="J36" s="482">
        <v>17</v>
      </c>
      <c r="K36" s="477">
        <f t="shared" si="0"/>
        <v>17.647058823529413</v>
      </c>
      <c r="L36" s="477">
        <f t="shared" si="1"/>
        <v>17.647058823529413</v>
      </c>
      <c r="M36" s="477">
        <f t="shared" si="2"/>
        <v>52.941176470588239</v>
      </c>
      <c r="N36" s="481">
        <f t="shared" si="3"/>
        <v>88.235294117647072</v>
      </c>
      <c r="O36" s="476">
        <v>4.5</v>
      </c>
      <c r="P36" s="477">
        <v>11</v>
      </c>
      <c r="Q36" s="477">
        <v>35</v>
      </c>
      <c r="R36" s="478">
        <f t="shared" si="4"/>
        <v>50.5</v>
      </c>
      <c r="S36" s="73">
        <v>2</v>
      </c>
      <c r="T36" s="95"/>
      <c r="U36" s="85"/>
      <c r="V36" s="82" t="s">
        <v>1093</v>
      </c>
      <c r="W36" s="225" t="s">
        <v>20</v>
      </c>
      <c r="X36" s="225" t="s">
        <v>12</v>
      </c>
      <c r="Y36" s="83">
        <v>35</v>
      </c>
      <c r="Z36" s="225" t="s">
        <v>1090</v>
      </c>
      <c r="AA36" s="225" t="s">
        <v>17</v>
      </c>
      <c r="AB36" s="225" t="s">
        <v>18</v>
      </c>
      <c r="AC36" s="225">
        <v>11</v>
      </c>
      <c r="AD36" s="82" t="s">
        <v>1094</v>
      </c>
      <c r="AE36" s="225" t="s">
        <v>1095</v>
      </c>
      <c r="AF36" s="225" t="s">
        <v>11</v>
      </c>
      <c r="AG36" s="83">
        <v>4.5</v>
      </c>
      <c r="AL36" s="82"/>
      <c r="AO36" s="83"/>
      <c r="AP36" s="82"/>
      <c r="AS36" s="83"/>
      <c r="AW36" s="83"/>
      <c r="BA36" s="84"/>
    </row>
    <row r="37" spans="1:53" s="73" customFormat="1" x14ac:dyDescent="0.15">
      <c r="A37" s="73">
        <v>2004</v>
      </c>
      <c r="B37" s="121"/>
      <c r="C37" s="811" t="s">
        <v>1078</v>
      </c>
      <c r="D37" s="811"/>
      <c r="E37" s="73">
        <v>216</v>
      </c>
      <c r="G37" s="480">
        <v>3</v>
      </c>
      <c r="H37" s="531">
        <v>3</v>
      </c>
      <c r="I37" s="531">
        <v>9</v>
      </c>
      <c r="J37" s="482">
        <v>17</v>
      </c>
      <c r="K37" s="477">
        <f t="shared" si="0"/>
        <v>17.647058823529413</v>
      </c>
      <c r="L37" s="477">
        <f t="shared" si="1"/>
        <v>17.647058823529413</v>
      </c>
      <c r="M37" s="477">
        <f t="shared" si="2"/>
        <v>52.941176470588239</v>
      </c>
      <c r="N37" s="481">
        <f t="shared" si="3"/>
        <v>88.235294117647072</v>
      </c>
      <c r="O37" s="476">
        <v>4.5</v>
      </c>
      <c r="P37" s="477">
        <v>11</v>
      </c>
      <c r="Q37" s="477">
        <v>35</v>
      </c>
      <c r="R37" s="478">
        <f t="shared" si="4"/>
        <v>50.5</v>
      </c>
      <c r="S37" s="73">
        <v>2</v>
      </c>
      <c r="T37" s="95"/>
      <c r="U37" s="85"/>
      <c r="V37" s="82" t="s">
        <v>1093</v>
      </c>
      <c r="W37" s="225" t="s">
        <v>20</v>
      </c>
      <c r="X37" s="225" t="s">
        <v>12</v>
      </c>
      <c r="Y37" s="83">
        <v>35</v>
      </c>
      <c r="Z37" s="225" t="s">
        <v>1090</v>
      </c>
      <c r="AA37" s="225" t="s">
        <v>17</v>
      </c>
      <c r="AB37" s="225" t="s">
        <v>18</v>
      </c>
      <c r="AC37" s="225">
        <v>11</v>
      </c>
      <c r="AD37" s="82" t="s">
        <v>1094</v>
      </c>
      <c r="AE37" s="225" t="s">
        <v>1095</v>
      </c>
      <c r="AF37" s="225" t="s">
        <v>11</v>
      </c>
      <c r="AG37" s="83">
        <v>4.5</v>
      </c>
      <c r="AL37" s="82"/>
      <c r="AO37" s="83"/>
      <c r="AP37" s="82"/>
      <c r="AS37" s="83"/>
      <c r="AW37" s="83"/>
      <c r="BA37" s="84"/>
    </row>
    <row r="38" spans="1:53" s="334" customFormat="1" x14ac:dyDescent="0.15">
      <c r="A38" s="334">
        <v>2004</v>
      </c>
      <c r="B38" s="335">
        <v>38203</v>
      </c>
      <c r="C38" s="812" t="s">
        <v>1079</v>
      </c>
      <c r="D38" s="812"/>
      <c r="E38" s="334">
        <v>150</v>
      </c>
      <c r="F38" s="334">
        <v>2</v>
      </c>
      <c r="G38" s="497">
        <v>3</v>
      </c>
      <c r="H38" s="532">
        <v>3</v>
      </c>
      <c r="I38" s="532">
        <v>12</v>
      </c>
      <c r="J38" s="499">
        <v>18</v>
      </c>
      <c r="K38" s="495">
        <f t="shared" ref="K38:K52" si="5">G38/J38*100</f>
        <v>16.666666666666664</v>
      </c>
      <c r="L38" s="495">
        <f t="shared" ref="L38:L52" si="6">H38/J38*100</f>
        <v>16.666666666666664</v>
      </c>
      <c r="M38" s="495">
        <f t="shared" ref="M38:M52" si="7">I38/J38*100</f>
        <v>66.666666666666657</v>
      </c>
      <c r="N38" s="498">
        <f t="shared" ref="N38:N58" si="8">SUM(K38:M38)</f>
        <v>99.999999999999986</v>
      </c>
      <c r="O38" s="494">
        <v>4.5</v>
      </c>
      <c r="P38" s="495">
        <v>11</v>
      </c>
      <c r="Q38" s="495">
        <v>35</v>
      </c>
      <c r="R38" s="496">
        <f t="shared" si="4"/>
        <v>50.5</v>
      </c>
      <c r="S38" s="334">
        <v>2</v>
      </c>
      <c r="T38" s="342"/>
      <c r="U38" s="355">
        <v>38203</v>
      </c>
      <c r="V38" s="343" t="s">
        <v>1093</v>
      </c>
      <c r="W38" s="334" t="s">
        <v>20</v>
      </c>
      <c r="X38" s="334" t="s">
        <v>12</v>
      </c>
      <c r="Y38" s="344">
        <v>35</v>
      </c>
      <c r="Z38" s="334" t="s">
        <v>1090</v>
      </c>
      <c r="AA38" s="334" t="s">
        <v>17</v>
      </c>
      <c r="AB38" s="334" t="s">
        <v>18</v>
      </c>
      <c r="AC38" s="334">
        <v>11</v>
      </c>
      <c r="AD38" s="343" t="s">
        <v>1094</v>
      </c>
      <c r="AE38" s="334" t="s">
        <v>1095</v>
      </c>
      <c r="AF38" s="334" t="s">
        <v>11</v>
      </c>
      <c r="AG38" s="344">
        <v>4.5</v>
      </c>
      <c r="AL38" s="343"/>
      <c r="AO38" s="344"/>
      <c r="AP38" s="343"/>
      <c r="AS38" s="344"/>
      <c r="AW38" s="344"/>
      <c r="BA38" s="345"/>
    </row>
    <row r="39" spans="1:53" s="334" customFormat="1" x14ac:dyDescent="0.15">
      <c r="A39" s="334">
        <v>2005</v>
      </c>
      <c r="B39" s="335"/>
      <c r="C39" s="812" t="s">
        <v>1079</v>
      </c>
      <c r="D39" s="812"/>
      <c r="E39" s="334">
        <v>114</v>
      </c>
      <c r="G39" s="497">
        <v>3</v>
      </c>
      <c r="H39" s="532">
        <v>3</v>
      </c>
      <c r="I39" s="532">
        <v>12</v>
      </c>
      <c r="J39" s="499">
        <v>18</v>
      </c>
      <c r="K39" s="495">
        <f t="shared" si="5"/>
        <v>16.666666666666664</v>
      </c>
      <c r="L39" s="495">
        <f t="shared" si="6"/>
        <v>16.666666666666664</v>
      </c>
      <c r="M39" s="495">
        <f t="shared" si="7"/>
        <v>66.666666666666657</v>
      </c>
      <c r="N39" s="498">
        <f t="shared" si="8"/>
        <v>99.999999999999986</v>
      </c>
      <c r="O39" s="494">
        <v>4.5</v>
      </c>
      <c r="P39" s="495">
        <v>11</v>
      </c>
      <c r="Q39" s="495">
        <v>35</v>
      </c>
      <c r="R39" s="496">
        <f t="shared" si="4"/>
        <v>50.5</v>
      </c>
      <c r="S39" s="334">
        <v>2</v>
      </c>
      <c r="T39" s="342"/>
      <c r="U39" s="355"/>
      <c r="V39" s="343" t="s">
        <v>1093</v>
      </c>
      <c r="W39" s="334" t="s">
        <v>20</v>
      </c>
      <c r="X39" s="334" t="s">
        <v>12</v>
      </c>
      <c r="Y39" s="344">
        <v>35</v>
      </c>
      <c r="Z39" s="334" t="s">
        <v>1090</v>
      </c>
      <c r="AA39" s="334" t="s">
        <v>17</v>
      </c>
      <c r="AB39" s="334" t="s">
        <v>18</v>
      </c>
      <c r="AC39" s="334">
        <v>11</v>
      </c>
      <c r="AD39" s="343" t="s">
        <v>1094</v>
      </c>
      <c r="AE39" s="334" t="s">
        <v>1095</v>
      </c>
      <c r="AF39" s="334" t="s">
        <v>11</v>
      </c>
      <c r="AG39" s="344">
        <v>4.5</v>
      </c>
      <c r="AL39" s="343"/>
      <c r="AO39" s="344"/>
      <c r="AP39" s="343"/>
      <c r="AS39" s="344"/>
      <c r="AW39" s="344"/>
      <c r="BA39" s="345"/>
    </row>
    <row r="40" spans="1:53" s="73" customFormat="1" x14ac:dyDescent="0.15">
      <c r="A40" s="73">
        <v>2005</v>
      </c>
      <c r="B40" s="121">
        <v>38467</v>
      </c>
      <c r="C40" s="811" t="s">
        <v>1080</v>
      </c>
      <c r="D40" s="811"/>
      <c r="E40" s="73">
        <v>114</v>
      </c>
      <c r="F40" s="73">
        <v>2</v>
      </c>
      <c r="G40" s="480">
        <v>2</v>
      </c>
      <c r="H40" s="531">
        <v>3</v>
      </c>
      <c r="I40" s="531">
        <v>9</v>
      </c>
      <c r="J40" s="482">
        <v>18</v>
      </c>
      <c r="K40" s="477">
        <f>G40/J40*100</f>
        <v>11.111111111111111</v>
      </c>
      <c r="L40" s="477">
        <f>H40/J40*100</f>
        <v>16.666666666666664</v>
      </c>
      <c r="M40" s="477">
        <f>I40/J40*100</f>
        <v>50</v>
      </c>
      <c r="N40" s="481">
        <f>SUM(K40:M40)</f>
        <v>77.777777777777771</v>
      </c>
      <c r="O40" s="476">
        <v>4.5</v>
      </c>
      <c r="P40" s="477">
        <v>11</v>
      </c>
      <c r="Q40" s="477">
        <v>35</v>
      </c>
      <c r="R40" s="478">
        <f>SUM(O40:Q40)</f>
        <v>50.5</v>
      </c>
      <c r="S40" s="73">
        <v>2</v>
      </c>
      <c r="T40" s="95"/>
      <c r="U40" s="85">
        <v>38467</v>
      </c>
      <c r="V40" s="82" t="s">
        <v>1093</v>
      </c>
      <c r="W40" s="225" t="s">
        <v>20</v>
      </c>
      <c r="X40" s="225" t="s">
        <v>12</v>
      </c>
      <c r="Y40" s="83">
        <v>35</v>
      </c>
      <c r="Z40" s="225" t="s">
        <v>1090</v>
      </c>
      <c r="AA40" s="225" t="s">
        <v>17</v>
      </c>
      <c r="AB40" s="225" t="s">
        <v>18</v>
      </c>
      <c r="AC40" s="225">
        <v>11</v>
      </c>
      <c r="AD40" s="82" t="s">
        <v>1094</v>
      </c>
      <c r="AE40" s="225" t="s">
        <v>1095</v>
      </c>
      <c r="AF40" s="225" t="s">
        <v>11</v>
      </c>
      <c r="AG40" s="83">
        <v>4.5</v>
      </c>
      <c r="AL40" s="82"/>
      <c r="AO40" s="83"/>
      <c r="AP40" s="82"/>
      <c r="AS40" s="83"/>
      <c r="AW40" s="83"/>
      <c r="BA40" s="84"/>
    </row>
    <row r="41" spans="1:53" s="73" customFormat="1" x14ac:dyDescent="0.15">
      <c r="A41" s="73">
        <v>2005</v>
      </c>
      <c r="B41" s="154">
        <v>38581</v>
      </c>
      <c r="C41" s="811" t="s">
        <v>1080</v>
      </c>
      <c r="D41" s="811"/>
      <c r="E41" s="73">
        <v>79</v>
      </c>
      <c r="F41" s="150">
        <v>0</v>
      </c>
      <c r="G41" s="480">
        <v>2</v>
      </c>
      <c r="H41" s="531">
        <v>3</v>
      </c>
      <c r="I41" s="531">
        <v>8</v>
      </c>
      <c r="J41" s="482">
        <v>18</v>
      </c>
      <c r="K41" s="477">
        <f>G41/J41*100</f>
        <v>11.111111111111111</v>
      </c>
      <c r="L41" s="477">
        <f>H41/J41*100</f>
        <v>16.666666666666664</v>
      </c>
      <c r="M41" s="477">
        <f>I41/J41*100</f>
        <v>44.444444444444443</v>
      </c>
      <c r="N41" s="481">
        <f>SUM(K41:M41)</f>
        <v>72.222222222222214</v>
      </c>
      <c r="O41" s="476">
        <v>4.5</v>
      </c>
      <c r="P41" s="477">
        <v>11</v>
      </c>
      <c r="Q41" s="477">
        <v>35</v>
      </c>
      <c r="R41" s="478">
        <f>SUM(O41:Q41)</f>
        <v>50.5</v>
      </c>
      <c r="S41" s="73">
        <v>2</v>
      </c>
      <c r="T41" s="95"/>
      <c r="U41" s="85"/>
      <c r="V41" s="82" t="s">
        <v>1093</v>
      </c>
      <c r="W41" s="225" t="s">
        <v>20</v>
      </c>
      <c r="X41" s="225" t="s">
        <v>12</v>
      </c>
      <c r="Y41" s="83">
        <v>35</v>
      </c>
      <c r="Z41" s="225" t="s">
        <v>1090</v>
      </c>
      <c r="AA41" s="225" t="s">
        <v>17</v>
      </c>
      <c r="AB41" s="225" t="s">
        <v>18</v>
      </c>
      <c r="AC41" s="225">
        <v>11</v>
      </c>
      <c r="AD41" s="82" t="s">
        <v>1094</v>
      </c>
      <c r="AE41" s="225" t="s">
        <v>1095</v>
      </c>
      <c r="AF41" s="225" t="s">
        <v>11</v>
      </c>
      <c r="AG41" s="83">
        <v>4.5</v>
      </c>
      <c r="AL41" s="82"/>
      <c r="AO41" s="83"/>
      <c r="AP41" s="82"/>
      <c r="AS41" s="83"/>
      <c r="AW41" s="83"/>
      <c r="BA41" s="84"/>
    </row>
    <row r="42" spans="1:53" s="73" customFormat="1" x14ac:dyDescent="0.15">
      <c r="A42" s="73">
        <v>2005</v>
      </c>
      <c r="B42" s="154">
        <v>38660</v>
      </c>
      <c r="C42" s="811" t="s">
        <v>1080</v>
      </c>
      <c r="D42" s="811"/>
      <c r="E42" s="73">
        <v>58</v>
      </c>
      <c r="F42" s="150">
        <v>0</v>
      </c>
      <c r="G42" s="480">
        <v>2</v>
      </c>
      <c r="H42" s="531">
        <v>3</v>
      </c>
      <c r="I42" s="531">
        <v>7</v>
      </c>
      <c r="J42" s="482">
        <v>18</v>
      </c>
      <c r="K42" s="477">
        <f t="shared" si="5"/>
        <v>11.111111111111111</v>
      </c>
      <c r="L42" s="477">
        <f t="shared" si="6"/>
        <v>16.666666666666664</v>
      </c>
      <c r="M42" s="477">
        <f t="shared" si="7"/>
        <v>38.888888888888893</v>
      </c>
      <c r="N42" s="481">
        <f t="shared" si="8"/>
        <v>66.666666666666671</v>
      </c>
      <c r="O42" s="476">
        <v>4.5</v>
      </c>
      <c r="P42" s="477">
        <v>11</v>
      </c>
      <c r="Q42" s="477">
        <v>35</v>
      </c>
      <c r="R42" s="478">
        <f t="shared" si="4"/>
        <v>50.5</v>
      </c>
      <c r="S42" s="73">
        <v>2</v>
      </c>
      <c r="T42" s="95"/>
      <c r="U42" s="85"/>
      <c r="V42" s="82" t="s">
        <v>1093</v>
      </c>
      <c r="W42" s="225" t="s">
        <v>20</v>
      </c>
      <c r="X42" s="225" t="s">
        <v>12</v>
      </c>
      <c r="Y42" s="83">
        <v>35</v>
      </c>
      <c r="Z42" s="225" t="s">
        <v>1090</v>
      </c>
      <c r="AA42" s="225" t="s">
        <v>17</v>
      </c>
      <c r="AB42" s="225" t="s">
        <v>18</v>
      </c>
      <c r="AC42" s="225">
        <v>11</v>
      </c>
      <c r="AD42" s="82" t="s">
        <v>1094</v>
      </c>
      <c r="AE42" s="225" t="s">
        <v>1095</v>
      </c>
      <c r="AF42" s="225" t="s">
        <v>11</v>
      </c>
      <c r="AG42" s="83">
        <v>4.5</v>
      </c>
      <c r="AL42" s="82"/>
      <c r="AO42" s="83"/>
      <c r="AP42" s="82"/>
      <c r="AS42" s="83"/>
      <c r="AW42" s="83"/>
      <c r="BA42" s="84"/>
    </row>
    <row r="43" spans="1:53" s="73" customFormat="1" x14ac:dyDescent="0.15">
      <c r="A43" s="73">
        <v>2006</v>
      </c>
      <c r="B43" s="121"/>
      <c r="C43" s="811" t="s">
        <v>1080</v>
      </c>
      <c r="D43" s="811"/>
      <c r="E43" s="73">
        <v>246</v>
      </c>
      <c r="G43" s="480">
        <v>2</v>
      </c>
      <c r="H43" s="531">
        <v>3</v>
      </c>
      <c r="I43" s="531">
        <v>7</v>
      </c>
      <c r="J43" s="482">
        <v>17</v>
      </c>
      <c r="K43" s="477">
        <f t="shared" si="5"/>
        <v>11.76470588235294</v>
      </c>
      <c r="L43" s="477">
        <f t="shared" si="6"/>
        <v>17.647058823529413</v>
      </c>
      <c r="M43" s="477">
        <f t="shared" si="7"/>
        <v>41.17647058823529</v>
      </c>
      <c r="N43" s="481">
        <f t="shared" si="8"/>
        <v>70.588235294117652</v>
      </c>
      <c r="O43" s="476">
        <v>4.5</v>
      </c>
      <c r="P43" s="477">
        <v>11</v>
      </c>
      <c r="Q43" s="477">
        <v>35</v>
      </c>
      <c r="R43" s="478">
        <f t="shared" si="4"/>
        <v>50.5</v>
      </c>
      <c r="S43" s="73">
        <v>2</v>
      </c>
      <c r="T43" s="95"/>
      <c r="U43" s="85"/>
      <c r="V43" s="82" t="s">
        <v>1093</v>
      </c>
      <c r="W43" s="225" t="s">
        <v>20</v>
      </c>
      <c r="X43" s="225" t="s">
        <v>12</v>
      </c>
      <c r="Y43" s="83">
        <v>35</v>
      </c>
      <c r="Z43" s="225" t="s">
        <v>1090</v>
      </c>
      <c r="AA43" s="225" t="s">
        <v>17</v>
      </c>
      <c r="AB43" s="225" t="s">
        <v>18</v>
      </c>
      <c r="AC43" s="225">
        <v>11</v>
      </c>
      <c r="AD43" s="82" t="s">
        <v>1094</v>
      </c>
      <c r="AE43" s="225" t="s">
        <v>1095</v>
      </c>
      <c r="AF43" s="225" t="s">
        <v>11</v>
      </c>
      <c r="AG43" s="83">
        <v>4.5</v>
      </c>
      <c r="AL43" s="82"/>
      <c r="AO43" s="83"/>
      <c r="AP43" s="82"/>
      <c r="AS43" s="83"/>
      <c r="AW43" s="83"/>
      <c r="BA43" s="84"/>
    </row>
    <row r="44" spans="1:53" s="334" customFormat="1" x14ac:dyDescent="0.15">
      <c r="A44" s="334">
        <v>2006</v>
      </c>
      <c r="B44" s="335">
        <v>38964</v>
      </c>
      <c r="C44" s="812" t="s">
        <v>1081</v>
      </c>
      <c r="D44" s="812"/>
      <c r="E44" s="334">
        <v>119</v>
      </c>
      <c r="F44" s="334">
        <v>1</v>
      </c>
      <c r="G44" s="497">
        <v>9</v>
      </c>
      <c r="H44" s="532"/>
      <c r="I44" s="532"/>
      <c r="J44" s="499">
        <v>15</v>
      </c>
      <c r="K44" s="495">
        <f t="shared" si="5"/>
        <v>60</v>
      </c>
      <c r="L44" s="495">
        <f t="shared" si="6"/>
        <v>0</v>
      </c>
      <c r="M44" s="495">
        <f t="shared" si="7"/>
        <v>0</v>
      </c>
      <c r="N44" s="498">
        <f t="shared" si="8"/>
        <v>60</v>
      </c>
      <c r="O44" s="494">
        <v>40.5</v>
      </c>
      <c r="P44" s="495"/>
      <c r="Q44" s="495"/>
      <c r="R44" s="496">
        <f t="shared" si="4"/>
        <v>40.5</v>
      </c>
      <c r="S44" s="334">
        <v>4</v>
      </c>
      <c r="T44" s="342">
        <v>38870</v>
      </c>
      <c r="U44" s="355">
        <v>38964</v>
      </c>
      <c r="V44" s="343" t="s">
        <v>1091</v>
      </c>
      <c r="W44" s="334" t="s">
        <v>74</v>
      </c>
      <c r="X44" s="334" t="s">
        <v>11</v>
      </c>
      <c r="Y44" s="344">
        <v>40.5</v>
      </c>
      <c r="AD44" s="343"/>
      <c r="AG44" s="344"/>
      <c r="AL44" s="343"/>
      <c r="AO44" s="344"/>
      <c r="AP44" s="343"/>
      <c r="AS44" s="344"/>
      <c r="AW44" s="344"/>
      <c r="BA44" s="345"/>
    </row>
    <row r="45" spans="1:53" s="334" customFormat="1" x14ac:dyDescent="0.15">
      <c r="A45" s="334">
        <v>2007</v>
      </c>
      <c r="B45" s="335"/>
      <c r="C45" s="812" t="s">
        <v>1081</v>
      </c>
      <c r="D45" s="812"/>
      <c r="E45" s="334">
        <v>8</v>
      </c>
      <c r="G45" s="497">
        <v>9</v>
      </c>
      <c r="H45" s="532"/>
      <c r="I45" s="532"/>
      <c r="J45" s="499">
        <v>15</v>
      </c>
      <c r="K45" s="495">
        <f t="shared" si="5"/>
        <v>60</v>
      </c>
      <c r="L45" s="495">
        <f t="shared" si="6"/>
        <v>0</v>
      </c>
      <c r="M45" s="495">
        <f t="shared" si="7"/>
        <v>0</v>
      </c>
      <c r="N45" s="498">
        <f t="shared" si="8"/>
        <v>60</v>
      </c>
      <c r="O45" s="494">
        <v>40.5</v>
      </c>
      <c r="P45" s="495"/>
      <c r="Q45" s="495"/>
      <c r="R45" s="496">
        <f t="shared" si="4"/>
        <v>40.5</v>
      </c>
      <c r="S45" s="334">
        <v>4</v>
      </c>
      <c r="T45" s="342"/>
      <c r="U45" s="355"/>
      <c r="V45" s="343" t="s">
        <v>1091</v>
      </c>
      <c r="W45" s="334" t="s">
        <v>74</v>
      </c>
      <c r="X45" s="334" t="s">
        <v>11</v>
      </c>
      <c r="Y45" s="344">
        <v>40.5</v>
      </c>
      <c r="AD45" s="343"/>
      <c r="AG45" s="344"/>
      <c r="AL45" s="343"/>
      <c r="AO45" s="344"/>
      <c r="AP45" s="343"/>
      <c r="AS45" s="344"/>
      <c r="AW45" s="344"/>
      <c r="BA45" s="345"/>
    </row>
    <row r="46" spans="1:53" s="73" customFormat="1" x14ac:dyDescent="0.15">
      <c r="A46" s="73">
        <v>2007</v>
      </c>
      <c r="B46" s="121">
        <v>39091</v>
      </c>
      <c r="C46" s="811" t="s">
        <v>1082</v>
      </c>
      <c r="D46" s="811"/>
      <c r="E46" s="73">
        <v>357</v>
      </c>
      <c r="F46" s="73">
        <v>5</v>
      </c>
      <c r="G46" s="480">
        <v>9</v>
      </c>
      <c r="H46" s="531">
        <v>4</v>
      </c>
      <c r="I46" s="531">
        <v>3</v>
      </c>
      <c r="J46" s="482">
        <v>18</v>
      </c>
      <c r="K46" s="477">
        <f t="shared" si="5"/>
        <v>50</v>
      </c>
      <c r="L46" s="477">
        <f t="shared" si="6"/>
        <v>22.222222222222221</v>
      </c>
      <c r="M46" s="477">
        <f t="shared" si="7"/>
        <v>16.666666666666664</v>
      </c>
      <c r="N46" s="481">
        <f t="shared" si="8"/>
        <v>88.888888888888886</v>
      </c>
      <c r="O46" s="476">
        <v>40.5</v>
      </c>
      <c r="P46" s="477">
        <v>6.5</v>
      </c>
      <c r="Q46" s="477">
        <v>3</v>
      </c>
      <c r="R46" s="478">
        <f t="shared" si="4"/>
        <v>50</v>
      </c>
      <c r="S46" s="73">
        <v>5</v>
      </c>
      <c r="T46" s="95"/>
      <c r="U46" s="85">
        <v>39091</v>
      </c>
      <c r="V46" s="82" t="s">
        <v>1091</v>
      </c>
      <c r="W46" s="225" t="s">
        <v>74</v>
      </c>
      <c r="X46" s="225" t="s">
        <v>11</v>
      </c>
      <c r="Y46" s="83">
        <v>40.5</v>
      </c>
      <c r="Z46" s="225" t="s">
        <v>1090</v>
      </c>
      <c r="AA46" s="225" t="s">
        <v>17</v>
      </c>
      <c r="AB46" s="225" t="s">
        <v>18</v>
      </c>
      <c r="AC46" s="225">
        <v>6.5</v>
      </c>
      <c r="AD46" s="82" t="s">
        <v>1096</v>
      </c>
      <c r="AE46" s="225" t="s">
        <v>221</v>
      </c>
      <c r="AF46" s="225" t="s">
        <v>12</v>
      </c>
      <c r="AG46" s="83">
        <v>3</v>
      </c>
      <c r="AL46" s="82"/>
      <c r="AO46" s="83"/>
      <c r="AP46" s="82"/>
      <c r="AS46" s="83"/>
      <c r="AW46" s="83"/>
      <c r="BA46" s="84"/>
    </row>
    <row r="47" spans="1:53" s="73" customFormat="1" x14ac:dyDescent="0.15">
      <c r="A47" s="73">
        <v>2008</v>
      </c>
      <c r="B47" s="121"/>
      <c r="C47" s="811" t="s">
        <v>1082</v>
      </c>
      <c r="D47" s="811"/>
      <c r="E47" s="73">
        <v>0</v>
      </c>
      <c r="G47" s="480">
        <v>9</v>
      </c>
      <c r="H47" s="531">
        <v>4</v>
      </c>
      <c r="I47" s="531">
        <v>3</v>
      </c>
      <c r="J47" s="482">
        <v>18</v>
      </c>
      <c r="K47" s="477">
        <f t="shared" si="5"/>
        <v>50</v>
      </c>
      <c r="L47" s="477">
        <f t="shared" si="6"/>
        <v>22.222222222222221</v>
      </c>
      <c r="M47" s="477">
        <f t="shared" si="7"/>
        <v>16.666666666666664</v>
      </c>
      <c r="N47" s="481">
        <f t="shared" si="8"/>
        <v>88.888888888888886</v>
      </c>
      <c r="O47" s="476">
        <v>40.5</v>
      </c>
      <c r="P47" s="477">
        <v>6.5</v>
      </c>
      <c r="Q47" s="477">
        <v>3</v>
      </c>
      <c r="R47" s="478">
        <f t="shared" si="4"/>
        <v>50</v>
      </c>
      <c r="S47" s="73">
        <v>5</v>
      </c>
      <c r="T47" s="95"/>
      <c r="U47" s="85"/>
      <c r="V47" s="82" t="s">
        <v>1091</v>
      </c>
      <c r="W47" s="225" t="s">
        <v>74</v>
      </c>
      <c r="X47" s="225" t="s">
        <v>11</v>
      </c>
      <c r="Y47" s="83">
        <v>40.5</v>
      </c>
      <c r="Z47" s="225" t="s">
        <v>1090</v>
      </c>
      <c r="AA47" s="225" t="s">
        <v>17</v>
      </c>
      <c r="AB47" s="225" t="s">
        <v>18</v>
      </c>
      <c r="AC47" s="225">
        <v>6.5</v>
      </c>
      <c r="AD47" s="82" t="s">
        <v>1096</v>
      </c>
      <c r="AE47" s="225" t="s">
        <v>221</v>
      </c>
      <c r="AF47" s="225" t="s">
        <v>12</v>
      </c>
      <c r="AG47" s="83">
        <v>3</v>
      </c>
      <c r="AL47" s="82"/>
      <c r="AO47" s="83"/>
      <c r="AP47" s="82"/>
      <c r="AS47" s="83"/>
      <c r="AW47" s="83"/>
      <c r="BA47" s="84"/>
    </row>
    <row r="48" spans="1:53" s="73" customFormat="1" x14ac:dyDescent="0.15">
      <c r="A48" s="73">
        <v>2008</v>
      </c>
      <c r="B48" s="121"/>
      <c r="C48" s="811" t="s">
        <v>1082</v>
      </c>
      <c r="D48" s="811"/>
      <c r="E48" s="73">
        <v>366</v>
      </c>
      <c r="G48" s="480">
        <v>9</v>
      </c>
      <c r="H48" s="531">
        <v>4</v>
      </c>
      <c r="I48" s="531">
        <v>3</v>
      </c>
      <c r="J48" s="482">
        <v>18</v>
      </c>
      <c r="K48" s="477">
        <f t="shared" si="5"/>
        <v>50</v>
      </c>
      <c r="L48" s="477">
        <f t="shared" si="6"/>
        <v>22.222222222222221</v>
      </c>
      <c r="M48" s="477">
        <f t="shared" si="7"/>
        <v>16.666666666666664</v>
      </c>
      <c r="N48" s="481">
        <f t="shared" si="8"/>
        <v>88.888888888888886</v>
      </c>
      <c r="O48" s="476">
        <v>40.5</v>
      </c>
      <c r="P48" s="477">
        <v>6.5</v>
      </c>
      <c r="Q48" s="477">
        <v>3</v>
      </c>
      <c r="R48" s="478">
        <f t="shared" si="4"/>
        <v>50</v>
      </c>
      <c r="S48" s="73">
        <v>5</v>
      </c>
      <c r="T48" s="95"/>
      <c r="U48" s="85"/>
      <c r="V48" s="82" t="s">
        <v>1091</v>
      </c>
      <c r="W48" s="225" t="s">
        <v>74</v>
      </c>
      <c r="X48" s="225" t="s">
        <v>11</v>
      </c>
      <c r="Y48" s="83">
        <v>40.5</v>
      </c>
      <c r="Z48" s="225" t="s">
        <v>1090</v>
      </c>
      <c r="AA48" s="225" t="s">
        <v>17</v>
      </c>
      <c r="AB48" s="225" t="s">
        <v>18</v>
      </c>
      <c r="AC48" s="225">
        <v>6.5</v>
      </c>
      <c r="AD48" s="82" t="s">
        <v>1096</v>
      </c>
      <c r="AE48" s="225" t="s">
        <v>221</v>
      </c>
      <c r="AF48" s="225" t="s">
        <v>12</v>
      </c>
      <c r="AG48" s="83">
        <v>3</v>
      </c>
      <c r="AL48" s="82"/>
      <c r="AO48" s="83"/>
      <c r="AP48" s="82"/>
      <c r="AS48" s="83"/>
      <c r="AW48" s="83"/>
      <c r="BA48" s="84"/>
    </row>
    <row r="49" spans="1:53" s="73" customFormat="1" x14ac:dyDescent="0.15">
      <c r="A49" s="73">
        <v>2009</v>
      </c>
      <c r="B49" s="121"/>
      <c r="C49" s="811" t="s">
        <v>1082</v>
      </c>
      <c r="D49" s="811"/>
      <c r="E49" s="73">
        <v>127</v>
      </c>
      <c r="G49" s="480">
        <v>9</v>
      </c>
      <c r="H49" s="531">
        <v>4</v>
      </c>
      <c r="I49" s="531">
        <v>3</v>
      </c>
      <c r="J49" s="482">
        <v>18</v>
      </c>
      <c r="K49" s="477">
        <f t="shared" si="5"/>
        <v>50</v>
      </c>
      <c r="L49" s="477">
        <f t="shared" si="6"/>
        <v>22.222222222222221</v>
      </c>
      <c r="M49" s="477">
        <f t="shared" si="7"/>
        <v>16.666666666666664</v>
      </c>
      <c r="N49" s="481">
        <f t="shared" si="8"/>
        <v>88.888888888888886</v>
      </c>
      <c r="O49" s="476">
        <v>40.5</v>
      </c>
      <c r="P49" s="477">
        <v>6.5</v>
      </c>
      <c r="Q49" s="477">
        <v>3</v>
      </c>
      <c r="R49" s="478">
        <f t="shared" si="4"/>
        <v>50</v>
      </c>
      <c r="S49" s="73">
        <v>5</v>
      </c>
      <c r="T49" s="95"/>
      <c r="U49" s="85"/>
      <c r="V49" s="82" t="s">
        <v>1091</v>
      </c>
      <c r="W49" s="225" t="s">
        <v>74</v>
      </c>
      <c r="X49" s="225" t="s">
        <v>11</v>
      </c>
      <c r="Y49" s="83">
        <v>40.5</v>
      </c>
      <c r="Z49" s="225" t="s">
        <v>1090</v>
      </c>
      <c r="AA49" s="225" t="s">
        <v>17</v>
      </c>
      <c r="AB49" s="225" t="s">
        <v>18</v>
      </c>
      <c r="AC49" s="225">
        <v>6.5</v>
      </c>
      <c r="AD49" s="82" t="s">
        <v>1096</v>
      </c>
      <c r="AE49" s="225" t="s">
        <v>221</v>
      </c>
      <c r="AF49" s="225" t="s">
        <v>12</v>
      </c>
      <c r="AG49" s="83">
        <v>3</v>
      </c>
      <c r="AL49" s="82"/>
      <c r="AO49" s="83"/>
      <c r="AP49" s="82"/>
      <c r="AS49" s="83"/>
      <c r="AW49" s="83"/>
      <c r="BA49" s="84"/>
    </row>
    <row r="50" spans="1:53" s="334" customFormat="1" x14ac:dyDescent="0.15">
      <c r="A50" s="334">
        <v>2009</v>
      </c>
      <c r="B50" s="335">
        <v>39941</v>
      </c>
      <c r="C50" s="812" t="s">
        <v>1083</v>
      </c>
      <c r="D50" s="812"/>
      <c r="E50" s="334">
        <v>238</v>
      </c>
      <c r="F50" s="334">
        <v>5</v>
      </c>
      <c r="G50" s="497">
        <v>0</v>
      </c>
      <c r="H50" s="532">
        <v>0</v>
      </c>
      <c r="I50" s="532">
        <v>0</v>
      </c>
      <c r="J50" s="499">
        <v>18</v>
      </c>
      <c r="K50" s="495">
        <f t="shared" si="5"/>
        <v>0</v>
      </c>
      <c r="L50" s="495">
        <f t="shared" si="6"/>
        <v>0</v>
      </c>
      <c r="M50" s="495">
        <f t="shared" si="7"/>
        <v>0</v>
      </c>
      <c r="N50" s="498">
        <f t="shared" si="8"/>
        <v>0</v>
      </c>
      <c r="O50" s="494">
        <v>0</v>
      </c>
      <c r="P50" s="495">
        <v>0</v>
      </c>
      <c r="Q50" s="495">
        <v>0</v>
      </c>
      <c r="R50" s="496">
        <f t="shared" si="4"/>
        <v>0</v>
      </c>
      <c r="S50" s="334">
        <v>7</v>
      </c>
      <c r="T50" s="342"/>
      <c r="U50" s="355">
        <v>39941</v>
      </c>
      <c r="V50" s="438" t="s">
        <v>815</v>
      </c>
      <c r="Y50" s="344"/>
      <c r="AD50" s="343"/>
      <c r="AG50" s="344"/>
      <c r="AL50" s="343"/>
      <c r="AO50" s="344"/>
      <c r="AP50" s="343"/>
      <c r="AS50" s="344"/>
      <c r="AW50" s="344"/>
      <c r="BA50" s="345"/>
    </row>
    <row r="51" spans="1:53" s="334" customFormat="1" x14ac:dyDescent="0.15">
      <c r="A51" s="334">
        <v>2010</v>
      </c>
      <c r="B51" s="335"/>
      <c r="C51" s="812" t="s">
        <v>1083</v>
      </c>
      <c r="D51" s="812"/>
      <c r="E51" s="334">
        <v>193</v>
      </c>
      <c r="G51" s="497">
        <v>0</v>
      </c>
      <c r="H51" s="532">
        <v>0</v>
      </c>
      <c r="I51" s="532">
        <v>0</v>
      </c>
      <c r="J51" s="499">
        <v>18</v>
      </c>
      <c r="K51" s="495">
        <f t="shared" si="5"/>
        <v>0</v>
      </c>
      <c r="L51" s="495">
        <f t="shared" si="6"/>
        <v>0</v>
      </c>
      <c r="M51" s="495">
        <f t="shared" si="7"/>
        <v>0</v>
      </c>
      <c r="N51" s="498">
        <f t="shared" si="8"/>
        <v>0</v>
      </c>
      <c r="O51" s="494">
        <v>0</v>
      </c>
      <c r="P51" s="495">
        <v>0</v>
      </c>
      <c r="Q51" s="495">
        <v>0</v>
      </c>
      <c r="R51" s="496">
        <f t="shared" si="4"/>
        <v>0</v>
      </c>
      <c r="S51" s="334">
        <v>7</v>
      </c>
      <c r="T51" s="342"/>
      <c r="U51" s="355"/>
      <c r="V51" s="438" t="s">
        <v>815</v>
      </c>
      <c r="Y51" s="344"/>
      <c r="AD51" s="343"/>
      <c r="AG51" s="344"/>
      <c r="AL51" s="343"/>
      <c r="AO51" s="344"/>
      <c r="AP51" s="343"/>
      <c r="AS51" s="344"/>
      <c r="AW51" s="344"/>
      <c r="BA51" s="345"/>
    </row>
    <row r="52" spans="1:53" s="73" customFormat="1" x14ac:dyDescent="0.15">
      <c r="A52" s="73">
        <v>2010</v>
      </c>
      <c r="B52" s="121">
        <v>40372</v>
      </c>
      <c r="C52" s="811" t="s">
        <v>1084</v>
      </c>
      <c r="D52" s="811"/>
      <c r="E52" s="73">
        <v>172</v>
      </c>
      <c r="F52" s="73">
        <v>1</v>
      </c>
      <c r="G52" s="480">
        <v>14</v>
      </c>
      <c r="H52" s="531"/>
      <c r="I52" s="531"/>
      <c r="J52" s="482">
        <v>15</v>
      </c>
      <c r="K52" s="477">
        <f t="shared" si="5"/>
        <v>93.333333333333329</v>
      </c>
      <c r="L52" s="477">
        <f t="shared" si="6"/>
        <v>0</v>
      </c>
      <c r="M52" s="477">
        <f t="shared" si="7"/>
        <v>0</v>
      </c>
      <c r="N52" s="481">
        <f t="shared" si="8"/>
        <v>93.333333333333329</v>
      </c>
      <c r="O52" s="476">
        <v>59</v>
      </c>
      <c r="P52" s="477"/>
      <c r="Q52" s="477"/>
      <c r="R52" s="478">
        <f t="shared" si="4"/>
        <v>59</v>
      </c>
      <c r="S52" s="73">
        <v>2</v>
      </c>
      <c r="T52" s="95">
        <v>40327</v>
      </c>
      <c r="U52" s="85">
        <v>40372</v>
      </c>
      <c r="V52" s="82" t="s">
        <v>1091</v>
      </c>
      <c r="W52" s="225" t="s">
        <v>74</v>
      </c>
      <c r="X52" s="225" t="s">
        <v>11</v>
      </c>
      <c r="Y52" s="83">
        <v>26.5</v>
      </c>
      <c r="Z52" s="225" t="s">
        <v>1097</v>
      </c>
      <c r="AA52" s="225" t="s">
        <v>77</v>
      </c>
      <c r="AB52" s="225" t="s">
        <v>11</v>
      </c>
      <c r="AC52" s="225">
        <v>20.5</v>
      </c>
      <c r="AD52" s="82" t="s">
        <v>1098</v>
      </c>
      <c r="AE52" s="225" t="s">
        <v>79</v>
      </c>
      <c r="AF52" s="225" t="s">
        <v>11</v>
      </c>
      <c r="AG52" s="83">
        <v>12</v>
      </c>
      <c r="AL52" s="82"/>
      <c r="AO52" s="83"/>
      <c r="AP52" s="82"/>
      <c r="AS52" s="83"/>
      <c r="AW52" s="83"/>
      <c r="BA52" s="84"/>
    </row>
    <row r="53" spans="1:53" s="73" customFormat="1" x14ac:dyDescent="0.15">
      <c r="A53" s="73">
        <v>2011</v>
      </c>
      <c r="B53" s="121"/>
      <c r="C53" s="811" t="s">
        <v>1084</v>
      </c>
      <c r="D53" s="811"/>
      <c r="E53" s="73">
        <v>110</v>
      </c>
      <c r="G53" s="480">
        <v>14</v>
      </c>
      <c r="H53" s="531"/>
      <c r="I53" s="531"/>
      <c r="J53" s="482">
        <v>15</v>
      </c>
      <c r="K53" s="477">
        <f t="shared" ref="K53:K62" si="9">G53/J53*100</f>
        <v>93.333333333333329</v>
      </c>
      <c r="L53" s="477">
        <f t="shared" ref="L53:L62" si="10">H53/J53*100</f>
        <v>0</v>
      </c>
      <c r="M53" s="477">
        <f t="shared" ref="M53:M62" si="11">I53/J53*100</f>
        <v>0</v>
      </c>
      <c r="N53" s="481">
        <f t="shared" si="8"/>
        <v>93.333333333333329</v>
      </c>
      <c r="O53" s="476">
        <v>59</v>
      </c>
      <c r="P53" s="477"/>
      <c r="Q53" s="477"/>
      <c r="R53" s="478">
        <f t="shared" si="4"/>
        <v>59</v>
      </c>
      <c r="S53" s="73">
        <v>2</v>
      </c>
      <c r="T53" s="95"/>
      <c r="U53" s="85"/>
      <c r="V53" s="82" t="s">
        <v>1091</v>
      </c>
      <c r="W53" s="225" t="s">
        <v>74</v>
      </c>
      <c r="X53" s="225" t="s">
        <v>11</v>
      </c>
      <c r="Y53" s="83">
        <v>26.5</v>
      </c>
      <c r="Z53" s="225" t="s">
        <v>1097</v>
      </c>
      <c r="AA53" s="225" t="s">
        <v>77</v>
      </c>
      <c r="AB53" s="225" t="s">
        <v>11</v>
      </c>
      <c r="AC53" s="225">
        <v>20.5</v>
      </c>
      <c r="AD53" s="82" t="s">
        <v>1098</v>
      </c>
      <c r="AE53" s="225" t="s">
        <v>79</v>
      </c>
      <c r="AF53" s="225" t="s">
        <v>11</v>
      </c>
      <c r="AG53" s="83">
        <v>12</v>
      </c>
      <c r="AL53" s="82"/>
      <c r="AO53" s="83"/>
      <c r="AP53" s="82"/>
      <c r="AS53" s="83"/>
      <c r="AW53" s="83"/>
      <c r="BA53" s="84"/>
    </row>
    <row r="54" spans="1:53" s="73" customFormat="1" x14ac:dyDescent="0.15">
      <c r="A54" s="73">
        <v>2011</v>
      </c>
      <c r="B54" s="154">
        <v>40654</v>
      </c>
      <c r="C54" s="811" t="s">
        <v>1084</v>
      </c>
      <c r="D54" s="811"/>
      <c r="E54" s="73">
        <v>255</v>
      </c>
      <c r="F54" s="150">
        <v>0</v>
      </c>
      <c r="G54" s="480">
        <v>13</v>
      </c>
      <c r="H54" s="531"/>
      <c r="I54" s="531"/>
      <c r="J54" s="482">
        <v>15</v>
      </c>
      <c r="K54" s="477">
        <f t="shared" si="9"/>
        <v>86.666666666666671</v>
      </c>
      <c r="L54" s="477">
        <f t="shared" si="10"/>
        <v>0</v>
      </c>
      <c r="M54" s="477">
        <f t="shared" si="11"/>
        <v>0</v>
      </c>
      <c r="N54" s="481">
        <f>SUM(K54:M54)</f>
        <v>86.666666666666671</v>
      </c>
      <c r="O54" s="476">
        <v>59</v>
      </c>
      <c r="P54" s="477"/>
      <c r="Q54" s="477"/>
      <c r="R54" s="478">
        <f>SUM(O54:Q54)</f>
        <v>59</v>
      </c>
      <c r="S54" s="73">
        <v>2</v>
      </c>
      <c r="T54" s="95"/>
      <c r="U54" s="85"/>
      <c r="V54" s="82" t="s">
        <v>1091</v>
      </c>
      <c r="W54" s="225" t="s">
        <v>74</v>
      </c>
      <c r="X54" s="225" t="s">
        <v>11</v>
      </c>
      <c r="Y54" s="83">
        <v>26.5</v>
      </c>
      <c r="Z54" s="225" t="s">
        <v>1097</v>
      </c>
      <c r="AA54" s="225" t="s">
        <v>77</v>
      </c>
      <c r="AB54" s="225" t="s">
        <v>11</v>
      </c>
      <c r="AC54" s="225">
        <v>20.5</v>
      </c>
      <c r="AD54" s="82" t="s">
        <v>1098</v>
      </c>
      <c r="AE54" s="225" t="s">
        <v>79</v>
      </c>
      <c r="AF54" s="225" t="s">
        <v>11</v>
      </c>
      <c r="AG54" s="83">
        <v>12</v>
      </c>
      <c r="AL54" s="82"/>
      <c r="AO54" s="83"/>
      <c r="AP54" s="82"/>
      <c r="AS54" s="83"/>
      <c r="AW54" s="83"/>
      <c r="BA54" s="84"/>
    </row>
    <row r="55" spans="1:53" s="73" customFormat="1" x14ac:dyDescent="0.15">
      <c r="A55" s="73">
        <v>2012</v>
      </c>
      <c r="B55" s="121"/>
      <c r="C55" s="811" t="s">
        <v>1084</v>
      </c>
      <c r="D55" s="811"/>
      <c r="E55" s="73">
        <v>122</v>
      </c>
      <c r="G55" s="480">
        <v>13</v>
      </c>
      <c r="H55" s="531"/>
      <c r="I55" s="531"/>
      <c r="J55" s="482">
        <v>15</v>
      </c>
      <c r="K55" s="477">
        <f t="shared" si="9"/>
        <v>86.666666666666671</v>
      </c>
      <c r="L55" s="477">
        <f t="shared" si="10"/>
        <v>0</v>
      </c>
      <c r="M55" s="477">
        <f t="shared" si="11"/>
        <v>0</v>
      </c>
      <c r="N55" s="481">
        <f t="shared" si="8"/>
        <v>86.666666666666671</v>
      </c>
      <c r="O55" s="476">
        <v>59</v>
      </c>
      <c r="P55" s="477"/>
      <c r="Q55" s="477"/>
      <c r="R55" s="478">
        <f t="shared" si="4"/>
        <v>59</v>
      </c>
      <c r="S55" s="73">
        <v>2</v>
      </c>
      <c r="T55" s="95"/>
      <c r="U55" s="85"/>
      <c r="V55" s="82" t="s">
        <v>1091</v>
      </c>
      <c r="W55" s="225" t="s">
        <v>74</v>
      </c>
      <c r="X55" s="225" t="s">
        <v>11</v>
      </c>
      <c r="Y55" s="83">
        <v>26.5</v>
      </c>
      <c r="Z55" s="225" t="s">
        <v>1097</v>
      </c>
      <c r="AA55" s="225" t="s">
        <v>77</v>
      </c>
      <c r="AB55" s="225" t="s">
        <v>11</v>
      </c>
      <c r="AC55" s="225">
        <v>20.5</v>
      </c>
      <c r="AD55" s="82" t="s">
        <v>1098</v>
      </c>
      <c r="AE55" s="225" t="s">
        <v>79</v>
      </c>
      <c r="AF55" s="225" t="s">
        <v>11</v>
      </c>
      <c r="AG55" s="83">
        <v>12</v>
      </c>
      <c r="AL55" s="82"/>
      <c r="AO55" s="83"/>
      <c r="AP55" s="82"/>
      <c r="AS55" s="83"/>
      <c r="AW55" s="83"/>
      <c r="BA55" s="84"/>
    </row>
    <row r="56" spans="1:53" s="73" customFormat="1" x14ac:dyDescent="0.15">
      <c r="A56" s="73">
        <v>2012</v>
      </c>
      <c r="B56" s="154">
        <v>41031</v>
      </c>
      <c r="C56" s="811" t="s">
        <v>1084</v>
      </c>
      <c r="D56" s="811"/>
      <c r="E56" s="73">
        <v>224</v>
      </c>
      <c r="F56" s="150">
        <v>0</v>
      </c>
      <c r="G56" s="480">
        <v>12</v>
      </c>
      <c r="H56" s="531"/>
      <c r="I56" s="531"/>
      <c r="J56" s="482">
        <v>15</v>
      </c>
      <c r="K56" s="477">
        <f t="shared" si="9"/>
        <v>80</v>
      </c>
      <c r="L56" s="477">
        <f t="shared" si="10"/>
        <v>0</v>
      </c>
      <c r="M56" s="477">
        <f t="shared" si="11"/>
        <v>0</v>
      </c>
      <c r="N56" s="481">
        <f t="shared" si="8"/>
        <v>80</v>
      </c>
      <c r="O56" s="476">
        <v>59</v>
      </c>
      <c r="P56" s="477"/>
      <c r="Q56" s="477"/>
      <c r="R56" s="478">
        <f t="shared" si="4"/>
        <v>59</v>
      </c>
      <c r="S56" s="73">
        <v>2</v>
      </c>
      <c r="T56" s="95"/>
      <c r="U56" s="85"/>
      <c r="V56" s="82" t="s">
        <v>1091</v>
      </c>
      <c r="W56" s="225" t="s">
        <v>74</v>
      </c>
      <c r="X56" s="225" t="s">
        <v>11</v>
      </c>
      <c r="Y56" s="83">
        <v>26.5</v>
      </c>
      <c r="Z56" s="225" t="s">
        <v>1097</v>
      </c>
      <c r="AA56" s="225" t="s">
        <v>77</v>
      </c>
      <c r="AB56" s="225" t="s">
        <v>11</v>
      </c>
      <c r="AC56" s="225">
        <v>20.5</v>
      </c>
      <c r="AD56" s="82" t="s">
        <v>1098</v>
      </c>
      <c r="AE56" s="225" t="s">
        <v>79</v>
      </c>
      <c r="AF56" s="225" t="s">
        <v>11</v>
      </c>
      <c r="AG56" s="83">
        <v>12</v>
      </c>
      <c r="AL56" s="82"/>
      <c r="AO56" s="83"/>
      <c r="AP56" s="82"/>
      <c r="AS56" s="83"/>
      <c r="AW56" s="83"/>
      <c r="BA56" s="84"/>
    </row>
    <row r="57" spans="1:53" s="73" customFormat="1" x14ac:dyDescent="0.15">
      <c r="A57" s="73">
        <v>2012</v>
      </c>
      <c r="B57" s="154">
        <v>41255</v>
      </c>
      <c r="C57" s="811" t="s">
        <v>1084</v>
      </c>
      <c r="D57" s="811"/>
      <c r="E57" s="73">
        <f>366-E56-E55</f>
        <v>20</v>
      </c>
      <c r="F57" s="150">
        <v>0</v>
      </c>
      <c r="G57" s="480">
        <v>12</v>
      </c>
      <c r="H57" s="531"/>
      <c r="I57" s="531"/>
      <c r="J57" s="482">
        <v>16</v>
      </c>
      <c r="K57" s="477">
        <f t="shared" si="9"/>
        <v>75</v>
      </c>
      <c r="L57" s="477">
        <f t="shared" si="10"/>
        <v>0</v>
      </c>
      <c r="M57" s="477">
        <f t="shared" si="11"/>
        <v>0</v>
      </c>
      <c r="N57" s="481">
        <f t="shared" si="8"/>
        <v>75</v>
      </c>
      <c r="O57" s="476">
        <v>59</v>
      </c>
      <c r="P57" s="477"/>
      <c r="Q57" s="477"/>
      <c r="R57" s="478">
        <f t="shared" si="4"/>
        <v>59</v>
      </c>
      <c r="S57" s="73">
        <v>2</v>
      </c>
      <c r="T57" s="95"/>
      <c r="U57" s="85"/>
      <c r="V57" s="82" t="s">
        <v>1091</v>
      </c>
      <c r="W57" s="225" t="s">
        <v>74</v>
      </c>
      <c r="X57" s="225" t="s">
        <v>11</v>
      </c>
      <c r="Y57" s="83">
        <v>26.5</v>
      </c>
      <c r="Z57" s="225" t="s">
        <v>1097</v>
      </c>
      <c r="AA57" s="225" t="s">
        <v>77</v>
      </c>
      <c r="AB57" s="225" t="s">
        <v>11</v>
      </c>
      <c r="AC57" s="225">
        <v>20.5</v>
      </c>
      <c r="AD57" s="82" t="s">
        <v>1098</v>
      </c>
      <c r="AE57" s="325" t="s">
        <v>79</v>
      </c>
      <c r="AF57" s="325" t="s">
        <v>11</v>
      </c>
      <c r="AG57" s="83">
        <v>12</v>
      </c>
      <c r="AL57" s="82"/>
      <c r="AO57" s="83"/>
      <c r="AP57" s="82"/>
      <c r="AS57" s="83"/>
      <c r="AW57" s="83"/>
      <c r="BA57" s="84"/>
    </row>
    <row r="58" spans="1:53" s="316" customFormat="1" x14ac:dyDescent="0.15">
      <c r="A58" s="316">
        <v>2013</v>
      </c>
      <c r="B58" s="154"/>
      <c r="C58" s="811" t="s">
        <v>1084</v>
      </c>
      <c r="D58" s="811"/>
      <c r="E58" s="316">
        <v>77</v>
      </c>
      <c r="F58" s="150"/>
      <c r="G58" s="480">
        <v>12</v>
      </c>
      <c r="H58" s="531"/>
      <c r="I58" s="531"/>
      <c r="J58" s="482">
        <v>16</v>
      </c>
      <c r="K58" s="477">
        <f t="shared" si="9"/>
        <v>75</v>
      </c>
      <c r="L58" s="477">
        <f t="shared" si="10"/>
        <v>0</v>
      </c>
      <c r="M58" s="477">
        <f t="shared" si="11"/>
        <v>0</v>
      </c>
      <c r="N58" s="481">
        <f t="shared" si="8"/>
        <v>75</v>
      </c>
      <c r="O58" s="476">
        <v>59</v>
      </c>
      <c r="P58" s="477"/>
      <c r="Q58" s="477"/>
      <c r="R58" s="478">
        <f>SUM(O58:Q58)</f>
        <v>59</v>
      </c>
      <c r="S58" s="316">
        <v>2</v>
      </c>
      <c r="T58" s="95"/>
      <c r="U58" s="314"/>
      <c r="V58" s="82" t="s">
        <v>1091</v>
      </c>
      <c r="W58" s="316" t="s">
        <v>74</v>
      </c>
      <c r="X58" s="316" t="s">
        <v>11</v>
      </c>
      <c r="Y58" s="83">
        <v>26.5</v>
      </c>
      <c r="Z58" s="316" t="s">
        <v>1097</v>
      </c>
      <c r="AA58" s="316" t="s">
        <v>77</v>
      </c>
      <c r="AB58" s="316" t="s">
        <v>11</v>
      </c>
      <c r="AC58" s="316">
        <v>20.5</v>
      </c>
      <c r="AD58" s="82" t="s">
        <v>1098</v>
      </c>
      <c r="AE58" s="325" t="s">
        <v>79</v>
      </c>
      <c r="AF58" s="325" t="s">
        <v>11</v>
      </c>
      <c r="AG58" s="83">
        <v>12</v>
      </c>
      <c r="AL58" s="82"/>
      <c r="AO58" s="83"/>
      <c r="AP58" s="82"/>
      <c r="AS58" s="83"/>
      <c r="AW58" s="83"/>
      <c r="BA58" s="84"/>
    </row>
    <row r="59" spans="1:53" s="321" customFormat="1" x14ac:dyDescent="0.15">
      <c r="A59" s="321">
        <v>2013</v>
      </c>
      <c r="B59" s="154">
        <v>41352</v>
      </c>
      <c r="C59" s="811" t="s">
        <v>1084</v>
      </c>
      <c r="D59" s="811"/>
      <c r="E59" s="321">
        <v>113</v>
      </c>
      <c r="F59" s="150">
        <v>0</v>
      </c>
      <c r="G59" s="480">
        <v>11</v>
      </c>
      <c r="H59" s="531"/>
      <c r="I59" s="531"/>
      <c r="J59" s="482">
        <v>16</v>
      </c>
      <c r="K59" s="477">
        <f t="shared" si="9"/>
        <v>68.75</v>
      </c>
      <c r="L59" s="477">
        <f t="shared" si="10"/>
        <v>0</v>
      </c>
      <c r="M59" s="477">
        <f t="shared" si="11"/>
        <v>0</v>
      </c>
      <c r="N59" s="481">
        <f>SUM(K59:M59)</f>
        <v>68.75</v>
      </c>
      <c r="O59" s="476">
        <v>59</v>
      </c>
      <c r="P59" s="477"/>
      <c r="Q59" s="477"/>
      <c r="R59" s="478">
        <f>SUM(O59:Q59)</f>
        <v>59</v>
      </c>
      <c r="S59" s="321">
        <v>2</v>
      </c>
      <c r="T59" s="95"/>
      <c r="U59" s="320"/>
      <c r="V59" s="82" t="s">
        <v>1091</v>
      </c>
      <c r="W59" s="321" t="s">
        <v>74</v>
      </c>
      <c r="X59" s="321" t="s">
        <v>11</v>
      </c>
      <c r="Y59" s="83">
        <v>26.5</v>
      </c>
      <c r="Z59" s="321" t="s">
        <v>1097</v>
      </c>
      <c r="AA59" s="321" t="s">
        <v>77</v>
      </c>
      <c r="AB59" s="321" t="s">
        <v>11</v>
      </c>
      <c r="AC59" s="321">
        <v>20.5</v>
      </c>
      <c r="AD59" s="82" t="s">
        <v>1098</v>
      </c>
      <c r="AE59" s="325" t="s">
        <v>79</v>
      </c>
      <c r="AF59" s="325" t="s">
        <v>11</v>
      </c>
      <c r="AG59" s="83">
        <v>12</v>
      </c>
      <c r="AL59" s="82"/>
      <c r="AO59" s="83"/>
      <c r="AP59" s="82"/>
      <c r="AS59" s="83"/>
      <c r="AW59" s="83"/>
      <c r="BA59" s="84"/>
    </row>
    <row r="60" spans="1:53" s="334" customFormat="1" x14ac:dyDescent="0.15">
      <c r="A60" s="334">
        <v>2013</v>
      </c>
      <c r="B60" s="335">
        <v>41465</v>
      </c>
      <c r="C60" s="812" t="s">
        <v>1273</v>
      </c>
      <c r="D60" s="812"/>
      <c r="E60" s="334">
        <f>365-E59-E58</f>
        <v>175</v>
      </c>
      <c r="F60" s="334">
        <v>2</v>
      </c>
      <c r="G60" s="497"/>
      <c r="H60" s="532">
        <v>1</v>
      </c>
      <c r="I60" s="532"/>
      <c r="J60" s="499">
        <v>15</v>
      </c>
      <c r="K60" s="495">
        <f t="shared" si="9"/>
        <v>0</v>
      </c>
      <c r="L60" s="495">
        <f t="shared" si="10"/>
        <v>6.666666666666667</v>
      </c>
      <c r="M60" s="495">
        <f t="shared" si="11"/>
        <v>0</v>
      </c>
      <c r="N60" s="498">
        <f>SUM(K60:M60)</f>
        <v>6.666666666666667</v>
      </c>
      <c r="O60" s="494">
        <v>0</v>
      </c>
      <c r="P60" s="495">
        <v>0</v>
      </c>
      <c r="Q60" s="495">
        <v>0</v>
      </c>
      <c r="R60" s="496">
        <f>SUM(O60:Q60)</f>
        <v>0</v>
      </c>
      <c r="S60" s="334">
        <v>7</v>
      </c>
      <c r="T60" s="342"/>
      <c r="U60" s="355">
        <v>41465</v>
      </c>
      <c r="V60" s="438" t="s">
        <v>1279</v>
      </c>
      <c r="Y60" s="344"/>
      <c r="AD60" s="343"/>
      <c r="AG60" s="344"/>
      <c r="AL60" s="343"/>
      <c r="AO60" s="344"/>
      <c r="AP60" s="343"/>
      <c r="AS60" s="344"/>
      <c r="AW60" s="344"/>
      <c r="BA60" s="345"/>
    </row>
    <row r="61" spans="1:53" s="526" customFormat="1" x14ac:dyDescent="0.15">
      <c r="A61" s="526">
        <v>2014</v>
      </c>
      <c r="B61" s="335"/>
      <c r="C61" s="812" t="s">
        <v>1273</v>
      </c>
      <c r="D61" s="812"/>
      <c r="E61" s="526">
        <v>28</v>
      </c>
      <c r="G61" s="497"/>
      <c r="H61" s="532">
        <v>1</v>
      </c>
      <c r="I61" s="532"/>
      <c r="J61" s="499">
        <v>15</v>
      </c>
      <c r="K61" s="495">
        <f t="shared" si="9"/>
        <v>0</v>
      </c>
      <c r="L61" s="495">
        <f t="shared" si="10"/>
        <v>6.666666666666667</v>
      </c>
      <c r="M61" s="495">
        <f t="shared" si="11"/>
        <v>0</v>
      </c>
      <c r="N61" s="498">
        <f>SUM(K61:M61)</f>
        <v>6.666666666666667</v>
      </c>
      <c r="O61" s="494">
        <v>0</v>
      </c>
      <c r="P61" s="495">
        <v>0</v>
      </c>
      <c r="Q61" s="495">
        <v>0</v>
      </c>
      <c r="R61" s="496">
        <f>SUM(O61:Q61)</f>
        <v>0</v>
      </c>
      <c r="S61" s="526">
        <v>7</v>
      </c>
      <c r="T61" s="487"/>
      <c r="U61" s="523"/>
      <c r="V61" s="438" t="s">
        <v>1279</v>
      </c>
      <c r="Y61" s="489"/>
      <c r="AD61" s="488"/>
      <c r="AG61" s="489"/>
      <c r="AL61" s="488"/>
      <c r="AO61" s="489"/>
      <c r="AP61" s="488"/>
      <c r="AS61" s="489"/>
      <c r="AW61" s="489"/>
      <c r="BA61" s="490"/>
    </row>
    <row r="62" spans="1:53" s="525" customFormat="1" x14ac:dyDescent="0.15">
      <c r="A62" s="525">
        <v>2014</v>
      </c>
      <c r="B62" s="121">
        <v>41668</v>
      </c>
      <c r="C62" s="811" t="s">
        <v>1304</v>
      </c>
      <c r="D62" s="811"/>
      <c r="E62" s="525">
        <v>337</v>
      </c>
      <c r="F62" s="525">
        <v>1</v>
      </c>
      <c r="G62" s="480">
        <v>6</v>
      </c>
      <c r="H62" s="531">
        <v>3</v>
      </c>
      <c r="I62" s="531">
        <v>8</v>
      </c>
      <c r="J62" s="482">
        <v>17</v>
      </c>
      <c r="K62" s="477">
        <f t="shared" si="9"/>
        <v>35.294117647058826</v>
      </c>
      <c r="L62" s="477">
        <f t="shared" si="10"/>
        <v>17.647058823529413</v>
      </c>
      <c r="M62" s="477">
        <f t="shared" si="11"/>
        <v>47.058823529411761</v>
      </c>
      <c r="N62" s="481">
        <f>SUM(K62:M62)</f>
        <v>100</v>
      </c>
      <c r="O62" s="476">
        <v>23.5</v>
      </c>
      <c r="P62" s="477">
        <v>7</v>
      </c>
      <c r="Q62" s="477">
        <v>25</v>
      </c>
      <c r="R62" s="478">
        <f>SUM(O62:Q62)</f>
        <v>55.5</v>
      </c>
      <c r="S62" s="525">
        <v>2</v>
      </c>
      <c r="T62" s="479">
        <v>41573</v>
      </c>
      <c r="U62" s="522">
        <v>41668</v>
      </c>
      <c r="V62" s="472" t="s">
        <v>1093</v>
      </c>
      <c r="W62" s="525" t="s">
        <v>20</v>
      </c>
      <c r="X62" s="525" t="s">
        <v>12</v>
      </c>
      <c r="Y62" s="473">
        <v>25</v>
      </c>
      <c r="Z62" s="525" t="s">
        <v>903</v>
      </c>
      <c r="AA62" s="525" t="s">
        <v>1330</v>
      </c>
      <c r="AB62" s="525" t="s">
        <v>11</v>
      </c>
      <c r="AC62" s="525">
        <v>23.5</v>
      </c>
      <c r="AD62" s="472" t="s">
        <v>1090</v>
      </c>
      <c r="AE62" s="525" t="s">
        <v>17</v>
      </c>
      <c r="AF62" s="525" t="s">
        <v>18</v>
      </c>
      <c r="AG62" s="473">
        <v>7</v>
      </c>
      <c r="AL62" s="472"/>
      <c r="AO62" s="473"/>
      <c r="AP62" s="472"/>
      <c r="AS62" s="473"/>
      <c r="AW62" s="473"/>
      <c r="BA62" s="474"/>
    </row>
    <row r="63" spans="1:53" s="709" customFormat="1" x14ac:dyDescent="0.15">
      <c r="A63" s="709">
        <v>2015</v>
      </c>
      <c r="B63" s="121"/>
      <c r="C63" s="811" t="s">
        <v>1304</v>
      </c>
      <c r="D63" s="811"/>
      <c r="E63" s="709">
        <v>0</v>
      </c>
      <c r="G63" s="600">
        <v>6</v>
      </c>
      <c r="H63" s="709">
        <v>3</v>
      </c>
      <c r="I63" s="709">
        <v>8</v>
      </c>
      <c r="J63" s="602">
        <v>17</v>
      </c>
      <c r="K63" s="597">
        <f t="shared" ref="K63:K64" si="12">G63/J63*100</f>
        <v>35.294117647058826</v>
      </c>
      <c r="L63" s="597">
        <f t="shared" ref="L63:L64" si="13">H63/J63*100</f>
        <v>17.647058823529413</v>
      </c>
      <c r="M63" s="597">
        <f t="shared" ref="M63:M64" si="14">I63/J63*100</f>
        <v>47.058823529411761</v>
      </c>
      <c r="N63" s="601">
        <f t="shared" ref="N63:N64" si="15">SUM(K63:M63)</f>
        <v>100</v>
      </c>
      <c r="O63" s="596">
        <v>23.5</v>
      </c>
      <c r="P63" s="597">
        <v>7</v>
      </c>
      <c r="Q63" s="597">
        <v>25</v>
      </c>
      <c r="R63" s="598">
        <f t="shared" ref="R63:R64" si="16">SUM(O63:Q63)</f>
        <v>55.5</v>
      </c>
      <c r="S63" s="709">
        <v>2</v>
      </c>
      <c r="T63" s="599"/>
      <c r="U63" s="705"/>
      <c r="V63" s="592" t="s">
        <v>1093</v>
      </c>
      <c r="W63" s="709" t="s">
        <v>20</v>
      </c>
      <c r="X63" s="709" t="s">
        <v>12</v>
      </c>
      <c r="Y63" s="593">
        <v>25</v>
      </c>
      <c r="Z63" s="709" t="s">
        <v>903</v>
      </c>
      <c r="AA63" s="709" t="s">
        <v>1330</v>
      </c>
      <c r="AB63" s="709" t="s">
        <v>11</v>
      </c>
      <c r="AC63" s="709">
        <v>23.5</v>
      </c>
      <c r="AD63" s="592" t="s">
        <v>1090</v>
      </c>
      <c r="AE63" s="709" t="s">
        <v>17</v>
      </c>
      <c r="AF63" s="709" t="s">
        <v>18</v>
      </c>
      <c r="AG63" s="593">
        <v>7</v>
      </c>
      <c r="AL63" s="592"/>
      <c r="AO63" s="593"/>
      <c r="AP63" s="592"/>
      <c r="AS63" s="593"/>
      <c r="AW63" s="593"/>
      <c r="BA63" s="594"/>
    </row>
    <row r="64" spans="1:53" s="709" customFormat="1" x14ac:dyDescent="0.15">
      <c r="A64" s="709">
        <v>2015</v>
      </c>
      <c r="B64" s="121"/>
      <c r="C64" s="811" t="s">
        <v>1304</v>
      </c>
      <c r="D64" s="811"/>
      <c r="E64" s="709">
        <v>365</v>
      </c>
      <c r="G64" s="600">
        <v>6</v>
      </c>
      <c r="H64" s="709">
        <v>3</v>
      </c>
      <c r="I64" s="709">
        <v>8</v>
      </c>
      <c r="J64" s="602">
        <v>17</v>
      </c>
      <c r="K64" s="597">
        <f t="shared" si="12"/>
        <v>35.294117647058826</v>
      </c>
      <c r="L64" s="597">
        <f t="shared" si="13"/>
        <v>17.647058823529413</v>
      </c>
      <c r="M64" s="597">
        <f t="shared" si="14"/>
        <v>47.058823529411761</v>
      </c>
      <c r="N64" s="601">
        <f t="shared" si="15"/>
        <v>100</v>
      </c>
      <c r="O64" s="596">
        <v>23.5</v>
      </c>
      <c r="P64" s="597">
        <v>7</v>
      </c>
      <c r="Q64" s="597">
        <v>25</v>
      </c>
      <c r="R64" s="598">
        <f t="shared" si="16"/>
        <v>55.5</v>
      </c>
      <c r="S64" s="709">
        <v>2</v>
      </c>
      <c r="T64" s="599"/>
      <c r="U64" s="705"/>
      <c r="V64" s="592" t="s">
        <v>1093</v>
      </c>
      <c r="W64" s="709" t="s">
        <v>20</v>
      </c>
      <c r="X64" s="709" t="s">
        <v>12</v>
      </c>
      <c r="Y64" s="593">
        <v>25</v>
      </c>
      <c r="Z64" s="709" t="s">
        <v>903</v>
      </c>
      <c r="AA64" s="709" t="s">
        <v>1330</v>
      </c>
      <c r="AB64" s="709" t="s">
        <v>11</v>
      </c>
      <c r="AC64" s="709">
        <v>23.5</v>
      </c>
      <c r="AD64" s="592" t="s">
        <v>1090</v>
      </c>
      <c r="AE64" s="709" t="s">
        <v>17</v>
      </c>
      <c r="AF64" s="709" t="s">
        <v>18</v>
      </c>
      <c r="AG64" s="593">
        <v>7</v>
      </c>
      <c r="AL64" s="592"/>
      <c r="AO64" s="593"/>
      <c r="AP64" s="592"/>
      <c r="AS64" s="593"/>
      <c r="AW64" s="593"/>
      <c r="BA64" s="594"/>
    </row>
    <row r="66" spans="1:30" x14ac:dyDescent="0.15">
      <c r="B66" s="2"/>
      <c r="C66" s="2"/>
      <c r="D66" s="2"/>
      <c r="E66" s="2"/>
      <c r="F66" s="2"/>
      <c r="G66" s="2"/>
      <c r="H66" s="2"/>
      <c r="I66" s="2"/>
      <c r="J66" s="2"/>
      <c r="K66" s="2"/>
      <c r="L66" s="2"/>
      <c r="M66" s="2"/>
      <c r="N66" s="2"/>
    </row>
    <row r="67" spans="1:30" s="2" customFormat="1" ht="18" customHeight="1" x14ac:dyDescent="0.2">
      <c r="B67" s="22" t="s">
        <v>1284</v>
      </c>
    </row>
    <row r="68" spans="1:30" s="2" customFormat="1" ht="9" customHeight="1" x14ac:dyDescent="0.15"/>
    <row r="69" spans="1:30" s="364" customFormat="1" ht="9" customHeight="1" x14ac:dyDescent="0.15">
      <c r="A69" s="362"/>
      <c r="B69" s="363" t="s">
        <v>1235</v>
      </c>
      <c r="C69" s="363"/>
      <c r="D69" s="363"/>
      <c r="E69" s="363"/>
      <c r="F69" s="363"/>
      <c r="G69" s="363" t="s">
        <v>1236</v>
      </c>
      <c r="H69" s="363"/>
      <c r="I69" s="363"/>
      <c r="J69" s="363"/>
      <c r="K69" s="363"/>
      <c r="L69" s="363"/>
      <c r="M69" s="363"/>
      <c r="N69" s="363"/>
      <c r="R69" s="802" t="s">
        <v>1237</v>
      </c>
      <c r="S69" s="802"/>
      <c r="T69" s="802"/>
      <c r="U69" s="802"/>
      <c r="V69" s="802"/>
      <c r="W69" s="802"/>
      <c r="X69" s="365"/>
      <c r="Y69" s="365"/>
      <c r="AA69" s="365"/>
      <c r="AB69" s="365"/>
      <c r="AC69" s="365"/>
      <c r="AD69" s="365"/>
    </row>
    <row r="70" spans="1:30" s="369" customFormat="1" ht="9" customHeight="1" x14ac:dyDescent="0.15">
      <c r="A70" s="366"/>
      <c r="B70" s="367" t="s">
        <v>1239</v>
      </c>
      <c r="C70" s="368"/>
      <c r="D70" s="368"/>
      <c r="E70" s="368"/>
      <c r="F70" s="368"/>
      <c r="G70" s="367" t="s">
        <v>1238</v>
      </c>
      <c r="H70" s="368"/>
      <c r="I70" s="368"/>
      <c r="J70" s="368"/>
      <c r="K70" s="368"/>
      <c r="L70" s="368"/>
      <c r="M70" s="368"/>
      <c r="N70" s="368"/>
      <c r="R70" s="370" t="s">
        <v>1240</v>
      </c>
      <c r="S70" s="371"/>
      <c r="T70" s="372"/>
      <c r="U70" s="372"/>
      <c r="V70" s="372"/>
      <c r="W70" s="370" t="s">
        <v>1241</v>
      </c>
      <c r="X70" s="372"/>
      <c r="Y70" s="372"/>
      <c r="AA70" s="372"/>
      <c r="AB70" s="372"/>
      <c r="AC70" s="372"/>
      <c r="AD70" s="372"/>
    </row>
    <row r="71" spans="1:30" s="351" customFormat="1" ht="12" customHeight="1" x14ac:dyDescent="0.15">
      <c r="A71" s="373" t="s">
        <v>3</v>
      </c>
      <c r="B71" s="374" t="s">
        <v>8</v>
      </c>
      <c r="C71" s="374" t="s">
        <v>9</v>
      </c>
      <c r="D71" s="374" t="s">
        <v>10</v>
      </c>
      <c r="E71" s="375" t="s">
        <v>1215</v>
      </c>
      <c r="F71" s="374"/>
      <c r="G71" s="351" t="s">
        <v>3</v>
      </c>
      <c r="H71" s="803" t="s">
        <v>0</v>
      </c>
      <c r="I71" s="803"/>
      <c r="J71" s="803" t="s">
        <v>1</v>
      </c>
      <c r="K71" s="803"/>
      <c r="L71" s="803" t="s">
        <v>2</v>
      </c>
      <c r="M71" s="803"/>
      <c r="N71" s="804" t="s">
        <v>1215</v>
      </c>
      <c r="O71" s="804"/>
      <c r="P71" s="376"/>
      <c r="Q71" s="376"/>
      <c r="R71" s="377" t="s">
        <v>3</v>
      </c>
      <c r="S71" s="378" t="s">
        <v>136</v>
      </c>
      <c r="T71" s="376" t="s">
        <v>134</v>
      </c>
      <c r="U71" s="374" t="s">
        <v>135</v>
      </c>
      <c r="V71" s="376"/>
      <c r="W71" s="379" t="s">
        <v>26</v>
      </c>
    </row>
    <row r="72" spans="1:30" ht="9" customHeight="1" x14ac:dyDescent="0.15">
      <c r="A72" s="1">
        <v>1990</v>
      </c>
      <c r="B72" s="8">
        <f>(K7*($E7/189))</f>
        <v>47.619047619047613</v>
      </c>
      <c r="C72" s="8">
        <f>(L7*($E7/189))</f>
        <v>14.285714285714285</v>
      </c>
      <c r="D72" s="8">
        <f>(M7*($E7/189))</f>
        <v>0</v>
      </c>
      <c r="E72" s="65">
        <f>SUM(B72:D72)</f>
        <v>61.904761904761898</v>
      </c>
      <c r="G72" s="1">
        <v>1990</v>
      </c>
      <c r="H72" s="807">
        <f>(O7/$R7*100*($E7/189))</f>
        <v>75.903614457831324</v>
      </c>
      <c r="I72" s="807"/>
      <c r="J72" s="807">
        <f>(P7/$R7*100*($E7/189))</f>
        <v>24.096385542168676</v>
      </c>
      <c r="K72" s="807"/>
      <c r="L72" s="807">
        <f>(Q7/$R7*100*($E7/189))</f>
        <v>0</v>
      </c>
      <c r="M72" s="807"/>
      <c r="N72" s="781">
        <f>SUM(H72:M72)</f>
        <v>100</v>
      </c>
      <c r="O72" s="781"/>
      <c r="R72" s="1">
        <v>1990</v>
      </c>
      <c r="S72" s="8">
        <f>(O7*($E7/189))</f>
        <v>63</v>
      </c>
      <c r="T72" s="8">
        <f>(P7*($E7/189))</f>
        <v>20</v>
      </c>
      <c r="U72" s="8">
        <f>(Q7*($E7/189))</f>
        <v>0</v>
      </c>
      <c r="W72" s="14">
        <f>SUM(S72:U72)</f>
        <v>83</v>
      </c>
      <c r="Y72" s="72" t="s">
        <v>1158</v>
      </c>
    </row>
    <row r="73" spans="1:30" ht="9" customHeight="1" x14ac:dyDescent="0.15">
      <c r="A73" s="1">
        <v>1991</v>
      </c>
      <c r="B73" s="8">
        <f>(K8*($E8/365))+(K9*($E9/365))</f>
        <v>47.619047619047613</v>
      </c>
      <c r="C73" s="8">
        <f>(L8*($E8/365))+(L9*($E9/365))</f>
        <v>14.285714285714285</v>
      </c>
      <c r="D73" s="8">
        <f>(M8*($E8/365))+(M9*($E9/365))</f>
        <v>0</v>
      </c>
      <c r="E73" s="65">
        <f t="shared" ref="E73:E94" si="17">SUM(B73:D73)</f>
        <v>61.904761904761898</v>
      </c>
      <c r="G73" s="1">
        <v>1991</v>
      </c>
      <c r="H73" s="779">
        <f>(O8/$R8*100*($E8/365))+(O9/$R9*100*($E9/365))</f>
        <v>75.903614457831324</v>
      </c>
      <c r="I73" s="779"/>
      <c r="J73" s="779">
        <f>(P8/$R8*100*($E8/365))+(P9/$R9*100*($E9/365))</f>
        <v>24.096385542168676</v>
      </c>
      <c r="K73" s="779"/>
      <c r="L73" s="779">
        <f>(Q8/$R8*100*($E8/365))+(Q9/$R9*100*($E9/365))</f>
        <v>0</v>
      </c>
      <c r="M73" s="779"/>
      <c r="N73" s="781">
        <f t="shared" ref="N73:N94" si="18">SUM(H73:M73)</f>
        <v>100</v>
      </c>
      <c r="O73" s="781"/>
      <c r="R73" s="1">
        <v>1991</v>
      </c>
      <c r="S73" s="8">
        <f>(O8*($E8/365))+(O9*($E9/365))</f>
        <v>63</v>
      </c>
      <c r="T73" s="8">
        <f>(P8*($E8/365))+(P9*($E9/365))</f>
        <v>20</v>
      </c>
      <c r="U73" s="8">
        <f>(Q8*($E8/365))+(Q9*($E9/365))</f>
        <v>0</v>
      </c>
      <c r="W73" s="14">
        <f t="shared" ref="W73:W94" si="19">SUM(S73:U73)</f>
        <v>83</v>
      </c>
    </row>
    <row r="74" spans="1:30" ht="9" customHeight="1" x14ac:dyDescent="0.15">
      <c r="A74" s="1">
        <v>1992</v>
      </c>
      <c r="B74" s="8">
        <f>(K10*($E10/366))+(K11*($E11/366))</f>
        <v>63.19761151512661</v>
      </c>
      <c r="C74" s="8">
        <f>(L10*($E10/366))+(L11*($E11/366))</f>
        <v>17.650684087267347</v>
      </c>
      <c r="D74" s="8">
        <f>(M10*($E10/366))+(M11*($E11/366))</f>
        <v>0</v>
      </c>
      <c r="E74" s="65">
        <f t="shared" si="17"/>
        <v>80.848295602393961</v>
      </c>
      <c r="G74" s="1">
        <v>1992</v>
      </c>
      <c r="H74" s="779">
        <f>(O10/$R10*100*($E10/366))+(O11/$R11*100*($E11/366))</f>
        <v>80.78214497333596</v>
      </c>
      <c r="I74" s="779"/>
      <c r="J74" s="779">
        <f>(P10/$R10*100*($E10/366))+(P11/$R11*100*($E11/366))</f>
        <v>19.217855026664033</v>
      </c>
      <c r="K74" s="779"/>
      <c r="L74" s="779">
        <f>(Q10/$R10*100*($E10/366))+(Q11/$R11*100*($E11/366))</f>
        <v>0</v>
      </c>
      <c r="M74" s="779"/>
      <c r="N74" s="781">
        <f t="shared" si="18"/>
        <v>100</v>
      </c>
      <c r="O74" s="781"/>
      <c r="R74" s="1">
        <v>1992</v>
      </c>
      <c r="S74" s="8">
        <f>(O10*($E10/366))+(O11*($E11/366))</f>
        <v>54.049180327868854</v>
      </c>
      <c r="T74" s="8">
        <f>(P10*($E10/366))+(P11*($E11/366))</f>
        <v>13.784153005464482</v>
      </c>
      <c r="U74" s="8">
        <f>(Q10*($E10/366))+(Q11*($E11/366))</f>
        <v>0</v>
      </c>
      <c r="W74" s="14">
        <f t="shared" si="19"/>
        <v>67.833333333333343</v>
      </c>
    </row>
    <row r="75" spans="1:30" ht="9" customHeight="1" x14ac:dyDescent="0.15">
      <c r="A75" s="1">
        <v>1993</v>
      </c>
      <c r="B75" s="8">
        <f>(K12*($E12/365))+(K13*($E13/365))</f>
        <v>78.94736842105263</v>
      </c>
      <c r="C75" s="8">
        <f>(L12*($E12/365))+(L13*($E13/365))</f>
        <v>21.052631578947366</v>
      </c>
      <c r="D75" s="8">
        <f>(M12*($E12/365))+(M13*($E13/365))</f>
        <v>0</v>
      </c>
      <c r="E75" s="65">
        <f t="shared" si="17"/>
        <v>100</v>
      </c>
      <c r="G75" s="1">
        <v>1993</v>
      </c>
      <c r="H75" s="779">
        <f>(O12/$R12*100*($E12/365))+(O13/$R13*100*($E13/365))</f>
        <v>85.714285714285708</v>
      </c>
      <c r="I75" s="779"/>
      <c r="J75" s="779">
        <f>(P12/$R12*100*($E12/365))+(P13/$R13*100*($E13/365))</f>
        <v>14.285714285714285</v>
      </c>
      <c r="K75" s="779"/>
      <c r="L75" s="779">
        <f>(Q12/$R12*100*($E12/365))+(Q13/$R13*100*($E13/365))</f>
        <v>0</v>
      </c>
      <c r="M75" s="779"/>
      <c r="N75" s="781">
        <f t="shared" si="18"/>
        <v>100</v>
      </c>
      <c r="O75" s="781"/>
      <c r="R75" s="1">
        <v>1993</v>
      </c>
      <c r="S75" s="8">
        <f>(O12*($E12/365))+(O13*($E13/365))</f>
        <v>45</v>
      </c>
      <c r="T75" s="8">
        <f>(P12*($E12/365))+(P13*($E13/365))</f>
        <v>7.5</v>
      </c>
      <c r="U75" s="8">
        <f>(Q12*($E12/365))+(Q13*($E13/365))</f>
        <v>0</v>
      </c>
      <c r="W75" s="14">
        <f t="shared" si="19"/>
        <v>52.5</v>
      </c>
    </row>
    <row r="76" spans="1:30" ht="9" customHeight="1" x14ac:dyDescent="0.15">
      <c r="A76" s="1">
        <v>1994</v>
      </c>
      <c r="B76" s="8">
        <f>(K14*($E14/365))+(K15*($E15/365))</f>
        <v>78.94736842105263</v>
      </c>
      <c r="C76" s="8">
        <f>(L14*($E14/365))+(L15*($E15/365))</f>
        <v>16.020187454938714</v>
      </c>
      <c r="D76" s="8">
        <f>(M14*($E14/365))+(M15*($E15/365))</f>
        <v>0</v>
      </c>
      <c r="E76" s="65">
        <f t="shared" si="17"/>
        <v>94.967555875991337</v>
      </c>
      <c r="G76" s="1">
        <v>1994</v>
      </c>
      <c r="H76" s="779">
        <f>(O14/$R14*100*($E14/365))+(O15/$R15*100*($E15/365))</f>
        <v>85.714285714285694</v>
      </c>
      <c r="I76" s="779"/>
      <c r="J76" s="779">
        <f>(P14/$R14*100*($E14/365))+(P15/$R15*100*($E15/365))</f>
        <v>14.285714285714285</v>
      </c>
      <c r="K76" s="779"/>
      <c r="L76" s="779">
        <f>(Q14/$R14*100*($E14/365))+(Q15/$R15*100*($E15/365))</f>
        <v>0</v>
      </c>
      <c r="M76" s="779"/>
      <c r="N76" s="781">
        <f t="shared" si="18"/>
        <v>99.999999999999972</v>
      </c>
      <c r="O76" s="781"/>
      <c r="R76" s="1">
        <v>1994</v>
      </c>
      <c r="S76" s="8">
        <f>(O14*($E14/365))+(O15*($E15/365))</f>
        <v>45</v>
      </c>
      <c r="T76" s="8">
        <f>(P14*($E14/365))+(P15*($E15/365))</f>
        <v>7.5</v>
      </c>
      <c r="U76" s="8">
        <f>(Q14*($E14/365))+(Q15*($E15/365))</f>
        <v>0</v>
      </c>
      <c r="W76" s="14">
        <f t="shared" si="19"/>
        <v>52.5</v>
      </c>
    </row>
    <row r="77" spans="1:30" ht="9" customHeight="1" x14ac:dyDescent="0.15">
      <c r="A77" s="1">
        <v>1995</v>
      </c>
      <c r="B77" s="8">
        <f>(K16*($E16/365))+(K17*($E17/365))</f>
        <v>78.94736842105263</v>
      </c>
      <c r="C77" s="8">
        <f>(L16*($E16/365))+(L17*($E17/365))</f>
        <v>15.789473684210526</v>
      </c>
      <c r="D77" s="8">
        <f>(M16*($E16/365))+(M17*($E17/365))</f>
        <v>0</v>
      </c>
      <c r="E77" s="65">
        <f t="shared" si="17"/>
        <v>94.73684210526315</v>
      </c>
      <c r="G77" s="1">
        <v>1995</v>
      </c>
      <c r="H77" s="779">
        <f>(O16/$R16*100*($E16/365))+(O17/$R17*100*($E17/365))</f>
        <v>85.714285714285708</v>
      </c>
      <c r="I77" s="779"/>
      <c r="J77" s="779">
        <f>(P16/$R16*100*($E16/365))+(P17/$R17*100*($E17/365))</f>
        <v>14.285714285714285</v>
      </c>
      <c r="K77" s="779"/>
      <c r="L77" s="779">
        <f>(Q16/$R16*100*($E16/365))+(Q17/$R17*100*($E17/365))</f>
        <v>0</v>
      </c>
      <c r="M77" s="779"/>
      <c r="N77" s="781">
        <f t="shared" si="18"/>
        <v>100</v>
      </c>
      <c r="O77" s="781"/>
      <c r="R77" s="1">
        <v>1995</v>
      </c>
      <c r="S77" s="8">
        <f>(O16*($E16/365))+(O17*($E17/365))</f>
        <v>45</v>
      </c>
      <c r="T77" s="8">
        <f>(P16*($E16/365))+(P17*($E17/365))</f>
        <v>7.5</v>
      </c>
      <c r="U77" s="8">
        <f>(Q16*($E16/365))+(Q17*($E17/365))</f>
        <v>0</v>
      </c>
      <c r="W77" s="14">
        <f t="shared" si="19"/>
        <v>52.5</v>
      </c>
    </row>
    <row r="78" spans="1:30" ht="9" customHeight="1" x14ac:dyDescent="0.15">
      <c r="A78" s="1">
        <v>1996</v>
      </c>
      <c r="B78" s="8">
        <f>(K18*($E18/366))+(K19*($E19/366))</f>
        <v>77.221742881794654</v>
      </c>
      <c r="C78" s="8">
        <f>(L18*($E18/366))+(L19*($E19/366))</f>
        <v>19.815933275812483</v>
      </c>
      <c r="D78" s="8">
        <f>(M18*($E18/366))+(M19*($E19/366))</f>
        <v>0</v>
      </c>
      <c r="E78" s="65">
        <f t="shared" si="17"/>
        <v>97.037676157607137</v>
      </c>
      <c r="G78" s="1">
        <v>1996</v>
      </c>
      <c r="H78" s="779">
        <f>(O18/$R18*100*($E18/366))+(O19/$R19*100*($E19/366))</f>
        <v>84.011070896316795</v>
      </c>
      <c r="I78" s="779"/>
      <c r="J78" s="779">
        <f>(P18/$R18*100*($E18/366))+(P19/$R19*100*($E19/366))</f>
        <v>15.988929103683201</v>
      </c>
      <c r="K78" s="779"/>
      <c r="L78" s="779">
        <f>(Q18/$R18*100*($E18/366))+(Q19/$R19*100*($E19/366))</f>
        <v>0</v>
      </c>
      <c r="M78" s="779"/>
      <c r="N78" s="781">
        <f t="shared" si="18"/>
        <v>100</v>
      </c>
      <c r="O78" s="781"/>
      <c r="R78" s="1">
        <v>1996</v>
      </c>
      <c r="S78" s="8">
        <f>(O18*($E18/366))+(O19*($E19/366))</f>
        <v>43.032786885245898</v>
      </c>
      <c r="T78" s="8">
        <f>(P18*($E18/366))+(P19*($E19/366))</f>
        <v>8.1557377049180317</v>
      </c>
      <c r="U78" s="8">
        <f>(Q18*($E18/366))+(Q19*($E19/366))</f>
        <v>0</v>
      </c>
      <c r="W78" s="14">
        <f t="shared" si="19"/>
        <v>51.188524590163929</v>
      </c>
    </row>
    <row r="79" spans="1:30" ht="9" customHeight="1" x14ac:dyDescent="0.15">
      <c r="A79" s="1">
        <v>1997</v>
      </c>
      <c r="B79" s="8">
        <f>(K20*($E20/365))+(K21*($E21/365))</f>
        <v>74.075342465753423</v>
      </c>
      <c r="C79" s="8">
        <f>(L20*($E20/365))+(L21*($E21/365))</f>
        <v>25.000000000000004</v>
      </c>
      <c r="D79" s="8">
        <f>(M20*($E20/365))+(M21*($E21/365))</f>
        <v>0</v>
      </c>
      <c r="E79" s="65">
        <f t="shared" si="17"/>
        <v>99.075342465753423</v>
      </c>
      <c r="G79" s="1">
        <v>1997</v>
      </c>
      <c r="H79" s="779">
        <f>(O20/$R20*100*($E20/365))+(O21/$R21*100*($E21/365))</f>
        <v>81.818181818181827</v>
      </c>
      <c r="I79" s="779"/>
      <c r="J79" s="779">
        <f>(P20/$R20*100*($E20/365))+(P21/$R21*100*($E21/365))</f>
        <v>18.181818181818183</v>
      </c>
      <c r="K79" s="779"/>
      <c r="L79" s="779">
        <f>(Q20/$R20*100*($E20/365))+(Q21/$R21*100*($E21/365))</f>
        <v>0</v>
      </c>
      <c r="M79" s="779"/>
      <c r="N79" s="781">
        <f t="shared" si="18"/>
        <v>100.00000000000001</v>
      </c>
      <c r="O79" s="781"/>
      <c r="R79" s="1">
        <v>1997</v>
      </c>
      <c r="S79" s="8">
        <f>(O20*($E20/365))+(O21*($E21/365))</f>
        <v>40.5</v>
      </c>
      <c r="T79" s="8">
        <f>(P20*($E20/365))+(P21*($E21/365))</f>
        <v>9</v>
      </c>
      <c r="U79" s="8">
        <f>(Q20*($E20/365))+(Q21*($E21/365))</f>
        <v>0</v>
      </c>
      <c r="W79" s="14">
        <f t="shared" si="19"/>
        <v>49.5</v>
      </c>
    </row>
    <row r="80" spans="1:30" ht="9" customHeight="1" x14ac:dyDescent="0.15">
      <c r="A80" s="1">
        <v>1998</v>
      </c>
      <c r="B80" s="8">
        <f>(K22*($E22/365))+(K23*($E23/365))+(K24*($E24/365))</f>
        <v>27.986502820306207</v>
      </c>
      <c r="C80" s="8">
        <f>(L22*($E22/365))+(L23*($E23/365))+(L24*($E24/365))</f>
        <v>11.663980660757456</v>
      </c>
      <c r="D80" s="8">
        <f>(M22*($E22/365))+(M23*($E23/365))+(M24*($E24/365))</f>
        <v>35.039653929343906</v>
      </c>
      <c r="E80" s="65">
        <f t="shared" si="17"/>
        <v>74.690137410407573</v>
      </c>
      <c r="G80" s="1">
        <v>1998</v>
      </c>
      <c r="H80" s="779">
        <f>(O22/$R22*100*($E22/365))+(O23/$R23*100*($E23/365))+(O24/$R24*100*($E24/365))</f>
        <v>51.556662515566636</v>
      </c>
      <c r="I80" s="779"/>
      <c r="J80" s="779">
        <f>(P22/$R22*100*($E22/365))+(P23/$R23*100*($E23/365))+(P24/$R24*100*($E24/365))</f>
        <v>11.457036114570363</v>
      </c>
      <c r="K80" s="779"/>
      <c r="L80" s="779">
        <f>(Q22/$R22*100*($E22/365))+(Q23/$R23*100*($E23/365))+(Q24/$R24*100*($E24/365))</f>
        <v>36.986301369863014</v>
      </c>
      <c r="M80" s="779"/>
      <c r="N80" s="781">
        <f t="shared" si="18"/>
        <v>100.00000000000001</v>
      </c>
      <c r="O80" s="781"/>
      <c r="R80" s="1">
        <v>1998</v>
      </c>
      <c r="S80" s="8">
        <f>(O22*($E22/365))+(O23*($E23/365))+(O24*($E24/365))</f>
        <v>25.520547945205482</v>
      </c>
      <c r="T80" s="8">
        <f>(P22*($E22/365))+(P23*($E23/365))+(P24*($E24/365))</f>
        <v>5.6712328767123292</v>
      </c>
      <c r="U80" s="8">
        <f>(Q22*($E22/365))+(Q23*($E23/365))+(Q24*($E24/365))</f>
        <v>13.684931506849315</v>
      </c>
      <c r="W80" s="14">
        <f t="shared" si="19"/>
        <v>44.876712328767127</v>
      </c>
    </row>
    <row r="81" spans="1:23" ht="9" customHeight="1" x14ac:dyDescent="0.15">
      <c r="A81" s="1">
        <v>1999</v>
      </c>
      <c r="B81" s="8">
        <f>(K25*($E25/365))+(K26*($E26/365))+(K27*($E27/365))</f>
        <v>0</v>
      </c>
      <c r="C81" s="8">
        <f>(L25*($E25/365))+(L26*($E26/365))+(L27*($E27/365))</f>
        <v>0</v>
      </c>
      <c r="D81" s="8">
        <f>(M25*($E25/365))+(M26*($E26/365))+(M27*($E27/365))</f>
        <v>94.575116275782122</v>
      </c>
      <c r="E81" s="65">
        <f t="shared" si="17"/>
        <v>94.575116275782122</v>
      </c>
      <c r="G81" s="1">
        <v>1999</v>
      </c>
      <c r="H81" s="779">
        <f>(O25/$R25*100*($E25/365))+(O26/$R26*100*($E26/365))+(O27/$R27*100*($E27/365))</f>
        <v>0</v>
      </c>
      <c r="I81" s="779"/>
      <c r="J81" s="779">
        <f>(P25/$R25*100*($E25/365))+(P26/$R26*100*($E26/365))+(P27/$R27*100*($E27/365))</f>
        <v>0</v>
      </c>
      <c r="K81" s="779"/>
      <c r="L81" s="779">
        <f>(Q25/$R25*100*($E25/365))+(Q26/$R26*100*($E26/365))+(Q27/$R27*100*($E27/365))</f>
        <v>100</v>
      </c>
      <c r="M81" s="779"/>
      <c r="N81" s="781">
        <f t="shared" si="18"/>
        <v>100</v>
      </c>
      <c r="O81" s="781"/>
      <c r="R81" s="1">
        <v>1999</v>
      </c>
      <c r="S81" s="8">
        <f>(O25*($E25/365))+(O26*($E26/365))+(O27*($E27/365))</f>
        <v>0</v>
      </c>
      <c r="T81" s="8">
        <f>(P25*($E25/365))+(P26*($E26/365))+(P27*($E27/365))</f>
        <v>0</v>
      </c>
      <c r="U81" s="8">
        <f>(Q25*($E25/365))+(Q26*($E26/365))+(Q27*($E27/365))</f>
        <v>37</v>
      </c>
      <c r="W81" s="14">
        <f t="shared" si="19"/>
        <v>37</v>
      </c>
    </row>
    <row r="82" spans="1:23" ht="9" customHeight="1" x14ac:dyDescent="0.15">
      <c r="A82" s="1">
        <v>2000</v>
      </c>
      <c r="B82" s="8">
        <f>(K28*($E28/366))+(K29*($E29/366))</f>
        <v>0</v>
      </c>
      <c r="C82" s="8">
        <f>(L28*($E28/366))+(L29*($E29/366))</f>
        <v>0</v>
      </c>
      <c r="D82" s="8">
        <f>(M28*($E28/366))+(M29*($E29/366))</f>
        <v>94.117647058823522</v>
      </c>
      <c r="E82" s="65">
        <f t="shared" si="17"/>
        <v>94.117647058823522</v>
      </c>
      <c r="G82" s="1">
        <v>2000</v>
      </c>
      <c r="H82" s="779">
        <f>(O28/$R28*100*($E28/366))+(O29/$R29*100*($E29/366))</f>
        <v>0</v>
      </c>
      <c r="I82" s="779"/>
      <c r="J82" s="779">
        <f>(P28/$R28*100*($E28/366))+(P29/$R29*100*($E29/366))</f>
        <v>0</v>
      </c>
      <c r="K82" s="779"/>
      <c r="L82" s="779">
        <f>(Q28/$R28*100*($E28/366))+(Q29/$R29*100*($E29/366))</f>
        <v>100</v>
      </c>
      <c r="M82" s="779"/>
      <c r="N82" s="781">
        <f t="shared" si="18"/>
        <v>100</v>
      </c>
      <c r="O82" s="781"/>
      <c r="R82" s="1">
        <v>2000</v>
      </c>
      <c r="S82" s="8">
        <f>(O28*($E28/366))+(O29*($E29/366))</f>
        <v>0</v>
      </c>
      <c r="T82" s="8">
        <f>(P28*($E28/366))+(P29*($E29/366))</f>
        <v>0</v>
      </c>
      <c r="U82" s="8">
        <f>(Q28*($E28/366))+(Q29*($E29/366))</f>
        <v>37</v>
      </c>
      <c r="W82" s="14">
        <f t="shared" si="19"/>
        <v>37</v>
      </c>
    </row>
    <row r="83" spans="1:23" ht="9" customHeight="1" x14ac:dyDescent="0.15">
      <c r="A83" s="1">
        <v>2001</v>
      </c>
      <c r="B83" s="8">
        <f>(K30*($E30/365))+(K31*($E31/365))</f>
        <v>0</v>
      </c>
      <c r="C83" s="8">
        <f>(L30*($E30/365))+(L31*($E31/365))</f>
        <v>0</v>
      </c>
      <c r="D83" s="8">
        <f>(M30*($E30/365))+(M31*($E31/365))</f>
        <v>94.117647058823522</v>
      </c>
      <c r="E83" s="65">
        <f t="shared" si="17"/>
        <v>94.117647058823522</v>
      </c>
      <c r="G83" s="1">
        <v>2001</v>
      </c>
      <c r="H83" s="779">
        <f>(O30/$R30*100*($E30/365))+(O31/$R31*100*($E31/365))</f>
        <v>0</v>
      </c>
      <c r="I83" s="779"/>
      <c r="J83" s="779">
        <f>(P30/$R30*100*($E30/365))+(P31/$R31*100*($E31/365))</f>
        <v>0</v>
      </c>
      <c r="K83" s="779"/>
      <c r="L83" s="779">
        <f>(Q30/$R30*100*($E30/365))+(Q31/$R31*100*($E31/365))</f>
        <v>100</v>
      </c>
      <c r="M83" s="779"/>
      <c r="N83" s="781">
        <f t="shared" si="18"/>
        <v>100</v>
      </c>
      <c r="O83" s="781"/>
      <c r="R83" s="1">
        <v>2001</v>
      </c>
      <c r="S83" s="8">
        <f>(O30*($E30/365))+(O31*($E31/365))</f>
        <v>0</v>
      </c>
      <c r="T83" s="8">
        <f>(P30*($E30/365))+(P31*($E31/365))</f>
        <v>0</v>
      </c>
      <c r="U83" s="8">
        <f>(Q30*($E30/365))+(Q31*($E31/365))</f>
        <v>37</v>
      </c>
      <c r="W83" s="14">
        <f t="shared" si="19"/>
        <v>37</v>
      </c>
    </row>
    <row r="84" spans="1:23" ht="9" customHeight="1" x14ac:dyDescent="0.15">
      <c r="A84" s="1">
        <v>2002</v>
      </c>
      <c r="B84" s="8">
        <f>(K32*($E32/365))+(K33*($E33/365))</f>
        <v>8.2191780821917817</v>
      </c>
      <c r="C84" s="8">
        <f>(L32*($E32/365))+(L33*($E33/365))</f>
        <v>8.2191780821917817</v>
      </c>
      <c r="D84" s="8">
        <f>(M32*($E32/365))+(M33*($E33/365))</f>
        <v>80.419016921837226</v>
      </c>
      <c r="E84" s="65">
        <f t="shared" si="17"/>
        <v>96.85737308622079</v>
      </c>
      <c r="G84" s="1">
        <v>2002</v>
      </c>
      <c r="H84" s="779">
        <f>(O32/$R32*100*($E32/365))+(O33/$R33*100*($E33/365))</f>
        <v>4.15027804150278</v>
      </c>
      <c r="I84" s="779"/>
      <c r="J84" s="779">
        <f>(P32/$R32*100*($E32/365))+(P33/$R33*100*($E33/365))</f>
        <v>10.145124101451241</v>
      </c>
      <c r="K84" s="779"/>
      <c r="L84" s="779">
        <f>(Q32/$R32*100*($E32/365))+(Q33/$R33*100*($E33/365))</f>
        <v>85.704597857045968</v>
      </c>
      <c r="M84" s="779"/>
      <c r="N84" s="781">
        <f t="shared" si="18"/>
        <v>99.999999999999986</v>
      </c>
      <c r="O84" s="781"/>
      <c r="R84" s="1">
        <v>2002</v>
      </c>
      <c r="S84" s="8">
        <f>(O32*($E32/365))+(O33*($E33/365))</f>
        <v>2.095890410958904</v>
      </c>
      <c r="T84" s="8">
        <f>(P32*($E32/365))+(P33*($E33/365))</f>
        <v>5.1232876712328768</v>
      </c>
      <c r="U84" s="8">
        <f>(Q32*($E32/365))+(Q33*($E33/365))</f>
        <v>36.06849315068493</v>
      </c>
      <c r="W84" s="14">
        <f t="shared" si="19"/>
        <v>43.287671232876711</v>
      </c>
    </row>
    <row r="85" spans="1:23" ht="9" customHeight="1" x14ac:dyDescent="0.15">
      <c r="A85" s="1">
        <v>2003</v>
      </c>
      <c r="B85" s="8">
        <f>(K34*($E34/365))+(K35*($E35/365))+(K36*($E36/365))</f>
        <v>17.647058823529413</v>
      </c>
      <c r="C85" s="8">
        <f>(L34*($E34/365))+(L35*($E35/365))+(L36*($E36/365))</f>
        <v>17.647058823529413</v>
      </c>
      <c r="D85" s="8">
        <f>(M34*($E34/365))+(M35*($E35/365))+(M36*($E36/365))</f>
        <v>59.661563255439162</v>
      </c>
      <c r="E85" s="65">
        <f t="shared" si="17"/>
        <v>94.955680902497988</v>
      </c>
      <c r="G85" s="1">
        <v>2003</v>
      </c>
      <c r="H85" s="779">
        <f>(O34/$R34*100*($E34/365))+(O35/$R35*100*($E35/365))+(O36/$R36*100*($E36/365))</f>
        <v>8.9108910891089099</v>
      </c>
      <c r="I85" s="779"/>
      <c r="J85" s="779">
        <f>(P34/$R34*100*($E34/365))+(P35/$R35*100*($E35/365))+(P36/$R36*100*($E36/365))</f>
        <v>21.782178217821784</v>
      </c>
      <c r="K85" s="779"/>
      <c r="L85" s="779">
        <f>(Q34/$R34*100*($E34/365))+(Q35/$R35*100*($E35/365))+(Q36/$R36*100*($E36/365))</f>
        <v>69.306930693069305</v>
      </c>
      <c r="M85" s="779"/>
      <c r="N85" s="781">
        <f t="shared" si="18"/>
        <v>100</v>
      </c>
      <c r="O85" s="781"/>
      <c r="R85" s="1">
        <v>2003</v>
      </c>
      <c r="S85" s="8">
        <f>(O34*($E34/365))+(O35*($E35/365))+(O36*($E36/365))</f>
        <v>4.5</v>
      </c>
      <c r="T85" s="8">
        <f>(P34*($E34/365))+(P35*($E35/365))+(P36*($E36/365))</f>
        <v>11</v>
      </c>
      <c r="U85" s="8">
        <f>(Q34*($E34/365))+(Q35*($E35/365))+(Q36*($E36/365))</f>
        <v>35</v>
      </c>
      <c r="W85" s="14">
        <f t="shared" si="19"/>
        <v>50.5</v>
      </c>
    </row>
    <row r="86" spans="1:23" ht="9" customHeight="1" x14ac:dyDescent="0.15">
      <c r="A86" s="1">
        <v>2004</v>
      </c>
      <c r="B86" s="8">
        <f>(K37*($E37/366))+(K38*($E38/366))</f>
        <v>17.245258759241402</v>
      </c>
      <c r="C86" s="8">
        <f>(L37*($E37/366))+(L38*($E38/366))</f>
        <v>17.245258759241402</v>
      </c>
      <c r="D86" s="8">
        <f>(M37*($E37/366))+(M38*($E38/366))</f>
        <v>58.566377370620373</v>
      </c>
      <c r="E86" s="65">
        <f t="shared" si="17"/>
        <v>93.056894889103177</v>
      </c>
      <c r="G86" s="1">
        <v>2004</v>
      </c>
      <c r="H86" s="779">
        <f>(O37/$R37*100*($E37/366))+(O38/$R38*100*($E38/366))</f>
        <v>8.9108910891089099</v>
      </c>
      <c r="I86" s="779"/>
      <c r="J86" s="779">
        <f>(P37/$R37*100*($E37/366))+(P38/$R38*100*($E38/366))</f>
        <v>21.782178217821784</v>
      </c>
      <c r="K86" s="779"/>
      <c r="L86" s="779">
        <f>(Q37/$R37*100*($E37/366))+(Q38/$R38*100*($E38/366))</f>
        <v>69.306930693069305</v>
      </c>
      <c r="M86" s="779"/>
      <c r="N86" s="781">
        <f t="shared" si="18"/>
        <v>100</v>
      </c>
      <c r="O86" s="781"/>
      <c r="R86" s="1">
        <v>2004</v>
      </c>
      <c r="S86" s="8">
        <f>(O37*($E37/366))+(O38*($E38/366))</f>
        <v>4.5</v>
      </c>
      <c r="T86" s="8">
        <f>(P37*($E37/366))+(P38*($E38/366))</f>
        <v>11</v>
      </c>
      <c r="U86" s="8">
        <f>(Q37*($E37/366))+(Q38*($E38/366))</f>
        <v>35</v>
      </c>
      <c r="W86" s="14">
        <f t="shared" si="19"/>
        <v>50.5</v>
      </c>
    </row>
    <row r="87" spans="1:23" ht="9" customHeight="1" x14ac:dyDescent="0.15">
      <c r="A87" s="1">
        <v>2005</v>
      </c>
      <c r="B87" s="8">
        <f>(K39*($E39/365))+(K40*($E40/365))+(K41*($E41/365))+(K42*($E42/365))</f>
        <v>12.84627092846271</v>
      </c>
      <c r="C87" s="8">
        <f>(L39*($E39/365))+(L40*($E40/365))+(L41*($E41/365))+(L42*($E42/365))</f>
        <v>16.666666666666664</v>
      </c>
      <c r="D87" s="8">
        <f>(M39*($E39/365))+(M40*($E40/365))+(M41*($E41/365))+(M42*($E42/365))</f>
        <v>52.237442922374434</v>
      </c>
      <c r="E87" s="65">
        <f>SUM(B87:D87)</f>
        <v>81.7503805175038</v>
      </c>
      <c r="G87" s="1">
        <v>2005</v>
      </c>
      <c r="H87" s="779">
        <f>(O39/$R39*100*($E39/365))+(O40/$R40*100*($E40/365))+(O41/$R41*100*($E41/365))+(O42/$R42*100*($E42/365))</f>
        <v>8.9108910891089099</v>
      </c>
      <c r="I87" s="779"/>
      <c r="J87" s="779">
        <f>(P39/$R39*100*($E39/365))+(P40/$R40*100*($E40/365))+(P41/$R41*100*($E41/365))+(P42/$R42*100*($E42/365))</f>
        <v>21.782178217821784</v>
      </c>
      <c r="K87" s="779"/>
      <c r="L87" s="779">
        <f>(Q39/$R39*100*($E39/365))+(Q40/$R40*100*($E40/365))+(Q41/$R41*100*($E41/365))+(Q42/$R42*100*($E42/365))</f>
        <v>69.306930693069305</v>
      </c>
      <c r="M87" s="779"/>
      <c r="N87" s="781">
        <f t="shared" si="18"/>
        <v>100</v>
      </c>
      <c r="O87" s="781"/>
      <c r="R87" s="1">
        <v>2005</v>
      </c>
      <c r="S87" s="8">
        <f>(O39*($E39/365))+(O40*($E40/365))+(O41*($E41/365))+(O42*($E42/365))</f>
        <v>4.5</v>
      </c>
      <c r="T87" s="8">
        <f>(P39*($E39/365))+(P40*($E40/365))+(P41*($E41/365))+(P42*($E42/365))</f>
        <v>11</v>
      </c>
      <c r="U87" s="8">
        <f>(Q39*($E39/365))+(Q40*($E40/365))+(Q41*($E41/365))+(Q42*($E42/365))</f>
        <v>35</v>
      </c>
      <c r="W87" s="14">
        <f t="shared" si="19"/>
        <v>50.5</v>
      </c>
    </row>
    <row r="88" spans="1:23" ht="9" customHeight="1" x14ac:dyDescent="0.15">
      <c r="A88" s="1">
        <v>2006</v>
      </c>
      <c r="B88" s="8">
        <f>(K43*($E43/365))+(K44*($E44/365))</f>
        <v>27.490733279613213</v>
      </c>
      <c r="C88" s="8">
        <f>(L43*($E43/365))+(L44*($E44/365))</f>
        <v>11.893634165995167</v>
      </c>
      <c r="D88" s="8">
        <f>(M43*($E43/365))+(M44*($E44/365))</f>
        <v>27.751813053988716</v>
      </c>
      <c r="E88" s="65">
        <f t="shared" si="17"/>
        <v>67.136180499597089</v>
      </c>
      <c r="G88" s="1">
        <v>2006</v>
      </c>
      <c r="H88" s="779">
        <f>(O43/$R43*100*($E43/365))+(O44/$R44*100*($E44/365))</f>
        <v>38.608436186084361</v>
      </c>
      <c r="I88" s="779"/>
      <c r="J88" s="779">
        <f>(P43/$R43*100*($E43/365))+(P44/$R44*100*($E44/365))</f>
        <v>14.680591346805915</v>
      </c>
      <c r="K88" s="779"/>
      <c r="L88" s="779">
        <f>(Q43/$R43*100*($E43/365))+(Q44/$R44*100*($E44/365))</f>
        <v>46.710972467109727</v>
      </c>
      <c r="M88" s="779"/>
      <c r="N88" s="781">
        <f t="shared" si="18"/>
        <v>100</v>
      </c>
      <c r="O88" s="781"/>
      <c r="R88" s="1">
        <v>2006</v>
      </c>
      <c r="S88" s="8">
        <f>(O43*($E43/365))+(O44*($E44/365))</f>
        <v>16.236986301369864</v>
      </c>
      <c r="T88" s="8">
        <f>(P43*($E43/365))+(P44*($E44/365))</f>
        <v>7.4136986301369863</v>
      </c>
      <c r="U88" s="8">
        <f>(Q43*($E43/365))+(Q44*($E44/365))</f>
        <v>23.589041095890412</v>
      </c>
      <c r="W88" s="14">
        <f t="shared" si="19"/>
        <v>47.239726027397268</v>
      </c>
    </row>
    <row r="89" spans="1:23" ht="9" customHeight="1" x14ac:dyDescent="0.15">
      <c r="A89" s="1">
        <v>2007</v>
      </c>
      <c r="B89" s="8">
        <f>(K45*($E45/365))+(K46*($E46/365))</f>
        <v>50.219178082191775</v>
      </c>
      <c r="C89" s="8">
        <f>(L45*($E45/365))+(L46*($E46/365))</f>
        <v>21.735159817351597</v>
      </c>
      <c r="D89" s="8">
        <f>(M45*($E45/365))+(M46*($E46/365))</f>
        <v>16.301369863013697</v>
      </c>
      <c r="E89" s="65">
        <f t="shared" si="17"/>
        <v>88.25570776255708</v>
      </c>
      <c r="G89" s="1">
        <v>2007</v>
      </c>
      <c r="H89" s="779">
        <f>(O45/$R45*100*($E45/365))+(O46/$R46*100*($E46/365))</f>
        <v>81.416438356164377</v>
      </c>
      <c r="I89" s="779"/>
      <c r="J89" s="779">
        <f>(P45/$R45*100*($E45/365))+(P46/$R46*100*($E46/365))</f>
        <v>12.715068493150685</v>
      </c>
      <c r="K89" s="779"/>
      <c r="L89" s="779">
        <f>(Q45/$R45*100*($E45/365))+(Q46/$R46*100*($E46/365))</f>
        <v>5.8684931506849312</v>
      </c>
      <c r="M89" s="779"/>
      <c r="N89" s="781">
        <f t="shared" si="18"/>
        <v>99.999999999999986</v>
      </c>
      <c r="O89" s="781"/>
      <c r="R89" s="1">
        <v>2007</v>
      </c>
      <c r="S89" s="8">
        <f>(O45*($E45/365))+(O46*($E46/365))</f>
        <v>40.5</v>
      </c>
      <c r="T89" s="8">
        <f>(P45*($E45/365))+(P46*($E46/365))</f>
        <v>6.3575342465753426</v>
      </c>
      <c r="U89" s="8">
        <f>(Q45*($E45/365))+(Q46*($E46/365))</f>
        <v>2.9342465753424656</v>
      </c>
      <c r="W89" s="14">
        <f t="shared" si="19"/>
        <v>49.791780821917804</v>
      </c>
    </row>
    <row r="90" spans="1:23" ht="9" customHeight="1" x14ac:dyDescent="0.15">
      <c r="A90" s="1">
        <v>2008</v>
      </c>
      <c r="B90" s="8">
        <f>(K47*($E47/366))+(K48*($E48/366))</f>
        <v>50</v>
      </c>
      <c r="C90" s="8">
        <f>(L47*($E47/366))+(L48*($E48/366))</f>
        <v>22.222222222222221</v>
      </c>
      <c r="D90" s="8">
        <f>(M47*($E47/366))+(M48*($E48/366))</f>
        <v>16.666666666666664</v>
      </c>
      <c r="E90" s="65">
        <f t="shared" si="17"/>
        <v>88.888888888888886</v>
      </c>
      <c r="G90" s="1">
        <v>2008</v>
      </c>
      <c r="H90" s="779">
        <f>(O47/$R47*100*($E47/366))+(O48/$R48*100*($E48/366))</f>
        <v>81</v>
      </c>
      <c r="I90" s="779"/>
      <c r="J90" s="779">
        <f>(P47/$R47*100*($E47/366))+(P48/$R48*100*($E48/366))</f>
        <v>13</v>
      </c>
      <c r="K90" s="779"/>
      <c r="L90" s="779">
        <f>(Q47/$R47*100*($E47/366))+(Q48/$R48*100*($E48/366))</f>
        <v>6</v>
      </c>
      <c r="M90" s="779"/>
      <c r="N90" s="781">
        <f t="shared" si="18"/>
        <v>100</v>
      </c>
      <c r="O90" s="781"/>
      <c r="R90" s="1">
        <v>2008</v>
      </c>
      <c r="S90" s="8">
        <f>(O47*($E47/366))+(O48*($E48/366))</f>
        <v>40.5</v>
      </c>
      <c r="T90" s="8">
        <f>(P47*($E47/366))+(P48*($E48/366))</f>
        <v>6.5</v>
      </c>
      <c r="U90" s="8">
        <f>(Q47*($E47/366))+(Q48*($E48/366))</f>
        <v>3</v>
      </c>
      <c r="W90" s="14">
        <f t="shared" si="19"/>
        <v>50</v>
      </c>
    </row>
    <row r="91" spans="1:23" ht="9" customHeight="1" x14ac:dyDescent="0.15">
      <c r="A91" s="1">
        <v>2009</v>
      </c>
      <c r="B91" s="8">
        <f>(K49*($E49/365))+(K50*($E50/365))</f>
        <v>17.397260273972602</v>
      </c>
      <c r="C91" s="8">
        <f>(L49*($E49/365))+(L50*($E50/365))</f>
        <v>7.7321156773211568</v>
      </c>
      <c r="D91" s="8">
        <f>(M49*($E49/365))+(M50*($E50/365))</f>
        <v>5.7990867579908674</v>
      </c>
      <c r="E91" s="65">
        <f t="shared" si="17"/>
        <v>30.928462709284627</v>
      </c>
      <c r="G91" s="1">
        <v>2009</v>
      </c>
      <c r="H91" s="779">
        <f>(O49/$R49*100*($E49/365))</f>
        <v>28.183561643835617</v>
      </c>
      <c r="I91" s="779"/>
      <c r="J91" s="779">
        <f>(P49/$R49*100*($E49/365))</f>
        <v>4.5232876712328771</v>
      </c>
      <c r="K91" s="779"/>
      <c r="L91" s="779">
        <f>(Q49/$R49*100*($E49/365))</f>
        <v>2.0876712328767124</v>
      </c>
      <c r="M91" s="779"/>
      <c r="N91" s="781">
        <f t="shared" si="18"/>
        <v>34.794520547945211</v>
      </c>
      <c r="O91" s="781"/>
      <c r="R91" s="1">
        <v>2009</v>
      </c>
      <c r="S91" s="8">
        <f>(O49*($E49/365))+(O50*($E50/365))</f>
        <v>14.091780821917808</v>
      </c>
      <c r="T91" s="8">
        <f>(P49*($E49/365))+(P50*($E50/365))</f>
        <v>2.2616438356164386</v>
      </c>
      <c r="U91" s="8">
        <f>(Q49*($E49/365))+(Q50*($E50/365))</f>
        <v>1.0438356164383562</v>
      </c>
      <c r="W91" s="14">
        <f t="shared" si="19"/>
        <v>17.397260273972606</v>
      </c>
    </row>
    <row r="92" spans="1:23" ht="9" customHeight="1" x14ac:dyDescent="0.15">
      <c r="A92" s="1">
        <v>2010</v>
      </c>
      <c r="B92" s="8">
        <f>(K51*($E51/365))+(K52*($E52/365))</f>
        <v>43.981735159817347</v>
      </c>
      <c r="C92" s="8">
        <f>(L51*($E51/365))+(L52*($E52/365))</f>
        <v>0</v>
      </c>
      <c r="D92" s="8">
        <f>(M51*($E51/365))+(M52*($E52/365))</f>
        <v>0</v>
      </c>
      <c r="E92" s="65">
        <f t="shared" si="17"/>
        <v>43.981735159817347</v>
      </c>
      <c r="G92" s="1">
        <v>2010</v>
      </c>
      <c r="H92" s="779">
        <f>(O52/$R52*100*($E52/365))</f>
        <v>47.12328767123288</v>
      </c>
      <c r="I92" s="779"/>
      <c r="J92" s="779">
        <f>(P52/$R52*100*($E52/365))</f>
        <v>0</v>
      </c>
      <c r="K92" s="779"/>
      <c r="L92" s="779">
        <f>(Q52/$R52*100*($E52/365))</f>
        <v>0</v>
      </c>
      <c r="M92" s="779"/>
      <c r="N92" s="781">
        <f t="shared" si="18"/>
        <v>47.12328767123288</v>
      </c>
      <c r="O92" s="781"/>
      <c r="R92" s="1">
        <v>2010</v>
      </c>
      <c r="S92" s="8">
        <f>(O51*($E51/365))+(O52*($E52/365))</f>
        <v>27.802739726027397</v>
      </c>
      <c r="T92" s="8">
        <f>(P51*($E51/365))+(P52*($E52/365))</f>
        <v>0</v>
      </c>
      <c r="U92" s="8">
        <f>(Q51*($E51/365))+(Q52*($E52/365))</f>
        <v>0</v>
      </c>
      <c r="W92" s="14">
        <f t="shared" si="19"/>
        <v>27.802739726027397</v>
      </c>
    </row>
    <row r="93" spans="1:23" ht="9" customHeight="1" x14ac:dyDescent="0.15">
      <c r="A93" s="1">
        <v>2011</v>
      </c>
      <c r="B93" s="8">
        <f>(K53*($E53/365))+(K54*($E54/365))</f>
        <v>88.675799086757991</v>
      </c>
      <c r="C93" s="8">
        <f>(L53*($E53/365))+(L54*($E54/365))</f>
        <v>0</v>
      </c>
      <c r="D93" s="8">
        <f>(M53*($E53/365))+(M54*($E54/365))</f>
        <v>0</v>
      </c>
      <c r="E93" s="65">
        <f t="shared" si="17"/>
        <v>88.675799086757991</v>
      </c>
      <c r="G93" s="1">
        <v>2011</v>
      </c>
      <c r="H93" s="779">
        <f>(O53/$R53*100*($E53/365))+(O54/$R54*100*($E54/365))</f>
        <v>100</v>
      </c>
      <c r="I93" s="779"/>
      <c r="J93" s="779">
        <f>(P53/$R53*100*($E53/365))+(P54/$R54*100*($E54/365))</f>
        <v>0</v>
      </c>
      <c r="K93" s="779"/>
      <c r="L93" s="779">
        <f>(Q53/$R53*100*($E53/365))+(Q54/$R54*100*($E54/365))</f>
        <v>0</v>
      </c>
      <c r="M93" s="779"/>
      <c r="N93" s="781">
        <f t="shared" si="18"/>
        <v>100</v>
      </c>
      <c r="O93" s="781"/>
      <c r="R93" s="1">
        <v>2011</v>
      </c>
      <c r="S93" s="8">
        <f>(O53*($E53/365))+(O54*($E54/365))</f>
        <v>59</v>
      </c>
      <c r="T93" s="8">
        <f>(P53*($E53/365))+(P54*($E54/365))</f>
        <v>0</v>
      </c>
      <c r="U93" s="8">
        <f>(Q53*($E53/365))+(Q54*($E54/365))</f>
        <v>0</v>
      </c>
      <c r="W93" s="14">
        <f t="shared" si="19"/>
        <v>59</v>
      </c>
    </row>
    <row r="94" spans="1:23" ht="9" customHeight="1" x14ac:dyDescent="0.15">
      <c r="A94" s="1">
        <v>2012</v>
      </c>
      <c r="B94" s="8">
        <f>(K55*($E55/366))+(K56*($E56/366))+(K57*($E57/366))</f>
        <v>81.948998178506372</v>
      </c>
      <c r="C94" s="8">
        <f>(L55*($E55/366))+(L56*($E56/366))+(L57*($E57/366))</f>
        <v>0</v>
      </c>
      <c r="D94" s="8">
        <f>(M55*($E55/366))+(M56*($E56/366))+(M57*($E57/366))</f>
        <v>0</v>
      </c>
      <c r="E94" s="65">
        <f t="shared" si="17"/>
        <v>81.948998178506372</v>
      </c>
      <c r="G94" s="1">
        <v>2012</v>
      </c>
      <c r="H94" s="779">
        <f>(O55/$R55*100*($E55/366))+(O56/$R56*100*($E56/366))+(O57/$R57*100*($E57/366))</f>
        <v>100</v>
      </c>
      <c r="I94" s="779"/>
      <c r="J94" s="779">
        <f>(P55/$R55*100*($E55/366))+(P56/$R56*100*($E56/366))+(P57/$R57*100*($E57/366))</f>
        <v>0</v>
      </c>
      <c r="K94" s="779"/>
      <c r="L94" s="779">
        <f>(Q55/$R55*100*($E55/366))+(Q56/$R56*100*($E56/366))+(Q57/$R57*100*($E57/366))</f>
        <v>0</v>
      </c>
      <c r="M94" s="779"/>
      <c r="N94" s="781">
        <f t="shared" si="18"/>
        <v>100</v>
      </c>
      <c r="O94" s="781"/>
      <c r="R94" s="1">
        <v>2012</v>
      </c>
      <c r="S94" s="8">
        <f>(O55*($E55/366))+(O56*($E56/366))+(O57*($E57/366))</f>
        <v>59</v>
      </c>
      <c r="T94" s="8">
        <f>(P55*($E55/366))+(P56*($E56/366))+(P57*($E57/366))</f>
        <v>0</v>
      </c>
      <c r="U94" s="8">
        <f>(Q55*($E55/366))+(Q56*($E56/366))+(Q57*($E57/366))</f>
        <v>0</v>
      </c>
      <c r="W94" s="14">
        <f t="shared" si="19"/>
        <v>59</v>
      </c>
    </row>
    <row r="95" spans="1:23" ht="9" customHeight="1" x14ac:dyDescent="0.15">
      <c r="A95" s="1">
        <v>2013</v>
      </c>
      <c r="B95" s="8">
        <f>(K58*($E58/365))+(K59*($E59/365))+(K60*($E60/365))</f>
        <v>37.106164383561641</v>
      </c>
      <c r="C95" s="8">
        <f>(L58*($E58/365))+(L59*($E59/365))+(L60*($E60/365))</f>
        <v>3.1963470319634704</v>
      </c>
      <c r="D95" s="8">
        <f>(M58*($E58/365))+(M59*($E59/365))+(M60*($E60/365))</f>
        <v>0</v>
      </c>
      <c r="E95" s="315">
        <f>SUM(B95:D95)</f>
        <v>40.30251141552511</v>
      </c>
      <c r="G95" s="1">
        <v>2013</v>
      </c>
      <c r="H95" s="779">
        <f>(O58/$R58*100*($E58/365))+(O59/$R59*100*($E59/365))</f>
        <v>52.054794520547944</v>
      </c>
      <c r="I95" s="779"/>
      <c r="J95" s="779">
        <f>(P58/$R58*100*($E58/365))+(P59/$R59*100*($E59/365))</f>
        <v>0</v>
      </c>
      <c r="K95" s="779"/>
      <c r="L95" s="779">
        <f>(Q58/$R58*100*($E58/365))+(Q59/$R59*100*($E59/365))</f>
        <v>0</v>
      </c>
      <c r="M95" s="779"/>
      <c r="N95" s="781">
        <f>SUM(H95:M95)</f>
        <v>52.054794520547944</v>
      </c>
      <c r="O95" s="781"/>
      <c r="R95" s="1">
        <v>2013</v>
      </c>
      <c r="S95" s="8">
        <f>(O58*($E58/365))+(O59*($E59/365))+(O60*($E60/365))</f>
        <v>30.712328767123289</v>
      </c>
      <c r="T95" s="8">
        <f>(P58*($E58/365))+(P59*($E59/365))+(P60*($E60/365))</f>
        <v>0</v>
      </c>
      <c r="U95" s="8">
        <f>(Q58*($E58/365))+(Q59*($E59/365))+(Q60*($E60/365))</f>
        <v>0</v>
      </c>
      <c r="W95" s="14">
        <f>SUM(S95:U95)</f>
        <v>30.712328767123289</v>
      </c>
    </row>
    <row r="96" spans="1:23" ht="9" customHeight="1" x14ac:dyDescent="0.15">
      <c r="A96" s="1">
        <v>2014</v>
      </c>
      <c r="B96" s="8">
        <f>(K61*($E61/365))+(K62*($E62/365))</f>
        <v>32.586623690572118</v>
      </c>
      <c r="C96" s="8">
        <f>(L61*($E61/365))+(L62*($E62/365))</f>
        <v>16.804727370400215</v>
      </c>
      <c r="D96" s="8">
        <f>(M61*($E61/365))+(M62*($E62/365))</f>
        <v>43.448831587429488</v>
      </c>
      <c r="E96" s="524">
        <f>SUM(B96:D96)</f>
        <v>92.840182648401822</v>
      </c>
      <c r="G96" s="1">
        <v>2014</v>
      </c>
      <c r="H96" s="779">
        <f>(O62/$R62*100*($E62/365))</f>
        <v>39.094162655806493</v>
      </c>
      <c r="I96" s="779"/>
      <c r="J96" s="779">
        <f>(P62/$R62*100*($E62/365))</f>
        <v>11.645069727261507</v>
      </c>
      <c r="K96" s="779"/>
      <c r="L96" s="779">
        <f>(Q62/$R62*100*($E62/365))</f>
        <v>41.589534740219669</v>
      </c>
      <c r="M96" s="779"/>
      <c r="N96" s="781">
        <f>SUM(H96:M96)</f>
        <v>92.328767123287662</v>
      </c>
      <c r="O96" s="781"/>
      <c r="R96" s="1">
        <v>2014</v>
      </c>
      <c r="S96" s="8">
        <f>(O61*($E61/365))+(O62*($E62/365))</f>
        <v>21.697260273972603</v>
      </c>
      <c r="T96" s="8">
        <f>(P61*($E61/365))+(P62*($E62/365))</f>
        <v>6.463013698630137</v>
      </c>
      <c r="U96" s="8">
        <f>(Q61*($E61/365))+(Q62*($E62/365))</f>
        <v>23.082191780821919</v>
      </c>
      <c r="W96" s="14">
        <f>SUM(S96:U96)</f>
        <v>51.242465753424653</v>
      </c>
    </row>
    <row r="97" spans="1:23" s="713" customFormat="1" ht="9" customHeight="1" x14ac:dyDescent="0.15">
      <c r="A97" s="713">
        <v>2015</v>
      </c>
      <c r="B97" s="707">
        <f>(K63*($E63/365))+(K64*($E64/365))</f>
        <v>35.294117647058826</v>
      </c>
      <c r="C97" s="707">
        <f>(L63*($E63/365))+(L64*($E64/365))</f>
        <v>17.647058823529413</v>
      </c>
      <c r="D97" s="707">
        <f>(M63*($E63/365))+(M64*($E64/365))</f>
        <v>47.058823529411761</v>
      </c>
      <c r="E97" s="708">
        <f>SUM(B97:D97)</f>
        <v>100</v>
      </c>
      <c r="G97" s="713">
        <v>2015</v>
      </c>
      <c r="H97" s="779">
        <f>(O63/$R63*100*($E63/365))+(O64/$R64*100*($E64/365))</f>
        <v>42.342342342342342</v>
      </c>
      <c r="I97" s="779"/>
      <c r="J97" s="779">
        <f>(P63/$R63*100*($E63/365))+(P64/$R64*100*($E64/365))</f>
        <v>12.612612612612612</v>
      </c>
      <c r="K97" s="779"/>
      <c r="L97" s="779">
        <f>(Q63/$R63*100*($E63/365))+(Q64/$R64*100*($E64/365))</f>
        <v>45.045045045045043</v>
      </c>
      <c r="M97" s="779"/>
      <c r="N97" s="781">
        <f>SUM(H97:M97)</f>
        <v>100</v>
      </c>
      <c r="O97" s="781"/>
      <c r="R97" s="713">
        <v>2015</v>
      </c>
      <c r="S97" s="707">
        <f>(O63*($E63/365))+(O64*($E64/365))</f>
        <v>23.5</v>
      </c>
      <c r="T97" s="707">
        <f>(P63*($E63/365))+(P64*($E64/365))</f>
        <v>7</v>
      </c>
      <c r="U97" s="707">
        <f>(Q63*($E63/365))+(Q64*($E64/365))</f>
        <v>25</v>
      </c>
      <c r="W97" s="712">
        <f>SUM(S97:U97)</f>
        <v>55.5</v>
      </c>
    </row>
    <row r="98" spans="1:23" s="713" customFormat="1" ht="9" customHeight="1" x14ac:dyDescent="0.15"/>
    <row r="99" spans="1:23" s="713" customFormat="1" ht="9" customHeight="1" x14ac:dyDescent="0.15">
      <c r="B99" s="707"/>
      <c r="C99" s="707"/>
      <c r="D99" s="707"/>
      <c r="E99" s="708"/>
      <c r="H99" s="779"/>
      <c r="I99" s="779"/>
      <c r="J99" s="779"/>
      <c r="K99" s="779"/>
      <c r="L99" s="779"/>
      <c r="M99" s="779"/>
      <c r="N99" s="781"/>
      <c r="O99" s="781"/>
      <c r="S99" s="707"/>
      <c r="T99" s="707"/>
      <c r="U99" s="707"/>
      <c r="W99" s="712"/>
    </row>
  </sheetData>
  <mergeCells count="193">
    <mergeCell ref="H97:I97"/>
    <mergeCell ref="J97:K97"/>
    <mergeCell ref="L97:M97"/>
    <mergeCell ref="N97:O97"/>
    <mergeCell ref="H99:I99"/>
    <mergeCell ref="J99:K99"/>
    <mergeCell ref="L99:M99"/>
    <mergeCell ref="N99:O99"/>
    <mergeCell ref="H96:I96"/>
    <mergeCell ref="J96:K96"/>
    <mergeCell ref="L96:M96"/>
    <mergeCell ref="N96:O96"/>
    <mergeCell ref="L83:M83"/>
    <mergeCell ref="J80:K80"/>
    <mergeCell ref="N82:O82"/>
    <mergeCell ref="C61:D61"/>
    <mergeCell ref="C62:D62"/>
    <mergeCell ref="H72:I72"/>
    <mergeCell ref="H73:I73"/>
    <mergeCell ref="H74:I74"/>
    <mergeCell ref="H78:I78"/>
    <mergeCell ref="J78:K78"/>
    <mergeCell ref="J83:K83"/>
    <mergeCell ref="H81:I81"/>
    <mergeCell ref="J81:K81"/>
    <mergeCell ref="J79:K79"/>
    <mergeCell ref="H79:I79"/>
    <mergeCell ref="H80:I80"/>
    <mergeCell ref="J82:K82"/>
    <mergeCell ref="N78:O78"/>
    <mergeCell ref="L77:M77"/>
    <mergeCell ref="AT4:AW4"/>
    <mergeCell ref="AX4:BA4"/>
    <mergeCell ref="K4:N4"/>
    <mergeCell ref="O4:R4"/>
    <mergeCell ref="Z4:AC4"/>
    <mergeCell ref="AD4:AG4"/>
    <mergeCell ref="AH4:AK4"/>
    <mergeCell ref="AL4:AO4"/>
    <mergeCell ref="AP4:AS4"/>
    <mergeCell ref="V4:Y4"/>
    <mergeCell ref="G3:M3"/>
    <mergeCell ref="O3:Q3"/>
    <mergeCell ref="A4:A5"/>
    <mergeCell ref="B4:B5"/>
    <mergeCell ref="C4:D5"/>
    <mergeCell ref="E4:E5"/>
    <mergeCell ref="F4:F5"/>
    <mergeCell ref="G4:J4"/>
    <mergeCell ref="C6:D6"/>
    <mergeCell ref="C7:D7"/>
    <mergeCell ref="C8:D8"/>
    <mergeCell ref="S4:S5"/>
    <mergeCell ref="T4:T5"/>
    <mergeCell ref="U4:U5"/>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4:D24"/>
    <mergeCell ref="C25:D25"/>
    <mergeCell ref="C27:D27"/>
    <mergeCell ref="C28:D28"/>
    <mergeCell ref="C23:D23"/>
    <mergeCell ref="C26:D26"/>
    <mergeCell ref="C43:D43"/>
    <mergeCell ref="C29:D29"/>
    <mergeCell ref="C30:D30"/>
    <mergeCell ref="C31:D31"/>
    <mergeCell ref="C32:D32"/>
    <mergeCell ref="C33:D33"/>
    <mergeCell ref="C34:D34"/>
    <mergeCell ref="C35:D35"/>
    <mergeCell ref="C40:D40"/>
    <mergeCell ref="C41:D41"/>
    <mergeCell ref="C44:D44"/>
    <mergeCell ref="C45:D45"/>
    <mergeCell ref="C46:D46"/>
    <mergeCell ref="C47:D47"/>
    <mergeCell ref="C48:D48"/>
    <mergeCell ref="C36:D36"/>
    <mergeCell ref="C37:D37"/>
    <mergeCell ref="C38:D38"/>
    <mergeCell ref="C39:D39"/>
    <mergeCell ref="C42:D42"/>
    <mergeCell ref="C58:D58"/>
    <mergeCell ref="C49:D49"/>
    <mergeCell ref="C50:D50"/>
    <mergeCell ref="C51:D51"/>
    <mergeCell ref="C52:D52"/>
    <mergeCell ref="C53:D53"/>
    <mergeCell ref="C54:D54"/>
    <mergeCell ref="L76:M76"/>
    <mergeCell ref="C56:D56"/>
    <mergeCell ref="C57:D57"/>
    <mergeCell ref="C55:D55"/>
    <mergeCell ref="C63:D63"/>
    <mergeCell ref="C64:D64"/>
    <mergeCell ref="R69:W69"/>
    <mergeCell ref="H71:I71"/>
    <mergeCell ref="J71:K71"/>
    <mergeCell ref="L71:M71"/>
    <mergeCell ref="N71:O71"/>
    <mergeCell ref="C59:D59"/>
    <mergeCell ref="C60:D60"/>
    <mergeCell ref="J76:K76"/>
    <mergeCell ref="J77:K77"/>
    <mergeCell ref="N72:O72"/>
    <mergeCell ref="N73:O73"/>
    <mergeCell ref="N74:O74"/>
    <mergeCell ref="N75:O75"/>
    <mergeCell ref="L72:M72"/>
    <mergeCell ref="L73:M73"/>
    <mergeCell ref="J72:K72"/>
    <mergeCell ref="J73:K73"/>
    <mergeCell ref="J74:K74"/>
    <mergeCell ref="J75:K75"/>
    <mergeCell ref="H75:I75"/>
    <mergeCell ref="H76:I76"/>
    <mergeCell ref="H77:I77"/>
    <mergeCell ref="N76:O76"/>
    <mergeCell ref="N77:O77"/>
    <mergeCell ref="J88:K88"/>
    <mergeCell ref="J89:K89"/>
    <mergeCell ref="J90:K90"/>
    <mergeCell ref="J91:K91"/>
    <mergeCell ref="J93:K93"/>
    <mergeCell ref="H82:I82"/>
    <mergeCell ref="H83:I83"/>
    <mergeCell ref="H84:I84"/>
    <mergeCell ref="J92:K92"/>
    <mergeCell ref="H92:I92"/>
    <mergeCell ref="H93:I93"/>
    <mergeCell ref="H89:I89"/>
    <mergeCell ref="H90:I90"/>
    <mergeCell ref="H91:I91"/>
    <mergeCell ref="H88:I88"/>
    <mergeCell ref="J84:K84"/>
    <mergeCell ref="J85:K85"/>
    <mergeCell ref="J87:K87"/>
    <mergeCell ref="H87:I87"/>
    <mergeCell ref="J86:K86"/>
    <mergeCell ref="H86:I86"/>
    <mergeCell ref="H85:I85"/>
    <mergeCell ref="N88:O88"/>
    <mergeCell ref="N89:O89"/>
    <mergeCell ref="L92:M92"/>
    <mergeCell ref="N86:O86"/>
    <mergeCell ref="L74:M74"/>
    <mergeCell ref="L75:M75"/>
    <mergeCell ref="N87:O87"/>
    <mergeCell ref="L86:M86"/>
    <mergeCell ref="L87:M87"/>
    <mergeCell ref="L88:M88"/>
    <mergeCell ref="N83:O83"/>
    <mergeCell ref="L84:M84"/>
    <mergeCell ref="N80:O80"/>
    <mergeCell ref="N81:O81"/>
    <mergeCell ref="N84:O84"/>
    <mergeCell ref="N85:O85"/>
    <mergeCell ref="N79:O79"/>
    <mergeCell ref="L78:M78"/>
    <mergeCell ref="L79:M79"/>
    <mergeCell ref="L89:M89"/>
    <mergeCell ref="L80:M80"/>
    <mergeCell ref="L85:M85"/>
    <mergeCell ref="L81:M81"/>
    <mergeCell ref="L82:M82"/>
    <mergeCell ref="H95:I95"/>
    <mergeCell ref="J95:K95"/>
    <mergeCell ref="L95:M95"/>
    <mergeCell ref="N95:O95"/>
    <mergeCell ref="N93:O93"/>
    <mergeCell ref="N90:O90"/>
    <mergeCell ref="L93:M93"/>
    <mergeCell ref="L91:M91"/>
    <mergeCell ref="J94:K94"/>
    <mergeCell ref="L94:M94"/>
    <mergeCell ref="N94:O94"/>
    <mergeCell ref="L90:M90"/>
    <mergeCell ref="H94:I94"/>
    <mergeCell ref="N92:O92"/>
    <mergeCell ref="N91:O91"/>
  </mergeCells>
  <pageMargins left="0.78740157499999996" right="0.78740157499999996" top="0.984251969" bottom="0.984251969" header="0.4921259845" footer="0.4921259845"/>
  <pageSetup paperSize="9" orientation="portrait"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86"/>
  <sheetViews>
    <sheetView zoomScale="120" zoomScaleNormal="120" workbookViewId="0">
      <pane xSplit="1" ySplit="5" topLeftCell="F107" activePane="bottomRight" state="frozen"/>
      <selection pane="topRight" activeCell="B1" sqref="B1"/>
      <selection pane="bottomLeft" activeCell="A6" sqref="A6"/>
      <selection pane="bottomRight" activeCell="W185" sqref="W185"/>
    </sheetView>
  </sheetViews>
  <sheetFormatPr baseColWidth="10" defaultColWidth="10.7109375" defaultRowHeight="9" x14ac:dyDescent="0.15"/>
  <cols>
    <col min="1" max="1" width="5.85546875" style="1" customWidth="1"/>
    <col min="2" max="6" width="7.85546875" style="1" customWidth="1"/>
    <col min="7" max="18" width="4.5703125" style="1" customWidth="1"/>
    <col min="19" max="21" width="7.85546875" style="1" customWidth="1"/>
    <col min="22" max="53" width="5.7109375" style="1" customWidth="1"/>
    <col min="54" max="16384" width="10.7109375" style="1"/>
  </cols>
  <sheetData>
    <row r="1" spans="1:53" s="2" customFormat="1" ht="15" customHeight="1" x14ac:dyDescent="0.2">
      <c r="B1" s="22" t="s">
        <v>14</v>
      </c>
    </row>
    <row r="2" spans="1:53" s="2" customFormat="1" ht="15" customHeight="1" x14ac:dyDescent="0.2">
      <c r="B2" s="22" t="s">
        <v>52</v>
      </c>
    </row>
    <row r="3" spans="1:53" s="2" customFormat="1" x14ac:dyDescent="0.15">
      <c r="G3" s="814"/>
      <c r="H3" s="814"/>
      <c r="I3" s="814"/>
      <c r="J3" s="814"/>
      <c r="K3" s="814"/>
      <c r="L3" s="814"/>
      <c r="M3" s="814"/>
      <c r="O3" s="814"/>
      <c r="P3" s="814"/>
      <c r="Q3" s="814"/>
      <c r="R3" s="6"/>
    </row>
    <row r="4" spans="1:53" s="346" customFormat="1" ht="12.75" customHeight="1" x14ac:dyDescent="0.15">
      <c r="A4" s="788" t="s">
        <v>3</v>
      </c>
      <c r="B4" s="794" t="s">
        <v>4</v>
      </c>
      <c r="C4" s="788" t="s">
        <v>6</v>
      </c>
      <c r="D4" s="788"/>
      <c r="E4" s="794" t="s">
        <v>5</v>
      </c>
      <c r="F4" s="794" t="s">
        <v>7</v>
      </c>
      <c r="G4" s="790" t="s">
        <v>1218</v>
      </c>
      <c r="H4" s="788"/>
      <c r="I4" s="788"/>
      <c r="J4" s="791"/>
      <c r="K4" s="790" t="s">
        <v>1219</v>
      </c>
      <c r="L4" s="788"/>
      <c r="M4" s="788"/>
      <c r="N4" s="791"/>
      <c r="O4" s="790" t="s">
        <v>1216</v>
      </c>
      <c r="P4" s="788"/>
      <c r="Q4" s="788"/>
      <c r="R4" s="788"/>
      <c r="S4" s="792" t="s">
        <v>13</v>
      </c>
      <c r="T4" s="794" t="s">
        <v>794</v>
      </c>
      <c r="U4" s="796" t="s">
        <v>4</v>
      </c>
      <c r="V4" s="787" t="s">
        <v>1206</v>
      </c>
      <c r="W4" s="788"/>
      <c r="X4" s="788"/>
      <c r="Y4" s="789"/>
      <c r="Z4" s="787" t="s">
        <v>1207</v>
      </c>
      <c r="AA4" s="788"/>
      <c r="AB4" s="788"/>
      <c r="AC4" s="789"/>
      <c r="AD4" s="787" t="s">
        <v>1208</v>
      </c>
      <c r="AE4" s="788"/>
      <c r="AF4" s="788"/>
      <c r="AG4" s="789"/>
      <c r="AH4" s="788" t="s">
        <v>1209</v>
      </c>
      <c r="AI4" s="788"/>
      <c r="AJ4" s="788"/>
      <c r="AK4" s="788"/>
      <c r="AL4" s="787" t="s">
        <v>1210</v>
      </c>
      <c r="AM4" s="788"/>
      <c r="AN4" s="788"/>
      <c r="AO4" s="789"/>
      <c r="AP4" s="787" t="s">
        <v>1211</v>
      </c>
      <c r="AQ4" s="788"/>
      <c r="AR4" s="788"/>
      <c r="AS4" s="789"/>
      <c r="AT4" s="787" t="s">
        <v>1280</v>
      </c>
      <c r="AU4" s="788"/>
      <c r="AV4" s="788"/>
      <c r="AW4" s="789"/>
      <c r="AX4" s="788" t="s">
        <v>1281</v>
      </c>
      <c r="AY4" s="788"/>
      <c r="AZ4" s="788"/>
      <c r="BA4" s="791"/>
    </row>
    <row r="5" spans="1:53" s="351" customFormat="1" x14ac:dyDescent="0.15">
      <c r="A5" s="800"/>
      <c r="B5" s="795"/>
      <c r="C5" s="801"/>
      <c r="D5" s="801"/>
      <c r="E5" s="795"/>
      <c r="F5" s="795"/>
      <c r="G5" s="347" t="s">
        <v>1212</v>
      </c>
      <c r="H5" s="348" t="s">
        <v>1213</v>
      </c>
      <c r="I5" s="348" t="s">
        <v>1214</v>
      </c>
      <c r="J5" s="349" t="s">
        <v>1215</v>
      </c>
      <c r="K5" s="347" t="s">
        <v>1212</v>
      </c>
      <c r="L5" s="348" t="s">
        <v>1213</v>
      </c>
      <c r="M5" s="348" t="s">
        <v>1214</v>
      </c>
      <c r="N5" s="349" t="s">
        <v>1215</v>
      </c>
      <c r="O5" s="347" t="s">
        <v>1212</v>
      </c>
      <c r="P5" s="348" t="s">
        <v>1213</v>
      </c>
      <c r="Q5" s="348" t="s">
        <v>1214</v>
      </c>
      <c r="R5" s="350" t="s">
        <v>1215</v>
      </c>
      <c r="S5" s="793"/>
      <c r="T5" s="795"/>
      <c r="U5" s="797"/>
      <c r="V5" s="351" t="s">
        <v>23</v>
      </c>
      <c r="W5" s="351" t="s">
        <v>24</v>
      </c>
      <c r="X5" s="351" t="s">
        <v>25</v>
      </c>
      <c r="Y5" s="351" t="s">
        <v>1217</v>
      </c>
      <c r="Z5" s="352" t="s">
        <v>23</v>
      </c>
      <c r="AA5" s="351" t="s">
        <v>24</v>
      </c>
      <c r="AB5" s="351" t="s">
        <v>25</v>
      </c>
      <c r="AC5" s="353" t="s">
        <v>1217</v>
      </c>
      <c r="AD5" s="352" t="s">
        <v>23</v>
      </c>
      <c r="AE5" s="351" t="s">
        <v>24</v>
      </c>
      <c r="AF5" s="351" t="s">
        <v>25</v>
      </c>
      <c r="AG5" s="353" t="s">
        <v>1217</v>
      </c>
      <c r="AH5" s="351" t="s">
        <v>23</v>
      </c>
      <c r="AI5" s="351" t="s">
        <v>24</v>
      </c>
      <c r="AJ5" s="351" t="s">
        <v>25</v>
      </c>
      <c r="AK5" s="351" t="s">
        <v>1217</v>
      </c>
      <c r="AL5" s="352" t="s">
        <v>23</v>
      </c>
      <c r="AM5" s="351" t="s">
        <v>24</v>
      </c>
      <c r="AN5" s="351" t="s">
        <v>25</v>
      </c>
      <c r="AO5" s="353" t="s">
        <v>1217</v>
      </c>
      <c r="AP5" s="352" t="s">
        <v>23</v>
      </c>
      <c r="AQ5" s="351" t="s">
        <v>24</v>
      </c>
      <c r="AR5" s="351" t="s">
        <v>25</v>
      </c>
      <c r="AS5" s="353" t="s">
        <v>1217</v>
      </c>
      <c r="AT5" s="351" t="s">
        <v>23</v>
      </c>
      <c r="AU5" s="351" t="s">
        <v>24</v>
      </c>
      <c r="AV5" s="351" t="s">
        <v>25</v>
      </c>
      <c r="AW5" s="353" t="s">
        <v>1217</v>
      </c>
      <c r="AX5" s="351" t="s">
        <v>23</v>
      </c>
      <c r="AY5" s="351" t="s">
        <v>24</v>
      </c>
      <c r="AZ5" s="351" t="s">
        <v>25</v>
      </c>
      <c r="BA5" s="354" t="s">
        <v>1217</v>
      </c>
    </row>
    <row r="6" spans="1:53" s="257" customFormat="1" x14ac:dyDescent="0.15">
      <c r="A6" s="263">
        <v>1959</v>
      </c>
      <c r="B6" s="252"/>
      <c r="C6" s="798" t="s">
        <v>254</v>
      </c>
      <c r="D6" s="798"/>
      <c r="E6" s="257">
        <v>0</v>
      </c>
      <c r="G6" s="265">
        <v>7</v>
      </c>
      <c r="I6" s="257">
        <v>9</v>
      </c>
      <c r="J6" s="272">
        <v>16</v>
      </c>
      <c r="K6" s="248">
        <f>G6/J6*100</f>
        <v>43.75</v>
      </c>
      <c r="L6" s="248">
        <f>H6/J6*100</f>
        <v>0</v>
      </c>
      <c r="M6" s="248">
        <f>I6/J6*100</f>
        <v>56.25</v>
      </c>
      <c r="N6" s="267">
        <f>SUM(K6:M6)</f>
        <v>100</v>
      </c>
      <c r="O6" s="247">
        <v>13.1</v>
      </c>
      <c r="P6" s="248"/>
      <c r="Q6" s="248">
        <v>40</v>
      </c>
      <c r="R6" s="249">
        <f>SUM(O6:Q6)</f>
        <v>53.1</v>
      </c>
      <c r="S6" s="254">
        <v>2</v>
      </c>
      <c r="T6" s="251"/>
      <c r="U6" s="252"/>
      <c r="V6" s="256" t="s">
        <v>102</v>
      </c>
      <c r="W6" s="257" t="s">
        <v>20</v>
      </c>
      <c r="X6" s="257" t="s">
        <v>12</v>
      </c>
      <c r="Y6" s="258">
        <v>40</v>
      </c>
      <c r="Z6" s="257" t="s">
        <v>103</v>
      </c>
      <c r="AA6" s="257" t="s">
        <v>22</v>
      </c>
      <c r="AB6" s="257" t="s">
        <v>11</v>
      </c>
      <c r="AC6" s="257">
        <v>8</v>
      </c>
      <c r="AD6" s="256" t="s">
        <v>104</v>
      </c>
      <c r="AE6" s="257" t="s">
        <v>100</v>
      </c>
      <c r="AF6" s="257" t="s">
        <v>11</v>
      </c>
      <c r="AG6" s="258">
        <v>5.0999999999999996</v>
      </c>
      <c r="AH6" s="256"/>
      <c r="AL6" s="256"/>
      <c r="AO6" s="258"/>
      <c r="AP6" s="256"/>
      <c r="AS6" s="258"/>
      <c r="AW6" s="258"/>
      <c r="BA6" s="259"/>
    </row>
    <row r="7" spans="1:53" s="257" customFormat="1" x14ac:dyDescent="0.15">
      <c r="A7" s="263">
        <v>1959</v>
      </c>
      <c r="B7" s="252"/>
      <c r="C7" s="798" t="s">
        <v>254</v>
      </c>
      <c r="D7" s="798"/>
      <c r="E7" s="257">
        <v>365</v>
      </c>
      <c r="G7" s="265">
        <v>7</v>
      </c>
      <c r="I7" s="257">
        <v>9</v>
      </c>
      <c r="J7" s="272">
        <v>16</v>
      </c>
      <c r="K7" s="248">
        <f>G7/J7*100</f>
        <v>43.75</v>
      </c>
      <c r="L7" s="248">
        <f>H7/J7*100</f>
        <v>0</v>
      </c>
      <c r="M7" s="248">
        <f>I7/J7*100</f>
        <v>56.25</v>
      </c>
      <c r="N7" s="267">
        <f>SUM(K7:M7)</f>
        <v>100</v>
      </c>
      <c r="O7" s="247">
        <v>13.1</v>
      </c>
      <c r="P7" s="248"/>
      <c r="Q7" s="248">
        <v>40</v>
      </c>
      <c r="R7" s="249">
        <f>SUM(O7:Q7)</f>
        <v>53.1</v>
      </c>
      <c r="S7" s="254">
        <v>2</v>
      </c>
      <c r="T7" s="251"/>
      <c r="U7" s="252"/>
      <c r="V7" s="256" t="s">
        <v>102</v>
      </c>
      <c r="W7" s="257" t="s">
        <v>20</v>
      </c>
      <c r="X7" s="257" t="s">
        <v>12</v>
      </c>
      <c r="Y7" s="258">
        <v>40</v>
      </c>
      <c r="Z7" s="257" t="s">
        <v>103</v>
      </c>
      <c r="AA7" s="257" t="s">
        <v>22</v>
      </c>
      <c r="AB7" s="257" t="s">
        <v>11</v>
      </c>
      <c r="AC7" s="257">
        <v>8</v>
      </c>
      <c r="AD7" s="256" t="s">
        <v>104</v>
      </c>
      <c r="AE7" s="257" t="s">
        <v>100</v>
      </c>
      <c r="AF7" s="257" t="s">
        <v>11</v>
      </c>
      <c r="AG7" s="258">
        <v>5.0999999999999996</v>
      </c>
      <c r="AH7" s="256"/>
      <c r="AL7" s="256"/>
      <c r="AO7" s="258"/>
      <c r="AP7" s="256"/>
      <c r="AS7" s="258"/>
      <c r="AW7" s="258"/>
      <c r="BA7" s="259"/>
    </row>
    <row r="8" spans="1:53" s="73" customFormat="1" x14ac:dyDescent="0.15">
      <c r="A8" s="102">
        <v>1960</v>
      </c>
      <c r="B8" s="85"/>
      <c r="C8" s="786" t="s">
        <v>254</v>
      </c>
      <c r="D8" s="786"/>
      <c r="E8" s="73">
        <v>51</v>
      </c>
      <c r="G8" s="123">
        <v>7</v>
      </c>
      <c r="I8" s="73">
        <v>9</v>
      </c>
      <c r="J8" s="134">
        <v>16</v>
      </c>
      <c r="K8" s="92">
        <f>G8/J8*100</f>
        <v>43.75</v>
      </c>
      <c r="L8" s="92">
        <f>H8/J8*100</f>
        <v>0</v>
      </c>
      <c r="M8" s="92">
        <f>I8/J8*100</f>
        <v>56.25</v>
      </c>
      <c r="N8" s="125">
        <f>SUM(K8:M8)</f>
        <v>100</v>
      </c>
      <c r="O8" s="91">
        <v>13.1</v>
      </c>
      <c r="P8" s="92"/>
      <c r="Q8" s="92">
        <v>40</v>
      </c>
      <c r="R8" s="93">
        <f>SUM(O8:Q8)</f>
        <v>53.1</v>
      </c>
      <c r="S8" s="97">
        <v>2</v>
      </c>
      <c r="T8" s="95"/>
      <c r="U8" s="85"/>
      <c r="V8" s="82" t="s">
        <v>102</v>
      </c>
      <c r="W8" s="73" t="s">
        <v>20</v>
      </c>
      <c r="X8" s="73" t="s">
        <v>12</v>
      </c>
      <c r="Y8" s="83">
        <v>40</v>
      </c>
      <c r="Z8" s="73" t="s">
        <v>103</v>
      </c>
      <c r="AA8" s="73" t="s">
        <v>22</v>
      </c>
      <c r="AB8" s="73" t="s">
        <v>11</v>
      </c>
      <c r="AC8" s="73">
        <v>8</v>
      </c>
      <c r="AD8" s="82" t="s">
        <v>104</v>
      </c>
      <c r="AE8" s="73" t="s">
        <v>100</v>
      </c>
      <c r="AF8" s="73" t="s">
        <v>11</v>
      </c>
      <c r="AG8" s="83">
        <v>5.0999999999999996</v>
      </c>
      <c r="AH8" s="82"/>
      <c r="AL8" s="82"/>
      <c r="AO8" s="83"/>
      <c r="AP8" s="82"/>
      <c r="AS8" s="83"/>
      <c r="AW8" s="83"/>
      <c r="BA8" s="84"/>
    </row>
    <row r="9" spans="1:53" s="334" customFormat="1" x14ac:dyDescent="0.15">
      <c r="A9" s="386">
        <v>1960</v>
      </c>
      <c r="B9" s="355">
        <v>21967</v>
      </c>
      <c r="C9" s="785" t="s">
        <v>255</v>
      </c>
      <c r="D9" s="785"/>
      <c r="E9" s="334">
        <v>271</v>
      </c>
      <c r="F9" s="334">
        <v>3</v>
      </c>
      <c r="G9" s="419">
        <v>7</v>
      </c>
      <c r="I9" s="334">
        <v>8</v>
      </c>
      <c r="J9" s="435">
        <v>15</v>
      </c>
      <c r="K9" s="384">
        <f>G9/J9*100</f>
        <v>46.666666666666664</v>
      </c>
      <c r="L9" s="384">
        <f>H9/J9*100</f>
        <v>0</v>
      </c>
      <c r="M9" s="384">
        <f>I9/J9*100</f>
        <v>53.333333333333336</v>
      </c>
      <c r="N9" s="421">
        <f t="shared" ref="N9:N72" si="0">SUM(K9:M9)</f>
        <v>100</v>
      </c>
      <c r="O9" s="383">
        <v>13.1</v>
      </c>
      <c r="P9" s="384"/>
      <c r="Q9" s="384">
        <v>40</v>
      </c>
      <c r="R9" s="385">
        <f t="shared" ref="R9:R72" si="1">SUM(O9:Q9)</f>
        <v>53.1</v>
      </c>
      <c r="S9" s="388">
        <v>2</v>
      </c>
      <c r="T9" s="342"/>
      <c r="U9" s="355">
        <v>21967</v>
      </c>
      <c r="V9" s="343" t="s">
        <v>102</v>
      </c>
      <c r="W9" s="334" t="s">
        <v>20</v>
      </c>
      <c r="X9" s="334" t="s">
        <v>12</v>
      </c>
      <c r="Y9" s="344">
        <v>40</v>
      </c>
      <c r="Z9" s="334" t="s">
        <v>103</v>
      </c>
      <c r="AA9" s="334" t="s">
        <v>22</v>
      </c>
      <c r="AB9" s="334" t="s">
        <v>11</v>
      </c>
      <c r="AC9" s="334">
        <v>8</v>
      </c>
      <c r="AD9" s="343" t="s">
        <v>104</v>
      </c>
      <c r="AE9" s="334" t="s">
        <v>100</v>
      </c>
      <c r="AF9" s="334" t="s">
        <v>11</v>
      </c>
      <c r="AG9" s="344">
        <v>5.0999999999999996</v>
      </c>
      <c r="AH9" s="343"/>
      <c r="AL9" s="343"/>
      <c r="AO9" s="344"/>
      <c r="AP9" s="343"/>
      <c r="AS9" s="344"/>
      <c r="AW9" s="344"/>
      <c r="BA9" s="345"/>
    </row>
    <row r="10" spans="1:53" s="73" customFormat="1" x14ac:dyDescent="0.15">
      <c r="A10" s="102">
        <v>1960</v>
      </c>
      <c r="B10" s="85">
        <v>22238</v>
      </c>
      <c r="C10" s="786" t="s">
        <v>256</v>
      </c>
      <c r="D10" s="786"/>
      <c r="E10" s="73">
        <v>44</v>
      </c>
      <c r="F10" s="73">
        <v>1</v>
      </c>
      <c r="G10" s="123">
        <v>5</v>
      </c>
      <c r="I10" s="73">
        <v>11</v>
      </c>
      <c r="J10" s="134">
        <v>17</v>
      </c>
      <c r="K10" s="92">
        <f t="shared" ref="K10:K15" si="2">G10/J10*100</f>
        <v>29.411764705882355</v>
      </c>
      <c r="L10" s="92">
        <f t="shared" ref="L10:L15" si="3">H10/J10*100</f>
        <v>0</v>
      </c>
      <c r="M10" s="92">
        <f t="shared" ref="M10:M15" si="4">I10/J10*100</f>
        <v>64.705882352941174</v>
      </c>
      <c r="N10" s="125">
        <f t="shared" si="0"/>
        <v>94.117647058823536</v>
      </c>
      <c r="O10" s="91">
        <v>6.3</v>
      </c>
      <c r="P10" s="92"/>
      <c r="Q10" s="92">
        <v>43.4</v>
      </c>
      <c r="R10" s="93">
        <f t="shared" si="1"/>
        <v>49.699999999999996</v>
      </c>
      <c r="S10" s="97">
        <v>5</v>
      </c>
      <c r="T10" s="95">
        <v>22235</v>
      </c>
      <c r="U10" s="85">
        <v>22238</v>
      </c>
      <c r="V10" s="82" t="s">
        <v>102</v>
      </c>
      <c r="W10" s="73" t="s">
        <v>20</v>
      </c>
      <c r="X10" s="73" t="s">
        <v>12</v>
      </c>
      <c r="Y10" s="83">
        <v>43.4</v>
      </c>
      <c r="Z10" s="73" t="s">
        <v>103</v>
      </c>
      <c r="AA10" s="73" t="s">
        <v>22</v>
      </c>
      <c r="AB10" s="73" t="s">
        <v>11</v>
      </c>
      <c r="AC10" s="73">
        <v>6.3</v>
      </c>
      <c r="AD10" s="82"/>
      <c r="AG10" s="83"/>
      <c r="AL10" s="82"/>
      <c r="AO10" s="83"/>
      <c r="AP10" s="82"/>
      <c r="AS10" s="83"/>
      <c r="AW10" s="83"/>
      <c r="BA10" s="84"/>
    </row>
    <row r="11" spans="1:53" s="73" customFormat="1" x14ac:dyDescent="0.15">
      <c r="A11" s="102">
        <v>1961</v>
      </c>
      <c r="B11" s="85"/>
      <c r="C11" s="786" t="s">
        <v>256</v>
      </c>
      <c r="D11" s="786"/>
      <c r="E11" s="73">
        <v>0</v>
      </c>
      <c r="G11" s="123">
        <v>5</v>
      </c>
      <c r="I11" s="73">
        <v>11</v>
      </c>
      <c r="J11" s="134">
        <v>17</v>
      </c>
      <c r="K11" s="92">
        <f t="shared" si="2"/>
        <v>29.411764705882355</v>
      </c>
      <c r="L11" s="92">
        <f t="shared" si="3"/>
        <v>0</v>
      </c>
      <c r="M11" s="92">
        <f t="shared" si="4"/>
        <v>64.705882352941174</v>
      </c>
      <c r="N11" s="125">
        <f t="shared" si="0"/>
        <v>94.117647058823536</v>
      </c>
      <c r="O11" s="91">
        <v>6.3</v>
      </c>
      <c r="P11" s="92"/>
      <c r="Q11" s="92">
        <v>43.4</v>
      </c>
      <c r="R11" s="93">
        <f t="shared" si="1"/>
        <v>49.699999999999996</v>
      </c>
      <c r="S11" s="97">
        <v>5</v>
      </c>
      <c r="T11" s="95"/>
      <c r="U11" s="85"/>
      <c r="V11" s="82" t="s">
        <v>102</v>
      </c>
      <c r="W11" s="73" t="s">
        <v>20</v>
      </c>
      <c r="X11" s="73" t="s">
        <v>12</v>
      </c>
      <c r="Y11" s="83">
        <v>43.4</v>
      </c>
      <c r="Z11" s="73" t="s">
        <v>103</v>
      </c>
      <c r="AA11" s="73" t="s">
        <v>22</v>
      </c>
      <c r="AB11" s="73" t="s">
        <v>11</v>
      </c>
      <c r="AC11" s="73">
        <v>6.3</v>
      </c>
      <c r="AD11" s="82"/>
      <c r="AG11" s="83"/>
      <c r="AL11" s="82"/>
      <c r="AO11" s="83"/>
      <c r="AP11" s="82"/>
      <c r="AS11" s="83"/>
      <c r="AW11" s="83"/>
      <c r="BA11" s="84"/>
    </row>
    <row r="12" spans="1:53" s="73" customFormat="1" x14ac:dyDescent="0.15">
      <c r="A12" s="102">
        <v>1961</v>
      </c>
      <c r="B12" s="85"/>
      <c r="C12" s="786" t="s">
        <v>256</v>
      </c>
      <c r="D12" s="786"/>
      <c r="E12" s="73">
        <f>365-E11</f>
        <v>365</v>
      </c>
      <c r="G12" s="123">
        <v>5</v>
      </c>
      <c r="I12" s="73">
        <v>11</v>
      </c>
      <c r="J12" s="134">
        <v>17</v>
      </c>
      <c r="K12" s="92">
        <f t="shared" si="2"/>
        <v>29.411764705882355</v>
      </c>
      <c r="L12" s="92">
        <f t="shared" si="3"/>
        <v>0</v>
      </c>
      <c r="M12" s="92">
        <f t="shared" si="4"/>
        <v>64.705882352941174</v>
      </c>
      <c r="N12" s="125">
        <f t="shared" si="0"/>
        <v>94.117647058823536</v>
      </c>
      <c r="O12" s="91">
        <v>6.3</v>
      </c>
      <c r="P12" s="92"/>
      <c r="Q12" s="92">
        <v>43.4</v>
      </c>
      <c r="R12" s="93">
        <f t="shared" si="1"/>
        <v>49.699999999999996</v>
      </c>
      <c r="S12" s="97">
        <v>5</v>
      </c>
      <c r="T12" s="95"/>
      <c r="U12" s="85"/>
      <c r="V12" s="82" t="s">
        <v>102</v>
      </c>
      <c r="W12" s="73" t="s">
        <v>20</v>
      </c>
      <c r="X12" s="73" t="s">
        <v>12</v>
      </c>
      <c r="Y12" s="83">
        <v>43.4</v>
      </c>
      <c r="Z12" s="73" t="s">
        <v>103</v>
      </c>
      <c r="AA12" s="73" t="s">
        <v>22</v>
      </c>
      <c r="AB12" s="73" t="s">
        <v>11</v>
      </c>
      <c r="AC12" s="73">
        <v>6.3</v>
      </c>
      <c r="AD12" s="82"/>
      <c r="AG12" s="83"/>
      <c r="AL12" s="82"/>
      <c r="AO12" s="83"/>
      <c r="AP12" s="82"/>
      <c r="AS12" s="83"/>
      <c r="AW12" s="83"/>
      <c r="BA12" s="84"/>
    </row>
    <row r="13" spans="1:53" s="73" customFormat="1" x14ac:dyDescent="0.15">
      <c r="A13" s="102">
        <v>1962</v>
      </c>
      <c r="B13" s="85"/>
      <c r="C13" s="786" t="s">
        <v>256</v>
      </c>
      <c r="D13" s="786"/>
      <c r="E13" s="73">
        <v>246</v>
      </c>
      <c r="G13" s="123">
        <v>5</v>
      </c>
      <c r="I13" s="73">
        <v>11</v>
      </c>
      <c r="J13" s="134">
        <v>17</v>
      </c>
      <c r="K13" s="92">
        <f t="shared" si="2"/>
        <v>29.411764705882355</v>
      </c>
      <c r="L13" s="92">
        <f t="shared" si="3"/>
        <v>0</v>
      </c>
      <c r="M13" s="92">
        <f t="shared" si="4"/>
        <v>64.705882352941174</v>
      </c>
      <c r="N13" s="125">
        <f t="shared" si="0"/>
        <v>94.117647058823536</v>
      </c>
      <c r="O13" s="91">
        <v>6.3</v>
      </c>
      <c r="P13" s="92"/>
      <c r="Q13" s="92">
        <v>43.4</v>
      </c>
      <c r="R13" s="93">
        <f t="shared" si="1"/>
        <v>49.699999999999996</v>
      </c>
      <c r="S13" s="97">
        <v>5</v>
      </c>
      <c r="T13" s="95"/>
      <c r="U13" s="85"/>
      <c r="V13" s="82" t="s">
        <v>102</v>
      </c>
      <c r="W13" s="73" t="s">
        <v>20</v>
      </c>
      <c r="X13" s="73" t="s">
        <v>12</v>
      </c>
      <c r="Y13" s="83">
        <v>43.4</v>
      </c>
      <c r="Z13" s="73" t="s">
        <v>103</v>
      </c>
      <c r="AA13" s="73" t="s">
        <v>22</v>
      </c>
      <c r="AB13" s="73" t="s">
        <v>11</v>
      </c>
      <c r="AC13" s="73">
        <v>6.3</v>
      </c>
      <c r="AD13" s="82"/>
      <c r="AG13" s="83"/>
      <c r="AL13" s="82"/>
      <c r="AO13" s="83"/>
      <c r="AP13" s="82"/>
      <c r="AS13" s="83"/>
      <c r="AW13" s="83"/>
      <c r="BA13" s="84"/>
    </row>
    <row r="14" spans="1:53" s="334" customFormat="1" x14ac:dyDescent="0.15">
      <c r="A14" s="386">
        <v>1962</v>
      </c>
      <c r="B14" s="355">
        <v>22893</v>
      </c>
      <c r="C14" s="785" t="s">
        <v>257</v>
      </c>
      <c r="D14" s="785"/>
      <c r="E14" s="334">
        <f>365-E13</f>
        <v>119</v>
      </c>
      <c r="F14" s="334">
        <v>3</v>
      </c>
      <c r="G14" s="419">
        <v>5</v>
      </c>
      <c r="I14" s="334">
        <v>11</v>
      </c>
      <c r="J14" s="435">
        <v>17</v>
      </c>
      <c r="K14" s="384">
        <f t="shared" si="2"/>
        <v>29.411764705882355</v>
      </c>
      <c r="L14" s="384">
        <f t="shared" si="3"/>
        <v>0</v>
      </c>
      <c r="M14" s="384">
        <f t="shared" si="4"/>
        <v>64.705882352941174</v>
      </c>
      <c r="N14" s="421">
        <f t="shared" si="0"/>
        <v>94.117647058823536</v>
      </c>
      <c r="O14" s="383">
        <v>6.3</v>
      </c>
      <c r="P14" s="384"/>
      <c r="Q14" s="384">
        <v>43.4</v>
      </c>
      <c r="R14" s="385">
        <f t="shared" si="1"/>
        <v>49.699999999999996</v>
      </c>
      <c r="S14" s="388">
        <v>5</v>
      </c>
      <c r="T14" s="342"/>
      <c r="U14" s="355">
        <v>22893</v>
      </c>
      <c r="V14" s="343" t="s">
        <v>102</v>
      </c>
      <c r="W14" s="334" t="s">
        <v>20</v>
      </c>
      <c r="X14" s="334" t="s">
        <v>12</v>
      </c>
      <c r="Y14" s="344">
        <v>43.4</v>
      </c>
      <c r="Z14" s="334" t="s">
        <v>103</v>
      </c>
      <c r="AA14" s="334" t="s">
        <v>22</v>
      </c>
      <c r="AB14" s="334" t="s">
        <v>11</v>
      </c>
      <c r="AC14" s="334">
        <v>6.3</v>
      </c>
      <c r="AD14" s="343"/>
      <c r="AG14" s="344"/>
      <c r="AL14" s="343"/>
      <c r="AO14" s="344"/>
      <c r="AP14" s="343"/>
      <c r="AS14" s="344"/>
      <c r="AW14" s="344"/>
      <c r="BA14" s="345"/>
    </row>
    <row r="15" spans="1:53" s="334" customFormat="1" x14ac:dyDescent="0.15">
      <c r="A15" s="386">
        <v>1962.6</v>
      </c>
      <c r="B15" s="355"/>
      <c r="C15" s="785" t="s">
        <v>257</v>
      </c>
      <c r="D15" s="785"/>
      <c r="E15" s="334">
        <v>0</v>
      </c>
      <c r="G15" s="419">
        <v>5</v>
      </c>
      <c r="I15" s="334">
        <v>11</v>
      </c>
      <c r="J15" s="435">
        <v>17</v>
      </c>
      <c r="K15" s="384">
        <f t="shared" si="2"/>
        <v>29.411764705882355</v>
      </c>
      <c r="L15" s="384">
        <f t="shared" si="3"/>
        <v>0</v>
      </c>
      <c r="M15" s="384">
        <f t="shared" si="4"/>
        <v>64.705882352941174</v>
      </c>
      <c r="N15" s="421">
        <f t="shared" si="0"/>
        <v>94.117647058823536</v>
      </c>
      <c r="O15" s="383">
        <v>6.3</v>
      </c>
      <c r="P15" s="384"/>
      <c r="Q15" s="384">
        <v>43.4</v>
      </c>
      <c r="R15" s="385">
        <f t="shared" si="1"/>
        <v>49.699999999999996</v>
      </c>
      <c r="S15" s="388">
        <v>5</v>
      </c>
      <c r="T15" s="342"/>
      <c r="U15" s="355"/>
      <c r="V15" s="343" t="s">
        <v>102</v>
      </c>
      <c r="W15" s="334" t="s">
        <v>20</v>
      </c>
      <c r="X15" s="334" t="s">
        <v>12</v>
      </c>
      <c r="Y15" s="344">
        <v>43.4</v>
      </c>
      <c r="Z15" s="334" t="s">
        <v>103</v>
      </c>
      <c r="AA15" s="334" t="s">
        <v>22</v>
      </c>
      <c r="AB15" s="334" t="s">
        <v>11</v>
      </c>
      <c r="AC15" s="334">
        <v>6.3</v>
      </c>
      <c r="AD15" s="343"/>
      <c r="AG15" s="344"/>
      <c r="AL15" s="343"/>
      <c r="AO15" s="344"/>
      <c r="AP15" s="343"/>
      <c r="AS15" s="344"/>
      <c r="AW15" s="344"/>
      <c r="BA15" s="345"/>
    </row>
    <row r="16" spans="1:53" s="334" customFormat="1" x14ac:dyDescent="0.15">
      <c r="A16" s="386">
        <v>1963.05714285714</v>
      </c>
      <c r="B16" s="355"/>
      <c r="C16" s="785" t="s">
        <v>257</v>
      </c>
      <c r="D16" s="785"/>
      <c r="E16" s="334">
        <v>365</v>
      </c>
      <c r="G16" s="419">
        <v>5</v>
      </c>
      <c r="I16" s="334">
        <v>11</v>
      </c>
      <c r="J16" s="435">
        <v>17</v>
      </c>
      <c r="K16" s="384">
        <f>G16/J16*100</f>
        <v>29.411764705882355</v>
      </c>
      <c r="L16" s="384">
        <f>H16/J16*100</f>
        <v>0</v>
      </c>
      <c r="M16" s="384">
        <f>I16/J16*100</f>
        <v>64.705882352941174</v>
      </c>
      <c r="N16" s="421">
        <f t="shared" si="0"/>
        <v>94.117647058823536</v>
      </c>
      <c r="O16" s="383">
        <v>6.3</v>
      </c>
      <c r="P16" s="384"/>
      <c r="Q16" s="384">
        <v>43.4</v>
      </c>
      <c r="R16" s="385">
        <f t="shared" si="1"/>
        <v>49.699999999999996</v>
      </c>
      <c r="S16" s="388">
        <v>5</v>
      </c>
      <c r="T16" s="342"/>
      <c r="U16" s="355"/>
      <c r="V16" s="343" t="s">
        <v>102</v>
      </c>
      <c r="W16" s="334" t="s">
        <v>20</v>
      </c>
      <c r="X16" s="334" t="s">
        <v>12</v>
      </c>
      <c r="Y16" s="344">
        <v>43.4</v>
      </c>
      <c r="Z16" s="334" t="s">
        <v>103</v>
      </c>
      <c r="AA16" s="334" t="s">
        <v>22</v>
      </c>
      <c r="AB16" s="334" t="s">
        <v>11</v>
      </c>
      <c r="AC16" s="334">
        <v>6.3</v>
      </c>
      <c r="AD16" s="343"/>
      <c r="AG16" s="344"/>
      <c r="AL16" s="343"/>
      <c r="AO16" s="344"/>
      <c r="AP16" s="343"/>
      <c r="AS16" s="344"/>
      <c r="AW16" s="344"/>
      <c r="BA16" s="345"/>
    </row>
    <row r="17" spans="1:53" s="334" customFormat="1" x14ac:dyDescent="0.15">
      <c r="A17" s="386">
        <v>1963.5142857142901</v>
      </c>
      <c r="B17" s="355"/>
      <c r="C17" s="785" t="s">
        <v>257</v>
      </c>
      <c r="D17" s="785"/>
      <c r="E17" s="334">
        <v>269</v>
      </c>
      <c r="G17" s="419">
        <v>5</v>
      </c>
      <c r="I17" s="334">
        <v>11</v>
      </c>
      <c r="J17" s="435">
        <v>17</v>
      </c>
      <c r="K17" s="384">
        <f>G17/J17*100</f>
        <v>29.411764705882355</v>
      </c>
      <c r="L17" s="384">
        <f>H17/J17*100</f>
        <v>0</v>
      </c>
      <c r="M17" s="384">
        <f>I17/J17*100</f>
        <v>64.705882352941174</v>
      </c>
      <c r="N17" s="421">
        <f t="shared" si="0"/>
        <v>94.117647058823536</v>
      </c>
      <c r="O17" s="383">
        <v>6.3</v>
      </c>
      <c r="P17" s="384"/>
      <c r="Q17" s="384">
        <v>43.4</v>
      </c>
      <c r="R17" s="385">
        <f t="shared" si="1"/>
        <v>49.699999999999996</v>
      </c>
      <c r="S17" s="388">
        <v>5</v>
      </c>
      <c r="T17" s="342"/>
      <c r="U17" s="355"/>
      <c r="V17" s="343" t="s">
        <v>102</v>
      </c>
      <c r="W17" s="334" t="s">
        <v>20</v>
      </c>
      <c r="X17" s="334" t="s">
        <v>12</v>
      </c>
      <c r="Y17" s="344">
        <v>43.4</v>
      </c>
      <c r="Z17" s="334" t="s">
        <v>103</v>
      </c>
      <c r="AA17" s="334" t="s">
        <v>22</v>
      </c>
      <c r="AB17" s="334" t="s">
        <v>11</v>
      </c>
      <c r="AC17" s="334">
        <v>6.3</v>
      </c>
      <c r="AD17" s="343"/>
      <c r="AG17" s="344"/>
      <c r="AL17" s="343"/>
      <c r="AO17" s="344"/>
      <c r="AP17" s="343"/>
      <c r="AS17" s="344"/>
      <c r="AW17" s="344"/>
      <c r="BA17" s="345"/>
    </row>
    <row r="18" spans="1:53" s="73" customFormat="1" x14ac:dyDescent="0.15">
      <c r="A18" s="102">
        <v>1963.9714285714299</v>
      </c>
      <c r="B18" s="85">
        <v>23646</v>
      </c>
      <c r="C18" s="786" t="s">
        <v>258</v>
      </c>
      <c r="D18" s="786"/>
      <c r="E18" s="73">
        <v>97</v>
      </c>
      <c r="F18" s="73">
        <v>1</v>
      </c>
      <c r="G18" s="123"/>
      <c r="I18" s="73">
        <v>17</v>
      </c>
      <c r="J18" s="134">
        <v>17</v>
      </c>
      <c r="K18" s="92">
        <f>G18/J18*100</f>
        <v>0</v>
      </c>
      <c r="L18" s="92">
        <f>H18/J18*100</f>
        <v>0</v>
      </c>
      <c r="M18" s="92">
        <f>I18/J18*100</f>
        <v>100</v>
      </c>
      <c r="N18" s="125">
        <f t="shared" si="0"/>
        <v>100</v>
      </c>
      <c r="O18" s="91"/>
      <c r="P18" s="92"/>
      <c r="Q18" s="92">
        <v>43.4</v>
      </c>
      <c r="R18" s="93">
        <f t="shared" si="1"/>
        <v>43.4</v>
      </c>
      <c r="S18" s="97">
        <v>4</v>
      </c>
      <c r="T18" s="95">
        <v>23642</v>
      </c>
      <c r="U18" s="85">
        <v>23646</v>
      </c>
      <c r="V18" s="82" t="s">
        <v>102</v>
      </c>
      <c r="W18" s="73" t="s">
        <v>20</v>
      </c>
      <c r="X18" s="73" t="s">
        <v>12</v>
      </c>
      <c r="Y18" s="83">
        <v>43.4</v>
      </c>
      <c r="AD18" s="82"/>
      <c r="AG18" s="83"/>
      <c r="AL18" s="82"/>
      <c r="AO18" s="83"/>
      <c r="AP18" s="82"/>
      <c r="AS18" s="83"/>
      <c r="AW18" s="83"/>
      <c r="BA18" s="84"/>
    </row>
    <row r="19" spans="1:53" s="73" customFormat="1" x14ac:dyDescent="0.15">
      <c r="A19" s="102">
        <v>1965</v>
      </c>
      <c r="B19" s="85"/>
      <c r="C19" s="786" t="s">
        <v>258</v>
      </c>
      <c r="D19" s="786"/>
      <c r="E19" s="73">
        <v>0</v>
      </c>
      <c r="G19" s="123"/>
      <c r="I19" s="73">
        <v>17</v>
      </c>
      <c r="J19" s="134">
        <v>17</v>
      </c>
      <c r="K19" s="92">
        <f t="shared" ref="K19:K24" si="5">G19/J19*100</f>
        <v>0</v>
      </c>
      <c r="L19" s="92">
        <f t="shared" ref="L19:L24" si="6">H19/J19*100</f>
        <v>0</v>
      </c>
      <c r="M19" s="92">
        <f t="shared" ref="M19:M24" si="7">I19/J19*100</f>
        <v>100</v>
      </c>
      <c r="N19" s="125">
        <f t="shared" si="0"/>
        <v>100</v>
      </c>
      <c r="O19" s="91"/>
      <c r="P19" s="92"/>
      <c r="Q19" s="92">
        <v>43.4</v>
      </c>
      <c r="R19" s="93">
        <f t="shared" si="1"/>
        <v>43.4</v>
      </c>
      <c r="S19" s="97">
        <v>4</v>
      </c>
      <c r="T19" s="95"/>
      <c r="U19" s="85"/>
      <c r="V19" s="82" t="s">
        <v>102</v>
      </c>
      <c r="W19" s="73" t="s">
        <v>20</v>
      </c>
      <c r="X19" s="73" t="s">
        <v>12</v>
      </c>
      <c r="Y19" s="83">
        <v>43.4</v>
      </c>
      <c r="AD19" s="82"/>
      <c r="AG19" s="83"/>
      <c r="AL19" s="82"/>
      <c r="AO19" s="83"/>
      <c r="AP19" s="82"/>
      <c r="AS19" s="83"/>
      <c r="AW19" s="83"/>
      <c r="BA19" s="84"/>
    </row>
    <row r="20" spans="1:53" s="73" customFormat="1" x14ac:dyDescent="0.15">
      <c r="A20" s="102">
        <v>1964.88571428572</v>
      </c>
      <c r="B20" s="85"/>
      <c r="C20" s="786" t="s">
        <v>258</v>
      </c>
      <c r="D20" s="786"/>
      <c r="E20" s="73">
        <v>365</v>
      </c>
      <c r="G20" s="123"/>
      <c r="I20" s="73">
        <v>17</v>
      </c>
      <c r="J20" s="134">
        <v>17</v>
      </c>
      <c r="K20" s="92">
        <f t="shared" si="5"/>
        <v>0</v>
      </c>
      <c r="L20" s="92">
        <f t="shared" si="6"/>
        <v>0</v>
      </c>
      <c r="M20" s="92">
        <f t="shared" si="7"/>
        <v>100</v>
      </c>
      <c r="N20" s="125">
        <f t="shared" si="0"/>
        <v>100</v>
      </c>
      <c r="O20" s="91"/>
      <c r="P20" s="92"/>
      <c r="Q20" s="92">
        <v>43.4</v>
      </c>
      <c r="R20" s="93">
        <f t="shared" si="1"/>
        <v>43.4</v>
      </c>
      <c r="S20" s="97">
        <v>4</v>
      </c>
      <c r="T20" s="95"/>
      <c r="U20" s="85"/>
      <c r="V20" s="82" t="s">
        <v>102</v>
      </c>
      <c r="W20" s="73" t="s">
        <v>20</v>
      </c>
      <c r="X20" s="73" t="s">
        <v>12</v>
      </c>
      <c r="Y20" s="83">
        <v>43.4</v>
      </c>
      <c r="AD20" s="82"/>
      <c r="AG20" s="83"/>
      <c r="AL20" s="82"/>
      <c r="AO20" s="83"/>
      <c r="AP20" s="82"/>
      <c r="AS20" s="83"/>
      <c r="AW20" s="83"/>
      <c r="BA20" s="84"/>
    </row>
    <row r="21" spans="1:53" s="73" customFormat="1" x14ac:dyDescent="0.15">
      <c r="A21" s="102">
        <v>1966</v>
      </c>
      <c r="B21" s="85"/>
      <c r="C21" s="786" t="s">
        <v>258</v>
      </c>
      <c r="D21" s="786"/>
      <c r="E21" s="73">
        <v>331</v>
      </c>
      <c r="G21" s="123"/>
      <c r="I21" s="73">
        <v>17</v>
      </c>
      <c r="J21" s="134">
        <v>17</v>
      </c>
      <c r="K21" s="92">
        <f t="shared" si="5"/>
        <v>0</v>
      </c>
      <c r="L21" s="92">
        <f t="shared" si="6"/>
        <v>0</v>
      </c>
      <c r="M21" s="92">
        <f t="shared" si="7"/>
        <v>100</v>
      </c>
      <c r="N21" s="125">
        <f t="shared" si="0"/>
        <v>100</v>
      </c>
      <c r="O21" s="91"/>
      <c r="P21" s="92"/>
      <c r="Q21" s="92">
        <v>43.4</v>
      </c>
      <c r="R21" s="93">
        <f t="shared" si="1"/>
        <v>43.4</v>
      </c>
      <c r="S21" s="97">
        <v>4</v>
      </c>
      <c r="T21" s="95"/>
      <c r="U21" s="85"/>
      <c r="V21" s="82" t="s">
        <v>102</v>
      </c>
      <c r="W21" s="73" t="s">
        <v>20</v>
      </c>
      <c r="X21" s="73" t="s">
        <v>12</v>
      </c>
      <c r="Y21" s="83">
        <v>43.4</v>
      </c>
      <c r="AD21" s="82"/>
      <c r="AG21" s="83"/>
      <c r="AL21" s="82"/>
      <c r="AO21" s="83"/>
      <c r="AP21" s="82"/>
      <c r="AS21" s="83"/>
      <c r="AW21" s="83"/>
      <c r="BA21" s="84"/>
    </row>
    <row r="22" spans="1:53" s="334" customFormat="1" x14ac:dyDescent="0.15">
      <c r="A22" s="386">
        <v>1965.8</v>
      </c>
      <c r="B22" s="355">
        <v>24439</v>
      </c>
      <c r="C22" s="785" t="s">
        <v>259</v>
      </c>
      <c r="D22" s="785"/>
      <c r="E22" s="334">
        <v>34</v>
      </c>
      <c r="F22" s="334">
        <v>1</v>
      </c>
      <c r="G22" s="419"/>
      <c r="I22" s="334">
        <v>19</v>
      </c>
      <c r="J22" s="435">
        <v>19</v>
      </c>
      <c r="K22" s="384">
        <f t="shared" si="5"/>
        <v>0</v>
      </c>
      <c r="L22" s="384">
        <f t="shared" si="6"/>
        <v>0</v>
      </c>
      <c r="M22" s="384">
        <f t="shared" si="7"/>
        <v>100</v>
      </c>
      <c r="N22" s="421">
        <f t="shared" si="0"/>
        <v>100</v>
      </c>
      <c r="O22" s="383"/>
      <c r="P22" s="384"/>
      <c r="Q22" s="384">
        <v>39.4</v>
      </c>
      <c r="R22" s="385">
        <f t="shared" si="1"/>
        <v>39.4</v>
      </c>
      <c r="S22" s="388">
        <v>4</v>
      </c>
      <c r="T22" s="342">
        <v>24433</v>
      </c>
      <c r="U22" s="355">
        <v>24439</v>
      </c>
      <c r="V22" s="343" t="s">
        <v>102</v>
      </c>
      <c r="W22" s="334" t="s">
        <v>20</v>
      </c>
      <c r="X22" s="334" t="s">
        <v>12</v>
      </c>
      <c r="Y22" s="344">
        <v>39.4</v>
      </c>
      <c r="AD22" s="343"/>
      <c r="AG22" s="344"/>
      <c r="AL22" s="343"/>
      <c r="AO22" s="344"/>
      <c r="AP22" s="343"/>
      <c r="AS22" s="344"/>
      <c r="AW22" s="344"/>
      <c r="BA22" s="345"/>
    </row>
    <row r="23" spans="1:53" s="334" customFormat="1" x14ac:dyDescent="0.15">
      <c r="A23" s="386">
        <v>1967</v>
      </c>
      <c r="B23" s="355"/>
      <c r="C23" s="785" t="s">
        <v>259</v>
      </c>
      <c r="D23" s="785"/>
      <c r="E23" s="334">
        <v>0</v>
      </c>
      <c r="G23" s="419"/>
      <c r="I23" s="334">
        <v>19</v>
      </c>
      <c r="J23" s="435">
        <v>19</v>
      </c>
      <c r="K23" s="384">
        <f t="shared" si="5"/>
        <v>0</v>
      </c>
      <c r="L23" s="384">
        <f t="shared" si="6"/>
        <v>0</v>
      </c>
      <c r="M23" s="384">
        <f t="shared" si="7"/>
        <v>100</v>
      </c>
      <c r="N23" s="421">
        <f t="shared" si="0"/>
        <v>100</v>
      </c>
      <c r="O23" s="383"/>
      <c r="P23" s="384"/>
      <c r="Q23" s="384">
        <v>39.4</v>
      </c>
      <c r="R23" s="385">
        <f t="shared" si="1"/>
        <v>39.4</v>
      </c>
      <c r="S23" s="388">
        <v>4</v>
      </c>
      <c r="T23" s="342"/>
      <c r="U23" s="355"/>
      <c r="V23" s="343" t="s">
        <v>102</v>
      </c>
      <c r="W23" s="334" t="s">
        <v>20</v>
      </c>
      <c r="X23" s="334" t="s">
        <v>12</v>
      </c>
      <c r="Y23" s="344">
        <v>39.4</v>
      </c>
      <c r="AD23" s="343"/>
      <c r="AG23" s="344"/>
      <c r="AL23" s="343"/>
      <c r="AO23" s="344"/>
      <c r="AP23" s="343"/>
      <c r="AS23" s="344"/>
      <c r="AW23" s="344"/>
      <c r="BA23" s="345"/>
    </row>
    <row r="24" spans="1:53" s="334" customFormat="1" x14ac:dyDescent="0.15">
      <c r="A24" s="386">
        <v>1966.7142857142901</v>
      </c>
      <c r="B24" s="355"/>
      <c r="C24" s="785" t="s">
        <v>259</v>
      </c>
      <c r="D24" s="785"/>
      <c r="E24" s="334">
        <v>365</v>
      </c>
      <c r="G24" s="419"/>
      <c r="I24" s="334">
        <v>19</v>
      </c>
      <c r="J24" s="435">
        <v>19</v>
      </c>
      <c r="K24" s="384">
        <f t="shared" si="5"/>
        <v>0</v>
      </c>
      <c r="L24" s="384">
        <f t="shared" si="6"/>
        <v>0</v>
      </c>
      <c r="M24" s="384">
        <f t="shared" si="7"/>
        <v>100</v>
      </c>
      <c r="N24" s="421">
        <f t="shared" si="0"/>
        <v>100</v>
      </c>
      <c r="O24" s="383"/>
      <c r="P24" s="384"/>
      <c r="Q24" s="384">
        <v>39.4</v>
      </c>
      <c r="R24" s="385">
        <f t="shared" si="1"/>
        <v>39.4</v>
      </c>
      <c r="S24" s="388">
        <v>4</v>
      </c>
      <c r="T24" s="342"/>
      <c r="U24" s="355"/>
      <c r="V24" s="343" t="s">
        <v>102</v>
      </c>
      <c r="W24" s="334" t="s">
        <v>20</v>
      </c>
      <c r="X24" s="334" t="s">
        <v>12</v>
      </c>
      <c r="Y24" s="344">
        <v>39.4</v>
      </c>
      <c r="AD24" s="343"/>
      <c r="AG24" s="344"/>
      <c r="AL24" s="343"/>
      <c r="AO24" s="344"/>
      <c r="AP24" s="343"/>
      <c r="AS24" s="344"/>
      <c r="AW24" s="344"/>
      <c r="BA24" s="345"/>
    </row>
    <row r="25" spans="1:53" s="334" customFormat="1" x14ac:dyDescent="0.15">
      <c r="A25" s="386">
        <v>1968</v>
      </c>
      <c r="B25" s="355"/>
      <c r="C25" s="785" t="s">
        <v>259</v>
      </c>
      <c r="D25" s="785"/>
      <c r="E25" s="334">
        <v>31</v>
      </c>
      <c r="G25" s="419"/>
      <c r="I25" s="334">
        <v>19</v>
      </c>
      <c r="J25" s="435">
        <v>19</v>
      </c>
      <c r="K25" s="384">
        <f>G25/J25*100</f>
        <v>0</v>
      </c>
      <c r="L25" s="384">
        <f>H25/J25*100</f>
        <v>0</v>
      </c>
      <c r="M25" s="384">
        <f>I25/J25*100</f>
        <v>100</v>
      </c>
      <c r="N25" s="421">
        <f t="shared" si="0"/>
        <v>100</v>
      </c>
      <c r="O25" s="383"/>
      <c r="P25" s="384"/>
      <c r="Q25" s="384">
        <v>39.4</v>
      </c>
      <c r="R25" s="385">
        <f t="shared" si="1"/>
        <v>39.4</v>
      </c>
      <c r="S25" s="388">
        <v>4</v>
      </c>
      <c r="T25" s="342"/>
      <c r="U25" s="355"/>
      <c r="V25" s="343" t="s">
        <v>102</v>
      </c>
      <c r="W25" s="334" t="s">
        <v>20</v>
      </c>
      <c r="X25" s="334" t="s">
        <v>12</v>
      </c>
      <c r="Y25" s="344">
        <v>39.4</v>
      </c>
      <c r="AD25" s="343"/>
      <c r="AG25" s="344"/>
      <c r="AL25" s="343"/>
      <c r="AO25" s="344"/>
      <c r="AP25" s="343"/>
      <c r="AS25" s="344"/>
      <c r="AW25" s="344"/>
      <c r="BA25" s="345"/>
    </row>
    <row r="26" spans="1:53" s="73" customFormat="1" x14ac:dyDescent="0.15">
      <c r="A26" s="102">
        <v>1967.62857142857</v>
      </c>
      <c r="B26" s="85">
        <v>24869</v>
      </c>
      <c r="C26" s="786" t="s">
        <v>260</v>
      </c>
      <c r="D26" s="786"/>
      <c r="E26" s="73">
        <v>335</v>
      </c>
      <c r="F26" s="73">
        <v>5</v>
      </c>
      <c r="G26" s="123">
        <v>17</v>
      </c>
      <c r="J26" s="134">
        <v>17</v>
      </c>
      <c r="K26" s="92">
        <f t="shared" ref="K26:K31" si="8">G26/J26*100</f>
        <v>100</v>
      </c>
      <c r="L26" s="92">
        <f t="shared" ref="L26:L31" si="9">H26/J26*100</f>
        <v>0</v>
      </c>
      <c r="M26" s="92">
        <f t="shared" ref="M26:M31" si="10">I26/J26*100</f>
        <v>0</v>
      </c>
      <c r="N26" s="125">
        <f t="shared" si="0"/>
        <v>100</v>
      </c>
      <c r="O26" s="91">
        <v>55.9</v>
      </c>
      <c r="P26" s="92"/>
      <c r="Q26" s="92"/>
      <c r="R26" s="93">
        <f t="shared" si="1"/>
        <v>55.9</v>
      </c>
      <c r="S26" s="97">
        <v>2</v>
      </c>
      <c r="T26" s="95">
        <v>24860</v>
      </c>
      <c r="U26" s="85">
        <v>24869</v>
      </c>
      <c r="V26" s="82" t="s">
        <v>103</v>
      </c>
      <c r="W26" s="73" t="s">
        <v>22</v>
      </c>
      <c r="X26" s="73" t="s">
        <v>11</v>
      </c>
      <c r="Y26" s="83">
        <v>15.4</v>
      </c>
      <c r="Z26" s="73" t="s">
        <v>72</v>
      </c>
      <c r="AA26" s="73" t="s">
        <v>88</v>
      </c>
      <c r="AB26" s="73" t="s">
        <v>11</v>
      </c>
      <c r="AC26" s="73">
        <v>19.399999999999999</v>
      </c>
      <c r="AD26" s="82" t="s">
        <v>105</v>
      </c>
      <c r="AE26" s="73" t="s">
        <v>74</v>
      </c>
      <c r="AF26" s="73" t="s">
        <v>11</v>
      </c>
      <c r="AG26" s="83">
        <v>21.1</v>
      </c>
      <c r="AL26" s="82"/>
      <c r="AO26" s="83"/>
      <c r="AP26" s="82"/>
      <c r="AS26" s="83"/>
      <c r="AW26" s="83"/>
      <c r="BA26" s="84"/>
    </row>
    <row r="27" spans="1:53" s="73" customFormat="1" x14ac:dyDescent="0.15">
      <c r="A27" s="102">
        <v>1969</v>
      </c>
      <c r="B27" s="85"/>
      <c r="C27" s="786" t="s">
        <v>260</v>
      </c>
      <c r="D27" s="786"/>
      <c r="E27" s="73">
        <v>0</v>
      </c>
      <c r="G27" s="123">
        <v>17</v>
      </c>
      <c r="J27" s="134">
        <v>17</v>
      </c>
      <c r="K27" s="92">
        <f t="shared" si="8"/>
        <v>100</v>
      </c>
      <c r="L27" s="92">
        <f t="shared" si="9"/>
        <v>0</v>
      </c>
      <c r="M27" s="92">
        <f t="shared" si="10"/>
        <v>0</v>
      </c>
      <c r="N27" s="125">
        <f t="shared" si="0"/>
        <v>100</v>
      </c>
      <c r="O27" s="91">
        <v>55.9</v>
      </c>
      <c r="P27" s="92"/>
      <c r="Q27" s="92"/>
      <c r="R27" s="93">
        <f t="shared" si="1"/>
        <v>55.9</v>
      </c>
      <c r="S27" s="97">
        <v>2</v>
      </c>
      <c r="T27" s="95"/>
      <c r="U27" s="85"/>
      <c r="V27" s="82" t="s">
        <v>103</v>
      </c>
      <c r="W27" s="73" t="s">
        <v>22</v>
      </c>
      <c r="X27" s="73" t="s">
        <v>11</v>
      </c>
      <c r="Y27" s="83">
        <v>15.4</v>
      </c>
      <c r="Z27" s="73" t="s">
        <v>72</v>
      </c>
      <c r="AA27" s="73" t="s">
        <v>88</v>
      </c>
      <c r="AB27" s="73" t="s">
        <v>11</v>
      </c>
      <c r="AC27" s="73">
        <v>19.399999999999999</v>
      </c>
      <c r="AD27" s="82" t="s">
        <v>105</v>
      </c>
      <c r="AE27" s="73" t="s">
        <v>74</v>
      </c>
      <c r="AF27" s="73" t="s">
        <v>11</v>
      </c>
      <c r="AG27" s="83">
        <v>21.1</v>
      </c>
      <c r="AL27" s="82"/>
      <c r="AO27" s="83"/>
      <c r="AP27" s="82"/>
      <c r="AS27" s="83"/>
      <c r="AW27" s="83"/>
      <c r="BA27" s="84"/>
    </row>
    <row r="28" spans="1:53" s="73" customFormat="1" x14ac:dyDescent="0.15">
      <c r="A28" s="102">
        <v>1968.5428571428599</v>
      </c>
      <c r="B28" s="85"/>
      <c r="C28" s="786" t="s">
        <v>260</v>
      </c>
      <c r="D28" s="786"/>
      <c r="E28" s="73">
        <v>365</v>
      </c>
      <c r="G28" s="123">
        <v>17</v>
      </c>
      <c r="J28" s="134">
        <v>17</v>
      </c>
      <c r="K28" s="92">
        <f t="shared" si="8"/>
        <v>100</v>
      </c>
      <c r="L28" s="92">
        <f t="shared" si="9"/>
        <v>0</v>
      </c>
      <c r="M28" s="92">
        <f t="shared" si="10"/>
        <v>0</v>
      </c>
      <c r="N28" s="125">
        <f t="shared" si="0"/>
        <v>100</v>
      </c>
      <c r="O28" s="91">
        <v>55.9</v>
      </c>
      <c r="P28" s="92"/>
      <c r="Q28" s="92"/>
      <c r="R28" s="93">
        <f t="shared" si="1"/>
        <v>55.9</v>
      </c>
      <c r="S28" s="97">
        <v>2</v>
      </c>
      <c r="T28" s="95"/>
      <c r="U28" s="85"/>
      <c r="V28" s="82" t="s">
        <v>103</v>
      </c>
      <c r="W28" s="73" t="s">
        <v>22</v>
      </c>
      <c r="X28" s="73" t="s">
        <v>11</v>
      </c>
      <c r="Y28" s="83">
        <v>15.4</v>
      </c>
      <c r="Z28" s="73" t="s">
        <v>72</v>
      </c>
      <c r="AA28" s="73" t="s">
        <v>88</v>
      </c>
      <c r="AB28" s="73" t="s">
        <v>11</v>
      </c>
      <c r="AC28" s="73">
        <v>19.399999999999999</v>
      </c>
      <c r="AD28" s="82" t="s">
        <v>105</v>
      </c>
      <c r="AE28" s="73" t="s">
        <v>74</v>
      </c>
      <c r="AF28" s="73" t="s">
        <v>11</v>
      </c>
      <c r="AG28" s="83">
        <v>21.1</v>
      </c>
      <c r="AL28" s="82"/>
      <c r="AO28" s="83"/>
      <c r="AP28" s="82"/>
      <c r="AS28" s="83"/>
      <c r="AW28" s="83"/>
      <c r="BA28" s="84"/>
    </row>
    <row r="29" spans="1:53" s="73" customFormat="1" x14ac:dyDescent="0.15">
      <c r="A29" s="102">
        <v>1970</v>
      </c>
      <c r="B29" s="85"/>
      <c r="C29" s="786" t="s">
        <v>260</v>
      </c>
      <c r="D29" s="786"/>
      <c r="E29" s="73">
        <v>0</v>
      </c>
      <c r="G29" s="123">
        <v>17</v>
      </c>
      <c r="J29" s="134">
        <v>17</v>
      </c>
      <c r="K29" s="92">
        <f t="shared" si="8"/>
        <v>100</v>
      </c>
      <c r="L29" s="92">
        <f t="shared" si="9"/>
        <v>0</v>
      </c>
      <c r="M29" s="92">
        <f t="shared" si="10"/>
        <v>0</v>
      </c>
      <c r="N29" s="125">
        <f t="shared" si="0"/>
        <v>100</v>
      </c>
      <c r="O29" s="91">
        <v>55.9</v>
      </c>
      <c r="P29" s="92"/>
      <c r="Q29" s="92"/>
      <c r="R29" s="93">
        <f t="shared" si="1"/>
        <v>55.9</v>
      </c>
      <c r="S29" s="97">
        <v>2</v>
      </c>
      <c r="T29" s="95"/>
      <c r="U29" s="85"/>
      <c r="V29" s="82" t="s">
        <v>103</v>
      </c>
      <c r="W29" s="73" t="s">
        <v>22</v>
      </c>
      <c r="X29" s="73" t="s">
        <v>11</v>
      </c>
      <c r="Y29" s="83">
        <v>15.4</v>
      </c>
      <c r="Z29" s="73" t="s">
        <v>72</v>
      </c>
      <c r="AA29" s="73" t="s">
        <v>88</v>
      </c>
      <c r="AB29" s="73" t="s">
        <v>11</v>
      </c>
      <c r="AC29" s="73">
        <v>19.399999999999999</v>
      </c>
      <c r="AD29" s="82" t="s">
        <v>105</v>
      </c>
      <c r="AE29" s="73" t="s">
        <v>74</v>
      </c>
      <c r="AF29" s="73" t="s">
        <v>11</v>
      </c>
      <c r="AG29" s="83">
        <v>21.1</v>
      </c>
      <c r="AL29" s="82"/>
      <c r="AO29" s="83"/>
      <c r="AP29" s="82"/>
      <c r="AS29" s="83"/>
      <c r="AW29" s="83"/>
      <c r="BA29" s="84"/>
    </row>
    <row r="30" spans="1:53" s="73" customFormat="1" x14ac:dyDescent="0.15">
      <c r="A30" s="102">
        <v>1970</v>
      </c>
      <c r="B30" s="85"/>
      <c r="C30" s="786" t="s">
        <v>260</v>
      </c>
      <c r="D30" s="786"/>
      <c r="E30" s="73">
        <v>365</v>
      </c>
      <c r="G30" s="123">
        <v>17</v>
      </c>
      <c r="J30" s="134">
        <v>17</v>
      </c>
      <c r="K30" s="92">
        <f t="shared" si="8"/>
        <v>100</v>
      </c>
      <c r="L30" s="92">
        <f t="shared" si="9"/>
        <v>0</v>
      </c>
      <c r="M30" s="92">
        <f t="shared" si="10"/>
        <v>0</v>
      </c>
      <c r="N30" s="125">
        <f t="shared" si="0"/>
        <v>100</v>
      </c>
      <c r="O30" s="91">
        <v>55.9</v>
      </c>
      <c r="P30" s="92"/>
      <c r="Q30" s="92"/>
      <c r="R30" s="93">
        <f t="shared" si="1"/>
        <v>55.9</v>
      </c>
      <c r="S30" s="97">
        <v>2</v>
      </c>
      <c r="T30" s="95"/>
      <c r="U30" s="85"/>
      <c r="V30" s="82" t="s">
        <v>103</v>
      </c>
      <c r="W30" s="73" t="s">
        <v>22</v>
      </c>
      <c r="X30" s="73" t="s">
        <v>11</v>
      </c>
      <c r="Y30" s="83">
        <v>15.4</v>
      </c>
      <c r="Z30" s="73" t="s">
        <v>72</v>
      </c>
      <c r="AA30" s="73" t="s">
        <v>88</v>
      </c>
      <c r="AB30" s="73" t="s">
        <v>11</v>
      </c>
      <c r="AC30" s="73">
        <v>19.399999999999999</v>
      </c>
      <c r="AD30" s="82" t="s">
        <v>105</v>
      </c>
      <c r="AE30" s="73" t="s">
        <v>74</v>
      </c>
      <c r="AF30" s="73" t="s">
        <v>11</v>
      </c>
      <c r="AG30" s="83">
        <v>21.1</v>
      </c>
      <c r="AL30" s="82"/>
      <c r="AO30" s="83"/>
      <c r="AP30" s="82"/>
      <c r="AS30" s="83"/>
      <c r="AW30" s="83"/>
      <c r="BA30" s="84"/>
    </row>
    <row r="31" spans="1:53" s="73" customFormat="1" x14ac:dyDescent="0.15">
      <c r="A31" s="102">
        <v>1971</v>
      </c>
      <c r="B31" s="85"/>
      <c r="C31" s="786" t="s">
        <v>260</v>
      </c>
      <c r="D31" s="786"/>
      <c r="E31" s="73">
        <v>283</v>
      </c>
      <c r="G31" s="123">
        <v>17</v>
      </c>
      <c r="J31" s="134">
        <v>17</v>
      </c>
      <c r="K31" s="92">
        <f t="shared" si="8"/>
        <v>100</v>
      </c>
      <c r="L31" s="92">
        <f t="shared" si="9"/>
        <v>0</v>
      </c>
      <c r="M31" s="92">
        <f t="shared" si="10"/>
        <v>0</v>
      </c>
      <c r="N31" s="125">
        <f t="shared" si="0"/>
        <v>100</v>
      </c>
      <c r="O31" s="91">
        <v>55.9</v>
      </c>
      <c r="P31" s="92"/>
      <c r="Q31" s="92"/>
      <c r="R31" s="93">
        <f t="shared" si="1"/>
        <v>55.9</v>
      </c>
      <c r="S31" s="97">
        <v>2</v>
      </c>
      <c r="T31" s="95"/>
      <c r="U31" s="85"/>
      <c r="V31" s="82" t="s">
        <v>103</v>
      </c>
      <c r="W31" s="73" t="s">
        <v>22</v>
      </c>
      <c r="X31" s="73" t="s">
        <v>11</v>
      </c>
      <c r="Y31" s="83">
        <v>15.4</v>
      </c>
      <c r="Z31" s="73" t="s">
        <v>72</v>
      </c>
      <c r="AA31" s="73" t="s">
        <v>88</v>
      </c>
      <c r="AB31" s="73" t="s">
        <v>11</v>
      </c>
      <c r="AC31" s="73">
        <v>19.399999999999999</v>
      </c>
      <c r="AD31" s="82" t="s">
        <v>105</v>
      </c>
      <c r="AE31" s="73" t="s">
        <v>74</v>
      </c>
      <c r="AF31" s="73" t="s">
        <v>11</v>
      </c>
      <c r="AG31" s="83">
        <v>21.1</v>
      </c>
      <c r="AL31" s="82"/>
      <c r="AO31" s="83"/>
      <c r="AP31" s="82"/>
      <c r="AS31" s="83"/>
      <c r="AW31" s="83"/>
      <c r="BA31" s="84"/>
    </row>
    <row r="32" spans="1:53" s="334" customFormat="1" x14ac:dyDescent="0.15">
      <c r="A32" s="386">
        <v>1971</v>
      </c>
      <c r="B32" s="355">
        <v>26217</v>
      </c>
      <c r="C32" s="785" t="s">
        <v>261</v>
      </c>
      <c r="D32" s="785"/>
      <c r="E32" s="334">
        <v>82</v>
      </c>
      <c r="F32" s="334">
        <v>1</v>
      </c>
      <c r="G32" s="419"/>
      <c r="I32" s="334">
        <v>17</v>
      </c>
      <c r="J32" s="435">
        <v>18</v>
      </c>
      <c r="K32" s="384">
        <f>G32/J32*100</f>
        <v>0</v>
      </c>
      <c r="L32" s="384">
        <f>H32/J32*100</f>
        <v>0</v>
      </c>
      <c r="M32" s="384">
        <f>I32/J32*100</f>
        <v>94.444444444444443</v>
      </c>
      <c r="N32" s="421">
        <f t="shared" si="0"/>
        <v>94.444444444444443</v>
      </c>
      <c r="O32" s="383"/>
      <c r="P32" s="384"/>
      <c r="Q32" s="384">
        <v>40</v>
      </c>
      <c r="R32" s="385">
        <f t="shared" si="1"/>
        <v>40</v>
      </c>
      <c r="S32" s="388">
        <v>4</v>
      </c>
      <c r="T32" s="342">
        <v>26197</v>
      </c>
      <c r="U32" s="355">
        <v>26217</v>
      </c>
      <c r="V32" s="343" t="s">
        <v>102</v>
      </c>
      <c r="W32" s="334" t="s">
        <v>20</v>
      </c>
      <c r="X32" s="334" t="s">
        <v>12</v>
      </c>
      <c r="Y32" s="344">
        <v>40</v>
      </c>
      <c r="AD32" s="343"/>
      <c r="AG32" s="344"/>
      <c r="AL32" s="343"/>
      <c r="AO32" s="344"/>
      <c r="AP32" s="343"/>
      <c r="AS32" s="344"/>
      <c r="AW32" s="344"/>
      <c r="BA32" s="345"/>
    </row>
    <row r="33" spans="1:53" s="334" customFormat="1" x14ac:dyDescent="0.15">
      <c r="A33" s="386">
        <v>1972</v>
      </c>
      <c r="B33" s="355"/>
      <c r="C33" s="785" t="s">
        <v>261</v>
      </c>
      <c r="D33" s="785"/>
      <c r="E33" s="334">
        <v>278</v>
      </c>
      <c r="G33" s="419"/>
      <c r="I33" s="334">
        <v>17</v>
      </c>
      <c r="J33" s="435">
        <v>18</v>
      </c>
      <c r="K33" s="384">
        <f t="shared" ref="K33:K38" si="11">G33/J33*100</f>
        <v>0</v>
      </c>
      <c r="L33" s="384">
        <f t="shared" ref="L33:L38" si="12">H33/J33*100</f>
        <v>0</v>
      </c>
      <c r="M33" s="384">
        <f t="shared" ref="M33:M38" si="13">I33/J33*100</f>
        <v>94.444444444444443</v>
      </c>
      <c r="N33" s="421">
        <f t="shared" si="0"/>
        <v>94.444444444444443</v>
      </c>
      <c r="O33" s="383"/>
      <c r="P33" s="384"/>
      <c r="Q33" s="384">
        <v>40</v>
      </c>
      <c r="R33" s="385">
        <f t="shared" si="1"/>
        <v>40</v>
      </c>
      <c r="S33" s="388">
        <v>4</v>
      </c>
      <c r="T33" s="342"/>
      <c r="U33" s="355"/>
      <c r="V33" s="343" t="s">
        <v>102</v>
      </c>
      <c r="W33" s="334" t="s">
        <v>20</v>
      </c>
      <c r="X33" s="334" t="s">
        <v>12</v>
      </c>
      <c r="Y33" s="344">
        <v>40</v>
      </c>
      <c r="AD33" s="343"/>
      <c r="AG33" s="344"/>
      <c r="AL33" s="343"/>
      <c r="AO33" s="344"/>
      <c r="AP33" s="343"/>
      <c r="AS33" s="344"/>
      <c r="AW33" s="344"/>
      <c r="BA33" s="345"/>
    </row>
    <row r="34" spans="1:53" s="73" customFormat="1" x14ac:dyDescent="0.15">
      <c r="A34" s="102">
        <v>1972</v>
      </c>
      <c r="B34" s="85">
        <v>26577</v>
      </c>
      <c r="C34" s="786" t="s">
        <v>262</v>
      </c>
      <c r="D34" s="786"/>
      <c r="E34" s="73">
        <v>88</v>
      </c>
      <c r="F34" s="73">
        <v>2</v>
      </c>
      <c r="G34" s="123"/>
      <c r="I34" s="73">
        <v>17</v>
      </c>
      <c r="J34" s="134">
        <v>18</v>
      </c>
      <c r="K34" s="92">
        <f t="shared" si="11"/>
        <v>0</v>
      </c>
      <c r="L34" s="92">
        <f t="shared" si="12"/>
        <v>0</v>
      </c>
      <c r="M34" s="92">
        <f t="shared" si="13"/>
        <v>94.444444444444443</v>
      </c>
      <c r="N34" s="125">
        <f t="shared" si="0"/>
        <v>94.444444444444443</v>
      </c>
      <c r="O34" s="91"/>
      <c r="P34" s="92"/>
      <c r="Q34" s="92">
        <v>40</v>
      </c>
      <c r="R34" s="93">
        <f t="shared" si="1"/>
        <v>40</v>
      </c>
      <c r="S34" s="97">
        <v>4</v>
      </c>
      <c r="T34" s="95"/>
      <c r="U34" s="85">
        <v>26577</v>
      </c>
      <c r="V34" s="82" t="s">
        <v>102</v>
      </c>
      <c r="W34" s="73" t="s">
        <v>20</v>
      </c>
      <c r="X34" s="73" t="s">
        <v>12</v>
      </c>
      <c r="Y34" s="83">
        <v>40</v>
      </c>
      <c r="AD34" s="82"/>
      <c r="AG34" s="83"/>
      <c r="AL34" s="82"/>
      <c r="AO34" s="83"/>
      <c r="AP34" s="82"/>
      <c r="AS34" s="83"/>
      <c r="AW34" s="83"/>
      <c r="BA34" s="84"/>
    </row>
    <row r="35" spans="1:53" s="73" customFormat="1" x14ac:dyDescent="0.15">
      <c r="A35" s="102">
        <v>1973</v>
      </c>
      <c r="B35" s="85"/>
      <c r="C35" s="786" t="s">
        <v>262</v>
      </c>
      <c r="D35" s="786"/>
      <c r="E35" s="73">
        <v>352</v>
      </c>
      <c r="G35" s="123"/>
      <c r="I35" s="73">
        <v>17</v>
      </c>
      <c r="J35" s="134">
        <v>18</v>
      </c>
      <c r="K35" s="92">
        <f t="shared" si="11"/>
        <v>0</v>
      </c>
      <c r="L35" s="92">
        <f t="shared" si="12"/>
        <v>0</v>
      </c>
      <c r="M35" s="92">
        <f t="shared" si="13"/>
        <v>94.444444444444443</v>
      </c>
      <c r="N35" s="125">
        <f t="shared" si="0"/>
        <v>94.444444444444443</v>
      </c>
      <c r="O35" s="91"/>
      <c r="P35" s="92"/>
      <c r="Q35" s="92">
        <v>40</v>
      </c>
      <c r="R35" s="93">
        <f t="shared" si="1"/>
        <v>40</v>
      </c>
      <c r="S35" s="97">
        <v>4</v>
      </c>
      <c r="T35" s="95"/>
      <c r="U35" s="85"/>
      <c r="V35" s="82" t="s">
        <v>102</v>
      </c>
      <c r="W35" s="73" t="s">
        <v>20</v>
      </c>
      <c r="X35" s="73" t="s">
        <v>12</v>
      </c>
      <c r="Y35" s="83">
        <v>40</v>
      </c>
      <c r="AD35" s="82"/>
      <c r="AG35" s="83"/>
      <c r="AL35" s="82"/>
      <c r="AO35" s="83"/>
      <c r="AP35" s="82"/>
      <c r="AS35" s="83"/>
      <c r="AW35" s="83"/>
      <c r="BA35" s="84"/>
    </row>
    <row r="36" spans="1:53" s="334" customFormat="1" x14ac:dyDescent="0.15">
      <c r="A36" s="386">
        <v>1973</v>
      </c>
      <c r="B36" s="355">
        <v>27017</v>
      </c>
      <c r="C36" s="785" t="s">
        <v>263</v>
      </c>
      <c r="D36" s="785"/>
      <c r="E36" s="334">
        <v>13</v>
      </c>
      <c r="F36" s="334">
        <v>1</v>
      </c>
      <c r="G36" s="419">
        <v>12</v>
      </c>
      <c r="J36" s="435">
        <v>12</v>
      </c>
      <c r="K36" s="384">
        <f t="shared" si="11"/>
        <v>100</v>
      </c>
      <c r="L36" s="384">
        <f t="shared" si="12"/>
        <v>0</v>
      </c>
      <c r="M36" s="384">
        <f t="shared" si="13"/>
        <v>0</v>
      </c>
      <c r="N36" s="421">
        <f t="shared" si="0"/>
        <v>100</v>
      </c>
      <c r="O36" s="383">
        <v>12.6</v>
      </c>
      <c r="P36" s="384"/>
      <c r="Q36" s="384"/>
      <c r="R36" s="385">
        <f t="shared" si="1"/>
        <v>12.6</v>
      </c>
      <c r="S36" s="388">
        <v>4</v>
      </c>
      <c r="T36" s="342">
        <v>27002</v>
      </c>
      <c r="U36" s="355">
        <v>27017</v>
      </c>
      <c r="V36" s="343" t="s">
        <v>72</v>
      </c>
      <c r="W36" s="334" t="s">
        <v>88</v>
      </c>
      <c r="X36" s="334" t="s">
        <v>11</v>
      </c>
      <c r="Y36" s="344">
        <v>12.6</v>
      </c>
      <c r="AD36" s="343"/>
      <c r="AG36" s="344"/>
      <c r="AL36" s="343"/>
      <c r="AO36" s="344"/>
      <c r="AP36" s="343"/>
      <c r="AS36" s="344"/>
      <c r="AW36" s="344"/>
      <c r="BA36" s="345"/>
    </row>
    <row r="37" spans="1:53" s="334" customFormat="1" x14ac:dyDescent="0.15">
      <c r="A37" s="386">
        <v>1974</v>
      </c>
      <c r="B37" s="355"/>
      <c r="C37" s="785" t="s">
        <v>263</v>
      </c>
      <c r="D37" s="785"/>
      <c r="E37" s="334">
        <v>0</v>
      </c>
      <c r="G37" s="419">
        <v>12</v>
      </c>
      <c r="J37" s="435">
        <v>12</v>
      </c>
      <c r="K37" s="384">
        <f t="shared" si="11"/>
        <v>100</v>
      </c>
      <c r="L37" s="384">
        <f t="shared" si="12"/>
        <v>0</v>
      </c>
      <c r="M37" s="384">
        <f t="shared" si="13"/>
        <v>0</v>
      </c>
      <c r="N37" s="421">
        <f t="shared" si="0"/>
        <v>100</v>
      </c>
      <c r="O37" s="383">
        <v>12.6</v>
      </c>
      <c r="P37" s="384"/>
      <c r="Q37" s="384"/>
      <c r="R37" s="385">
        <f t="shared" si="1"/>
        <v>12.6</v>
      </c>
      <c r="S37" s="388">
        <v>4</v>
      </c>
      <c r="T37" s="342"/>
      <c r="U37" s="355"/>
      <c r="V37" s="343" t="s">
        <v>72</v>
      </c>
      <c r="W37" s="334" t="s">
        <v>88</v>
      </c>
      <c r="X37" s="334" t="s">
        <v>11</v>
      </c>
      <c r="Y37" s="344">
        <v>12.6</v>
      </c>
      <c r="AD37" s="343"/>
      <c r="AG37" s="344"/>
      <c r="AL37" s="343"/>
      <c r="AO37" s="344"/>
      <c r="AP37" s="343"/>
      <c r="AS37" s="344"/>
      <c r="AW37" s="344"/>
      <c r="BA37" s="345"/>
    </row>
    <row r="38" spans="1:53" s="334" customFormat="1" x14ac:dyDescent="0.15">
      <c r="A38" s="386">
        <v>1974</v>
      </c>
      <c r="B38" s="355"/>
      <c r="C38" s="785" t="s">
        <v>263</v>
      </c>
      <c r="D38" s="785"/>
      <c r="E38" s="334">
        <v>365</v>
      </c>
      <c r="G38" s="419">
        <v>12</v>
      </c>
      <c r="J38" s="435">
        <v>12</v>
      </c>
      <c r="K38" s="384">
        <f t="shared" si="11"/>
        <v>100</v>
      </c>
      <c r="L38" s="384">
        <f t="shared" si="12"/>
        <v>0</v>
      </c>
      <c r="M38" s="384">
        <f t="shared" si="13"/>
        <v>0</v>
      </c>
      <c r="N38" s="421">
        <f t="shared" si="0"/>
        <v>100</v>
      </c>
      <c r="O38" s="383">
        <v>12.6</v>
      </c>
      <c r="P38" s="384"/>
      <c r="Q38" s="384"/>
      <c r="R38" s="385">
        <f t="shared" si="1"/>
        <v>12.6</v>
      </c>
      <c r="S38" s="388">
        <v>4</v>
      </c>
      <c r="T38" s="342"/>
      <c r="U38" s="355"/>
      <c r="V38" s="343" t="s">
        <v>72</v>
      </c>
      <c r="W38" s="334" t="s">
        <v>88</v>
      </c>
      <c r="X38" s="334" t="s">
        <v>11</v>
      </c>
      <c r="Y38" s="344">
        <v>12.6</v>
      </c>
      <c r="AD38" s="343"/>
      <c r="AG38" s="344"/>
      <c r="AL38" s="343"/>
      <c r="AO38" s="344"/>
      <c r="AP38" s="343"/>
      <c r="AS38" s="344"/>
      <c r="AW38" s="344"/>
      <c r="BA38" s="345"/>
    </row>
    <row r="39" spans="1:53" s="334" customFormat="1" x14ac:dyDescent="0.15">
      <c r="A39" s="386">
        <v>1975</v>
      </c>
      <c r="B39" s="355"/>
      <c r="C39" s="785" t="s">
        <v>263</v>
      </c>
      <c r="D39" s="785"/>
      <c r="E39" s="334">
        <v>43</v>
      </c>
      <c r="G39" s="419">
        <v>12</v>
      </c>
      <c r="J39" s="435">
        <v>12</v>
      </c>
      <c r="K39" s="384">
        <f>G39/J39*100</f>
        <v>100</v>
      </c>
      <c r="L39" s="384">
        <f>H39/J39*100</f>
        <v>0</v>
      </c>
      <c r="M39" s="384">
        <f>I39/J39*100</f>
        <v>0</v>
      </c>
      <c r="N39" s="421">
        <f t="shared" si="0"/>
        <v>100</v>
      </c>
      <c r="O39" s="383">
        <v>12.6</v>
      </c>
      <c r="P39" s="384"/>
      <c r="Q39" s="384"/>
      <c r="R39" s="385">
        <f t="shared" si="1"/>
        <v>12.6</v>
      </c>
      <c r="S39" s="388">
        <v>4</v>
      </c>
      <c r="T39" s="342"/>
      <c r="U39" s="355"/>
      <c r="V39" s="343" t="s">
        <v>72</v>
      </c>
      <c r="W39" s="334" t="s">
        <v>88</v>
      </c>
      <c r="X39" s="334" t="s">
        <v>11</v>
      </c>
      <c r="Y39" s="344">
        <v>12.6</v>
      </c>
      <c r="AD39" s="343"/>
      <c r="AG39" s="344"/>
      <c r="AL39" s="343"/>
      <c r="AO39" s="344"/>
      <c r="AP39" s="343"/>
      <c r="AS39" s="344"/>
      <c r="AW39" s="344"/>
      <c r="BA39" s="345"/>
    </row>
    <row r="40" spans="1:53" s="73" customFormat="1" x14ac:dyDescent="0.15">
      <c r="A40" s="102">
        <v>1975</v>
      </c>
      <c r="B40" s="85">
        <v>27438</v>
      </c>
      <c r="C40" s="786" t="s">
        <v>264</v>
      </c>
      <c r="D40" s="786"/>
      <c r="E40" s="73">
        <v>322</v>
      </c>
      <c r="F40" s="73">
        <v>1</v>
      </c>
      <c r="G40" s="123"/>
      <c r="I40" s="73">
        <v>15</v>
      </c>
      <c r="J40" s="134">
        <v>15</v>
      </c>
      <c r="K40" s="92">
        <f t="shared" ref="K40:K45" si="14">G40/J40*100</f>
        <v>0</v>
      </c>
      <c r="L40" s="92">
        <f t="shared" ref="L40:L45" si="15">H40/J40*100</f>
        <v>0</v>
      </c>
      <c r="M40" s="92">
        <f t="shared" ref="M40:M45" si="16">I40/J40*100</f>
        <v>100</v>
      </c>
      <c r="N40" s="125">
        <f t="shared" si="0"/>
        <v>100</v>
      </c>
      <c r="O40" s="91"/>
      <c r="P40" s="92"/>
      <c r="Q40" s="92">
        <v>30.3</v>
      </c>
      <c r="R40" s="93">
        <f t="shared" si="1"/>
        <v>30.3</v>
      </c>
      <c r="S40" s="97">
        <v>4</v>
      </c>
      <c r="T40" s="95">
        <v>27403</v>
      </c>
      <c r="U40" s="85">
        <v>27438</v>
      </c>
      <c r="V40" s="82" t="s">
        <v>102</v>
      </c>
      <c r="W40" s="73" t="s">
        <v>20</v>
      </c>
      <c r="X40" s="73" t="s">
        <v>12</v>
      </c>
      <c r="Y40" s="83">
        <v>30.3</v>
      </c>
      <c r="AD40" s="82"/>
      <c r="AG40" s="83"/>
      <c r="AL40" s="82"/>
      <c r="AO40" s="83"/>
      <c r="AP40" s="82"/>
      <c r="AS40" s="83"/>
      <c r="AW40" s="83"/>
      <c r="BA40" s="84"/>
    </row>
    <row r="41" spans="1:53" s="73" customFormat="1" x14ac:dyDescent="0.15">
      <c r="A41" s="102">
        <v>1976</v>
      </c>
      <c r="B41" s="85"/>
      <c r="C41" s="786" t="s">
        <v>264</v>
      </c>
      <c r="D41" s="786"/>
      <c r="E41" s="73">
        <v>0</v>
      </c>
      <c r="G41" s="123"/>
      <c r="I41" s="73">
        <v>15</v>
      </c>
      <c r="J41" s="134">
        <v>15</v>
      </c>
      <c r="K41" s="92">
        <f t="shared" si="14"/>
        <v>0</v>
      </c>
      <c r="L41" s="92">
        <f t="shared" si="15"/>
        <v>0</v>
      </c>
      <c r="M41" s="92">
        <f t="shared" si="16"/>
        <v>100</v>
      </c>
      <c r="N41" s="125">
        <f t="shared" si="0"/>
        <v>100</v>
      </c>
      <c r="O41" s="91"/>
      <c r="P41" s="92"/>
      <c r="Q41" s="92">
        <v>30.3</v>
      </c>
      <c r="R41" s="93">
        <f t="shared" si="1"/>
        <v>30.3</v>
      </c>
      <c r="S41" s="97">
        <v>4</v>
      </c>
      <c r="T41" s="95"/>
      <c r="U41" s="85"/>
      <c r="V41" s="82" t="s">
        <v>102</v>
      </c>
      <c r="W41" s="73" t="s">
        <v>20</v>
      </c>
      <c r="X41" s="73" t="s">
        <v>12</v>
      </c>
      <c r="Y41" s="83">
        <v>30.3</v>
      </c>
      <c r="AD41" s="82"/>
      <c r="AG41" s="83"/>
      <c r="AL41" s="82"/>
      <c r="AO41" s="83"/>
      <c r="AP41" s="82"/>
      <c r="AS41" s="83"/>
      <c r="AW41" s="83"/>
      <c r="BA41" s="84"/>
    </row>
    <row r="42" spans="1:53" s="73" customFormat="1" x14ac:dyDescent="0.15">
      <c r="A42" s="102">
        <v>1976</v>
      </c>
      <c r="B42" s="85"/>
      <c r="C42" s="786" t="s">
        <v>264</v>
      </c>
      <c r="D42" s="786"/>
      <c r="E42" s="73">
        <v>366</v>
      </c>
      <c r="G42" s="123"/>
      <c r="I42" s="73">
        <v>15</v>
      </c>
      <c r="J42" s="134">
        <v>15</v>
      </c>
      <c r="K42" s="92">
        <f t="shared" si="14"/>
        <v>0</v>
      </c>
      <c r="L42" s="92">
        <f t="shared" si="15"/>
        <v>0</v>
      </c>
      <c r="M42" s="92">
        <f t="shared" si="16"/>
        <v>100</v>
      </c>
      <c r="N42" s="125">
        <f t="shared" si="0"/>
        <v>100</v>
      </c>
      <c r="O42" s="91"/>
      <c r="P42" s="92"/>
      <c r="Q42" s="92">
        <v>30.3</v>
      </c>
      <c r="R42" s="93">
        <f t="shared" si="1"/>
        <v>30.3</v>
      </c>
      <c r="S42" s="97">
        <v>4</v>
      </c>
      <c r="T42" s="95"/>
      <c r="U42" s="85"/>
      <c r="V42" s="82" t="s">
        <v>102</v>
      </c>
      <c r="W42" s="73" t="s">
        <v>20</v>
      </c>
      <c r="X42" s="73" t="s">
        <v>12</v>
      </c>
      <c r="Y42" s="83">
        <v>30.3</v>
      </c>
      <c r="AD42" s="82"/>
      <c r="AG42" s="83"/>
      <c r="AL42" s="82"/>
      <c r="AO42" s="83"/>
      <c r="AP42" s="82"/>
      <c r="AS42" s="83"/>
      <c r="AW42" s="83"/>
      <c r="BA42" s="84"/>
    </row>
    <row r="43" spans="1:53" s="73" customFormat="1" x14ac:dyDescent="0.15">
      <c r="A43" s="102">
        <v>1977</v>
      </c>
      <c r="B43" s="85"/>
      <c r="C43" s="786" t="s">
        <v>264</v>
      </c>
      <c r="D43" s="786"/>
      <c r="E43" s="73">
        <v>55</v>
      </c>
      <c r="G43" s="123"/>
      <c r="I43" s="73">
        <v>15</v>
      </c>
      <c r="J43" s="134">
        <v>15</v>
      </c>
      <c r="K43" s="92">
        <f t="shared" si="14"/>
        <v>0</v>
      </c>
      <c r="L43" s="92">
        <f t="shared" si="15"/>
        <v>0</v>
      </c>
      <c r="M43" s="92">
        <f t="shared" si="16"/>
        <v>100</v>
      </c>
      <c r="N43" s="125">
        <f t="shared" si="0"/>
        <v>100</v>
      </c>
      <c r="O43" s="91"/>
      <c r="P43" s="92"/>
      <c r="Q43" s="92">
        <v>30.3</v>
      </c>
      <c r="R43" s="93">
        <f t="shared" si="1"/>
        <v>30.3</v>
      </c>
      <c r="S43" s="97">
        <v>4</v>
      </c>
      <c r="T43" s="95"/>
      <c r="U43" s="85"/>
      <c r="V43" s="82" t="s">
        <v>102</v>
      </c>
      <c r="W43" s="73" t="s">
        <v>20</v>
      </c>
      <c r="X43" s="73" t="s">
        <v>12</v>
      </c>
      <c r="Y43" s="83">
        <v>30.3</v>
      </c>
      <c r="AD43" s="82"/>
      <c r="AG43" s="83"/>
      <c r="AL43" s="82"/>
      <c r="AO43" s="83"/>
      <c r="AP43" s="82"/>
      <c r="AS43" s="83"/>
      <c r="AW43" s="83"/>
      <c r="BA43" s="84"/>
    </row>
    <row r="44" spans="1:53" s="334" customFormat="1" x14ac:dyDescent="0.15">
      <c r="A44" s="386">
        <v>1977</v>
      </c>
      <c r="B44" s="355">
        <v>28181</v>
      </c>
      <c r="C44" s="785" t="s">
        <v>265</v>
      </c>
      <c r="D44" s="785"/>
      <c r="E44" s="334">
        <v>310</v>
      </c>
      <c r="F44" s="334">
        <v>5</v>
      </c>
      <c r="G44" s="419"/>
      <c r="I44" s="334">
        <v>17</v>
      </c>
      <c r="J44" s="435">
        <v>17</v>
      </c>
      <c r="K44" s="384">
        <f t="shared" si="14"/>
        <v>0</v>
      </c>
      <c r="L44" s="384">
        <f t="shared" si="15"/>
        <v>0</v>
      </c>
      <c r="M44" s="384">
        <f t="shared" si="16"/>
        <v>100</v>
      </c>
      <c r="N44" s="421">
        <f t="shared" si="0"/>
        <v>100</v>
      </c>
      <c r="O44" s="383"/>
      <c r="P44" s="384"/>
      <c r="Q44" s="384">
        <v>37.1</v>
      </c>
      <c r="R44" s="385">
        <f t="shared" si="1"/>
        <v>37.1</v>
      </c>
      <c r="S44" s="388">
        <v>4</v>
      </c>
      <c r="T44" s="342">
        <v>28171</v>
      </c>
      <c r="U44" s="355">
        <v>28181</v>
      </c>
      <c r="V44" s="343" t="s">
        <v>102</v>
      </c>
      <c r="W44" s="334" t="s">
        <v>20</v>
      </c>
      <c r="X44" s="334" t="s">
        <v>12</v>
      </c>
      <c r="Y44" s="344">
        <v>37.1</v>
      </c>
      <c r="AD44" s="343"/>
      <c r="AG44" s="344"/>
      <c r="AL44" s="343"/>
      <c r="AO44" s="344"/>
      <c r="AP44" s="343"/>
      <c r="AS44" s="344"/>
      <c r="AW44" s="344"/>
      <c r="BA44" s="345"/>
    </row>
    <row r="45" spans="1:53" s="334" customFormat="1" x14ac:dyDescent="0.15">
      <c r="A45" s="386">
        <v>1978</v>
      </c>
      <c r="B45" s="355"/>
      <c r="C45" s="785" t="s">
        <v>265</v>
      </c>
      <c r="D45" s="785"/>
      <c r="E45" s="334">
        <v>241</v>
      </c>
      <c r="G45" s="419"/>
      <c r="I45" s="334">
        <v>17</v>
      </c>
      <c r="J45" s="435">
        <v>17</v>
      </c>
      <c r="K45" s="384">
        <f t="shared" si="14"/>
        <v>0</v>
      </c>
      <c r="L45" s="384">
        <f t="shared" si="15"/>
        <v>0</v>
      </c>
      <c r="M45" s="384">
        <f t="shared" si="16"/>
        <v>100</v>
      </c>
      <c r="N45" s="421">
        <f t="shared" si="0"/>
        <v>100</v>
      </c>
      <c r="O45" s="383"/>
      <c r="P45" s="384"/>
      <c r="Q45" s="384">
        <v>37.1</v>
      </c>
      <c r="R45" s="385">
        <f t="shared" si="1"/>
        <v>37.1</v>
      </c>
      <c r="S45" s="388">
        <v>4</v>
      </c>
      <c r="T45" s="342"/>
      <c r="U45" s="355"/>
      <c r="V45" s="343" t="s">
        <v>102</v>
      </c>
      <c r="W45" s="334" t="s">
        <v>20</v>
      </c>
      <c r="X45" s="334" t="s">
        <v>12</v>
      </c>
      <c r="Y45" s="344">
        <v>37.1</v>
      </c>
      <c r="AD45" s="343"/>
      <c r="AG45" s="344"/>
      <c r="AL45" s="343"/>
      <c r="AO45" s="344"/>
      <c r="AP45" s="343"/>
      <c r="AS45" s="344"/>
      <c r="AW45" s="344"/>
      <c r="BA45" s="345"/>
    </row>
    <row r="46" spans="1:53" s="73" customFormat="1" x14ac:dyDescent="0.15">
      <c r="A46" s="102">
        <v>1978</v>
      </c>
      <c r="B46" s="85">
        <v>28732</v>
      </c>
      <c r="C46" s="786" t="s">
        <v>266</v>
      </c>
      <c r="D46" s="786"/>
      <c r="E46" s="73">
        <v>124</v>
      </c>
      <c r="F46" s="73">
        <v>7</v>
      </c>
      <c r="G46" s="123">
        <v>7</v>
      </c>
      <c r="I46" s="73">
        <v>14</v>
      </c>
      <c r="J46" s="134">
        <v>21</v>
      </c>
      <c r="K46" s="92">
        <f t="shared" ref="K46:K51" si="17">G46/J46*100</f>
        <v>33.333333333333329</v>
      </c>
      <c r="L46" s="92">
        <f t="shared" ref="L46:L51" si="18">H46/J46*100</f>
        <v>0</v>
      </c>
      <c r="M46" s="92">
        <f t="shared" ref="M46:M51" si="19">I46/J46*100</f>
        <v>66.666666666666657</v>
      </c>
      <c r="N46" s="125">
        <f t="shared" si="0"/>
        <v>99.999999999999986</v>
      </c>
      <c r="O46" s="91">
        <v>12</v>
      </c>
      <c r="P46" s="92"/>
      <c r="Q46" s="92">
        <v>37.1</v>
      </c>
      <c r="R46" s="93">
        <f t="shared" si="1"/>
        <v>49.1</v>
      </c>
      <c r="S46" s="97">
        <v>5</v>
      </c>
      <c r="T46" s="95"/>
      <c r="U46" s="85">
        <v>28732</v>
      </c>
      <c r="V46" s="82" t="s">
        <v>102</v>
      </c>
      <c r="W46" s="73" t="s">
        <v>20</v>
      </c>
      <c r="X46" s="73" t="s">
        <v>12</v>
      </c>
      <c r="Y46" s="83">
        <v>37.1</v>
      </c>
      <c r="Z46" s="73" t="s">
        <v>72</v>
      </c>
      <c r="AA46" s="73" t="s">
        <v>88</v>
      </c>
      <c r="AB46" s="73" t="s">
        <v>11</v>
      </c>
      <c r="AC46" s="73">
        <v>12</v>
      </c>
      <c r="AD46" s="82"/>
      <c r="AG46" s="83"/>
      <c r="AL46" s="82"/>
      <c r="AO46" s="83"/>
      <c r="AP46" s="82"/>
      <c r="AS46" s="83"/>
      <c r="AW46" s="83"/>
      <c r="BA46" s="84"/>
    </row>
    <row r="47" spans="1:53" s="73" customFormat="1" x14ac:dyDescent="0.15">
      <c r="A47" s="102">
        <v>1979</v>
      </c>
      <c r="B47" s="85"/>
      <c r="C47" s="786" t="s">
        <v>266</v>
      </c>
      <c r="D47" s="786"/>
      <c r="E47" s="73">
        <v>298</v>
      </c>
      <c r="G47" s="123">
        <v>7</v>
      </c>
      <c r="I47" s="73">
        <v>14</v>
      </c>
      <c r="J47" s="134">
        <v>21</v>
      </c>
      <c r="K47" s="92">
        <f t="shared" si="17"/>
        <v>33.333333333333329</v>
      </c>
      <c r="L47" s="92">
        <f t="shared" si="18"/>
        <v>0</v>
      </c>
      <c r="M47" s="92">
        <f t="shared" si="19"/>
        <v>66.666666666666657</v>
      </c>
      <c r="N47" s="125">
        <f t="shared" si="0"/>
        <v>99.999999999999986</v>
      </c>
      <c r="O47" s="91">
        <v>12</v>
      </c>
      <c r="P47" s="92"/>
      <c r="Q47" s="92">
        <v>37.1</v>
      </c>
      <c r="R47" s="93">
        <f t="shared" si="1"/>
        <v>49.1</v>
      </c>
      <c r="S47" s="97">
        <v>5</v>
      </c>
      <c r="T47" s="95"/>
      <c r="U47" s="85"/>
      <c r="V47" s="82" t="s">
        <v>102</v>
      </c>
      <c r="W47" s="73" t="s">
        <v>20</v>
      </c>
      <c r="X47" s="73" t="s">
        <v>12</v>
      </c>
      <c r="Y47" s="83">
        <v>37.1</v>
      </c>
      <c r="Z47" s="73" t="s">
        <v>72</v>
      </c>
      <c r="AA47" s="73" t="s">
        <v>88</v>
      </c>
      <c r="AB47" s="73" t="s">
        <v>11</v>
      </c>
      <c r="AC47" s="73">
        <v>12</v>
      </c>
      <c r="AD47" s="82"/>
      <c r="AG47" s="83"/>
      <c r="AL47" s="82"/>
      <c r="AO47" s="83"/>
      <c r="AP47" s="82"/>
      <c r="AS47" s="83"/>
      <c r="AW47" s="83"/>
      <c r="BA47" s="84"/>
    </row>
    <row r="48" spans="1:53" s="334" customFormat="1" x14ac:dyDescent="0.15">
      <c r="A48" s="386">
        <v>1979</v>
      </c>
      <c r="B48" s="355">
        <v>29154</v>
      </c>
      <c r="C48" s="785" t="s">
        <v>267</v>
      </c>
      <c r="D48" s="785"/>
      <c r="E48" s="334">
        <v>67</v>
      </c>
      <c r="F48" s="334">
        <v>4</v>
      </c>
      <c r="G48" s="419"/>
      <c r="I48" s="334">
        <v>17</v>
      </c>
      <c r="J48" s="435">
        <v>17</v>
      </c>
      <c r="K48" s="384">
        <f t="shared" si="17"/>
        <v>0</v>
      </c>
      <c r="L48" s="384">
        <f t="shared" si="18"/>
        <v>0</v>
      </c>
      <c r="M48" s="384">
        <f t="shared" si="19"/>
        <v>100</v>
      </c>
      <c r="N48" s="421">
        <f t="shared" si="0"/>
        <v>100</v>
      </c>
      <c r="O48" s="383"/>
      <c r="P48" s="384"/>
      <c r="Q48" s="384">
        <v>38.9</v>
      </c>
      <c r="R48" s="385">
        <f t="shared" si="1"/>
        <v>38.9</v>
      </c>
      <c r="S48" s="388">
        <v>4</v>
      </c>
      <c r="T48" s="342">
        <v>29151</v>
      </c>
      <c r="U48" s="355">
        <v>29154</v>
      </c>
      <c r="V48" s="343" t="s">
        <v>102</v>
      </c>
      <c r="W48" s="334" t="s">
        <v>20</v>
      </c>
      <c r="X48" s="334" t="s">
        <v>12</v>
      </c>
      <c r="Y48" s="344">
        <v>38.9</v>
      </c>
      <c r="AD48" s="343"/>
      <c r="AG48" s="344"/>
      <c r="AL48" s="343"/>
      <c r="AO48" s="344"/>
      <c r="AP48" s="343"/>
      <c r="AS48" s="344"/>
      <c r="AW48" s="344"/>
      <c r="BA48" s="345"/>
    </row>
    <row r="49" spans="1:53" s="334" customFormat="1" x14ac:dyDescent="0.15">
      <c r="A49" s="386">
        <v>1980</v>
      </c>
      <c r="B49" s="355"/>
      <c r="C49" s="785" t="s">
        <v>267</v>
      </c>
      <c r="D49" s="785"/>
      <c r="E49" s="334">
        <v>0</v>
      </c>
      <c r="G49" s="419"/>
      <c r="I49" s="334">
        <v>17</v>
      </c>
      <c r="J49" s="435">
        <v>17</v>
      </c>
      <c r="K49" s="384">
        <f t="shared" si="17"/>
        <v>0</v>
      </c>
      <c r="L49" s="384">
        <f t="shared" si="18"/>
        <v>0</v>
      </c>
      <c r="M49" s="384">
        <f t="shared" si="19"/>
        <v>100</v>
      </c>
      <c r="N49" s="421">
        <f t="shared" si="0"/>
        <v>100</v>
      </c>
      <c r="O49" s="383"/>
      <c r="P49" s="384"/>
      <c r="Q49" s="384">
        <v>38.9</v>
      </c>
      <c r="R49" s="385">
        <f t="shared" si="1"/>
        <v>38.9</v>
      </c>
      <c r="S49" s="388">
        <v>4</v>
      </c>
      <c r="T49" s="342"/>
      <c r="U49" s="355"/>
      <c r="V49" s="343" t="s">
        <v>102</v>
      </c>
      <c r="W49" s="334" t="s">
        <v>20</v>
      </c>
      <c r="X49" s="334" t="s">
        <v>12</v>
      </c>
      <c r="Y49" s="344">
        <v>38.9</v>
      </c>
      <c r="AD49" s="343"/>
      <c r="AG49" s="344"/>
      <c r="AL49" s="343"/>
      <c r="AO49" s="344"/>
      <c r="AP49" s="343"/>
      <c r="AS49" s="344"/>
      <c r="AW49" s="344"/>
      <c r="BA49" s="345"/>
    </row>
    <row r="50" spans="1:53" s="334" customFormat="1" x14ac:dyDescent="0.15">
      <c r="A50" s="386">
        <v>1980</v>
      </c>
      <c r="B50" s="355"/>
      <c r="C50" s="785" t="s">
        <v>267</v>
      </c>
      <c r="D50" s="785"/>
      <c r="E50" s="334">
        <v>366</v>
      </c>
      <c r="G50" s="419"/>
      <c r="I50" s="334">
        <v>17</v>
      </c>
      <c r="J50" s="435">
        <v>17</v>
      </c>
      <c r="K50" s="384">
        <f t="shared" si="17"/>
        <v>0</v>
      </c>
      <c r="L50" s="384">
        <f t="shared" si="18"/>
        <v>0</v>
      </c>
      <c r="M50" s="384">
        <f t="shared" si="19"/>
        <v>100</v>
      </c>
      <c r="N50" s="421">
        <f t="shared" si="0"/>
        <v>100</v>
      </c>
      <c r="O50" s="383"/>
      <c r="P50" s="384"/>
      <c r="Q50" s="384">
        <v>38.9</v>
      </c>
      <c r="R50" s="385">
        <f t="shared" si="1"/>
        <v>38.9</v>
      </c>
      <c r="S50" s="388">
        <v>4</v>
      </c>
      <c r="T50" s="342"/>
      <c r="U50" s="355"/>
      <c r="V50" s="343" t="s">
        <v>102</v>
      </c>
      <c r="W50" s="334" t="s">
        <v>20</v>
      </c>
      <c r="X50" s="334" t="s">
        <v>12</v>
      </c>
      <c r="Y50" s="344">
        <v>38.9</v>
      </c>
      <c r="AD50" s="343"/>
      <c r="AG50" s="344"/>
      <c r="AL50" s="343"/>
      <c r="AO50" s="344"/>
      <c r="AP50" s="343"/>
      <c r="AS50" s="344"/>
      <c r="AW50" s="344"/>
      <c r="BA50" s="345"/>
    </row>
    <row r="51" spans="1:53" s="334" customFormat="1" x14ac:dyDescent="0.15">
      <c r="A51" s="386">
        <v>1981</v>
      </c>
      <c r="B51" s="355"/>
      <c r="C51" s="785" t="s">
        <v>267</v>
      </c>
      <c r="D51" s="785"/>
      <c r="E51" s="334">
        <v>364</v>
      </c>
      <c r="G51" s="419"/>
      <c r="I51" s="334">
        <v>17</v>
      </c>
      <c r="J51" s="435">
        <v>17</v>
      </c>
      <c r="K51" s="384">
        <f t="shared" si="17"/>
        <v>0</v>
      </c>
      <c r="L51" s="384">
        <f t="shared" si="18"/>
        <v>0</v>
      </c>
      <c r="M51" s="384">
        <f t="shared" si="19"/>
        <v>100</v>
      </c>
      <c r="N51" s="421">
        <f t="shared" si="0"/>
        <v>100</v>
      </c>
      <c r="O51" s="383"/>
      <c r="P51" s="384"/>
      <c r="Q51" s="384">
        <v>38.9</v>
      </c>
      <c r="R51" s="385">
        <f t="shared" si="1"/>
        <v>38.9</v>
      </c>
      <c r="S51" s="388">
        <v>4</v>
      </c>
      <c r="T51" s="342"/>
      <c r="U51" s="355"/>
      <c r="V51" s="343" t="s">
        <v>102</v>
      </c>
      <c r="W51" s="334" t="s">
        <v>20</v>
      </c>
      <c r="X51" s="334" t="s">
        <v>12</v>
      </c>
      <c r="Y51" s="344">
        <v>38.9</v>
      </c>
      <c r="AD51" s="343"/>
      <c r="AG51" s="344"/>
      <c r="AL51" s="343"/>
      <c r="AO51" s="344"/>
      <c r="AP51" s="343"/>
      <c r="AS51" s="344"/>
      <c r="AW51" s="344"/>
      <c r="BA51" s="345"/>
    </row>
    <row r="52" spans="1:53" s="73" customFormat="1" x14ac:dyDescent="0.15">
      <c r="A52" s="102">
        <v>1981</v>
      </c>
      <c r="B52" s="85">
        <v>29951</v>
      </c>
      <c r="C52" s="786" t="s">
        <v>268</v>
      </c>
      <c r="D52" s="786"/>
      <c r="E52" s="73">
        <v>1</v>
      </c>
      <c r="F52" s="73">
        <v>5</v>
      </c>
      <c r="G52" s="123"/>
      <c r="I52" s="73">
        <v>20</v>
      </c>
      <c r="J52" s="134">
        <v>20</v>
      </c>
      <c r="K52" s="92">
        <f>G52/J52*100</f>
        <v>0</v>
      </c>
      <c r="L52" s="92">
        <f>H52/J52*100</f>
        <v>0</v>
      </c>
      <c r="M52" s="92">
        <f>I52/J52*100</f>
        <v>100</v>
      </c>
      <c r="N52" s="125">
        <f t="shared" si="0"/>
        <v>100</v>
      </c>
      <c r="O52" s="91"/>
      <c r="P52" s="92"/>
      <c r="Q52" s="92">
        <v>33.700000000000003</v>
      </c>
      <c r="R52" s="93">
        <f t="shared" si="1"/>
        <v>33.700000000000003</v>
      </c>
      <c r="S52" s="97">
        <v>4</v>
      </c>
      <c r="T52" s="95">
        <v>29928</v>
      </c>
      <c r="U52" s="85">
        <v>29951</v>
      </c>
      <c r="V52" s="82" t="s">
        <v>102</v>
      </c>
      <c r="W52" s="73" t="s">
        <v>20</v>
      </c>
      <c r="X52" s="73" t="s">
        <v>12</v>
      </c>
      <c r="Y52" s="83">
        <v>33.700000000000003</v>
      </c>
      <c r="AD52" s="82"/>
      <c r="AG52" s="83"/>
      <c r="AL52" s="82"/>
      <c r="AO52" s="83"/>
      <c r="AP52" s="82"/>
      <c r="AS52" s="83"/>
      <c r="AW52" s="83"/>
      <c r="BA52" s="84"/>
    </row>
    <row r="53" spans="1:53" s="73" customFormat="1" x14ac:dyDescent="0.15">
      <c r="A53" s="102">
        <v>1982</v>
      </c>
      <c r="B53" s="85"/>
      <c r="C53" s="786" t="s">
        <v>268</v>
      </c>
      <c r="D53" s="786"/>
      <c r="E53" s="73">
        <v>252</v>
      </c>
      <c r="G53" s="123"/>
      <c r="I53" s="73">
        <v>20</v>
      </c>
      <c r="J53" s="134">
        <v>20</v>
      </c>
      <c r="K53" s="92">
        <f t="shared" ref="K53:K58" si="20">G53/J53*100</f>
        <v>0</v>
      </c>
      <c r="L53" s="92">
        <f t="shared" ref="L53:L58" si="21">H53/J53*100</f>
        <v>0</v>
      </c>
      <c r="M53" s="92">
        <f t="shared" ref="M53:M58" si="22">I53/J53*100</f>
        <v>100</v>
      </c>
      <c r="N53" s="125">
        <f t="shared" si="0"/>
        <v>100</v>
      </c>
      <c r="O53" s="91"/>
      <c r="P53" s="92"/>
      <c r="Q53" s="92">
        <v>33.700000000000003</v>
      </c>
      <c r="R53" s="93">
        <f t="shared" si="1"/>
        <v>33.700000000000003</v>
      </c>
      <c r="S53" s="97">
        <v>4</v>
      </c>
      <c r="T53" s="95"/>
      <c r="U53" s="85"/>
      <c r="V53" s="82" t="s">
        <v>102</v>
      </c>
      <c r="W53" s="73" t="s">
        <v>20</v>
      </c>
      <c r="X53" s="73" t="s">
        <v>12</v>
      </c>
      <c r="Y53" s="83">
        <v>33.700000000000003</v>
      </c>
      <c r="AD53" s="82"/>
      <c r="AG53" s="83"/>
      <c r="AL53" s="82"/>
      <c r="AO53" s="83"/>
      <c r="AP53" s="82"/>
      <c r="AS53" s="83"/>
      <c r="AW53" s="83"/>
      <c r="BA53" s="84"/>
    </row>
    <row r="54" spans="1:53" s="334" customFormat="1" x14ac:dyDescent="0.15">
      <c r="A54" s="386">
        <v>1982</v>
      </c>
      <c r="B54" s="355">
        <v>30204</v>
      </c>
      <c r="C54" s="785" t="s">
        <v>269</v>
      </c>
      <c r="D54" s="785"/>
      <c r="E54" s="334">
        <v>113</v>
      </c>
      <c r="F54" s="334">
        <v>4</v>
      </c>
      <c r="G54" s="419">
        <v>16</v>
      </c>
      <c r="H54" s="334">
        <v>5</v>
      </c>
      <c r="J54" s="435">
        <v>21</v>
      </c>
      <c r="K54" s="384">
        <f t="shared" si="20"/>
        <v>76.19047619047619</v>
      </c>
      <c r="L54" s="384">
        <f t="shared" si="21"/>
        <v>23.809523809523807</v>
      </c>
      <c r="M54" s="384">
        <f t="shared" si="22"/>
        <v>0</v>
      </c>
      <c r="N54" s="421">
        <f t="shared" si="0"/>
        <v>100</v>
      </c>
      <c r="O54" s="383">
        <v>26.9</v>
      </c>
      <c r="P54" s="384">
        <v>8.6</v>
      </c>
      <c r="Q54" s="384"/>
      <c r="R54" s="385">
        <f t="shared" si="1"/>
        <v>35.5</v>
      </c>
      <c r="S54" s="388">
        <v>5</v>
      </c>
      <c r="T54" s="342"/>
      <c r="U54" s="355">
        <v>30204</v>
      </c>
      <c r="V54" s="343" t="s">
        <v>105</v>
      </c>
      <c r="W54" s="334" t="s">
        <v>74</v>
      </c>
      <c r="X54" s="334" t="s">
        <v>11</v>
      </c>
      <c r="Y54" s="344">
        <v>14.9</v>
      </c>
      <c r="Z54" s="334" t="s">
        <v>72</v>
      </c>
      <c r="AA54" s="334" t="s">
        <v>88</v>
      </c>
      <c r="AB54" s="334" t="s">
        <v>11</v>
      </c>
      <c r="AC54" s="334">
        <v>12</v>
      </c>
      <c r="AD54" s="343" t="s">
        <v>106</v>
      </c>
      <c r="AE54" s="334" t="s">
        <v>107</v>
      </c>
      <c r="AF54" s="334" t="s">
        <v>18</v>
      </c>
      <c r="AG54" s="344">
        <v>8.6</v>
      </c>
      <c r="AL54" s="343"/>
      <c r="AO54" s="344"/>
      <c r="AP54" s="343"/>
      <c r="AS54" s="344"/>
      <c r="AW54" s="344"/>
      <c r="BA54" s="345"/>
    </row>
    <row r="55" spans="1:53" s="334" customFormat="1" x14ac:dyDescent="0.15">
      <c r="A55" s="386">
        <v>1983</v>
      </c>
      <c r="B55" s="355"/>
      <c r="C55" s="785" t="s">
        <v>269</v>
      </c>
      <c r="D55" s="785"/>
      <c r="E55" s="334">
        <v>0</v>
      </c>
      <c r="G55" s="419">
        <v>16</v>
      </c>
      <c r="H55" s="334">
        <v>5</v>
      </c>
      <c r="J55" s="435">
        <v>21</v>
      </c>
      <c r="K55" s="384">
        <f t="shared" si="20"/>
        <v>76.19047619047619</v>
      </c>
      <c r="L55" s="384">
        <f t="shared" si="21"/>
        <v>23.809523809523807</v>
      </c>
      <c r="M55" s="384">
        <f t="shared" si="22"/>
        <v>0</v>
      </c>
      <c r="N55" s="421">
        <f t="shared" si="0"/>
        <v>100</v>
      </c>
      <c r="O55" s="383">
        <v>26.9</v>
      </c>
      <c r="P55" s="384">
        <v>8.6</v>
      </c>
      <c r="Q55" s="384"/>
      <c r="R55" s="385">
        <f t="shared" si="1"/>
        <v>35.5</v>
      </c>
      <c r="S55" s="388">
        <v>5</v>
      </c>
      <c r="T55" s="342"/>
      <c r="U55" s="355"/>
      <c r="V55" s="343" t="s">
        <v>105</v>
      </c>
      <c r="W55" s="334" t="s">
        <v>74</v>
      </c>
      <c r="X55" s="334" t="s">
        <v>11</v>
      </c>
      <c r="Y55" s="344">
        <v>14.9</v>
      </c>
      <c r="Z55" s="334" t="s">
        <v>72</v>
      </c>
      <c r="AA55" s="334" t="s">
        <v>88</v>
      </c>
      <c r="AB55" s="334" t="s">
        <v>11</v>
      </c>
      <c r="AC55" s="334">
        <v>12</v>
      </c>
      <c r="AD55" s="343" t="s">
        <v>106</v>
      </c>
      <c r="AE55" s="334" t="s">
        <v>107</v>
      </c>
      <c r="AF55" s="334" t="s">
        <v>18</v>
      </c>
      <c r="AG55" s="344">
        <v>8.6</v>
      </c>
      <c r="AL55" s="343"/>
      <c r="AO55" s="344"/>
      <c r="AP55" s="343"/>
      <c r="AS55" s="344"/>
      <c r="AW55" s="344"/>
      <c r="BA55" s="345"/>
    </row>
    <row r="56" spans="1:53" s="334" customFormat="1" x14ac:dyDescent="0.15">
      <c r="A56" s="386">
        <v>1983</v>
      </c>
      <c r="B56" s="355"/>
      <c r="C56" s="785" t="s">
        <v>269</v>
      </c>
      <c r="D56" s="785"/>
      <c r="E56" s="334">
        <v>365</v>
      </c>
      <c r="G56" s="419">
        <v>16</v>
      </c>
      <c r="H56" s="334">
        <v>5</v>
      </c>
      <c r="J56" s="435">
        <v>21</v>
      </c>
      <c r="K56" s="384">
        <f t="shared" si="20"/>
        <v>76.19047619047619</v>
      </c>
      <c r="L56" s="384">
        <f t="shared" si="21"/>
        <v>23.809523809523807</v>
      </c>
      <c r="M56" s="384">
        <f t="shared" si="22"/>
        <v>0</v>
      </c>
      <c r="N56" s="421">
        <f t="shared" si="0"/>
        <v>100</v>
      </c>
      <c r="O56" s="383">
        <v>26.9</v>
      </c>
      <c r="P56" s="384">
        <v>8.6</v>
      </c>
      <c r="Q56" s="384"/>
      <c r="R56" s="385">
        <f t="shared" si="1"/>
        <v>35.5</v>
      </c>
      <c r="S56" s="388">
        <v>5</v>
      </c>
      <c r="T56" s="342"/>
      <c r="U56" s="355"/>
      <c r="V56" s="343" t="s">
        <v>105</v>
      </c>
      <c r="W56" s="334" t="s">
        <v>74</v>
      </c>
      <c r="X56" s="334" t="s">
        <v>11</v>
      </c>
      <c r="Y56" s="344">
        <v>14.9</v>
      </c>
      <c r="Z56" s="334" t="s">
        <v>72</v>
      </c>
      <c r="AA56" s="334" t="s">
        <v>88</v>
      </c>
      <c r="AB56" s="334" t="s">
        <v>11</v>
      </c>
      <c r="AC56" s="334">
        <v>12</v>
      </c>
      <c r="AD56" s="343" t="s">
        <v>106</v>
      </c>
      <c r="AE56" s="334" t="s">
        <v>107</v>
      </c>
      <c r="AF56" s="334" t="s">
        <v>18</v>
      </c>
      <c r="AG56" s="344">
        <v>8.6</v>
      </c>
      <c r="AL56" s="343"/>
      <c r="AO56" s="344"/>
      <c r="AP56" s="343"/>
      <c r="AS56" s="344"/>
      <c r="AW56" s="344"/>
      <c r="BA56" s="345"/>
    </row>
    <row r="57" spans="1:53" s="334" customFormat="1" x14ac:dyDescent="0.15">
      <c r="A57" s="386">
        <v>1984</v>
      </c>
      <c r="B57" s="355"/>
      <c r="C57" s="785" t="s">
        <v>269</v>
      </c>
      <c r="D57" s="785"/>
      <c r="E57" s="334">
        <v>20</v>
      </c>
      <c r="G57" s="419">
        <v>16</v>
      </c>
      <c r="H57" s="334">
        <v>5</v>
      </c>
      <c r="J57" s="435">
        <v>21</v>
      </c>
      <c r="K57" s="384">
        <f t="shared" si="20"/>
        <v>76.19047619047619</v>
      </c>
      <c r="L57" s="384">
        <f t="shared" si="21"/>
        <v>23.809523809523807</v>
      </c>
      <c r="M57" s="384">
        <f t="shared" si="22"/>
        <v>0</v>
      </c>
      <c r="N57" s="421">
        <f t="shared" si="0"/>
        <v>100</v>
      </c>
      <c r="O57" s="383">
        <v>26.9</v>
      </c>
      <c r="P57" s="384">
        <v>8.6</v>
      </c>
      <c r="Q57" s="384"/>
      <c r="R57" s="385">
        <f t="shared" si="1"/>
        <v>35.5</v>
      </c>
      <c r="S57" s="388">
        <v>5</v>
      </c>
      <c r="T57" s="342"/>
      <c r="U57" s="355"/>
      <c r="V57" s="343" t="s">
        <v>105</v>
      </c>
      <c r="W57" s="334" t="s">
        <v>74</v>
      </c>
      <c r="X57" s="334" t="s">
        <v>11</v>
      </c>
      <c r="Y57" s="344">
        <v>14.9</v>
      </c>
      <c r="Z57" s="334" t="s">
        <v>72</v>
      </c>
      <c r="AA57" s="334" t="s">
        <v>88</v>
      </c>
      <c r="AB57" s="334" t="s">
        <v>11</v>
      </c>
      <c r="AC57" s="334">
        <v>12</v>
      </c>
      <c r="AD57" s="343" t="s">
        <v>106</v>
      </c>
      <c r="AE57" s="334" t="s">
        <v>107</v>
      </c>
      <c r="AF57" s="334" t="s">
        <v>18</v>
      </c>
      <c r="AG57" s="344">
        <v>8.6</v>
      </c>
      <c r="AL57" s="343"/>
      <c r="AO57" s="344"/>
      <c r="AP57" s="343"/>
      <c r="AS57" s="344"/>
      <c r="AW57" s="344"/>
      <c r="BA57" s="345"/>
    </row>
    <row r="58" spans="1:53" s="73" customFormat="1" x14ac:dyDescent="0.15">
      <c r="A58" s="102">
        <v>1984</v>
      </c>
      <c r="B58" s="85">
        <v>30702</v>
      </c>
      <c r="C58" s="786" t="s">
        <v>270</v>
      </c>
      <c r="D58" s="786"/>
      <c r="E58" s="73">
        <v>346</v>
      </c>
      <c r="F58" s="73">
        <v>5</v>
      </c>
      <c r="G58" s="123">
        <v>16</v>
      </c>
      <c r="H58" s="73">
        <v>5</v>
      </c>
      <c r="J58" s="134">
        <v>21</v>
      </c>
      <c r="K58" s="92">
        <f t="shared" si="20"/>
        <v>76.19047619047619</v>
      </c>
      <c r="L58" s="92">
        <f t="shared" si="21"/>
        <v>23.809523809523807</v>
      </c>
      <c r="M58" s="92">
        <f t="shared" si="22"/>
        <v>0</v>
      </c>
      <c r="N58" s="125">
        <f t="shared" si="0"/>
        <v>100</v>
      </c>
      <c r="O58" s="91">
        <v>36.6</v>
      </c>
      <c r="P58" s="92">
        <v>4.5999999999999996</v>
      </c>
      <c r="Q58" s="92"/>
      <c r="R58" s="93">
        <f t="shared" si="1"/>
        <v>41.2</v>
      </c>
      <c r="S58" s="97">
        <v>5</v>
      </c>
      <c r="T58" s="95">
        <v>30691</v>
      </c>
      <c r="U58" s="85">
        <v>30702</v>
      </c>
      <c r="V58" s="82" t="s">
        <v>105</v>
      </c>
      <c r="W58" s="73" t="s">
        <v>74</v>
      </c>
      <c r="X58" s="73" t="s">
        <v>11</v>
      </c>
      <c r="Y58" s="83">
        <v>24</v>
      </c>
      <c r="Z58" s="73" t="s">
        <v>72</v>
      </c>
      <c r="AA58" s="73" t="s">
        <v>88</v>
      </c>
      <c r="AB58" s="73" t="s">
        <v>11</v>
      </c>
      <c r="AC58" s="73">
        <v>12.6</v>
      </c>
      <c r="AD58" s="82" t="s">
        <v>106</v>
      </c>
      <c r="AE58" s="73" t="s">
        <v>107</v>
      </c>
      <c r="AF58" s="73" t="s">
        <v>18</v>
      </c>
      <c r="AG58" s="83">
        <v>4.5999999999999996</v>
      </c>
      <c r="AL58" s="82"/>
      <c r="AO58" s="83"/>
      <c r="AP58" s="82"/>
      <c r="AS58" s="83"/>
      <c r="AW58" s="83"/>
      <c r="BA58" s="84"/>
    </row>
    <row r="59" spans="1:53" s="73" customFormat="1" x14ac:dyDescent="0.15">
      <c r="A59" s="102">
        <v>1985</v>
      </c>
      <c r="B59" s="85"/>
      <c r="C59" s="786" t="s">
        <v>270</v>
      </c>
      <c r="D59" s="786"/>
      <c r="E59" s="73">
        <v>0</v>
      </c>
      <c r="G59" s="123">
        <v>16</v>
      </c>
      <c r="H59" s="73">
        <v>5</v>
      </c>
      <c r="J59" s="134">
        <v>21</v>
      </c>
      <c r="K59" s="92">
        <f>G59/J59*100</f>
        <v>76.19047619047619</v>
      </c>
      <c r="L59" s="92">
        <f>H59/J59*100</f>
        <v>23.809523809523807</v>
      </c>
      <c r="M59" s="92">
        <f>I59/J59*100</f>
        <v>0</v>
      </c>
      <c r="N59" s="125">
        <f t="shared" si="0"/>
        <v>100</v>
      </c>
      <c r="O59" s="91">
        <v>36.6</v>
      </c>
      <c r="P59" s="92">
        <v>4.5999999999999996</v>
      </c>
      <c r="Q59" s="92"/>
      <c r="R59" s="93">
        <f t="shared" si="1"/>
        <v>41.2</v>
      </c>
      <c r="S59" s="97">
        <v>5</v>
      </c>
      <c r="T59" s="95"/>
      <c r="U59" s="85"/>
      <c r="V59" s="82" t="s">
        <v>105</v>
      </c>
      <c r="W59" s="73" t="s">
        <v>74</v>
      </c>
      <c r="X59" s="73" t="s">
        <v>11</v>
      </c>
      <c r="Y59" s="83">
        <v>24</v>
      </c>
      <c r="Z59" s="73" t="s">
        <v>72</v>
      </c>
      <c r="AA59" s="73" t="s">
        <v>88</v>
      </c>
      <c r="AB59" s="73" t="s">
        <v>11</v>
      </c>
      <c r="AC59" s="73">
        <v>12.6</v>
      </c>
      <c r="AD59" s="82" t="s">
        <v>106</v>
      </c>
      <c r="AE59" s="73" t="s">
        <v>107</v>
      </c>
      <c r="AF59" s="73" t="s">
        <v>18</v>
      </c>
      <c r="AG59" s="83">
        <v>4.5999999999999996</v>
      </c>
      <c r="AL59" s="82"/>
      <c r="AO59" s="83"/>
      <c r="AP59" s="82"/>
      <c r="AS59" s="83"/>
      <c r="AW59" s="83"/>
      <c r="BA59" s="84"/>
    </row>
    <row r="60" spans="1:53" s="73" customFormat="1" x14ac:dyDescent="0.15">
      <c r="A60" s="102">
        <v>1985</v>
      </c>
      <c r="B60" s="85"/>
      <c r="C60" s="786" t="s">
        <v>270</v>
      </c>
      <c r="D60" s="786"/>
      <c r="E60" s="73">
        <v>365</v>
      </c>
      <c r="G60" s="123">
        <v>16</v>
      </c>
      <c r="H60" s="73">
        <v>5</v>
      </c>
      <c r="J60" s="134">
        <v>21</v>
      </c>
      <c r="K60" s="92">
        <f t="shared" ref="K60:K65" si="23">G60/J60*100</f>
        <v>76.19047619047619</v>
      </c>
      <c r="L60" s="92">
        <f t="shared" ref="L60:L65" si="24">H60/J60*100</f>
        <v>23.809523809523807</v>
      </c>
      <c r="M60" s="92">
        <f t="shared" ref="M60:M65" si="25">I60/J60*100</f>
        <v>0</v>
      </c>
      <c r="N60" s="125">
        <f t="shared" si="0"/>
        <v>100</v>
      </c>
      <c r="O60" s="91">
        <v>36.6</v>
      </c>
      <c r="P60" s="92">
        <v>4.5999999999999996</v>
      </c>
      <c r="Q60" s="92"/>
      <c r="R60" s="93">
        <f t="shared" si="1"/>
        <v>41.2</v>
      </c>
      <c r="S60" s="97">
        <v>5</v>
      </c>
      <c r="T60" s="95"/>
      <c r="U60" s="85"/>
      <c r="V60" s="82" t="s">
        <v>105</v>
      </c>
      <c r="W60" s="73" t="s">
        <v>74</v>
      </c>
      <c r="X60" s="73" t="s">
        <v>11</v>
      </c>
      <c r="Y60" s="83">
        <v>24</v>
      </c>
      <c r="Z60" s="73" t="s">
        <v>72</v>
      </c>
      <c r="AA60" s="73" t="s">
        <v>88</v>
      </c>
      <c r="AB60" s="73" t="s">
        <v>11</v>
      </c>
      <c r="AC60" s="73">
        <v>12.6</v>
      </c>
      <c r="AD60" s="82" t="s">
        <v>106</v>
      </c>
      <c r="AE60" s="73" t="s">
        <v>107</v>
      </c>
      <c r="AF60" s="73" t="s">
        <v>18</v>
      </c>
      <c r="AG60" s="83">
        <v>4.5999999999999996</v>
      </c>
      <c r="AL60" s="82"/>
      <c r="AO60" s="83"/>
      <c r="AP60" s="82"/>
      <c r="AS60" s="83"/>
      <c r="AW60" s="83"/>
      <c r="BA60" s="84"/>
    </row>
    <row r="61" spans="1:53" s="73" customFormat="1" x14ac:dyDescent="0.15">
      <c r="A61" s="102">
        <v>1986</v>
      </c>
      <c r="B61" s="85"/>
      <c r="C61" s="786" t="s">
        <v>270</v>
      </c>
      <c r="D61" s="786"/>
      <c r="E61" s="73">
        <v>0</v>
      </c>
      <c r="G61" s="123">
        <v>16</v>
      </c>
      <c r="H61" s="73">
        <v>5</v>
      </c>
      <c r="J61" s="134">
        <v>21</v>
      </c>
      <c r="K61" s="92">
        <f t="shared" si="23"/>
        <v>76.19047619047619</v>
      </c>
      <c r="L61" s="92">
        <f t="shared" si="24"/>
        <v>23.809523809523807</v>
      </c>
      <c r="M61" s="92">
        <f t="shared" si="25"/>
        <v>0</v>
      </c>
      <c r="N61" s="125">
        <f t="shared" si="0"/>
        <v>100</v>
      </c>
      <c r="O61" s="91">
        <v>36.6</v>
      </c>
      <c r="P61" s="92">
        <v>4.5999999999999996</v>
      </c>
      <c r="Q61" s="92"/>
      <c r="R61" s="93">
        <f t="shared" si="1"/>
        <v>41.2</v>
      </c>
      <c r="S61" s="97">
        <v>5</v>
      </c>
      <c r="T61" s="95"/>
      <c r="U61" s="85"/>
      <c r="V61" s="82" t="s">
        <v>105</v>
      </c>
      <c r="W61" s="73" t="s">
        <v>74</v>
      </c>
      <c r="X61" s="73" t="s">
        <v>11</v>
      </c>
      <c r="Y61" s="83">
        <v>24</v>
      </c>
      <c r="Z61" s="73" t="s">
        <v>72</v>
      </c>
      <c r="AA61" s="73" t="s">
        <v>88</v>
      </c>
      <c r="AB61" s="73" t="s">
        <v>11</v>
      </c>
      <c r="AC61" s="73">
        <v>12.6</v>
      </c>
      <c r="AD61" s="82" t="s">
        <v>106</v>
      </c>
      <c r="AE61" s="73" t="s">
        <v>107</v>
      </c>
      <c r="AF61" s="73" t="s">
        <v>18</v>
      </c>
      <c r="AG61" s="83">
        <v>4.5999999999999996</v>
      </c>
      <c r="AL61" s="82"/>
      <c r="AO61" s="83"/>
      <c r="AP61" s="82"/>
      <c r="AS61" s="83"/>
      <c r="AW61" s="83"/>
      <c r="BA61" s="84"/>
    </row>
    <row r="62" spans="1:53" s="73" customFormat="1" x14ac:dyDescent="0.15">
      <c r="A62" s="102">
        <v>1986</v>
      </c>
      <c r="B62" s="85"/>
      <c r="C62" s="786" t="s">
        <v>270</v>
      </c>
      <c r="D62" s="786"/>
      <c r="E62" s="73">
        <v>365</v>
      </c>
      <c r="G62" s="123">
        <v>16</v>
      </c>
      <c r="H62" s="73">
        <v>5</v>
      </c>
      <c r="J62" s="134">
        <v>21</v>
      </c>
      <c r="K62" s="92">
        <f t="shared" si="23"/>
        <v>76.19047619047619</v>
      </c>
      <c r="L62" s="92">
        <f t="shared" si="24"/>
        <v>23.809523809523807</v>
      </c>
      <c r="M62" s="92">
        <f t="shared" si="25"/>
        <v>0</v>
      </c>
      <c r="N62" s="125">
        <f t="shared" si="0"/>
        <v>100</v>
      </c>
      <c r="O62" s="91">
        <v>36.6</v>
      </c>
      <c r="P62" s="92">
        <v>4.5999999999999996</v>
      </c>
      <c r="Q62" s="92"/>
      <c r="R62" s="93">
        <f t="shared" si="1"/>
        <v>41.2</v>
      </c>
      <c r="S62" s="97">
        <v>5</v>
      </c>
      <c r="T62" s="95"/>
      <c r="U62" s="85"/>
      <c r="V62" s="82" t="s">
        <v>105</v>
      </c>
      <c r="W62" s="73" t="s">
        <v>74</v>
      </c>
      <c r="X62" s="73" t="s">
        <v>11</v>
      </c>
      <c r="Y62" s="83">
        <v>24</v>
      </c>
      <c r="Z62" s="73" t="s">
        <v>72</v>
      </c>
      <c r="AA62" s="73" t="s">
        <v>88</v>
      </c>
      <c r="AB62" s="73" t="s">
        <v>11</v>
      </c>
      <c r="AC62" s="73">
        <v>12.6</v>
      </c>
      <c r="AD62" s="82" t="s">
        <v>106</v>
      </c>
      <c r="AE62" s="73" t="s">
        <v>107</v>
      </c>
      <c r="AF62" s="73" t="s">
        <v>18</v>
      </c>
      <c r="AG62" s="83">
        <v>4.5999999999999996</v>
      </c>
      <c r="AL62" s="82"/>
      <c r="AO62" s="83"/>
      <c r="AP62" s="82"/>
      <c r="AS62" s="83"/>
      <c r="AW62" s="83"/>
      <c r="BA62" s="84"/>
    </row>
    <row r="63" spans="1:53" s="73" customFormat="1" x14ac:dyDescent="0.15">
      <c r="A63" s="102">
        <v>1987</v>
      </c>
      <c r="B63" s="85"/>
      <c r="C63" s="786" t="s">
        <v>270</v>
      </c>
      <c r="D63" s="786"/>
      <c r="E63" s="73">
        <v>252</v>
      </c>
      <c r="G63" s="123">
        <v>16</v>
      </c>
      <c r="H63" s="73">
        <v>5</v>
      </c>
      <c r="J63" s="134">
        <v>21</v>
      </c>
      <c r="K63" s="92">
        <f t="shared" si="23"/>
        <v>76.19047619047619</v>
      </c>
      <c r="L63" s="92">
        <f t="shared" si="24"/>
        <v>23.809523809523807</v>
      </c>
      <c r="M63" s="92">
        <f t="shared" si="25"/>
        <v>0</v>
      </c>
      <c r="N63" s="125">
        <f t="shared" si="0"/>
        <v>100</v>
      </c>
      <c r="O63" s="91">
        <v>36.6</v>
      </c>
      <c r="P63" s="92">
        <v>4.5999999999999996</v>
      </c>
      <c r="Q63" s="92"/>
      <c r="R63" s="93">
        <f t="shared" si="1"/>
        <v>41.2</v>
      </c>
      <c r="S63" s="97">
        <v>5</v>
      </c>
      <c r="T63" s="95"/>
      <c r="U63" s="85"/>
      <c r="V63" s="82" t="s">
        <v>105</v>
      </c>
      <c r="W63" s="73" t="s">
        <v>74</v>
      </c>
      <c r="X63" s="73" t="s">
        <v>11</v>
      </c>
      <c r="Y63" s="83">
        <v>24</v>
      </c>
      <c r="Z63" s="73" t="s">
        <v>72</v>
      </c>
      <c r="AA63" s="73" t="s">
        <v>88</v>
      </c>
      <c r="AB63" s="73" t="s">
        <v>11</v>
      </c>
      <c r="AC63" s="73">
        <v>12.6</v>
      </c>
      <c r="AD63" s="82" t="s">
        <v>106</v>
      </c>
      <c r="AE63" s="73" t="s">
        <v>107</v>
      </c>
      <c r="AF63" s="73" t="s">
        <v>18</v>
      </c>
      <c r="AG63" s="83">
        <v>4.5999999999999996</v>
      </c>
      <c r="AL63" s="82"/>
      <c r="AO63" s="83"/>
      <c r="AP63" s="82"/>
      <c r="AS63" s="83"/>
      <c r="AW63" s="83"/>
      <c r="BA63" s="84"/>
    </row>
    <row r="64" spans="1:53" s="334" customFormat="1" x14ac:dyDescent="0.15">
      <c r="A64" s="386">
        <v>1987</v>
      </c>
      <c r="B64" s="355">
        <v>32030</v>
      </c>
      <c r="C64" s="785" t="s">
        <v>271</v>
      </c>
      <c r="D64" s="785"/>
      <c r="E64" s="334">
        <v>113</v>
      </c>
      <c r="F64" s="334">
        <v>1</v>
      </c>
      <c r="G64" s="419">
        <v>18</v>
      </c>
      <c r="H64" s="334">
        <v>4</v>
      </c>
      <c r="J64" s="435">
        <v>22</v>
      </c>
      <c r="K64" s="384">
        <f t="shared" si="23"/>
        <v>81.818181818181827</v>
      </c>
      <c r="L64" s="384">
        <f t="shared" si="24"/>
        <v>18.181818181818183</v>
      </c>
      <c r="M64" s="384">
        <f t="shared" si="25"/>
        <v>0</v>
      </c>
      <c r="N64" s="421">
        <f t="shared" si="0"/>
        <v>100.00000000000001</v>
      </c>
      <c r="O64" s="383">
        <v>32.6</v>
      </c>
      <c r="P64" s="384">
        <f>5.1+2.4</f>
        <v>7.5</v>
      </c>
      <c r="Q64" s="384"/>
      <c r="R64" s="385">
        <f t="shared" si="1"/>
        <v>40.1</v>
      </c>
      <c r="S64" s="388">
        <v>5</v>
      </c>
      <c r="T64" s="342">
        <v>32028</v>
      </c>
      <c r="U64" s="355">
        <v>32030</v>
      </c>
      <c r="V64" s="343" t="s">
        <v>105</v>
      </c>
      <c r="W64" s="334" t="s">
        <v>74</v>
      </c>
      <c r="X64" s="334" t="s">
        <v>11</v>
      </c>
      <c r="Y64" s="344">
        <v>21.7</v>
      </c>
      <c r="Z64" s="334" t="s">
        <v>72</v>
      </c>
      <c r="AA64" s="334" t="s">
        <v>88</v>
      </c>
      <c r="AB64" s="334" t="s">
        <v>11</v>
      </c>
      <c r="AC64" s="334">
        <v>10.9</v>
      </c>
      <c r="AD64" s="343" t="s">
        <v>106</v>
      </c>
      <c r="AE64" s="334" t="s">
        <v>107</v>
      </c>
      <c r="AF64" s="334" t="s">
        <v>18</v>
      </c>
      <c r="AG64" s="344">
        <v>5.0999999999999996</v>
      </c>
      <c r="AH64" s="334" t="s">
        <v>274</v>
      </c>
      <c r="AI64" s="334" t="s">
        <v>17</v>
      </c>
      <c r="AJ64" s="334" t="s">
        <v>18</v>
      </c>
      <c r="AK64" s="334">
        <v>2.4</v>
      </c>
      <c r="AL64" s="343"/>
      <c r="AO64" s="344"/>
      <c r="AP64" s="343"/>
      <c r="AS64" s="344"/>
      <c r="AW64" s="344"/>
      <c r="BA64" s="345"/>
    </row>
    <row r="65" spans="1:53" s="334" customFormat="1" x14ac:dyDescent="0.15">
      <c r="A65" s="386">
        <v>1988</v>
      </c>
      <c r="B65" s="355"/>
      <c r="C65" s="785" t="s">
        <v>271</v>
      </c>
      <c r="D65" s="785"/>
      <c r="E65" s="334">
        <v>154</v>
      </c>
      <c r="G65" s="419">
        <v>18</v>
      </c>
      <c r="H65" s="334">
        <v>4</v>
      </c>
      <c r="J65" s="435">
        <v>22</v>
      </c>
      <c r="K65" s="384">
        <f t="shared" si="23"/>
        <v>81.818181818181827</v>
      </c>
      <c r="L65" s="384">
        <f t="shared" si="24"/>
        <v>18.181818181818183</v>
      </c>
      <c r="M65" s="384">
        <f t="shared" si="25"/>
        <v>0</v>
      </c>
      <c r="N65" s="421">
        <f t="shared" si="0"/>
        <v>100.00000000000001</v>
      </c>
      <c r="O65" s="383">
        <v>32.6</v>
      </c>
      <c r="P65" s="384">
        <f>5.1+2.4</f>
        <v>7.5</v>
      </c>
      <c r="Q65" s="384"/>
      <c r="R65" s="385">
        <f t="shared" si="1"/>
        <v>40.1</v>
      </c>
      <c r="S65" s="388">
        <v>5</v>
      </c>
      <c r="T65" s="342"/>
      <c r="U65" s="355"/>
      <c r="V65" s="343" t="s">
        <v>105</v>
      </c>
      <c r="W65" s="334" t="s">
        <v>74</v>
      </c>
      <c r="X65" s="334" t="s">
        <v>11</v>
      </c>
      <c r="Y65" s="344">
        <v>21.7</v>
      </c>
      <c r="Z65" s="334" t="s">
        <v>72</v>
      </c>
      <c r="AA65" s="334" t="s">
        <v>88</v>
      </c>
      <c r="AB65" s="334" t="s">
        <v>11</v>
      </c>
      <c r="AC65" s="334">
        <v>10.9</v>
      </c>
      <c r="AD65" s="343" t="s">
        <v>106</v>
      </c>
      <c r="AE65" s="334" t="s">
        <v>107</v>
      </c>
      <c r="AF65" s="334" t="s">
        <v>18</v>
      </c>
      <c r="AG65" s="344">
        <v>5.0999999999999996</v>
      </c>
      <c r="AH65" s="334" t="s">
        <v>274</v>
      </c>
      <c r="AI65" s="334" t="s">
        <v>17</v>
      </c>
      <c r="AJ65" s="334" t="s">
        <v>18</v>
      </c>
      <c r="AK65" s="334">
        <v>2.4</v>
      </c>
      <c r="AL65" s="343"/>
      <c r="AO65" s="344"/>
      <c r="AP65" s="343"/>
      <c r="AS65" s="344"/>
      <c r="AW65" s="344"/>
      <c r="BA65" s="345"/>
    </row>
    <row r="66" spans="1:53" s="73" customFormat="1" x14ac:dyDescent="0.15">
      <c r="A66" s="102">
        <v>1988</v>
      </c>
      <c r="B66" s="85">
        <v>32297</v>
      </c>
      <c r="C66" s="786" t="s">
        <v>272</v>
      </c>
      <c r="D66" s="786"/>
      <c r="E66" s="73">
        <v>212</v>
      </c>
      <c r="F66" s="73">
        <v>5</v>
      </c>
      <c r="G66" s="123">
        <v>21</v>
      </c>
      <c r="J66" s="134">
        <v>21</v>
      </c>
      <c r="K66" s="92">
        <f>G66/J66*100</f>
        <v>100</v>
      </c>
      <c r="L66" s="92">
        <f>H66/J66*100</f>
        <v>0</v>
      </c>
      <c r="M66" s="92">
        <f>I66/J66*100</f>
        <v>0</v>
      </c>
      <c r="N66" s="125">
        <f t="shared" si="0"/>
        <v>100</v>
      </c>
      <c r="O66" s="91">
        <v>38.299999999999997</v>
      </c>
      <c r="P66" s="92"/>
      <c r="Q66" s="92"/>
      <c r="R66" s="93">
        <f t="shared" si="1"/>
        <v>38.299999999999997</v>
      </c>
      <c r="S66" s="97">
        <v>5</v>
      </c>
      <c r="T66" s="95">
        <v>32273</v>
      </c>
      <c r="U66" s="85">
        <v>32297</v>
      </c>
      <c r="V66" s="82" t="s">
        <v>105</v>
      </c>
      <c r="W66" s="73" t="s">
        <v>74</v>
      </c>
      <c r="X66" s="73" t="s">
        <v>11</v>
      </c>
      <c r="Y66" s="83">
        <v>20</v>
      </c>
      <c r="Z66" s="73" t="s">
        <v>72</v>
      </c>
      <c r="AA66" s="73" t="s">
        <v>88</v>
      </c>
      <c r="AB66" s="73" t="s">
        <v>11</v>
      </c>
      <c r="AC66" s="73">
        <v>12.6</v>
      </c>
      <c r="AD66" s="82" t="s">
        <v>103</v>
      </c>
      <c r="AE66" s="73" t="s">
        <v>22</v>
      </c>
      <c r="AF66" s="73" t="s">
        <v>11</v>
      </c>
      <c r="AG66" s="83">
        <v>5.7</v>
      </c>
      <c r="AL66" s="82"/>
      <c r="AO66" s="83"/>
      <c r="AP66" s="82"/>
      <c r="AS66" s="83"/>
      <c r="AW66" s="83"/>
      <c r="BA66" s="84"/>
    </row>
    <row r="67" spans="1:53" s="73" customFormat="1" x14ac:dyDescent="0.15">
      <c r="A67" s="73">
        <v>1989</v>
      </c>
      <c r="B67" s="85"/>
      <c r="C67" s="786" t="s">
        <v>272</v>
      </c>
      <c r="D67" s="786"/>
      <c r="E67" s="73">
        <v>0</v>
      </c>
      <c r="G67" s="123">
        <v>21</v>
      </c>
      <c r="J67" s="134">
        <v>21</v>
      </c>
      <c r="K67" s="92">
        <f>G67/J67*100</f>
        <v>100</v>
      </c>
      <c r="L67" s="92">
        <f>H67/J67*100</f>
        <v>0</v>
      </c>
      <c r="M67" s="92">
        <f>I67/J67*100</f>
        <v>0</v>
      </c>
      <c r="N67" s="125">
        <f t="shared" si="0"/>
        <v>100</v>
      </c>
      <c r="O67" s="91">
        <v>38.299999999999997</v>
      </c>
      <c r="P67" s="92"/>
      <c r="Q67" s="92"/>
      <c r="R67" s="93">
        <f t="shared" si="1"/>
        <v>38.299999999999997</v>
      </c>
      <c r="S67" s="97">
        <v>5</v>
      </c>
      <c r="T67" s="95"/>
      <c r="U67" s="85"/>
      <c r="V67" s="82" t="s">
        <v>105</v>
      </c>
      <c r="W67" s="73" t="s">
        <v>74</v>
      </c>
      <c r="X67" s="73" t="s">
        <v>11</v>
      </c>
      <c r="Y67" s="83">
        <v>20</v>
      </c>
      <c r="Z67" s="73" t="s">
        <v>72</v>
      </c>
      <c r="AA67" s="73" t="s">
        <v>88</v>
      </c>
      <c r="AB67" s="73" t="s">
        <v>11</v>
      </c>
      <c r="AC67" s="73">
        <v>12.6</v>
      </c>
      <c r="AD67" s="82" t="s">
        <v>103</v>
      </c>
      <c r="AE67" s="73" t="s">
        <v>22</v>
      </c>
      <c r="AF67" s="73" t="s">
        <v>11</v>
      </c>
      <c r="AG67" s="83">
        <v>5.7</v>
      </c>
      <c r="AL67" s="82"/>
      <c r="AO67" s="83"/>
      <c r="AP67" s="82"/>
      <c r="AS67" s="83"/>
      <c r="AW67" s="83"/>
      <c r="BA67" s="84"/>
    </row>
    <row r="68" spans="1:53" s="136" customFormat="1" x14ac:dyDescent="0.15">
      <c r="A68" s="136">
        <v>1989</v>
      </c>
      <c r="B68" s="137"/>
      <c r="C68" s="821" t="s">
        <v>272</v>
      </c>
      <c r="D68" s="821"/>
      <c r="E68" s="136">
        <v>365</v>
      </c>
      <c r="G68" s="138">
        <v>21</v>
      </c>
      <c r="J68" s="139">
        <v>21</v>
      </c>
      <c r="K68" s="140">
        <f>G68/J68*100</f>
        <v>100</v>
      </c>
      <c r="L68" s="140">
        <f>H68/J68*100</f>
        <v>0</v>
      </c>
      <c r="M68" s="140">
        <f>I68/J68*100</f>
        <v>0</v>
      </c>
      <c r="N68" s="141">
        <f t="shared" si="0"/>
        <v>100</v>
      </c>
      <c r="O68" s="142">
        <v>38.299999999999997</v>
      </c>
      <c r="P68" s="140"/>
      <c r="Q68" s="140"/>
      <c r="R68" s="143">
        <f t="shared" si="1"/>
        <v>38.299999999999997</v>
      </c>
      <c r="S68" s="144">
        <v>5</v>
      </c>
      <c r="T68" s="145"/>
      <c r="U68" s="137"/>
      <c r="V68" s="146" t="s">
        <v>105</v>
      </c>
      <c r="W68" s="136" t="s">
        <v>74</v>
      </c>
      <c r="X68" s="136" t="s">
        <v>11</v>
      </c>
      <c r="Y68" s="147">
        <v>20</v>
      </c>
      <c r="Z68" s="136" t="s">
        <v>72</v>
      </c>
      <c r="AA68" s="136" t="s">
        <v>88</v>
      </c>
      <c r="AB68" s="136" t="s">
        <v>11</v>
      </c>
      <c r="AC68" s="136">
        <v>12.6</v>
      </c>
      <c r="AD68" s="146" t="s">
        <v>103</v>
      </c>
      <c r="AE68" s="136" t="s">
        <v>22</v>
      </c>
      <c r="AF68" s="136" t="s">
        <v>11</v>
      </c>
      <c r="AG68" s="147">
        <v>5.7</v>
      </c>
      <c r="AL68" s="146"/>
      <c r="AO68" s="147"/>
      <c r="AP68" s="146"/>
      <c r="AS68" s="147"/>
      <c r="AW68" s="147"/>
      <c r="BA68" s="148"/>
    </row>
    <row r="69" spans="1:53" s="73" customFormat="1" x14ac:dyDescent="0.15">
      <c r="A69" s="73">
        <v>1990</v>
      </c>
      <c r="C69" s="786" t="s">
        <v>272</v>
      </c>
      <c r="D69" s="786"/>
      <c r="E69" s="73">
        <v>351</v>
      </c>
      <c r="G69" s="123">
        <v>21</v>
      </c>
      <c r="J69" s="134">
        <v>21</v>
      </c>
      <c r="K69" s="92">
        <v>100</v>
      </c>
      <c r="L69" s="92">
        <v>0</v>
      </c>
      <c r="M69" s="92">
        <v>0</v>
      </c>
      <c r="N69" s="125">
        <f t="shared" si="0"/>
        <v>100</v>
      </c>
      <c r="O69" s="91">
        <v>38.299999999999997</v>
      </c>
      <c r="P69" s="92"/>
      <c r="Q69" s="92"/>
      <c r="R69" s="93">
        <f t="shared" si="1"/>
        <v>38.299999999999997</v>
      </c>
      <c r="S69" s="97">
        <v>5</v>
      </c>
      <c r="T69" s="95"/>
      <c r="U69" s="85"/>
      <c r="V69" s="82" t="s">
        <v>105</v>
      </c>
      <c r="W69" s="73" t="s">
        <v>74</v>
      </c>
      <c r="X69" s="73" t="s">
        <v>11</v>
      </c>
      <c r="Y69" s="83">
        <v>20</v>
      </c>
      <c r="Z69" s="73" t="s">
        <v>72</v>
      </c>
      <c r="AA69" s="73" t="s">
        <v>88</v>
      </c>
      <c r="AB69" s="73" t="s">
        <v>11</v>
      </c>
      <c r="AC69" s="73">
        <v>12.6</v>
      </c>
      <c r="AD69" s="82" t="s">
        <v>103</v>
      </c>
      <c r="AE69" s="73" t="s">
        <v>22</v>
      </c>
      <c r="AF69" s="73" t="s">
        <v>11</v>
      </c>
      <c r="AG69" s="83">
        <v>5.7</v>
      </c>
      <c r="AL69" s="82"/>
      <c r="AO69" s="83"/>
      <c r="AP69" s="82"/>
      <c r="AS69" s="83"/>
      <c r="AW69" s="83"/>
      <c r="BA69" s="84"/>
    </row>
    <row r="70" spans="1:53" s="334" customFormat="1" x14ac:dyDescent="0.15">
      <c r="A70" s="334">
        <v>1990</v>
      </c>
      <c r="B70" s="355">
        <v>33225</v>
      </c>
      <c r="C70" s="785" t="s">
        <v>273</v>
      </c>
      <c r="D70" s="785"/>
      <c r="E70" s="334">
        <f>365-E69</f>
        <v>14</v>
      </c>
      <c r="F70" s="334">
        <v>5</v>
      </c>
      <c r="G70" s="419">
        <v>19</v>
      </c>
      <c r="J70" s="435">
        <v>19</v>
      </c>
      <c r="K70" s="384">
        <f>G70/J70*100</f>
        <v>100</v>
      </c>
      <c r="L70" s="384">
        <f>H70/J70*100</f>
        <v>0</v>
      </c>
      <c r="M70" s="384">
        <f>I70/J70*100</f>
        <v>0</v>
      </c>
      <c r="N70" s="421">
        <f t="shared" si="0"/>
        <v>100</v>
      </c>
      <c r="O70" s="383">
        <v>33.700000000000003</v>
      </c>
      <c r="P70" s="384"/>
      <c r="Q70" s="384"/>
      <c r="R70" s="385">
        <f t="shared" si="1"/>
        <v>33.700000000000003</v>
      </c>
      <c r="S70" s="388">
        <v>5</v>
      </c>
      <c r="T70" s="342">
        <v>33219</v>
      </c>
      <c r="U70" s="355">
        <v>33225</v>
      </c>
      <c r="V70" s="343" t="s">
        <v>105</v>
      </c>
      <c r="W70" s="334" t="s">
        <v>74</v>
      </c>
      <c r="X70" s="334" t="s">
        <v>11</v>
      </c>
      <c r="Y70" s="344">
        <v>17.100000000000001</v>
      </c>
      <c r="Z70" s="334" t="s">
        <v>72</v>
      </c>
      <c r="AA70" s="334" t="s">
        <v>88</v>
      </c>
      <c r="AB70" s="334" t="s">
        <v>11</v>
      </c>
      <c r="AC70" s="334">
        <v>16.600000000000001</v>
      </c>
      <c r="AD70" s="343"/>
      <c r="AG70" s="344"/>
      <c r="AL70" s="343"/>
      <c r="AO70" s="344"/>
      <c r="AP70" s="343"/>
      <c r="AS70" s="344"/>
      <c r="AW70" s="344"/>
      <c r="BA70" s="345"/>
    </row>
    <row r="71" spans="1:53" s="334" customFormat="1" x14ac:dyDescent="0.15">
      <c r="A71" s="334">
        <v>1991</v>
      </c>
      <c r="C71" s="785" t="s">
        <v>273</v>
      </c>
      <c r="D71" s="785"/>
      <c r="E71" s="334">
        <v>0</v>
      </c>
      <c r="G71" s="419">
        <v>19</v>
      </c>
      <c r="J71" s="435">
        <v>19</v>
      </c>
      <c r="K71" s="384">
        <f>G71/J71*100</f>
        <v>100</v>
      </c>
      <c r="L71" s="384">
        <f>H71/J71*100</f>
        <v>0</v>
      </c>
      <c r="M71" s="384">
        <f>I71/J71*100</f>
        <v>0</v>
      </c>
      <c r="N71" s="421">
        <f t="shared" si="0"/>
        <v>100</v>
      </c>
      <c r="O71" s="383">
        <v>33.700000000000003</v>
      </c>
      <c r="P71" s="384"/>
      <c r="Q71" s="384"/>
      <c r="R71" s="385">
        <f t="shared" si="1"/>
        <v>33.700000000000003</v>
      </c>
      <c r="S71" s="388">
        <v>5</v>
      </c>
      <c r="T71" s="342"/>
      <c r="U71" s="355"/>
      <c r="V71" s="343" t="s">
        <v>105</v>
      </c>
      <c r="W71" s="334" t="s">
        <v>74</v>
      </c>
      <c r="X71" s="334" t="s">
        <v>11</v>
      </c>
      <c r="Y71" s="344">
        <v>17.100000000000001</v>
      </c>
      <c r="Z71" s="334" t="s">
        <v>72</v>
      </c>
      <c r="AA71" s="334" t="s">
        <v>88</v>
      </c>
      <c r="AB71" s="334" t="s">
        <v>11</v>
      </c>
      <c r="AC71" s="334">
        <v>16.600000000000001</v>
      </c>
      <c r="AD71" s="343"/>
      <c r="AG71" s="344"/>
      <c r="AL71" s="343"/>
      <c r="AO71" s="344"/>
      <c r="AP71" s="343"/>
      <c r="AS71" s="344"/>
      <c r="AW71" s="344"/>
      <c r="BA71" s="345"/>
    </row>
    <row r="72" spans="1:53" s="334" customFormat="1" x14ac:dyDescent="0.15">
      <c r="A72" s="334">
        <v>1991</v>
      </c>
      <c r="C72" s="785" t="s">
        <v>273</v>
      </c>
      <c r="D72" s="785"/>
      <c r="E72" s="334">
        <f>365-E71</f>
        <v>365</v>
      </c>
      <c r="G72" s="419">
        <v>19</v>
      </c>
      <c r="J72" s="435">
        <v>19</v>
      </c>
      <c r="K72" s="384">
        <f>G72/J72*100</f>
        <v>100</v>
      </c>
      <c r="L72" s="384">
        <f>H72/J72*100</f>
        <v>0</v>
      </c>
      <c r="M72" s="384">
        <f>I72/J72*100</f>
        <v>0</v>
      </c>
      <c r="N72" s="421">
        <f t="shared" si="0"/>
        <v>100</v>
      </c>
      <c r="O72" s="383">
        <v>33.700000000000003</v>
      </c>
      <c r="P72" s="384"/>
      <c r="Q72" s="384"/>
      <c r="R72" s="385">
        <f t="shared" si="1"/>
        <v>33.700000000000003</v>
      </c>
      <c r="S72" s="388">
        <v>5</v>
      </c>
      <c r="T72" s="342"/>
      <c r="U72" s="355"/>
      <c r="V72" s="343" t="s">
        <v>105</v>
      </c>
      <c r="W72" s="334" t="s">
        <v>74</v>
      </c>
      <c r="X72" s="334" t="s">
        <v>11</v>
      </c>
      <c r="Y72" s="344">
        <v>17.100000000000001</v>
      </c>
      <c r="Z72" s="334" t="s">
        <v>72</v>
      </c>
      <c r="AA72" s="334" t="s">
        <v>88</v>
      </c>
      <c r="AB72" s="334" t="s">
        <v>11</v>
      </c>
      <c r="AC72" s="334">
        <v>16.600000000000001</v>
      </c>
      <c r="AD72" s="343"/>
      <c r="AG72" s="344"/>
      <c r="AL72" s="343"/>
      <c r="AO72" s="344"/>
      <c r="AP72" s="343"/>
      <c r="AS72" s="344"/>
      <c r="AW72" s="344"/>
      <c r="BA72" s="345"/>
    </row>
    <row r="73" spans="1:53" s="334" customFormat="1" x14ac:dyDescent="0.15">
      <c r="A73" s="334">
        <v>1992</v>
      </c>
      <c r="C73" s="785" t="s">
        <v>273</v>
      </c>
      <c r="D73" s="785"/>
      <c r="E73" s="334">
        <v>0</v>
      </c>
      <c r="G73" s="419">
        <v>19</v>
      </c>
      <c r="J73" s="435">
        <v>19</v>
      </c>
      <c r="K73" s="384">
        <f>G73/J73*100</f>
        <v>100</v>
      </c>
      <c r="L73" s="384">
        <f>H73/J73*100</f>
        <v>0</v>
      </c>
      <c r="M73" s="384">
        <f>I73/J73*100</f>
        <v>0</v>
      </c>
      <c r="N73" s="421">
        <f t="shared" ref="N73:N116" si="26">SUM(K73:M73)</f>
        <v>100</v>
      </c>
      <c r="O73" s="383">
        <v>33.700000000000003</v>
      </c>
      <c r="P73" s="384"/>
      <c r="Q73" s="384"/>
      <c r="R73" s="385">
        <f t="shared" ref="R73:R116" si="27">SUM(O73:Q73)</f>
        <v>33.700000000000003</v>
      </c>
      <c r="S73" s="388">
        <v>5</v>
      </c>
      <c r="T73" s="342"/>
      <c r="U73" s="355"/>
      <c r="V73" s="343" t="s">
        <v>105</v>
      </c>
      <c r="W73" s="334" t="s">
        <v>74</v>
      </c>
      <c r="X73" s="334" t="s">
        <v>11</v>
      </c>
      <c r="Y73" s="344">
        <v>17.100000000000001</v>
      </c>
      <c r="Z73" s="334" t="s">
        <v>72</v>
      </c>
      <c r="AA73" s="334" t="s">
        <v>88</v>
      </c>
      <c r="AB73" s="334" t="s">
        <v>11</v>
      </c>
      <c r="AC73" s="334">
        <v>16.600000000000001</v>
      </c>
      <c r="AD73" s="343"/>
      <c r="AG73" s="344"/>
      <c r="AL73" s="343"/>
      <c r="AO73" s="344"/>
      <c r="AP73" s="343"/>
      <c r="AS73" s="344"/>
      <c r="AW73" s="344"/>
      <c r="BA73" s="345"/>
    </row>
    <row r="74" spans="1:53" s="334" customFormat="1" x14ac:dyDescent="0.15">
      <c r="A74" s="334">
        <v>1992</v>
      </c>
      <c r="C74" s="785" t="s">
        <v>273</v>
      </c>
      <c r="D74" s="785"/>
      <c r="E74" s="334">
        <v>366</v>
      </c>
      <c r="G74" s="419">
        <v>19</v>
      </c>
      <c r="J74" s="435">
        <v>19</v>
      </c>
      <c r="K74" s="384">
        <f>G74/J74*100</f>
        <v>100</v>
      </c>
      <c r="L74" s="384">
        <f>H74/J74*100</f>
        <v>0</v>
      </c>
      <c r="M74" s="384">
        <f>I74/J74*100</f>
        <v>0</v>
      </c>
      <c r="N74" s="421">
        <f t="shared" si="26"/>
        <v>100</v>
      </c>
      <c r="O74" s="383">
        <v>33.700000000000003</v>
      </c>
      <c r="P74" s="384"/>
      <c r="Q74" s="384"/>
      <c r="R74" s="385">
        <f t="shared" si="27"/>
        <v>33.700000000000003</v>
      </c>
      <c r="S74" s="388">
        <v>5</v>
      </c>
      <c r="T74" s="342"/>
      <c r="U74" s="355"/>
      <c r="V74" s="343" t="s">
        <v>105</v>
      </c>
      <c r="W74" s="334" t="s">
        <v>74</v>
      </c>
      <c r="X74" s="334" t="s">
        <v>11</v>
      </c>
      <c r="Y74" s="344">
        <v>17.100000000000001</v>
      </c>
      <c r="Z74" s="334" t="s">
        <v>72</v>
      </c>
      <c r="AA74" s="334" t="s">
        <v>88</v>
      </c>
      <c r="AB74" s="334" t="s">
        <v>11</v>
      </c>
      <c r="AC74" s="334">
        <v>16.600000000000001</v>
      </c>
      <c r="AD74" s="343"/>
      <c r="AG74" s="344"/>
      <c r="AL74" s="343"/>
      <c r="AO74" s="344"/>
      <c r="AP74" s="343"/>
      <c r="AS74" s="344"/>
      <c r="AW74" s="344"/>
      <c r="BA74" s="345"/>
    </row>
    <row r="75" spans="1:53" s="334" customFormat="1" x14ac:dyDescent="0.15">
      <c r="A75" s="334">
        <v>1993</v>
      </c>
      <c r="C75" s="785" t="s">
        <v>273</v>
      </c>
      <c r="D75" s="785"/>
      <c r="E75" s="334">
        <v>24</v>
      </c>
      <c r="G75" s="419">
        <v>19</v>
      </c>
      <c r="J75" s="435">
        <v>19</v>
      </c>
      <c r="K75" s="384">
        <f t="shared" ref="K75:K100" si="28">G75/J75*100</f>
        <v>100</v>
      </c>
      <c r="L75" s="384">
        <f t="shared" ref="L75:L100" si="29">H75/J75*100</f>
        <v>0</v>
      </c>
      <c r="M75" s="384">
        <f t="shared" ref="M75:M100" si="30">I75/J75*100</f>
        <v>0</v>
      </c>
      <c r="N75" s="421">
        <f t="shared" si="26"/>
        <v>100</v>
      </c>
      <c r="O75" s="383">
        <v>33.700000000000003</v>
      </c>
      <c r="P75" s="384"/>
      <c r="Q75" s="384"/>
      <c r="R75" s="385">
        <f t="shared" si="27"/>
        <v>33.700000000000003</v>
      </c>
      <c r="S75" s="388">
        <v>5</v>
      </c>
      <c r="T75" s="342"/>
      <c r="U75" s="355"/>
      <c r="V75" s="343" t="s">
        <v>105</v>
      </c>
      <c r="W75" s="334" t="s">
        <v>74</v>
      </c>
      <c r="X75" s="334" t="s">
        <v>11</v>
      </c>
      <c r="Y75" s="344">
        <v>17.100000000000001</v>
      </c>
      <c r="Z75" s="334" t="s">
        <v>72</v>
      </c>
      <c r="AA75" s="334" t="s">
        <v>88</v>
      </c>
      <c r="AB75" s="334" t="s">
        <v>11</v>
      </c>
      <c r="AC75" s="334">
        <v>16.600000000000001</v>
      </c>
      <c r="AD75" s="343"/>
      <c r="AG75" s="344"/>
      <c r="AL75" s="343"/>
      <c r="AO75" s="344"/>
      <c r="AP75" s="343"/>
      <c r="AS75" s="344"/>
      <c r="AW75" s="344"/>
      <c r="BA75" s="345"/>
    </row>
    <row r="76" spans="1:53" s="73" customFormat="1" x14ac:dyDescent="0.15">
      <c r="A76" s="73">
        <v>1993</v>
      </c>
      <c r="B76" s="85">
        <v>33994</v>
      </c>
      <c r="C76" s="811" t="s">
        <v>275</v>
      </c>
      <c r="D76" s="811"/>
      <c r="E76" s="73">
        <f>365-E75</f>
        <v>341</v>
      </c>
      <c r="F76" s="73">
        <v>2</v>
      </c>
      <c r="G76" s="123">
        <v>3</v>
      </c>
      <c r="H76" s="73">
        <v>6</v>
      </c>
      <c r="I76" s="73">
        <v>15</v>
      </c>
      <c r="J76" s="134">
        <v>24</v>
      </c>
      <c r="K76" s="92">
        <f t="shared" si="28"/>
        <v>12.5</v>
      </c>
      <c r="L76" s="92">
        <f t="shared" si="29"/>
        <v>25</v>
      </c>
      <c r="M76" s="92">
        <f t="shared" si="30"/>
        <v>62.5</v>
      </c>
      <c r="N76" s="125">
        <f t="shared" si="26"/>
        <v>100</v>
      </c>
      <c r="O76" s="91">
        <v>4</v>
      </c>
      <c r="P76" s="92">
        <v>7.4</v>
      </c>
      <c r="Q76" s="92">
        <v>39.4</v>
      </c>
      <c r="R76" s="93">
        <f t="shared" si="27"/>
        <v>50.8</v>
      </c>
      <c r="S76" s="97">
        <v>2</v>
      </c>
      <c r="T76" s="95"/>
      <c r="U76" s="85">
        <v>33994</v>
      </c>
      <c r="V76" s="82" t="s">
        <v>102</v>
      </c>
      <c r="W76" s="73" t="s">
        <v>20</v>
      </c>
      <c r="X76" s="73" t="s">
        <v>12</v>
      </c>
      <c r="Y76" s="83">
        <v>39.4</v>
      </c>
      <c r="Z76" s="73" t="s">
        <v>103</v>
      </c>
      <c r="AA76" s="73" t="s">
        <v>22</v>
      </c>
      <c r="AB76" s="73" t="s">
        <v>11</v>
      </c>
      <c r="AC76" s="73">
        <v>4</v>
      </c>
      <c r="AD76" s="82" t="s">
        <v>106</v>
      </c>
      <c r="AE76" s="73" t="s">
        <v>107</v>
      </c>
      <c r="AF76" s="73" t="s">
        <v>18</v>
      </c>
      <c r="AG76" s="83">
        <v>5.0999999999999996</v>
      </c>
      <c r="AH76" s="82" t="s">
        <v>274</v>
      </c>
      <c r="AI76" s="73" t="s">
        <v>17</v>
      </c>
      <c r="AJ76" s="73" t="s">
        <v>18</v>
      </c>
      <c r="AK76" s="83">
        <v>2.2999999999999998</v>
      </c>
      <c r="AL76" s="82"/>
      <c r="AO76" s="83"/>
      <c r="AP76" s="82"/>
      <c r="AS76" s="83"/>
      <c r="AW76" s="83"/>
      <c r="BA76" s="84"/>
    </row>
    <row r="77" spans="1:53" s="73" customFormat="1" x14ac:dyDescent="0.15">
      <c r="A77" s="73">
        <v>1994</v>
      </c>
      <c r="C77" s="811" t="s">
        <v>275</v>
      </c>
      <c r="D77" s="811"/>
      <c r="E77" s="73">
        <v>270</v>
      </c>
      <c r="G77" s="123">
        <v>3</v>
      </c>
      <c r="H77" s="73">
        <v>6</v>
      </c>
      <c r="I77" s="73">
        <v>15</v>
      </c>
      <c r="J77" s="134">
        <v>24</v>
      </c>
      <c r="K77" s="92">
        <f t="shared" si="28"/>
        <v>12.5</v>
      </c>
      <c r="L77" s="92">
        <f t="shared" si="29"/>
        <v>25</v>
      </c>
      <c r="M77" s="92">
        <f t="shared" si="30"/>
        <v>62.5</v>
      </c>
      <c r="N77" s="125">
        <f t="shared" si="26"/>
        <v>100</v>
      </c>
      <c r="O77" s="91">
        <v>4</v>
      </c>
      <c r="P77" s="92">
        <v>7.4</v>
      </c>
      <c r="Q77" s="92">
        <v>39.4</v>
      </c>
      <c r="R77" s="93">
        <f t="shared" si="27"/>
        <v>50.8</v>
      </c>
      <c r="S77" s="97">
        <v>2</v>
      </c>
      <c r="T77" s="95"/>
      <c r="U77" s="85"/>
      <c r="V77" s="82" t="s">
        <v>102</v>
      </c>
      <c r="W77" s="73" t="s">
        <v>20</v>
      </c>
      <c r="X77" s="73" t="s">
        <v>12</v>
      </c>
      <c r="Y77" s="83">
        <v>39.4</v>
      </c>
      <c r="Z77" s="73" t="s">
        <v>103</v>
      </c>
      <c r="AA77" s="73" t="s">
        <v>22</v>
      </c>
      <c r="AB77" s="73" t="s">
        <v>11</v>
      </c>
      <c r="AC77" s="73">
        <v>4</v>
      </c>
      <c r="AD77" s="82" t="s">
        <v>106</v>
      </c>
      <c r="AE77" s="73" t="s">
        <v>107</v>
      </c>
      <c r="AF77" s="73" t="s">
        <v>18</v>
      </c>
      <c r="AG77" s="83">
        <v>5.0999999999999996</v>
      </c>
      <c r="AH77" s="82" t="s">
        <v>274</v>
      </c>
      <c r="AI77" s="73" t="s">
        <v>17</v>
      </c>
      <c r="AJ77" s="73" t="s">
        <v>18</v>
      </c>
      <c r="AK77" s="83">
        <v>2.2999999999999998</v>
      </c>
      <c r="AL77" s="82"/>
      <c r="AO77" s="83"/>
      <c r="AP77" s="82"/>
      <c r="AS77" s="83"/>
      <c r="AW77" s="83"/>
      <c r="BA77" s="84"/>
    </row>
    <row r="78" spans="1:53" s="334" customFormat="1" x14ac:dyDescent="0.15">
      <c r="A78" s="334">
        <v>1994</v>
      </c>
      <c r="B78" s="355">
        <v>34604</v>
      </c>
      <c r="C78" s="812" t="s">
        <v>276</v>
      </c>
      <c r="D78" s="812"/>
      <c r="E78" s="334">
        <f>365-E77</f>
        <v>95</v>
      </c>
      <c r="F78" s="334">
        <v>1</v>
      </c>
      <c r="G78" s="419">
        <v>3</v>
      </c>
      <c r="H78" s="334">
        <v>2</v>
      </c>
      <c r="I78" s="334">
        <v>15</v>
      </c>
      <c r="J78" s="435">
        <v>20</v>
      </c>
      <c r="K78" s="384">
        <f t="shared" si="28"/>
        <v>15</v>
      </c>
      <c r="L78" s="384">
        <f t="shared" si="29"/>
        <v>10</v>
      </c>
      <c r="M78" s="384">
        <f t="shared" si="30"/>
        <v>75</v>
      </c>
      <c r="N78" s="421">
        <f t="shared" si="26"/>
        <v>100</v>
      </c>
      <c r="O78" s="383">
        <v>4.5999999999999996</v>
      </c>
      <c r="P78" s="384">
        <v>2.9</v>
      </c>
      <c r="Q78" s="384">
        <v>35.4</v>
      </c>
      <c r="R78" s="385">
        <f t="shared" si="27"/>
        <v>42.9</v>
      </c>
      <c r="S78" s="388">
        <v>5</v>
      </c>
      <c r="T78" s="342">
        <v>34598</v>
      </c>
      <c r="U78" s="355">
        <v>34604</v>
      </c>
      <c r="V78" s="343" t="s">
        <v>102</v>
      </c>
      <c r="W78" s="334" t="s">
        <v>20</v>
      </c>
      <c r="X78" s="334" t="s">
        <v>12</v>
      </c>
      <c r="Y78" s="344">
        <v>35.4</v>
      </c>
      <c r="Z78" s="334" t="s">
        <v>103</v>
      </c>
      <c r="AA78" s="334" t="s">
        <v>22</v>
      </c>
      <c r="AB78" s="334" t="s">
        <v>11</v>
      </c>
      <c r="AC78" s="334">
        <v>4.5999999999999996</v>
      </c>
      <c r="AD78" s="343" t="s">
        <v>106</v>
      </c>
      <c r="AE78" s="334" t="s">
        <v>107</v>
      </c>
      <c r="AF78" s="334" t="s">
        <v>18</v>
      </c>
      <c r="AG78" s="344">
        <v>2.9</v>
      </c>
      <c r="AL78" s="343"/>
      <c r="AO78" s="344"/>
      <c r="AP78" s="343"/>
      <c r="AS78" s="344"/>
      <c r="AW78" s="344"/>
      <c r="BA78" s="345"/>
    </row>
    <row r="79" spans="1:53" s="334" customFormat="1" x14ac:dyDescent="0.15">
      <c r="A79" s="334">
        <v>1995</v>
      </c>
      <c r="C79" s="812" t="s">
        <v>276</v>
      </c>
      <c r="D79" s="812"/>
      <c r="E79" s="334">
        <v>0</v>
      </c>
      <c r="G79" s="419">
        <v>3</v>
      </c>
      <c r="H79" s="334">
        <v>2</v>
      </c>
      <c r="I79" s="334">
        <v>15</v>
      </c>
      <c r="J79" s="435">
        <v>20</v>
      </c>
      <c r="K79" s="384">
        <f t="shared" si="28"/>
        <v>15</v>
      </c>
      <c r="L79" s="384">
        <f t="shared" si="29"/>
        <v>10</v>
      </c>
      <c r="M79" s="384">
        <f t="shared" si="30"/>
        <v>75</v>
      </c>
      <c r="N79" s="421">
        <f t="shared" si="26"/>
        <v>100</v>
      </c>
      <c r="O79" s="383">
        <v>4.5999999999999996</v>
      </c>
      <c r="P79" s="384">
        <v>2.9</v>
      </c>
      <c r="Q79" s="384">
        <v>35.4</v>
      </c>
      <c r="R79" s="385">
        <f t="shared" si="27"/>
        <v>42.9</v>
      </c>
      <c r="S79" s="388">
        <v>5</v>
      </c>
      <c r="T79" s="342"/>
      <c r="U79" s="355"/>
      <c r="V79" s="343" t="s">
        <v>102</v>
      </c>
      <c r="W79" s="334" t="s">
        <v>20</v>
      </c>
      <c r="X79" s="334" t="s">
        <v>12</v>
      </c>
      <c r="Y79" s="344">
        <v>35.4</v>
      </c>
      <c r="Z79" s="334" t="s">
        <v>103</v>
      </c>
      <c r="AA79" s="334" t="s">
        <v>22</v>
      </c>
      <c r="AB79" s="334" t="s">
        <v>11</v>
      </c>
      <c r="AC79" s="334">
        <v>4.5999999999999996</v>
      </c>
      <c r="AD79" s="343" t="s">
        <v>106</v>
      </c>
      <c r="AE79" s="334" t="s">
        <v>107</v>
      </c>
      <c r="AF79" s="334" t="s">
        <v>18</v>
      </c>
      <c r="AG79" s="344">
        <v>2.9</v>
      </c>
      <c r="AL79" s="343"/>
      <c r="AO79" s="344"/>
      <c r="AP79" s="343"/>
      <c r="AS79" s="344"/>
      <c r="AW79" s="344"/>
      <c r="BA79" s="345"/>
    </row>
    <row r="80" spans="1:53" s="334" customFormat="1" x14ac:dyDescent="0.15">
      <c r="A80" s="334">
        <v>1995</v>
      </c>
      <c r="C80" s="812" t="s">
        <v>276</v>
      </c>
      <c r="D80" s="812"/>
      <c r="E80" s="334">
        <f>365-E79</f>
        <v>365</v>
      </c>
      <c r="G80" s="419">
        <v>3</v>
      </c>
      <c r="H80" s="334">
        <v>2</v>
      </c>
      <c r="I80" s="334">
        <v>15</v>
      </c>
      <c r="J80" s="435">
        <v>20</v>
      </c>
      <c r="K80" s="384">
        <f t="shared" si="28"/>
        <v>15</v>
      </c>
      <c r="L80" s="384">
        <f t="shared" si="29"/>
        <v>10</v>
      </c>
      <c r="M80" s="384">
        <f t="shared" si="30"/>
        <v>75</v>
      </c>
      <c r="N80" s="421">
        <f t="shared" si="26"/>
        <v>100</v>
      </c>
      <c r="O80" s="383">
        <v>4.5999999999999996</v>
      </c>
      <c r="P80" s="384">
        <v>2.9</v>
      </c>
      <c r="Q80" s="384">
        <v>35.4</v>
      </c>
      <c r="R80" s="385">
        <f t="shared" si="27"/>
        <v>42.9</v>
      </c>
      <c r="S80" s="388">
        <v>5</v>
      </c>
      <c r="T80" s="342"/>
      <c r="U80" s="355"/>
      <c r="V80" s="343" t="s">
        <v>102</v>
      </c>
      <c r="W80" s="334" t="s">
        <v>20</v>
      </c>
      <c r="X80" s="334" t="s">
        <v>12</v>
      </c>
      <c r="Y80" s="344">
        <v>35.4</v>
      </c>
      <c r="Z80" s="334" t="s">
        <v>103</v>
      </c>
      <c r="AA80" s="334" t="s">
        <v>22</v>
      </c>
      <c r="AB80" s="334" t="s">
        <v>11</v>
      </c>
      <c r="AC80" s="334">
        <v>4.5999999999999996</v>
      </c>
      <c r="AD80" s="343" t="s">
        <v>106</v>
      </c>
      <c r="AE80" s="334" t="s">
        <v>107</v>
      </c>
      <c r="AF80" s="334" t="s">
        <v>18</v>
      </c>
      <c r="AG80" s="344">
        <v>2.9</v>
      </c>
      <c r="AL80" s="343"/>
      <c r="AO80" s="344"/>
      <c r="AP80" s="343"/>
      <c r="AS80" s="344"/>
      <c r="AW80" s="344"/>
      <c r="BA80" s="345"/>
    </row>
    <row r="81" spans="1:53" s="334" customFormat="1" x14ac:dyDescent="0.15">
      <c r="A81" s="334">
        <v>1996</v>
      </c>
      <c r="C81" s="812" t="s">
        <v>276</v>
      </c>
      <c r="D81" s="812"/>
      <c r="E81" s="334">
        <v>364</v>
      </c>
      <c r="G81" s="419">
        <v>3</v>
      </c>
      <c r="H81" s="334">
        <v>2</v>
      </c>
      <c r="I81" s="334">
        <v>15</v>
      </c>
      <c r="J81" s="435">
        <v>20</v>
      </c>
      <c r="K81" s="384">
        <f t="shared" si="28"/>
        <v>15</v>
      </c>
      <c r="L81" s="384">
        <f t="shared" si="29"/>
        <v>10</v>
      </c>
      <c r="M81" s="384">
        <f t="shared" si="30"/>
        <v>75</v>
      </c>
      <c r="N81" s="421">
        <f t="shared" si="26"/>
        <v>100</v>
      </c>
      <c r="O81" s="383">
        <v>4.5999999999999996</v>
      </c>
      <c r="P81" s="384">
        <v>2.9</v>
      </c>
      <c r="Q81" s="384">
        <v>35.4</v>
      </c>
      <c r="R81" s="385">
        <f t="shared" si="27"/>
        <v>42.9</v>
      </c>
      <c r="S81" s="388">
        <v>5</v>
      </c>
      <c r="T81" s="342"/>
      <c r="U81" s="355"/>
      <c r="V81" s="343" t="s">
        <v>102</v>
      </c>
      <c r="W81" s="334" t="s">
        <v>20</v>
      </c>
      <c r="X81" s="334" t="s">
        <v>12</v>
      </c>
      <c r="Y81" s="344">
        <v>35.4</v>
      </c>
      <c r="Z81" s="334" t="s">
        <v>103</v>
      </c>
      <c r="AA81" s="334" t="s">
        <v>22</v>
      </c>
      <c r="AB81" s="334" t="s">
        <v>11</v>
      </c>
      <c r="AC81" s="334">
        <v>4.5999999999999996</v>
      </c>
      <c r="AD81" s="343" t="s">
        <v>106</v>
      </c>
      <c r="AE81" s="334" t="s">
        <v>107</v>
      </c>
      <c r="AF81" s="334" t="s">
        <v>18</v>
      </c>
      <c r="AG81" s="344">
        <v>2.9</v>
      </c>
      <c r="AL81" s="343"/>
      <c r="AO81" s="344"/>
      <c r="AP81" s="343"/>
      <c r="AS81" s="344"/>
      <c r="AW81" s="344"/>
      <c r="BA81" s="345"/>
    </row>
    <row r="82" spans="1:53" s="73" customFormat="1" x14ac:dyDescent="0.15">
      <c r="A82" s="73">
        <v>1996</v>
      </c>
      <c r="B82" s="85">
        <v>35429</v>
      </c>
      <c r="C82" s="811" t="s">
        <v>277</v>
      </c>
      <c r="D82" s="811"/>
      <c r="E82" s="73">
        <v>2</v>
      </c>
      <c r="F82" s="73">
        <v>4</v>
      </c>
      <c r="G82" s="123">
        <v>4</v>
      </c>
      <c r="I82" s="73">
        <v>15</v>
      </c>
      <c r="J82" s="134">
        <v>19</v>
      </c>
      <c r="K82" s="92">
        <f t="shared" si="28"/>
        <v>21.052631578947366</v>
      </c>
      <c r="L82" s="92">
        <f t="shared" si="29"/>
        <v>0</v>
      </c>
      <c r="M82" s="92">
        <f t="shared" si="30"/>
        <v>78.94736842105263</v>
      </c>
      <c r="N82" s="125">
        <f t="shared" si="26"/>
        <v>100</v>
      </c>
      <c r="O82" s="91">
        <v>4.5999999999999996</v>
      </c>
      <c r="P82" s="92"/>
      <c r="Q82" s="92">
        <v>35.4</v>
      </c>
      <c r="R82" s="93">
        <f t="shared" si="27"/>
        <v>40</v>
      </c>
      <c r="S82" s="97">
        <v>5</v>
      </c>
      <c r="T82" s="95"/>
      <c r="U82" s="85">
        <v>35429</v>
      </c>
      <c r="V82" s="82" t="s">
        <v>102</v>
      </c>
      <c r="W82" s="73" t="s">
        <v>20</v>
      </c>
      <c r="X82" s="73" t="s">
        <v>12</v>
      </c>
      <c r="Y82" s="83">
        <v>35.4</v>
      </c>
      <c r="Z82" s="73" t="s">
        <v>103</v>
      </c>
      <c r="AA82" s="73" t="s">
        <v>22</v>
      </c>
      <c r="AB82" s="73" t="s">
        <v>11</v>
      </c>
      <c r="AC82" s="73">
        <v>4.5999999999999996</v>
      </c>
      <c r="AD82" s="82"/>
      <c r="AG82" s="83"/>
      <c r="AL82" s="82"/>
      <c r="AO82" s="83"/>
      <c r="AP82" s="82"/>
      <c r="AS82" s="83"/>
      <c r="AW82" s="83"/>
      <c r="BA82" s="84"/>
    </row>
    <row r="83" spans="1:53" s="73" customFormat="1" x14ac:dyDescent="0.15">
      <c r="A83" s="73">
        <v>1997</v>
      </c>
      <c r="C83" s="811" t="s">
        <v>277</v>
      </c>
      <c r="D83" s="811"/>
      <c r="E83" s="73">
        <v>292</v>
      </c>
      <c r="G83" s="123">
        <v>4</v>
      </c>
      <c r="I83" s="73">
        <v>15</v>
      </c>
      <c r="J83" s="134">
        <v>19</v>
      </c>
      <c r="K83" s="92">
        <f t="shared" si="28"/>
        <v>21.052631578947366</v>
      </c>
      <c r="L83" s="92">
        <f t="shared" si="29"/>
        <v>0</v>
      </c>
      <c r="M83" s="92">
        <f t="shared" si="30"/>
        <v>78.94736842105263</v>
      </c>
      <c r="N83" s="125">
        <f t="shared" si="26"/>
        <v>100</v>
      </c>
      <c r="O83" s="91">
        <v>4.5999999999999996</v>
      </c>
      <c r="P83" s="92"/>
      <c r="Q83" s="92">
        <v>35.4</v>
      </c>
      <c r="R83" s="93">
        <f t="shared" si="27"/>
        <v>40</v>
      </c>
      <c r="S83" s="97">
        <v>5</v>
      </c>
      <c r="T83" s="95"/>
      <c r="U83" s="85"/>
      <c r="V83" s="82" t="s">
        <v>102</v>
      </c>
      <c r="W83" s="73" t="s">
        <v>20</v>
      </c>
      <c r="X83" s="73" t="s">
        <v>12</v>
      </c>
      <c r="Y83" s="83">
        <v>35.4</v>
      </c>
      <c r="Z83" s="73" t="s">
        <v>103</v>
      </c>
      <c r="AA83" s="73" t="s">
        <v>22</v>
      </c>
      <c r="AB83" s="73" t="s">
        <v>11</v>
      </c>
      <c r="AC83" s="73">
        <v>4.5999999999999996</v>
      </c>
      <c r="AD83" s="82"/>
      <c r="AG83" s="83"/>
      <c r="AL83" s="82"/>
      <c r="AO83" s="83"/>
      <c r="AP83" s="82"/>
      <c r="AS83" s="83"/>
      <c r="AW83" s="83"/>
      <c r="BA83" s="84"/>
    </row>
    <row r="84" spans="1:53" s="73" customFormat="1" x14ac:dyDescent="0.15">
      <c r="A84" s="73">
        <v>1997</v>
      </c>
      <c r="B84" s="149">
        <v>35723</v>
      </c>
      <c r="C84" s="811" t="s">
        <v>277</v>
      </c>
      <c r="D84" s="811"/>
      <c r="E84" s="73">
        <f>365-E83</f>
        <v>73</v>
      </c>
      <c r="F84" s="150">
        <v>0</v>
      </c>
      <c r="G84" s="123">
        <v>4</v>
      </c>
      <c r="I84" s="73">
        <v>16</v>
      </c>
      <c r="J84" s="134">
        <v>20</v>
      </c>
      <c r="K84" s="92">
        <f t="shared" si="28"/>
        <v>20</v>
      </c>
      <c r="L84" s="92">
        <f t="shared" si="29"/>
        <v>0</v>
      </c>
      <c r="M84" s="92">
        <f t="shared" si="30"/>
        <v>80</v>
      </c>
      <c r="N84" s="125">
        <f t="shared" si="26"/>
        <v>100</v>
      </c>
      <c r="O84" s="91">
        <v>4.5999999999999996</v>
      </c>
      <c r="P84" s="92"/>
      <c r="Q84" s="92">
        <v>35.4</v>
      </c>
      <c r="R84" s="93">
        <f t="shared" si="27"/>
        <v>40</v>
      </c>
      <c r="S84" s="97">
        <v>5</v>
      </c>
      <c r="T84" s="95"/>
      <c r="U84" s="85"/>
      <c r="V84" s="82" t="s">
        <v>102</v>
      </c>
      <c r="W84" s="73" t="s">
        <v>20</v>
      </c>
      <c r="X84" s="73" t="s">
        <v>12</v>
      </c>
      <c r="Y84" s="83">
        <v>35.4</v>
      </c>
      <c r="Z84" s="73" t="s">
        <v>103</v>
      </c>
      <c r="AA84" s="73" t="s">
        <v>22</v>
      </c>
      <c r="AB84" s="73" t="s">
        <v>11</v>
      </c>
      <c r="AC84" s="73">
        <v>4.5999999999999996</v>
      </c>
      <c r="AD84" s="82"/>
      <c r="AG84" s="83"/>
      <c r="AL84" s="82"/>
      <c r="AO84" s="83"/>
      <c r="AP84" s="82"/>
      <c r="AS84" s="83"/>
      <c r="AW84" s="83"/>
      <c r="BA84" s="84"/>
    </row>
    <row r="85" spans="1:53" s="73" customFormat="1" x14ac:dyDescent="0.15">
      <c r="A85" s="73">
        <v>1998</v>
      </c>
      <c r="C85" s="811" t="s">
        <v>277</v>
      </c>
      <c r="D85" s="811"/>
      <c r="E85" s="73">
        <v>81</v>
      </c>
      <c r="G85" s="123">
        <v>4</v>
      </c>
      <c r="I85" s="73">
        <v>16</v>
      </c>
      <c r="J85" s="134">
        <v>20</v>
      </c>
      <c r="K85" s="92">
        <f t="shared" si="28"/>
        <v>20</v>
      </c>
      <c r="L85" s="92">
        <f t="shared" si="29"/>
        <v>0</v>
      </c>
      <c r="M85" s="92">
        <f t="shared" si="30"/>
        <v>80</v>
      </c>
      <c r="N85" s="125">
        <f t="shared" si="26"/>
        <v>100</v>
      </c>
      <c r="O85" s="91">
        <v>4.5999999999999996</v>
      </c>
      <c r="P85" s="92"/>
      <c r="Q85" s="92">
        <v>35.4</v>
      </c>
      <c r="R85" s="93">
        <f t="shared" si="27"/>
        <v>40</v>
      </c>
      <c r="S85" s="97">
        <v>5</v>
      </c>
      <c r="T85" s="95"/>
      <c r="U85" s="85"/>
      <c r="V85" s="82" t="s">
        <v>102</v>
      </c>
      <c r="W85" s="73" t="s">
        <v>20</v>
      </c>
      <c r="X85" s="73" t="s">
        <v>12</v>
      </c>
      <c r="Y85" s="83">
        <v>35.4</v>
      </c>
      <c r="Z85" s="73" t="s">
        <v>103</v>
      </c>
      <c r="AA85" s="73" t="s">
        <v>22</v>
      </c>
      <c r="AB85" s="73" t="s">
        <v>11</v>
      </c>
      <c r="AC85" s="73">
        <v>4.5999999999999996</v>
      </c>
      <c r="AD85" s="82"/>
      <c r="AG85" s="83"/>
      <c r="AL85" s="82"/>
      <c r="AO85" s="83"/>
      <c r="AP85" s="82"/>
      <c r="AS85" s="83"/>
      <c r="AW85" s="83"/>
      <c r="BA85" s="84"/>
    </row>
    <row r="86" spans="1:53" s="334" customFormat="1" x14ac:dyDescent="0.15">
      <c r="A86" s="334">
        <v>1998</v>
      </c>
      <c r="B86" s="355">
        <v>35877</v>
      </c>
      <c r="C86" s="812" t="s">
        <v>278</v>
      </c>
      <c r="D86" s="812"/>
      <c r="E86" s="334">
        <f>365-E85</f>
        <v>284</v>
      </c>
      <c r="F86" s="334">
        <v>1</v>
      </c>
      <c r="G86" s="419">
        <v>4</v>
      </c>
      <c r="I86" s="334">
        <v>16</v>
      </c>
      <c r="J86" s="435">
        <v>20</v>
      </c>
      <c r="K86" s="384">
        <f t="shared" si="28"/>
        <v>20</v>
      </c>
      <c r="L86" s="384">
        <f t="shared" si="29"/>
        <v>0</v>
      </c>
      <c r="M86" s="384">
        <f t="shared" si="30"/>
        <v>80</v>
      </c>
      <c r="N86" s="421">
        <f t="shared" si="26"/>
        <v>100</v>
      </c>
      <c r="O86" s="383">
        <v>4</v>
      </c>
      <c r="P86" s="384"/>
      <c r="Q86" s="384">
        <v>36</v>
      </c>
      <c r="R86" s="385">
        <f t="shared" si="27"/>
        <v>40</v>
      </c>
      <c r="S86" s="388">
        <v>5</v>
      </c>
      <c r="T86" s="342">
        <v>35865</v>
      </c>
      <c r="U86" s="355">
        <v>35877</v>
      </c>
      <c r="V86" s="343" t="s">
        <v>102</v>
      </c>
      <c r="W86" s="334" t="s">
        <v>20</v>
      </c>
      <c r="X86" s="334" t="s">
        <v>12</v>
      </c>
      <c r="Y86" s="344">
        <v>36</v>
      </c>
      <c r="Z86" s="334" t="s">
        <v>103</v>
      </c>
      <c r="AA86" s="334" t="s">
        <v>22</v>
      </c>
      <c r="AB86" s="334" t="s">
        <v>11</v>
      </c>
      <c r="AC86" s="334">
        <v>4</v>
      </c>
      <c r="AD86" s="343"/>
      <c r="AG86" s="344"/>
      <c r="AL86" s="343"/>
      <c r="AO86" s="344"/>
      <c r="AP86" s="343"/>
      <c r="AS86" s="344"/>
      <c r="AW86" s="344"/>
      <c r="BA86" s="345"/>
    </row>
    <row r="87" spans="1:53" s="334" customFormat="1" x14ac:dyDescent="0.15">
      <c r="A87" s="334">
        <v>1999</v>
      </c>
      <c r="C87" s="812" t="s">
        <v>278</v>
      </c>
      <c r="D87" s="812"/>
      <c r="E87" s="334">
        <v>0</v>
      </c>
      <c r="G87" s="419">
        <v>4</v>
      </c>
      <c r="I87" s="334">
        <v>16</v>
      </c>
      <c r="J87" s="435">
        <v>20</v>
      </c>
      <c r="K87" s="384">
        <f t="shared" si="28"/>
        <v>20</v>
      </c>
      <c r="L87" s="384">
        <f t="shared" si="29"/>
        <v>0</v>
      </c>
      <c r="M87" s="384">
        <f t="shared" si="30"/>
        <v>80</v>
      </c>
      <c r="N87" s="421">
        <f t="shared" si="26"/>
        <v>100</v>
      </c>
      <c r="O87" s="383">
        <v>4</v>
      </c>
      <c r="P87" s="384"/>
      <c r="Q87" s="384">
        <v>36</v>
      </c>
      <c r="R87" s="385">
        <f t="shared" si="27"/>
        <v>40</v>
      </c>
      <c r="S87" s="388">
        <v>5</v>
      </c>
      <c r="T87" s="342"/>
      <c r="U87" s="355"/>
      <c r="V87" s="343" t="s">
        <v>102</v>
      </c>
      <c r="W87" s="334" t="s">
        <v>20</v>
      </c>
      <c r="X87" s="334" t="s">
        <v>12</v>
      </c>
      <c r="Y87" s="344">
        <v>36</v>
      </c>
      <c r="Z87" s="334" t="s">
        <v>103</v>
      </c>
      <c r="AA87" s="334" t="s">
        <v>22</v>
      </c>
      <c r="AB87" s="334" t="s">
        <v>11</v>
      </c>
      <c r="AC87" s="334">
        <v>4</v>
      </c>
      <c r="AD87" s="343"/>
      <c r="AG87" s="344"/>
      <c r="AL87" s="343"/>
      <c r="AO87" s="344"/>
      <c r="AP87" s="343"/>
      <c r="AS87" s="344"/>
      <c r="AW87" s="344"/>
      <c r="BA87" s="345"/>
    </row>
    <row r="88" spans="1:53" s="334" customFormat="1" x14ac:dyDescent="0.15">
      <c r="A88" s="334">
        <v>1999</v>
      </c>
      <c r="C88" s="812" t="s">
        <v>278</v>
      </c>
      <c r="D88" s="812"/>
      <c r="E88" s="334">
        <f>365-E87</f>
        <v>365</v>
      </c>
      <c r="G88" s="419">
        <v>4</v>
      </c>
      <c r="I88" s="334">
        <v>16</v>
      </c>
      <c r="J88" s="435">
        <v>20</v>
      </c>
      <c r="K88" s="384">
        <f t="shared" si="28"/>
        <v>20</v>
      </c>
      <c r="L88" s="384">
        <f t="shared" si="29"/>
        <v>0</v>
      </c>
      <c r="M88" s="384">
        <f t="shared" si="30"/>
        <v>80</v>
      </c>
      <c r="N88" s="421">
        <f t="shared" si="26"/>
        <v>100</v>
      </c>
      <c r="O88" s="383">
        <v>4</v>
      </c>
      <c r="P88" s="384"/>
      <c r="Q88" s="384">
        <v>36</v>
      </c>
      <c r="R88" s="385">
        <f t="shared" si="27"/>
        <v>40</v>
      </c>
      <c r="S88" s="388">
        <v>5</v>
      </c>
      <c r="T88" s="342"/>
      <c r="U88" s="355"/>
      <c r="V88" s="343" t="s">
        <v>102</v>
      </c>
      <c r="W88" s="334" t="s">
        <v>20</v>
      </c>
      <c r="X88" s="334" t="s">
        <v>12</v>
      </c>
      <c r="Y88" s="344">
        <v>36</v>
      </c>
      <c r="Z88" s="334" t="s">
        <v>103</v>
      </c>
      <c r="AA88" s="334" t="s">
        <v>22</v>
      </c>
      <c r="AB88" s="334" t="s">
        <v>11</v>
      </c>
      <c r="AC88" s="334">
        <v>4</v>
      </c>
      <c r="AD88" s="343"/>
      <c r="AG88" s="344"/>
      <c r="AL88" s="343"/>
      <c r="AO88" s="344"/>
      <c r="AP88" s="343"/>
      <c r="AS88" s="344"/>
      <c r="AW88" s="344"/>
      <c r="BA88" s="345"/>
    </row>
    <row r="89" spans="1:53" s="334" customFormat="1" x14ac:dyDescent="0.15">
      <c r="A89" s="334">
        <v>2000</v>
      </c>
      <c r="C89" s="812" t="s">
        <v>278</v>
      </c>
      <c r="D89" s="812"/>
      <c r="E89" s="334">
        <v>0</v>
      </c>
      <c r="G89" s="419">
        <v>4</v>
      </c>
      <c r="I89" s="334">
        <v>16</v>
      </c>
      <c r="J89" s="435">
        <v>20</v>
      </c>
      <c r="K89" s="384">
        <f t="shared" si="28"/>
        <v>20</v>
      </c>
      <c r="L89" s="384">
        <f t="shared" si="29"/>
        <v>0</v>
      </c>
      <c r="M89" s="384">
        <f t="shared" si="30"/>
        <v>80</v>
      </c>
      <c r="N89" s="421">
        <f t="shared" si="26"/>
        <v>100</v>
      </c>
      <c r="O89" s="383">
        <v>4</v>
      </c>
      <c r="P89" s="384"/>
      <c r="Q89" s="384">
        <v>36</v>
      </c>
      <c r="R89" s="385">
        <f t="shared" si="27"/>
        <v>40</v>
      </c>
      <c r="S89" s="388">
        <v>5</v>
      </c>
      <c r="T89" s="342"/>
      <c r="U89" s="355"/>
      <c r="V89" s="343" t="s">
        <v>102</v>
      </c>
      <c r="W89" s="334" t="s">
        <v>20</v>
      </c>
      <c r="X89" s="334" t="s">
        <v>12</v>
      </c>
      <c r="Y89" s="344">
        <v>36</v>
      </c>
      <c r="Z89" s="334" t="s">
        <v>103</v>
      </c>
      <c r="AA89" s="334" t="s">
        <v>22</v>
      </c>
      <c r="AB89" s="334" t="s">
        <v>11</v>
      </c>
      <c r="AC89" s="334">
        <v>4</v>
      </c>
      <c r="AD89" s="343"/>
      <c r="AG89" s="344"/>
      <c r="AL89" s="343"/>
      <c r="AO89" s="344"/>
      <c r="AP89" s="343"/>
      <c r="AS89" s="344"/>
      <c r="AW89" s="344"/>
      <c r="BA89" s="345"/>
    </row>
    <row r="90" spans="1:53" s="334" customFormat="1" x14ac:dyDescent="0.15">
      <c r="A90" s="334">
        <v>2000</v>
      </c>
      <c r="C90" s="812" t="s">
        <v>278</v>
      </c>
      <c r="D90" s="812"/>
      <c r="E90" s="334">
        <v>366</v>
      </c>
      <c r="G90" s="419">
        <v>4</v>
      </c>
      <c r="I90" s="334">
        <v>16</v>
      </c>
      <c r="J90" s="435">
        <v>20</v>
      </c>
      <c r="K90" s="384">
        <f t="shared" si="28"/>
        <v>20</v>
      </c>
      <c r="L90" s="384">
        <f t="shared" si="29"/>
        <v>0</v>
      </c>
      <c r="M90" s="384">
        <f t="shared" si="30"/>
        <v>80</v>
      </c>
      <c r="N90" s="421">
        <f t="shared" si="26"/>
        <v>100</v>
      </c>
      <c r="O90" s="383">
        <v>4</v>
      </c>
      <c r="P90" s="384"/>
      <c r="Q90" s="384">
        <v>36</v>
      </c>
      <c r="R90" s="385">
        <f t="shared" si="27"/>
        <v>40</v>
      </c>
      <c r="S90" s="388">
        <v>5</v>
      </c>
      <c r="T90" s="342"/>
      <c r="U90" s="355"/>
      <c r="V90" s="343" t="s">
        <v>102</v>
      </c>
      <c r="W90" s="334" t="s">
        <v>20</v>
      </c>
      <c r="X90" s="334" t="s">
        <v>12</v>
      </c>
      <c r="Y90" s="344">
        <v>36</v>
      </c>
      <c r="Z90" s="334" t="s">
        <v>103</v>
      </c>
      <c r="AA90" s="334" t="s">
        <v>22</v>
      </c>
      <c r="AB90" s="334" t="s">
        <v>11</v>
      </c>
      <c r="AC90" s="334">
        <v>4</v>
      </c>
      <c r="AD90" s="343"/>
      <c r="AG90" s="344"/>
      <c r="AL90" s="343"/>
      <c r="AO90" s="344"/>
      <c r="AP90" s="343"/>
      <c r="AS90" s="344"/>
      <c r="AW90" s="344"/>
      <c r="BA90" s="345"/>
    </row>
    <row r="91" spans="1:53" s="334" customFormat="1" x14ac:dyDescent="0.15">
      <c r="A91" s="334">
        <v>2001</v>
      </c>
      <c r="C91" s="812" t="s">
        <v>278</v>
      </c>
      <c r="D91" s="812"/>
      <c r="E91" s="334">
        <v>330</v>
      </c>
      <c r="G91" s="419">
        <v>4</v>
      </c>
      <c r="I91" s="334">
        <v>16</v>
      </c>
      <c r="J91" s="435">
        <v>20</v>
      </c>
      <c r="K91" s="384">
        <f t="shared" si="28"/>
        <v>20</v>
      </c>
      <c r="L91" s="384">
        <f t="shared" si="29"/>
        <v>0</v>
      </c>
      <c r="M91" s="384">
        <f t="shared" si="30"/>
        <v>80</v>
      </c>
      <c r="N91" s="421">
        <f t="shared" si="26"/>
        <v>100</v>
      </c>
      <c r="O91" s="383">
        <v>4</v>
      </c>
      <c r="P91" s="384"/>
      <c r="Q91" s="384">
        <v>36</v>
      </c>
      <c r="R91" s="385">
        <f t="shared" si="27"/>
        <v>40</v>
      </c>
      <c r="S91" s="388">
        <v>5</v>
      </c>
      <c r="T91" s="342"/>
      <c r="U91" s="355"/>
      <c r="V91" s="343" t="s">
        <v>102</v>
      </c>
      <c r="W91" s="334" t="s">
        <v>20</v>
      </c>
      <c r="X91" s="334" t="s">
        <v>12</v>
      </c>
      <c r="Y91" s="344">
        <v>36</v>
      </c>
      <c r="Z91" s="334" t="s">
        <v>103</v>
      </c>
      <c r="AA91" s="334" t="s">
        <v>22</v>
      </c>
      <c r="AB91" s="334" t="s">
        <v>11</v>
      </c>
      <c r="AC91" s="334">
        <v>4</v>
      </c>
      <c r="AD91" s="343"/>
      <c r="AG91" s="344"/>
      <c r="AL91" s="343"/>
      <c r="AO91" s="344"/>
      <c r="AP91" s="343"/>
      <c r="AS91" s="344"/>
      <c r="AW91" s="344"/>
      <c r="BA91" s="345"/>
    </row>
    <row r="92" spans="1:53" s="73" customFormat="1" x14ac:dyDescent="0.15">
      <c r="A92" s="73">
        <v>2001</v>
      </c>
      <c r="B92" s="85">
        <v>37222</v>
      </c>
      <c r="C92" s="811" t="s">
        <v>279</v>
      </c>
      <c r="D92" s="811"/>
      <c r="E92" s="73">
        <f>365-E91</f>
        <v>35</v>
      </c>
      <c r="F92" s="73">
        <v>1</v>
      </c>
      <c r="G92" s="123">
        <v>18</v>
      </c>
      <c r="J92" s="134">
        <v>18</v>
      </c>
      <c r="K92" s="92">
        <f t="shared" si="28"/>
        <v>100</v>
      </c>
      <c r="L92" s="92">
        <f t="shared" si="29"/>
        <v>0</v>
      </c>
      <c r="M92" s="92">
        <f t="shared" si="30"/>
        <v>0</v>
      </c>
      <c r="N92" s="125">
        <f t="shared" si="26"/>
        <v>100</v>
      </c>
      <c r="O92" s="91">
        <v>41.1</v>
      </c>
      <c r="P92" s="92"/>
      <c r="Q92" s="92"/>
      <c r="R92" s="93">
        <f t="shared" si="27"/>
        <v>41.1</v>
      </c>
      <c r="S92" s="97">
        <v>5</v>
      </c>
      <c r="T92" s="95">
        <v>37215</v>
      </c>
      <c r="U92" s="85">
        <v>37222</v>
      </c>
      <c r="V92" s="82" t="s">
        <v>72</v>
      </c>
      <c r="W92" s="73" t="s">
        <v>88</v>
      </c>
      <c r="X92" s="73" t="s">
        <v>11</v>
      </c>
      <c r="Y92" s="83">
        <v>32</v>
      </c>
      <c r="Z92" s="73" t="s">
        <v>105</v>
      </c>
      <c r="AA92" s="73" t="s">
        <v>74</v>
      </c>
      <c r="AB92" s="73" t="s">
        <v>11</v>
      </c>
      <c r="AC92" s="73">
        <v>9.1</v>
      </c>
      <c r="AD92" s="82"/>
      <c r="AG92" s="83"/>
      <c r="AL92" s="82"/>
      <c r="AO92" s="83"/>
      <c r="AP92" s="82"/>
      <c r="AS92" s="83"/>
      <c r="AW92" s="83"/>
      <c r="BA92" s="84"/>
    </row>
    <row r="93" spans="1:53" s="73" customFormat="1" x14ac:dyDescent="0.15">
      <c r="A93" s="73">
        <v>2002</v>
      </c>
      <c r="C93" s="811" t="s">
        <v>279</v>
      </c>
      <c r="D93" s="811"/>
      <c r="E93" s="73">
        <v>0</v>
      </c>
      <c r="G93" s="123">
        <v>18</v>
      </c>
      <c r="J93" s="134">
        <v>18</v>
      </c>
      <c r="K93" s="92">
        <f t="shared" si="28"/>
        <v>100</v>
      </c>
      <c r="L93" s="92">
        <f t="shared" si="29"/>
        <v>0</v>
      </c>
      <c r="M93" s="92">
        <f t="shared" si="30"/>
        <v>0</v>
      </c>
      <c r="N93" s="125">
        <f t="shared" si="26"/>
        <v>100</v>
      </c>
      <c r="O93" s="91">
        <v>41.1</v>
      </c>
      <c r="P93" s="92"/>
      <c r="Q93" s="92"/>
      <c r="R93" s="93">
        <f t="shared" si="27"/>
        <v>41.1</v>
      </c>
      <c r="S93" s="97">
        <v>5</v>
      </c>
      <c r="T93" s="95"/>
      <c r="U93" s="85"/>
      <c r="V93" s="82" t="s">
        <v>72</v>
      </c>
      <c r="W93" s="73" t="s">
        <v>88</v>
      </c>
      <c r="X93" s="73" t="s">
        <v>11</v>
      </c>
      <c r="Y93" s="83">
        <v>32</v>
      </c>
      <c r="Z93" s="73" t="s">
        <v>105</v>
      </c>
      <c r="AA93" s="73" t="s">
        <v>74</v>
      </c>
      <c r="AB93" s="73" t="s">
        <v>11</v>
      </c>
      <c r="AC93" s="73">
        <v>9.1</v>
      </c>
      <c r="AD93" s="82"/>
      <c r="AG93" s="83"/>
      <c r="AL93" s="82"/>
      <c r="AO93" s="83"/>
      <c r="AP93" s="82"/>
      <c r="AS93" s="83"/>
      <c r="AW93" s="83"/>
      <c r="BA93" s="84"/>
    </row>
    <row r="94" spans="1:53" s="73" customFormat="1" x14ac:dyDescent="0.15">
      <c r="A94" s="73">
        <v>2002</v>
      </c>
      <c r="C94" s="811" t="s">
        <v>279</v>
      </c>
      <c r="D94" s="811"/>
      <c r="E94" s="73">
        <f>365-E93</f>
        <v>365</v>
      </c>
      <c r="G94" s="123">
        <v>18</v>
      </c>
      <c r="J94" s="134">
        <v>18</v>
      </c>
      <c r="K94" s="92">
        <f t="shared" si="28"/>
        <v>100</v>
      </c>
      <c r="L94" s="92">
        <f t="shared" si="29"/>
        <v>0</v>
      </c>
      <c r="M94" s="92">
        <f t="shared" si="30"/>
        <v>0</v>
      </c>
      <c r="N94" s="125">
        <f t="shared" si="26"/>
        <v>100</v>
      </c>
      <c r="O94" s="91">
        <v>41.1</v>
      </c>
      <c r="P94" s="92"/>
      <c r="Q94" s="92"/>
      <c r="R94" s="93">
        <f t="shared" si="27"/>
        <v>41.1</v>
      </c>
      <c r="S94" s="97">
        <v>5</v>
      </c>
      <c r="T94" s="95"/>
      <c r="U94" s="85"/>
      <c r="V94" s="82" t="s">
        <v>72</v>
      </c>
      <c r="W94" s="73" t="s">
        <v>88</v>
      </c>
      <c r="X94" s="73" t="s">
        <v>11</v>
      </c>
      <c r="Y94" s="83">
        <v>32</v>
      </c>
      <c r="Z94" s="73" t="s">
        <v>105</v>
      </c>
      <c r="AA94" s="73" t="s">
        <v>74</v>
      </c>
      <c r="AB94" s="73" t="s">
        <v>11</v>
      </c>
      <c r="AC94" s="73">
        <v>9.1</v>
      </c>
      <c r="AD94" s="82"/>
      <c r="AG94" s="83"/>
      <c r="AL94" s="82"/>
      <c r="AO94" s="83"/>
      <c r="AP94" s="82"/>
      <c r="AS94" s="83"/>
      <c r="AW94" s="83"/>
      <c r="BA94" s="84"/>
    </row>
    <row r="95" spans="1:53" s="73" customFormat="1" x14ac:dyDescent="0.15">
      <c r="A95" s="73">
        <v>2003</v>
      </c>
      <c r="C95" s="811" t="s">
        <v>279</v>
      </c>
      <c r="D95" s="811"/>
      <c r="E95" s="73">
        <v>0</v>
      </c>
      <c r="G95" s="123">
        <v>18</v>
      </c>
      <c r="J95" s="134">
        <v>18</v>
      </c>
      <c r="K95" s="92">
        <f t="shared" si="28"/>
        <v>100</v>
      </c>
      <c r="L95" s="92">
        <f t="shared" si="29"/>
        <v>0</v>
      </c>
      <c r="M95" s="92">
        <f t="shared" si="30"/>
        <v>0</v>
      </c>
      <c r="N95" s="125">
        <f t="shared" si="26"/>
        <v>100</v>
      </c>
      <c r="O95" s="91">
        <v>41.1</v>
      </c>
      <c r="P95" s="92"/>
      <c r="Q95" s="92"/>
      <c r="R95" s="93">
        <f t="shared" si="27"/>
        <v>41.1</v>
      </c>
      <c r="S95" s="97">
        <v>5</v>
      </c>
      <c r="T95" s="95"/>
      <c r="U95" s="85"/>
      <c r="V95" s="82" t="s">
        <v>72</v>
      </c>
      <c r="W95" s="73" t="s">
        <v>88</v>
      </c>
      <c r="X95" s="73" t="s">
        <v>11</v>
      </c>
      <c r="Y95" s="83">
        <v>32</v>
      </c>
      <c r="Z95" s="73" t="s">
        <v>105</v>
      </c>
      <c r="AA95" s="73" t="s">
        <v>74</v>
      </c>
      <c r="AB95" s="73" t="s">
        <v>11</v>
      </c>
      <c r="AC95" s="73">
        <v>9.1</v>
      </c>
      <c r="AD95" s="82"/>
      <c r="AG95" s="83"/>
      <c r="AL95" s="82"/>
      <c r="AO95" s="83"/>
      <c r="AP95" s="82"/>
      <c r="AS95" s="83"/>
      <c r="AW95" s="83"/>
      <c r="BA95" s="84"/>
    </row>
    <row r="96" spans="1:53" s="73" customFormat="1" x14ac:dyDescent="0.15">
      <c r="A96" s="73">
        <v>2003</v>
      </c>
      <c r="C96" s="811" t="s">
        <v>279</v>
      </c>
      <c r="D96" s="811"/>
      <c r="E96" s="73">
        <f>365-E95</f>
        <v>365</v>
      </c>
      <c r="G96" s="123">
        <v>18</v>
      </c>
      <c r="J96" s="134">
        <v>18</v>
      </c>
      <c r="K96" s="92">
        <f t="shared" si="28"/>
        <v>100</v>
      </c>
      <c r="L96" s="92">
        <f t="shared" si="29"/>
        <v>0</v>
      </c>
      <c r="M96" s="92">
        <f t="shared" si="30"/>
        <v>0</v>
      </c>
      <c r="N96" s="125">
        <f t="shared" si="26"/>
        <v>100</v>
      </c>
      <c r="O96" s="91">
        <v>41.1</v>
      </c>
      <c r="P96" s="92"/>
      <c r="Q96" s="92"/>
      <c r="R96" s="93">
        <f t="shared" si="27"/>
        <v>41.1</v>
      </c>
      <c r="S96" s="97">
        <v>5</v>
      </c>
      <c r="T96" s="95"/>
      <c r="U96" s="85"/>
      <c r="V96" s="82" t="s">
        <v>72</v>
      </c>
      <c r="W96" s="73" t="s">
        <v>88</v>
      </c>
      <c r="X96" s="73" t="s">
        <v>11</v>
      </c>
      <c r="Y96" s="83">
        <v>32</v>
      </c>
      <c r="Z96" s="73" t="s">
        <v>105</v>
      </c>
      <c r="AA96" s="73" t="s">
        <v>74</v>
      </c>
      <c r="AB96" s="73" t="s">
        <v>11</v>
      </c>
      <c r="AC96" s="73">
        <v>9.1</v>
      </c>
      <c r="AD96" s="82"/>
      <c r="AG96" s="83"/>
      <c r="AL96" s="82"/>
      <c r="AO96" s="83"/>
      <c r="AP96" s="82"/>
      <c r="AS96" s="83"/>
      <c r="AW96" s="83"/>
      <c r="BA96" s="84"/>
    </row>
    <row r="97" spans="1:53" s="73" customFormat="1" x14ac:dyDescent="0.15">
      <c r="A97" s="73">
        <v>2004</v>
      </c>
      <c r="C97" s="811" t="s">
        <v>279</v>
      </c>
      <c r="D97" s="811"/>
      <c r="E97" s="73">
        <v>214</v>
      </c>
      <c r="G97" s="123">
        <v>18</v>
      </c>
      <c r="J97" s="134">
        <v>18</v>
      </c>
      <c r="K97" s="92">
        <f t="shared" si="28"/>
        <v>100</v>
      </c>
      <c r="L97" s="92">
        <f t="shared" si="29"/>
        <v>0</v>
      </c>
      <c r="M97" s="92">
        <f t="shared" si="30"/>
        <v>0</v>
      </c>
      <c r="N97" s="125">
        <f t="shared" si="26"/>
        <v>100</v>
      </c>
      <c r="O97" s="91">
        <v>41.1</v>
      </c>
      <c r="P97" s="92"/>
      <c r="Q97" s="92"/>
      <c r="R97" s="93">
        <f t="shared" si="27"/>
        <v>41.1</v>
      </c>
      <c r="S97" s="97">
        <v>5</v>
      </c>
      <c r="T97" s="95"/>
      <c r="U97" s="85"/>
      <c r="V97" s="82" t="s">
        <v>72</v>
      </c>
      <c r="W97" s="73" t="s">
        <v>88</v>
      </c>
      <c r="X97" s="73" t="s">
        <v>11</v>
      </c>
      <c r="Y97" s="83">
        <v>32</v>
      </c>
      <c r="Z97" s="73" t="s">
        <v>105</v>
      </c>
      <c r="AA97" s="73" t="s">
        <v>74</v>
      </c>
      <c r="AB97" s="73" t="s">
        <v>11</v>
      </c>
      <c r="AC97" s="73">
        <v>9.1</v>
      </c>
      <c r="AD97" s="82"/>
      <c r="AG97" s="83"/>
      <c r="AL97" s="82"/>
      <c r="AO97" s="83"/>
      <c r="AP97" s="82"/>
      <c r="AS97" s="83"/>
      <c r="AW97" s="83"/>
      <c r="BA97" s="84"/>
    </row>
    <row r="98" spans="1:53" s="73" customFormat="1" x14ac:dyDescent="0.15">
      <c r="A98" s="73">
        <v>2004</v>
      </c>
      <c r="B98" s="149">
        <v>38201</v>
      </c>
      <c r="C98" s="811" t="s">
        <v>279</v>
      </c>
      <c r="D98" s="811"/>
      <c r="E98" s="73">
        <v>152</v>
      </c>
      <c r="F98" s="150">
        <v>0</v>
      </c>
      <c r="G98" s="123">
        <v>19</v>
      </c>
      <c r="J98" s="134">
        <v>19</v>
      </c>
      <c r="K98" s="92">
        <f t="shared" si="28"/>
        <v>100</v>
      </c>
      <c r="L98" s="92">
        <f t="shared" si="29"/>
        <v>0</v>
      </c>
      <c r="M98" s="92">
        <f t="shared" si="30"/>
        <v>0</v>
      </c>
      <c r="N98" s="125">
        <f t="shared" si="26"/>
        <v>100</v>
      </c>
      <c r="O98" s="91">
        <v>41.1</v>
      </c>
      <c r="P98" s="92"/>
      <c r="Q98" s="92"/>
      <c r="R98" s="93">
        <f t="shared" si="27"/>
        <v>41.1</v>
      </c>
      <c r="S98" s="97">
        <v>5</v>
      </c>
      <c r="T98" s="95"/>
      <c r="U98" s="85"/>
      <c r="V98" s="82" t="s">
        <v>72</v>
      </c>
      <c r="W98" s="73" t="s">
        <v>88</v>
      </c>
      <c r="X98" s="73" t="s">
        <v>11</v>
      </c>
      <c r="Y98" s="83">
        <v>32</v>
      </c>
      <c r="Z98" s="73" t="s">
        <v>105</v>
      </c>
      <c r="AA98" s="73" t="s">
        <v>74</v>
      </c>
      <c r="AB98" s="73" t="s">
        <v>11</v>
      </c>
      <c r="AC98" s="73">
        <v>9.1</v>
      </c>
      <c r="AD98" s="82"/>
      <c r="AG98" s="83"/>
      <c r="AL98" s="82"/>
      <c r="AO98" s="83"/>
      <c r="AP98" s="82"/>
      <c r="AS98" s="83"/>
      <c r="AW98" s="83"/>
      <c r="BA98" s="84"/>
    </row>
    <row r="99" spans="1:53" s="73" customFormat="1" x14ac:dyDescent="0.15">
      <c r="A99" s="73">
        <v>2005</v>
      </c>
      <c r="C99" s="811" t="s">
        <v>279</v>
      </c>
      <c r="D99" s="811"/>
      <c r="E99" s="73">
        <v>48</v>
      </c>
      <c r="G99" s="123">
        <v>19</v>
      </c>
      <c r="J99" s="134">
        <v>19</v>
      </c>
      <c r="K99" s="92">
        <f t="shared" si="28"/>
        <v>100</v>
      </c>
      <c r="L99" s="92">
        <f t="shared" si="29"/>
        <v>0</v>
      </c>
      <c r="M99" s="92">
        <f t="shared" si="30"/>
        <v>0</v>
      </c>
      <c r="N99" s="125">
        <f t="shared" si="26"/>
        <v>100</v>
      </c>
      <c r="O99" s="91">
        <v>41.1</v>
      </c>
      <c r="P99" s="92"/>
      <c r="Q99" s="92"/>
      <c r="R99" s="93">
        <f t="shared" si="27"/>
        <v>41.1</v>
      </c>
      <c r="S99" s="97">
        <v>5</v>
      </c>
      <c r="T99" s="95"/>
      <c r="U99" s="85"/>
      <c r="V99" s="82" t="s">
        <v>72</v>
      </c>
      <c r="W99" s="73" t="s">
        <v>88</v>
      </c>
      <c r="X99" s="73" t="s">
        <v>11</v>
      </c>
      <c r="Y99" s="83">
        <v>32</v>
      </c>
      <c r="Z99" s="73" t="s">
        <v>105</v>
      </c>
      <c r="AA99" s="73" t="s">
        <v>74</v>
      </c>
      <c r="AB99" s="73" t="s">
        <v>11</v>
      </c>
      <c r="AC99" s="73">
        <v>9.1</v>
      </c>
      <c r="AD99" s="82"/>
      <c r="AG99" s="83"/>
      <c r="AL99" s="82"/>
      <c r="AO99" s="83"/>
      <c r="AP99" s="82"/>
      <c r="AS99" s="83"/>
      <c r="AW99" s="83"/>
      <c r="BA99" s="84"/>
    </row>
    <row r="100" spans="1:53" s="334" customFormat="1" x14ac:dyDescent="0.15">
      <c r="A100" s="334">
        <v>2005</v>
      </c>
      <c r="B100" s="355">
        <v>38401</v>
      </c>
      <c r="C100" s="812" t="s">
        <v>280</v>
      </c>
      <c r="D100" s="812"/>
      <c r="E100" s="334">
        <f>365-E99</f>
        <v>317</v>
      </c>
      <c r="F100" s="334">
        <v>1</v>
      </c>
      <c r="G100" s="419">
        <v>19</v>
      </c>
      <c r="J100" s="435">
        <v>19</v>
      </c>
      <c r="K100" s="384">
        <f t="shared" si="28"/>
        <v>100</v>
      </c>
      <c r="L100" s="384">
        <f t="shared" si="29"/>
        <v>0</v>
      </c>
      <c r="M100" s="384">
        <f t="shared" si="30"/>
        <v>0</v>
      </c>
      <c r="N100" s="421">
        <f t="shared" si="26"/>
        <v>100</v>
      </c>
      <c r="O100" s="383">
        <v>40</v>
      </c>
      <c r="P100" s="384"/>
      <c r="Q100" s="384"/>
      <c r="R100" s="385">
        <f t="shared" si="27"/>
        <v>40</v>
      </c>
      <c r="S100" s="388">
        <v>5</v>
      </c>
      <c r="T100" s="342">
        <v>38391</v>
      </c>
      <c r="U100" s="355">
        <v>38401</v>
      </c>
      <c r="V100" s="343" t="s">
        <v>72</v>
      </c>
      <c r="W100" s="334" t="s">
        <v>88</v>
      </c>
      <c r="X100" s="334" t="s">
        <v>11</v>
      </c>
      <c r="Y100" s="344">
        <v>29.7</v>
      </c>
      <c r="Z100" s="334" t="s">
        <v>105</v>
      </c>
      <c r="AA100" s="334" t="s">
        <v>74</v>
      </c>
      <c r="AB100" s="334" t="s">
        <v>11</v>
      </c>
      <c r="AC100" s="334">
        <v>10.3</v>
      </c>
      <c r="AD100" s="343"/>
      <c r="AG100" s="344"/>
      <c r="AL100" s="343"/>
      <c r="AO100" s="344"/>
      <c r="AP100" s="343"/>
      <c r="AS100" s="344"/>
      <c r="AW100" s="344"/>
      <c r="BA100" s="345"/>
    </row>
    <row r="101" spans="1:53" s="334" customFormat="1" x14ac:dyDescent="0.15">
      <c r="A101" s="334">
        <v>2006</v>
      </c>
      <c r="C101" s="812" t="s">
        <v>280</v>
      </c>
      <c r="D101" s="812"/>
      <c r="E101" s="334">
        <v>0</v>
      </c>
      <c r="G101" s="419">
        <v>19</v>
      </c>
      <c r="J101" s="435">
        <v>19</v>
      </c>
      <c r="K101" s="384">
        <f t="shared" ref="K101:K110" si="31">G101/J101*100</f>
        <v>100</v>
      </c>
      <c r="L101" s="384">
        <f t="shared" ref="L101:L110" si="32">H101/J101*100</f>
        <v>0</v>
      </c>
      <c r="M101" s="384">
        <f t="shared" ref="M101:M110" si="33">I101/J101*100</f>
        <v>0</v>
      </c>
      <c r="N101" s="421">
        <f t="shared" si="26"/>
        <v>100</v>
      </c>
      <c r="O101" s="383">
        <v>40</v>
      </c>
      <c r="P101" s="384"/>
      <c r="Q101" s="384"/>
      <c r="R101" s="385">
        <f t="shared" si="27"/>
        <v>40</v>
      </c>
      <c r="S101" s="388">
        <v>5</v>
      </c>
      <c r="T101" s="342"/>
      <c r="U101" s="355"/>
      <c r="V101" s="343" t="s">
        <v>72</v>
      </c>
      <c r="W101" s="334" t="s">
        <v>88</v>
      </c>
      <c r="X101" s="334" t="s">
        <v>11</v>
      </c>
      <c r="Y101" s="344">
        <v>29.7</v>
      </c>
      <c r="Z101" s="334" t="s">
        <v>105</v>
      </c>
      <c r="AA101" s="334" t="s">
        <v>74</v>
      </c>
      <c r="AB101" s="334" t="s">
        <v>11</v>
      </c>
      <c r="AC101" s="334">
        <v>10.3</v>
      </c>
      <c r="AD101" s="343"/>
      <c r="AG101" s="344"/>
      <c r="AL101" s="343"/>
      <c r="AO101" s="344"/>
      <c r="AP101" s="343"/>
      <c r="AS101" s="344"/>
      <c r="AW101" s="344"/>
      <c r="BA101" s="345"/>
    </row>
    <row r="102" spans="1:53" s="334" customFormat="1" x14ac:dyDescent="0.15">
      <c r="A102" s="334">
        <v>2006</v>
      </c>
      <c r="C102" s="812" t="s">
        <v>280</v>
      </c>
      <c r="D102" s="812"/>
      <c r="E102" s="334">
        <v>365</v>
      </c>
      <c r="G102" s="419">
        <v>19</v>
      </c>
      <c r="J102" s="435">
        <v>19</v>
      </c>
      <c r="K102" s="384">
        <f t="shared" si="31"/>
        <v>100</v>
      </c>
      <c r="L102" s="384">
        <f t="shared" si="32"/>
        <v>0</v>
      </c>
      <c r="M102" s="384">
        <f t="shared" si="33"/>
        <v>0</v>
      </c>
      <c r="N102" s="421">
        <f t="shared" si="26"/>
        <v>100</v>
      </c>
      <c r="O102" s="383">
        <v>40</v>
      </c>
      <c r="P102" s="384"/>
      <c r="Q102" s="384"/>
      <c r="R102" s="385">
        <f t="shared" si="27"/>
        <v>40</v>
      </c>
      <c r="S102" s="388">
        <v>5</v>
      </c>
      <c r="T102" s="342"/>
      <c r="U102" s="355"/>
      <c r="V102" s="343" t="s">
        <v>72</v>
      </c>
      <c r="W102" s="334" t="s">
        <v>88</v>
      </c>
      <c r="X102" s="334" t="s">
        <v>11</v>
      </c>
      <c r="Y102" s="344">
        <v>29.7</v>
      </c>
      <c r="Z102" s="334" t="s">
        <v>105</v>
      </c>
      <c r="AA102" s="334" t="s">
        <v>74</v>
      </c>
      <c r="AB102" s="334" t="s">
        <v>11</v>
      </c>
      <c r="AC102" s="334">
        <v>10.3</v>
      </c>
      <c r="AD102" s="343"/>
      <c r="AG102" s="344"/>
      <c r="AL102" s="343"/>
      <c r="AO102" s="344"/>
      <c r="AP102" s="343"/>
      <c r="AS102" s="344"/>
      <c r="AW102" s="344"/>
      <c r="BA102" s="345"/>
    </row>
    <row r="103" spans="1:53" s="334" customFormat="1" x14ac:dyDescent="0.15">
      <c r="A103" s="334">
        <v>2007</v>
      </c>
      <c r="C103" s="812" t="s">
        <v>280</v>
      </c>
      <c r="D103" s="812"/>
      <c r="E103" s="334">
        <f>365-E104</f>
        <v>326</v>
      </c>
      <c r="G103" s="419">
        <v>19</v>
      </c>
      <c r="J103" s="435">
        <v>19</v>
      </c>
      <c r="K103" s="384">
        <f t="shared" si="31"/>
        <v>100</v>
      </c>
      <c r="L103" s="384">
        <f t="shared" si="32"/>
        <v>0</v>
      </c>
      <c r="M103" s="384">
        <f t="shared" si="33"/>
        <v>0</v>
      </c>
      <c r="N103" s="421">
        <f t="shared" si="26"/>
        <v>100</v>
      </c>
      <c r="O103" s="383">
        <v>40</v>
      </c>
      <c r="P103" s="384"/>
      <c r="Q103" s="384"/>
      <c r="R103" s="385">
        <f t="shared" si="27"/>
        <v>40</v>
      </c>
      <c r="S103" s="388">
        <v>5</v>
      </c>
      <c r="T103" s="342"/>
      <c r="U103" s="355"/>
      <c r="V103" s="343" t="s">
        <v>72</v>
      </c>
      <c r="W103" s="334" t="s">
        <v>88</v>
      </c>
      <c r="X103" s="334" t="s">
        <v>11</v>
      </c>
      <c r="Y103" s="344">
        <v>29.7</v>
      </c>
      <c r="Z103" s="334" t="s">
        <v>105</v>
      </c>
      <c r="AA103" s="334" t="s">
        <v>74</v>
      </c>
      <c r="AB103" s="334" t="s">
        <v>11</v>
      </c>
      <c r="AC103" s="334">
        <v>10.3</v>
      </c>
      <c r="AD103" s="343"/>
      <c r="AG103" s="344"/>
      <c r="AL103" s="343"/>
      <c r="AO103" s="344"/>
      <c r="AP103" s="343"/>
      <c r="AS103" s="344"/>
      <c r="AW103" s="344"/>
      <c r="BA103" s="345"/>
    </row>
    <row r="104" spans="1:53" s="73" customFormat="1" x14ac:dyDescent="0.15">
      <c r="A104" s="73">
        <v>2007</v>
      </c>
      <c r="B104" s="85">
        <v>39409</v>
      </c>
      <c r="C104" s="811" t="s">
        <v>281</v>
      </c>
      <c r="D104" s="811"/>
      <c r="E104" s="73">
        <v>39</v>
      </c>
      <c r="F104" s="73">
        <v>1</v>
      </c>
      <c r="G104" s="123">
        <v>19</v>
      </c>
      <c r="J104" s="134">
        <v>19</v>
      </c>
      <c r="K104" s="92">
        <f t="shared" si="31"/>
        <v>100</v>
      </c>
      <c r="L104" s="92">
        <f t="shared" si="32"/>
        <v>0</v>
      </c>
      <c r="M104" s="92">
        <f t="shared" si="33"/>
        <v>0</v>
      </c>
      <c r="N104" s="125">
        <f t="shared" si="26"/>
        <v>100</v>
      </c>
      <c r="O104" s="91">
        <v>36.6</v>
      </c>
      <c r="P104" s="92"/>
      <c r="Q104" s="92"/>
      <c r="R104" s="93">
        <f t="shared" si="27"/>
        <v>36.6</v>
      </c>
      <c r="S104" s="97">
        <v>5</v>
      </c>
      <c r="T104" s="95">
        <v>39399</v>
      </c>
      <c r="U104" s="85">
        <v>39409</v>
      </c>
      <c r="V104" s="82" t="s">
        <v>72</v>
      </c>
      <c r="W104" s="73" t="s">
        <v>88</v>
      </c>
      <c r="X104" s="73" t="s">
        <v>11</v>
      </c>
      <c r="Y104" s="83">
        <v>26.3</v>
      </c>
      <c r="Z104" s="73" t="s">
        <v>105</v>
      </c>
      <c r="AA104" s="73" t="s">
        <v>74</v>
      </c>
      <c r="AB104" s="73" t="s">
        <v>11</v>
      </c>
      <c r="AC104" s="73">
        <v>10.3</v>
      </c>
      <c r="AD104" s="82"/>
      <c r="AG104" s="83"/>
      <c r="AL104" s="82"/>
      <c r="AO104" s="83"/>
      <c r="AP104" s="82"/>
      <c r="AS104" s="83"/>
      <c r="AW104" s="83"/>
      <c r="BA104" s="84"/>
    </row>
    <row r="105" spans="1:53" s="73" customFormat="1" x14ac:dyDescent="0.15">
      <c r="A105" s="73">
        <v>2008</v>
      </c>
      <c r="C105" s="811" t="s">
        <v>281</v>
      </c>
      <c r="D105" s="811"/>
      <c r="E105" s="73">
        <v>0</v>
      </c>
      <c r="G105" s="123">
        <v>19</v>
      </c>
      <c r="J105" s="134">
        <v>19</v>
      </c>
      <c r="K105" s="92">
        <f t="shared" si="31"/>
        <v>100</v>
      </c>
      <c r="L105" s="92">
        <f t="shared" si="32"/>
        <v>0</v>
      </c>
      <c r="M105" s="92">
        <f t="shared" si="33"/>
        <v>0</v>
      </c>
      <c r="N105" s="125">
        <f t="shared" si="26"/>
        <v>100</v>
      </c>
      <c r="O105" s="91">
        <v>36.6</v>
      </c>
      <c r="P105" s="92"/>
      <c r="Q105" s="92"/>
      <c r="R105" s="93">
        <f t="shared" si="27"/>
        <v>36.6</v>
      </c>
      <c r="S105" s="97">
        <v>5</v>
      </c>
      <c r="T105" s="95"/>
      <c r="U105" s="85"/>
      <c r="V105" s="82" t="s">
        <v>72</v>
      </c>
      <c r="W105" s="73" t="s">
        <v>88</v>
      </c>
      <c r="X105" s="73" t="s">
        <v>11</v>
      </c>
      <c r="Y105" s="83">
        <v>26.3</v>
      </c>
      <c r="Z105" s="73" t="s">
        <v>105</v>
      </c>
      <c r="AA105" s="73" t="s">
        <v>74</v>
      </c>
      <c r="AB105" s="73" t="s">
        <v>11</v>
      </c>
      <c r="AC105" s="73">
        <v>10.3</v>
      </c>
      <c r="AD105" s="82"/>
      <c r="AG105" s="83"/>
      <c r="AL105" s="82"/>
      <c r="AO105" s="83"/>
      <c r="AP105" s="82"/>
      <c r="AS105" s="83"/>
      <c r="AW105" s="83"/>
      <c r="BA105" s="84"/>
    </row>
    <row r="106" spans="1:53" s="73" customFormat="1" x14ac:dyDescent="0.15">
      <c r="A106" s="73">
        <v>2008</v>
      </c>
      <c r="C106" s="811" t="s">
        <v>281</v>
      </c>
      <c r="D106" s="811"/>
      <c r="E106" s="73">
        <v>366</v>
      </c>
      <c r="G106" s="123">
        <v>19</v>
      </c>
      <c r="J106" s="134">
        <v>19</v>
      </c>
      <c r="K106" s="92">
        <f t="shared" si="31"/>
        <v>100</v>
      </c>
      <c r="L106" s="92">
        <f t="shared" si="32"/>
        <v>0</v>
      </c>
      <c r="M106" s="92">
        <f t="shared" si="33"/>
        <v>0</v>
      </c>
      <c r="N106" s="125">
        <f t="shared" si="26"/>
        <v>100</v>
      </c>
      <c r="O106" s="91">
        <v>36.6</v>
      </c>
      <c r="P106" s="92"/>
      <c r="Q106" s="92"/>
      <c r="R106" s="93">
        <f t="shared" si="27"/>
        <v>36.6</v>
      </c>
      <c r="S106" s="97">
        <v>5</v>
      </c>
      <c r="T106" s="95"/>
      <c r="U106" s="85"/>
      <c r="V106" s="82" t="s">
        <v>72</v>
      </c>
      <c r="W106" s="73" t="s">
        <v>88</v>
      </c>
      <c r="X106" s="73" t="s">
        <v>11</v>
      </c>
      <c r="Y106" s="83">
        <v>26.3</v>
      </c>
      <c r="Z106" s="73" t="s">
        <v>105</v>
      </c>
      <c r="AA106" s="73" t="s">
        <v>74</v>
      </c>
      <c r="AB106" s="73" t="s">
        <v>11</v>
      </c>
      <c r="AC106" s="73">
        <v>10.3</v>
      </c>
      <c r="AD106" s="82"/>
      <c r="AG106" s="83"/>
      <c r="AL106" s="82"/>
      <c r="AO106" s="83"/>
      <c r="AP106" s="82"/>
      <c r="AS106" s="83"/>
      <c r="AW106" s="83"/>
      <c r="BA106" s="84"/>
    </row>
    <row r="107" spans="1:53" s="73" customFormat="1" x14ac:dyDescent="0.15">
      <c r="A107" s="73">
        <v>2009</v>
      </c>
      <c r="C107" s="811" t="s">
        <v>281</v>
      </c>
      <c r="D107" s="811"/>
      <c r="E107" s="73">
        <v>94</v>
      </c>
      <c r="G107" s="123">
        <v>19</v>
      </c>
      <c r="J107" s="134">
        <v>19</v>
      </c>
      <c r="K107" s="92">
        <f t="shared" si="31"/>
        <v>100</v>
      </c>
      <c r="L107" s="92">
        <f t="shared" si="32"/>
        <v>0</v>
      </c>
      <c r="M107" s="92">
        <f t="shared" si="33"/>
        <v>0</v>
      </c>
      <c r="N107" s="125">
        <f t="shared" si="26"/>
        <v>100</v>
      </c>
      <c r="O107" s="91">
        <v>36.6</v>
      </c>
      <c r="P107" s="92"/>
      <c r="Q107" s="92"/>
      <c r="R107" s="93">
        <f t="shared" si="27"/>
        <v>36.6</v>
      </c>
      <c r="S107" s="97">
        <v>5</v>
      </c>
      <c r="T107" s="95"/>
      <c r="U107" s="85"/>
      <c r="V107" s="82" t="s">
        <v>72</v>
      </c>
      <c r="W107" s="73" t="s">
        <v>88</v>
      </c>
      <c r="X107" s="73" t="s">
        <v>11</v>
      </c>
      <c r="Y107" s="83">
        <v>26.3</v>
      </c>
      <c r="Z107" s="73" t="s">
        <v>105</v>
      </c>
      <c r="AA107" s="73" t="s">
        <v>74</v>
      </c>
      <c r="AB107" s="73" t="s">
        <v>11</v>
      </c>
      <c r="AC107" s="73">
        <v>10.3</v>
      </c>
      <c r="AD107" s="82"/>
      <c r="AG107" s="83"/>
      <c r="AL107" s="82"/>
      <c r="AO107" s="83"/>
      <c r="AP107" s="82"/>
      <c r="AS107" s="83"/>
      <c r="AW107" s="83"/>
      <c r="BA107" s="84"/>
    </row>
    <row r="108" spans="1:53" s="334" customFormat="1" x14ac:dyDescent="0.15">
      <c r="A108" s="334">
        <v>2009</v>
      </c>
      <c r="B108" s="355">
        <v>39908</v>
      </c>
      <c r="C108" s="812" t="s">
        <v>282</v>
      </c>
      <c r="D108" s="812"/>
      <c r="E108" s="334">
        <v>271</v>
      </c>
      <c r="F108" s="334">
        <v>2</v>
      </c>
      <c r="G108" s="419">
        <v>19</v>
      </c>
      <c r="J108" s="435">
        <v>19</v>
      </c>
      <c r="K108" s="384">
        <f t="shared" si="31"/>
        <v>100</v>
      </c>
      <c r="L108" s="384">
        <f t="shared" si="32"/>
        <v>0</v>
      </c>
      <c r="M108" s="384">
        <f t="shared" si="33"/>
        <v>0</v>
      </c>
      <c r="N108" s="421">
        <f t="shared" si="26"/>
        <v>100</v>
      </c>
      <c r="O108" s="383">
        <v>36.6</v>
      </c>
      <c r="P108" s="384"/>
      <c r="Q108" s="384"/>
      <c r="R108" s="385">
        <f t="shared" si="27"/>
        <v>36.6</v>
      </c>
      <c r="S108" s="388">
        <v>5</v>
      </c>
      <c r="T108" s="342"/>
      <c r="U108" s="355">
        <v>39908</v>
      </c>
      <c r="V108" s="343" t="s">
        <v>72</v>
      </c>
      <c r="W108" s="334" t="s">
        <v>88</v>
      </c>
      <c r="X108" s="334" t="s">
        <v>11</v>
      </c>
      <c r="Y108" s="344">
        <v>26.3</v>
      </c>
      <c r="Z108" s="334" t="s">
        <v>105</v>
      </c>
      <c r="AA108" s="334" t="s">
        <v>74</v>
      </c>
      <c r="AB108" s="334" t="s">
        <v>11</v>
      </c>
      <c r="AC108" s="334">
        <v>10.3</v>
      </c>
      <c r="AD108" s="343"/>
      <c r="AG108" s="344"/>
      <c r="AL108" s="343"/>
      <c r="AO108" s="344"/>
      <c r="AP108" s="343"/>
      <c r="AS108" s="344"/>
      <c r="AW108" s="344"/>
      <c r="BA108" s="345"/>
    </row>
    <row r="109" spans="1:53" s="334" customFormat="1" x14ac:dyDescent="0.15">
      <c r="A109" s="334">
        <v>2010</v>
      </c>
      <c r="C109" s="812" t="s">
        <v>282</v>
      </c>
      <c r="D109" s="812"/>
      <c r="E109" s="334">
        <v>0</v>
      </c>
      <c r="G109" s="419">
        <v>19</v>
      </c>
      <c r="J109" s="435">
        <v>19</v>
      </c>
      <c r="K109" s="384">
        <f t="shared" si="31"/>
        <v>100</v>
      </c>
      <c r="L109" s="384">
        <f t="shared" si="32"/>
        <v>0</v>
      </c>
      <c r="M109" s="384">
        <f t="shared" si="33"/>
        <v>0</v>
      </c>
      <c r="N109" s="421">
        <f t="shared" si="26"/>
        <v>100</v>
      </c>
      <c r="O109" s="383">
        <v>36.6</v>
      </c>
      <c r="P109" s="384"/>
      <c r="Q109" s="384"/>
      <c r="R109" s="385">
        <f t="shared" si="27"/>
        <v>36.6</v>
      </c>
      <c r="S109" s="388">
        <v>5</v>
      </c>
      <c r="T109" s="342"/>
      <c r="U109" s="355"/>
      <c r="V109" s="343" t="s">
        <v>72</v>
      </c>
      <c r="W109" s="334" t="s">
        <v>88</v>
      </c>
      <c r="X109" s="334" t="s">
        <v>11</v>
      </c>
      <c r="Y109" s="344">
        <v>26.3</v>
      </c>
      <c r="Z109" s="334" t="s">
        <v>105</v>
      </c>
      <c r="AA109" s="334" t="s">
        <v>74</v>
      </c>
      <c r="AB109" s="334" t="s">
        <v>11</v>
      </c>
      <c r="AC109" s="334">
        <v>10.3</v>
      </c>
      <c r="AD109" s="343"/>
      <c r="AG109" s="344"/>
      <c r="AL109" s="343"/>
      <c r="AO109" s="344"/>
      <c r="AP109" s="343"/>
      <c r="AS109" s="344"/>
      <c r="AW109" s="344"/>
      <c r="BA109" s="345"/>
    </row>
    <row r="110" spans="1:53" s="334" customFormat="1" x14ac:dyDescent="0.15">
      <c r="A110" s="334">
        <v>2010</v>
      </c>
      <c r="C110" s="812" t="s">
        <v>282</v>
      </c>
      <c r="D110" s="812"/>
      <c r="E110" s="334">
        <v>365</v>
      </c>
      <c r="G110" s="419">
        <v>19</v>
      </c>
      <c r="J110" s="435">
        <v>19</v>
      </c>
      <c r="K110" s="384">
        <f t="shared" si="31"/>
        <v>100</v>
      </c>
      <c r="L110" s="384">
        <f t="shared" si="32"/>
        <v>0</v>
      </c>
      <c r="M110" s="384">
        <f t="shared" si="33"/>
        <v>0</v>
      </c>
      <c r="N110" s="421">
        <f t="shared" si="26"/>
        <v>100</v>
      </c>
      <c r="O110" s="383">
        <v>36.6</v>
      </c>
      <c r="P110" s="384"/>
      <c r="Q110" s="384"/>
      <c r="R110" s="385">
        <f t="shared" si="27"/>
        <v>36.6</v>
      </c>
      <c r="S110" s="388">
        <v>5</v>
      </c>
      <c r="T110" s="342"/>
      <c r="U110" s="355"/>
      <c r="V110" s="343" t="s">
        <v>72</v>
      </c>
      <c r="W110" s="334" t="s">
        <v>88</v>
      </c>
      <c r="X110" s="334" t="s">
        <v>11</v>
      </c>
      <c r="Y110" s="344">
        <v>26.3</v>
      </c>
      <c r="Z110" s="334" t="s">
        <v>105</v>
      </c>
      <c r="AA110" s="334" t="s">
        <v>74</v>
      </c>
      <c r="AB110" s="334" t="s">
        <v>11</v>
      </c>
      <c r="AC110" s="334">
        <v>10.3</v>
      </c>
      <c r="AD110" s="343"/>
      <c r="AG110" s="344"/>
      <c r="AL110" s="343"/>
      <c r="AO110" s="344"/>
      <c r="AP110" s="343"/>
      <c r="AS110" s="344"/>
      <c r="AW110" s="344"/>
      <c r="BA110" s="345"/>
    </row>
    <row r="111" spans="1:53" s="334" customFormat="1" x14ac:dyDescent="0.15">
      <c r="A111" s="334">
        <v>2011</v>
      </c>
      <c r="C111" s="812" t="s">
        <v>282</v>
      </c>
      <c r="D111" s="812"/>
      <c r="E111" s="334">
        <v>275</v>
      </c>
      <c r="G111" s="419">
        <v>19</v>
      </c>
      <c r="J111" s="435">
        <v>19</v>
      </c>
      <c r="K111" s="384">
        <f t="shared" ref="K111:K116" si="34">G111/J111*100</f>
        <v>100</v>
      </c>
      <c r="L111" s="384">
        <f t="shared" ref="L111:L116" si="35">H111/J111*100</f>
        <v>0</v>
      </c>
      <c r="M111" s="384">
        <f t="shared" ref="M111:M116" si="36">I111/J111*100</f>
        <v>0</v>
      </c>
      <c r="N111" s="421">
        <f t="shared" si="26"/>
        <v>100</v>
      </c>
      <c r="O111" s="383">
        <v>36.6</v>
      </c>
      <c r="P111" s="384"/>
      <c r="Q111" s="384"/>
      <c r="R111" s="385">
        <f t="shared" si="27"/>
        <v>36.6</v>
      </c>
      <c r="S111" s="388">
        <v>5</v>
      </c>
      <c r="T111" s="342"/>
      <c r="U111" s="355"/>
      <c r="V111" s="343" t="s">
        <v>72</v>
      </c>
      <c r="W111" s="334" t="s">
        <v>88</v>
      </c>
      <c r="X111" s="334" t="s">
        <v>11</v>
      </c>
      <c r="Y111" s="344">
        <v>26.3</v>
      </c>
      <c r="Z111" s="334" t="s">
        <v>105</v>
      </c>
      <c r="AA111" s="334" t="s">
        <v>74</v>
      </c>
      <c r="AB111" s="334" t="s">
        <v>11</v>
      </c>
      <c r="AC111" s="334">
        <v>10.3</v>
      </c>
      <c r="AD111" s="343"/>
      <c r="AG111" s="344"/>
      <c r="AL111" s="343"/>
      <c r="AO111" s="344"/>
      <c r="AP111" s="343"/>
      <c r="AS111" s="344"/>
      <c r="AW111" s="344"/>
      <c r="BA111" s="345"/>
    </row>
    <row r="112" spans="1:53" s="73" customFormat="1" x14ac:dyDescent="0.15">
      <c r="A112" s="73">
        <v>2011</v>
      </c>
      <c r="B112" s="85">
        <v>40819</v>
      </c>
      <c r="C112" s="811" t="s">
        <v>283</v>
      </c>
      <c r="D112" s="811"/>
      <c r="E112" s="73">
        <v>90</v>
      </c>
      <c r="F112" s="73">
        <v>1</v>
      </c>
      <c r="G112" s="123">
        <v>6</v>
      </c>
      <c r="I112" s="73">
        <v>17</v>
      </c>
      <c r="J112" s="134">
        <v>23</v>
      </c>
      <c r="K112" s="92">
        <f t="shared" si="34"/>
        <v>26.086956521739129</v>
      </c>
      <c r="L112" s="92">
        <f t="shared" si="35"/>
        <v>0</v>
      </c>
      <c r="M112" s="92">
        <f t="shared" si="36"/>
        <v>73.91304347826086</v>
      </c>
      <c r="N112" s="125">
        <f t="shared" si="26"/>
        <v>99.999999999999986</v>
      </c>
      <c r="O112" s="91">
        <v>9.6999999999999993</v>
      </c>
      <c r="P112" s="92"/>
      <c r="Q112" s="92">
        <v>34.200000000000003</v>
      </c>
      <c r="R112" s="93">
        <f t="shared" si="27"/>
        <v>43.900000000000006</v>
      </c>
      <c r="S112" s="97">
        <v>5</v>
      </c>
      <c r="T112" s="95">
        <v>40801</v>
      </c>
      <c r="U112" s="85">
        <v>40819</v>
      </c>
      <c r="V112" s="82" t="s">
        <v>102</v>
      </c>
      <c r="W112" s="73" t="s">
        <v>20</v>
      </c>
      <c r="X112" s="73" t="s">
        <v>12</v>
      </c>
      <c r="Y112" s="83">
        <v>25.1</v>
      </c>
      <c r="Z112" s="73" t="s">
        <v>103</v>
      </c>
      <c r="AA112" s="73" t="s">
        <v>22</v>
      </c>
      <c r="AB112" s="73" t="s">
        <v>11</v>
      </c>
      <c r="AC112" s="73">
        <v>9.6999999999999993</v>
      </c>
      <c r="AD112" s="82" t="s">
        <v>284</v>
      </c>
      <c r="AE112" s="73" t="s">
        <v>116</v>
      </c>
      <c r="AF112" s="73" t="s">
        <v>12</v>
      </c>
      <c r="AG112" s="83">
        <v>9.1</v>
      </c>
      <c r="AL112" s="82"/>
      <c r="AO112" s="83"/>
      <c r="AP112" s="82"/>
      <c r="AS112" s="83"/>
      <c r="AW112" s="83"/>
      <c r="BA112" s="84"/>
    </row>
    <row r="113" spans="1:53" s="73" customFormat="1" x14ac:dyDescent="0.15">
      <c r="A113" s="73">
        <v>2012</v>
      </c>
      <c r="C113" s="811" t="s">
        <v>283</v>
      </c>
      <c r="D113" s="811"/>
      <c r="E113" s="73">
        <v>0</v>
      </c>
      <c r="G113" s="123">
        <v>6</v>
      </c>
      <c r="I113" s="73">
        <v>17</v>
      </c>
      <c r="J113" s="134">
        <v>23</v>
      </c>
      <c r="K113" s="92">
        <f t="shared" si="34"/>
        <v>26.086956521739129</v>
      </c>
      <c r="L113" s="92">
        <f t="shared" si="35"/>
        <v>0</v>
      </c>
      <c r="M113" s="92">
        <f t="shared" si="36"/>
        <v>73.91304347826086</v>
      </c>
      <c r="N113" s="125">
        <f t="shared" si="26"/>
        <v>99.999999999999986</v>
      </c>
      <c r="O113" s="91">
        <v>9.6999999999999993</v>
      </c>
      <c r="P113" s="92"/>
      <c r="Q113" s="92">
        <v>34.200000000000003</v>
      </c>
      <c r="R113" s="93">
        <f t="shared" si="27"/>
        <v>43.900000000000006</v>
      </c>
      <c r="S113" s="97">
        <v>5</v>
      </c>
      <c r="T113" s="95"/>
      <c r="U113" s="85"/>
      <c r="V113" s="82" t="s">
        <v>102</v>
      </c>
      <c r="W113" s="73" t="s">
        <v>20</v>
      </c>
      <c r="X113" s="73" t="s">
        <v>12</v>
      </c>
      <c r="Y113" s="83">
        <v>25.1</v>
      </c>
      <c r="Z113" s="73" t="s">
        <v>103</v>
      </c>
      <c r="AA113" s="73" t="s">
        <v>22</v>
      </c>
      <c r="AB113" s="73" t="s">
        <v>11</v>
      </c>
      <c r="AC113" s="73">
        <v>9.6999999999999993</v>
      </c>
      <c r="AD113" s="82" t="s">
        <v>284</v>
      </c>
      <c r="AE113" s="73" t="s">
        <v>116</v>
      </c>
      <c r="AF113" s="73" t="s">
        <v>12</v>
      </c>
      <c r="AG113" s="83">
        <v>9.1</v>
      </c>
      <c r="AL113" s="82"/>
      <c r="AO113" s="83"/>
      <c r="AP113" s="82"/>
      <c r="AS113" s="83"/>
      <c r="AW113" s="83"/>
      <c r="BA113" s="84"/>
    </row>
    <row r="114" spans="1:53" s="73" customFormat="1" x14ac:dyDescent="0.15">
      <c r="A114" s="73">
        <v>2012</v>
      </c>
      <c r="C114" s="811" t="s">
        <v>283</v>
      </c>
      <c r="D114" s="811"/>
      <c r="E114" s="73">
        <v>366</v>
      </c>
      <c r="G114" s="123">
        <v>6</v>
      </c>
      <c r="I114" s="73">
        <v>17</v>
      </c>
      <c r="J114" s="134">
        <v>23</v>
      </c>
      <c r="K114" s="92">
        <f t="shared" si="34"/>
        <v>26.086956521739129</v>
      </c>
      <c r="L114" s="92">
        <f t="shared" si="35"/>
        <v>0</v>
      </c>
      <c r="M114" s="92">
        <f t="shared" si="36"/>
        <v>73.91304347826086</v>
      </c>
      <c r="N114" s="125">
        <f t="shared" si="26"/>
        <v>99.999999999999986</v>
      </c>
      <c r="O114" s="91">
        <v>9.6999999999999993</v>
      </c>
      <c r="P114" s="92"/>
      <c r="Q114" s="92">
        <v>34.200000000000003</v>
      </c>
      <c r="R114" s="93">
        <f t="shared" si="27"/>
        <v>43.900000000000006</v>
      </c>
      <c r="S114" s="97">
        <v>5</v>
      </c>
      <c r="T114" s="95"/>
      <c r="U114" s="85"/>
      <c r="V114" s="82" t="s">
        <v>102</v>
      </c>
      <c r="W114" s="73" t="s">
        <v>20</v>
      </c>
      <c r="X114" s="73" t="s">
        <v>12</v>
      </c>
      <c r="Y114" s="83">
        <v>25.1</v>
      </c>
      <c r="Z114" s="73" t="s">
        <v>103</v>
      </c>
      <c r="AA114" s="73" t="s">
        <v>22</v>
      </c>
      <c r="AB114" s="73" t="s">
        <v>11</v>
      </c>
      <c r="AC114" s="73">
        <v>9.6999999999999993</v>
      </c>
      <c r="AD114" s="82" t="s">
        <v>284</v>
      </c>
      <c r="AE114" s="73" t="s">
        <v>116</v>
      </c>
      <c r="AF114" s="73" t="s">
        <v>12</v>
      </c>
      <c r="AG114" s="83">
        <v>9.1</v>
      </c>
      <c r="AL114" s="82"/>
      <c r="AO114" s="83"/>
      <c r="AP114" s="82"/>
      <c r="AS114" s="83"/>
      <c r="AW114" s="83"/>
      <c r="BA114" s="84"/>
    </row>
    <row r="115" spans="1:53" s="297" customFormat="1" x14ac:dyDescent="0.15">
      <c r="A115" s="297">
        <v>2013</v>
      </c>
      <c r="C115" s="811" t="s">
        <v>283</v>
      </c>
      <c r="D115" s="811"/>
      <c r="E115" s="297">
        <v>220</v>
      </c>
      <c r="G115" s="123">
        <v>6</v>
      </c>
      <c r="I115" s="297">
        <v>17</v>
      </c>
      <c r="J115" s="134">
        <v>23</v>
      </c>
      <c r="K115" s="92">
        <f t="shared" si="34"/>
        <v>26.086956521739129</v>
      </c>
      <c r="L115" s="92">
        <f t="shared" si="35"/>
        <v>0</v>
      </c>
      <c r="M115" s="92">
        <f t="shared" si="36"/>
        <v>73.91304347826086</v>
      </c>
      <c r="N115" s="125">
        <f t="shared" si="26"/>
        <v>99.999999999999986</v>
      </c>
      <c r="O115" s="91">
        <v>9.6999999999999993</v>
      </c>
      <c r="P115" s="92"/>
      <c r="Q115" s="92">
        <v>34.200000000000003</v>
      </c>
      <c r="R115" s="93">
        <f t="shared" si="27"/>
        <v>43.900000000000006</v>
      </c>
      <c r="S115" s="97">
        <v>5</v>
      </c>
      <c r="T115" s="95"/>
      <c r="U115" s="295"/>
      <c r="V115" s="82" t="s">
        <v>102</v>
      </c>
      <c r="W115" s="297" t="s">
        <v>20</v>
      </c>
      <c r="X115" s="297" t="s">
        <v>12</v>
      </c>
      <c r="Y115" s="83">
        <v>25.1</v>
      </c>
      <c r="Z115" s="297" t="s">
        <v>103</v>
      </c>
      <c r="AA115" s="297" t="s">
        <v>22</v>
      </c>
      <c r="AB115" s="297" t="s">
        <v>11</v>
      </c>
      <c r="AC115" s="297">
        <v>9.6999999999999993</v>
      </c>
      <c r="AD115" s="82" t="s">
        <v>284</v>
      </c>
      <c r="AE115" s="297" t="s">
        <v>116</v>
      </c>
      <c r="AF115" s="297" t="s">
        <v>12</v>
      </c>
      <c r="AG115" s="83">
        <v>9.1</v>
      </c>
      <c r="AL115" s="82"/>
      <c r="AO115" s="83"/>
      <c r="AP115" s="82"/>
      <c r="AS115" s="83"/>
      <c r="AW115" s="83"/>
      <c r="BA115" s="84"/>
    </row>
    <row r="116" spans="1:53" s="297" customFormat="1" x14ac:dyDescent="0.15">
      <c r="A116" s="297">
        <v>2013</v>
      </c>
      <c r="B116" s="149">
        <v>41495</v>
      </c>
      <c r="C116" s="811" t="s">
        <v>283</v>
      </c>
      <c r="D116" s="811"/>
      <c r="E116" s="297">
        <f>365-E115</f>
        <v>145</v>
      </c>
      <c r="F116" s="150">
        <v>0</v>
      </c>
      <c r="G116" s="123">
        <v>6</v>
      </c>
      <c r="I116" s="297">
        <v>16</v>
      </c>
      <c r="J116" s="134">
        <v>22</v>
      </c>
      <c r="K116" s="92">
        <f t="shared" si="34"/>
        <v>27.27272727272727</v>
      </c>
      <c r="L116" s="92">
        <f t="shared" si="35"/>
        <v>0</v>
      </c>
      <c r="M116" s="92">
        <f t="shared" si="36"/>
        <v>72.727272727272734</v>
      </c>
      <c r="N116" s="125">
        <f t="shared" si="26"/>
        <v>100</v>
      </c>
      <c r="O116" s="91">
        <v>9.6999999999999993</v>
      </c>
      <c r="P116" s="92"/>
      <c r="Q116" s="92">
        <v>34.200000000000003</v>
      </c>
      <c r="R116" s="93">
        <f t="shared" si="27"/>
        <v>43.900000000000006</v>
      </c>
      <c r="S116" s="97">
        <v>5</v>
      </c>
      <c r="T116" s="95"/>
      <c r="U116" s="295"/>
      <c r="V116" s="82" t="s">
        <v>102</v>
      </c>
      <c r="W116" s="297" t="s">
        <v>20</v>
      </c>
      <c r="X116" s="297" t="s">
        <v>12</v>
      </c>
      <c r="Y116" s="83">
        <v>25.1</v>
      </c>
      <c r="Z116" s="297" t="s">
        <v>103</v>
      </c>
      <c r="AA116" s="297" t="s">
        <v>22</v>
      </c>
      <c r="AB116" s="297" t="s">
        <v>11</v>
      </c>
      <c r="AC116" s="297">
        <v>9.6999999999999993</v>
      </c>
      <c r="AD116" s="82" t="s">
        <v>284</v>
      </c>
      <c r="AE116" s="297" t="s">
        <v>116</v>
      </c>
      <c r="AF116" s="297" t="s">
        <v>12</v>
      </c>
      <c r="AG116" s="83">
        <v>9.1</v>
      </c>
      <c r="AL116" s="82"/>
      <c r="AO116" s="83"/>
      <c r="AP116" s="82"/>
      <c r="AS116" s="83"/>
      <c r="AW116" s="83"/>
      <c r="BA116" s="84"/>
    </row>
    <row r="117" spans="1:53" s="531" customFormat="1" x14ac:dyDescent="0.15">
      <c r="A117" s="531">
        <v>2014</v>
      </c>
      <c r="B117" s="483"/>
      <c r="C117" s="811" t="s">
        <v>283</v>
      </c>
      <c r="D117" s="811"/>
      <c r="E117" s="531">
        <v>33</v>
      </c>
      <c r="F117" s="484"/>
      <c r="G117" s="480">
        <v>6</v>
      </c>
      <c r="I117" s="531">
        <v>16</v>
      </c>
      <c r="J117" s="482">
        <v>22</v>
      </c>
      <c r="K117" s="477">
        <f>G117/J117*100</f>
        <v>27.27272727272727</v>
      </c>
      <c r="L117" s="477">
        <f>H117/J117*100</f>
        <v>0</v>
      </c>
      <c r="M117" s="477">
        <f>I117/J117*100</f>
        <v>72.727272727272734</v>
      </c>
      <c r="N117" s="481">
        <f>SUM(K117:M117)</f>
        <v>100</v>
      </c>
      <c r="O117" s="476">
        <v>9.6999999999999993</v>
      </c>
      <c r="P117" s="477"/>
      <c r="Q117" s="477">
        <v>34.200000000000003</v>
      </c>
      <c r="R117" s="478">
        <f>SUM(O117:Q117)</f>
        <v>43.900000000000006</v>
      </c>
      <c r="S117" s="97">
        <v>5</v>
      </c>
      <c r="T117" s="479"/>
      <c r="U117" s="528"/>
      <c r="V117" s="472" t="s">
        <v>102</v>
      </c>
      <c r="W117" s="531" t="s">
        <v>20</v>
      </c>
      <c r="X117" s="531" t="s">
        <v>12</v>
      </c>
      <c r="Y117" s="473">
        <v>25.1</v>
      </c>
      <c r="Z117" s="531" t="s">
        <v>103</v>
      </c>
      <c r="AA117" s="531" t="s">
        <v>22</v>
      </c>
      <c r="AB117" s="531" t="s">
        <v>11</v>
      </c>
      <c r="AC117" s="531">
        <v>9.6999999999999993</v>
      </c>
      <c r="AD117" s="472" t="s">
        <v>284</v>
      </c>
      <c r="AE117" s="531" t="s">
        <v>116</v>
      </c>
      <c r="AF117" s="531" t="s">
        <v>12</v>
      </c>
      <c r="AG117" s="473">
        <v>9.1</v>
      </c>
      <c r="AL117" s="472"/>
      <c r="AO117" s="473"/>
      <c r="AP117" s="472"/>
      <c r="AS117" s="473"/>
      <c r="AW117" s="473"/>
      <c r="BA117" s="474"/>
    </row>
    <row r="118" spans="1:53" s="532" customFormat="1" x14ac:dyDescent="0.15">
      <c r="A118" s="532">
        <v>2014</v>
      </c>
      <c r="B118" s="529">
        <v>41673</v>
      </c>
      <c r="C118" s="812" t="s">
        <v>1305</v>
      </c>
      <c r="D118" s="812"/>
      <c r="E118" s="532">
        <v>211</v>
      </c>
      <c r="F118" s="532">
        <v>4</v>
      </c>
      <c r="G118" s="497">
        <v>7</v>
      </c>
      <c r="I118" s="532">
        <v>13</v>
      </c>
      <c r="J118" s="499">
        <v>20</v>
      </c>
      <c r="K118" s="495">
        <f>G118/J118*100</f>
        <v>35</v>
      </c>
      <c r="L118" s="495">
        <f>H118/J118*100</f>
        <v>0</v>
      </c>
      <c r="M118" s="495">
        <f>I118/J118*100</f>
        <v>65</v>
      </c>
      <c r="N118" s="498">
        <f>SUM(K118:M118)</f>
        <v>100</v>
      </c>
      <c r="O118" s="494">
        <v>9.1</v>
      </c>
      <c r="P118" s="495"/>
      <c r="Q118" s="495">
        <v>26.9</v>
      </c>
      <c r="R118" s="496">
        <f>SUM(O118:Q118)</f>
        <v>36</v>
      </c>
      <c r="S118" s="388">
        <v>5</v>
      </c>
      <c r="T118" s="487"/>
      <c r="U118" s="529"/>
      <c r="V118" s="488" t="s">
        <v>102</v>
      </c>
      <c r="W118" s="532" t="s">
        <v>20</v>
      </c>
      <c r="X118" s="532" t="s">
        <v>12</v>
      </c>
      <c r="Y118" s="489">
        <v>26.9</v>
      </c>
      <c r="Z118" s="532" t="s">
        <v>103</v>
      </c>
      <c r="AA118" s="532" t="s">
        <v>22</v>
      </c>
      <c r="AB118" s="532" t="s">
        <v>11</v>
      </c>
      <c r="AC118" s="532">
        <v>9.1</v>
      </c>
      <c r="AD118" s="488"/>
      <c r="AG118" s="489"/>
      <c r="AL118" s="488"/>
      <c r="AO118" s="489"/>
      <c r="AP118" s="488"/>
      <c r="AS118" s="489"/>
      <c r="AW118" s="489"/>
      <c r="BA118" s="490"/>
    </row>
    <row r="119" spans="1:53" s="532" customFormat="1" x14ac:dyDescent="0.15">
      <c r="A119" s="532">
        <v>2014</v>
      </c>
      <c r="B119" s="502">
        <v>41884</v>
      </c>
      <c r="C119" s="812" t="s">
        <v>1305</v>
      </c>
      <c r="D119" s="812"/>
      <c r="E119" s="532">
        <v>121</v>
      </c>
      <c r="F119" s="501">
        <v>0</v>
      </c>
      <c r="G119" s="497">
        <v>6</v>
      </c>
      <c r="I119" s="532">
        <v>14</v>
      </c>
      <c r="J119" s="499">
        <v>20</v>
      </c>
      <c r="K119" s="495">
        <f>G119/J119*100</f>
        <v>30</v>
      </c>
      <c r="L119" s="495">
        <f>H119/J119*100</f>
        <v>0</v>
      </c>
      <c r="M119" s="495">
        <f>I119/J119*100</f>
        <v>70</v>
      </c>
      <c r="N119" s="498">
        <f>SUM(K119:M119)</f>
        <v>100</v>
      </c>
      <c r="O119" s="494">
        <v>9.1</v>
      </c>
      <c r="P119" s="495"/>
      <c r="Q119" s="495">
        <v>26.9</v>
      </c>
      <c r="R119" s="496">
        <f>SUM(O119:Q119)</f>
        <v>36</v>
      </c>
      <c r="S119" s="532">
        <v>5</v>
      </c>
      <c r="T119" s="487"/>
      <c r="U119" s="529"/>
      <c r="V119" s="488" t="s">
        <v>102</v>
      </c>
      <c r="W119" s="532" t="s">
        <v>20</v>
      </c>
      <c r="X119" s="532" t="s">
        <v>12</v>
      </c>
      <c r="Y119" s="489">
        <v>26.9</v>
      </c>
      <c r="Z119" s="532" t="s">
        <v>103</v>
      </c>
      <c r="AA119" s="532" t="s">
        <v>22</v>
      </c>
      <c r="AB119" s="532" t="s">
        <v>11</v>
      </c>
      <c r="AC119" s="532">
        <v>9.1</v>
      </c>
      <c r="AD119" s="488"/>
      <c r="AG119" s="489"/>
      <c r="AL119" s="488"/>
      <c r="AO119" s="489"/>
      <c r="AP119" s="488"/>
      <c r="AS119" s="489"/>
      <c r="AW119" s="489"/>
      <c r="BA119" s="490"/>
    </row>
    <row r="120" spans="1:53" s="710" customFormat="1" x14ac:dyDescent="0.15">
      <c r="A120" s="710">
        <v>2015</v>
      </c>
      <c r="B120" s="502"/>
      <c r="C120" s="812" t="s">
        <v>1305</v>
      </c>
      <c r="D120" s="812"/>
      <c r="E120" s="710">
        <v>178</v>
      </c>
      <c r="F120" s="501"/>
      <c r="G120" s="649">
        <v>6</v>
      </c>
      <c r="I120" s="710">
        <v>14</v>
      </c>
      <c r="J120" s="651">
        <v>20</v>
      </c>
      <c r="K120" s="647">
        <f t="shared" ref="K120:K121" si="37">G120/J120*100</f>
        <v>30</v>
      </c>
      <c r="L120" s="647">
        <f t="shared" ref="L120:L121" si="38">H120/J120*100</f>
        <v>0</v>
      </c>
      <c r="M120" s="647">
        <f t="shared" ref="M120:M121" si="39">I120/J120*100</f>
        <v>70</v>
      </c>
      <c r="N120" s="650">
        <f t="shared" ref="N120:N121" si="40">SUM(K120:M120)</f>
        <v>100</v>
      </c>
      <c r="O120" s="646">
        <v>9.1</v>
      </c>
      <c r="P120" s="647"/>
      <c r="Q120" s="647">
        <v>26.9</v>
      </c>
      <c r="R120" s="648">
        <f>SUM(O120:Q120)</f>
        <v>36</v>
      </c>
      <c r="S120" s="710">
        <v>5</v>
      </c>
      <c r="T120" s="487"/>
      <c r="U120" s="706"/>
      <c r="V120" s="641" t="s">
        <v>102</v>
      </c>
      <c r="W120" s="710" t="s">
        <v>20</v>
      </c>
      <c r="X120" s="710" t="s">
        <v>12</v>
      </c>
      <c r="Y120" s="642">
        <v>26.9</v>
      </c>
      <c r="Z120" s="710" t="s">
        <v>103</v>
      </c>
      <c r="AA120" s="710" t="s">
        <v>22</v>
      </c>
      <c r="AB120" s="710" t="s">
        <v>11</v>
      </c>
      <c r="AC120" s="710">
        <v>9.1</v>
      </c>
      <c r="AD120" s="641"/>
      <c r="AG120" s="642"/>
      <c r="AL120" s="641"/>
      <c r="AO120" s="642"/>
      <c r="AP120" s="641"/>
      <c r="AS120" s="642"/>
      <c r="AW120" s="642"/>
      <c r="BA120" s="643"/>
    </row>
    <row r="121" spans="1:53" s="774" customFormat="1" x14ac:dyDescent="0.15">
      <c r="A121" s="774">
        <v>2015</v>
      </c>
      <c r="B121" s="773">
        <v>42183</v>
      </c>
      <c r="C121" s="811" t="s">
        <v>1337</v>
      </c>
      <c r="D121" s="811"/>
      <c r="E121" s="774">
        <v>187</v>
      </c>
      <c r="F121" s="774">
        <v>1</v>
      </c>
      <c r="G121" s="600">
        <v>17</v>
      </c>
      <c r="J121" s="602">
        <v>17</v>
      </c>
      <c r="K121" s="597">
        <f t="shared" si="37"/>
        <v>100</v>
      </c>
      <c r="L121" s="597">
        <f t="shared" si="38"/>
        <v>0</v>
      </c>
      <c r="M121" s="597">
        <f t="shared" si="39"/>
        <v>0</v>
      </c>
      <c r="N121" s="601">
        <f t="shared" si="40"/>
        <v>100</v>
      </c>
      <c r="O121" s="596">
        <v>19.399999999999999</v>
      </c>
      <c r="P121" s="597"/>
      <c r="Q121" s="597"/>
      <c r="R121" s="598">
        <f>SUM(O121:Q121)</f>
        <v>19.399999999999999</v>
      </c>
      <c r="S121" s="97">
        <v>4</v>
      </c>
      <c r="T121" s="599">
        <v>42173</v>
      </c>
      <c r="U121" s="773">
        <v>42183</v>
      </c>
      <c r="V121" s="592" t="s">
        <v>72</v>
      </c>
      <c r="W121" s="774" t="s">
        <v>88</v>
      </c>
      <c r="X121" s="774" t="s">
        <v>11</v>
      </c>
      <c r="Y121" s="593">
        <v>19.399999999999999</v>
      </c>
      <c r="AD121" s="592"/>
      <c r="AG121" s="593"/>
      <c r="AL121" s="592"/>
      <c r="AO121" s="593"/>
      <c r="AP121" s="592"/>
      <c r="AS121" s="593"/>
      <c r="AW121" s="593"/>
      <c r="BA121" s="594"/>
    </row>
    <row r="124" spans="1:53" s="2" customFormat="1" ht="18" customHeight="1" x14ac:dyDescent="0.2">
      <c r="B124" s="22" t="s">
        <v>1284</v>
      </c>
    </row>
    <row r="125" spans="1:53" s="2" customFormat="1" ht="9" customHeight="1" x14ac:dyDescent="0.15"/>
    <row r="126" spans="1:53" s="364" customFormat="1" ht="9" customHeight="1" x14ac:dyDescent="0.15">
      <c r="A126" s="362"/>
      <c r="B126" s="363" t="s">
        <v>1235</v>
      </c>
      <c r="C126" s="363"/>
      <c r="D126" s="363"/>
      <c r="E126" s="363"/>
      <c r="F126" s="363"/>
      <c r="G126" s="363" t="s">
        <v>1236</v>
      </c>
      <c r="H126" s="363"/>
      <c r="I126" s="363"/>
      <c r="J126" s="363"/>
      <c r="K126" s="363"/>
      <c r="L126" s="363"/>
      <c r="M126" s="363"/>
      <c r="N126" s="363"/>
      <c r="R126" s="802" t="s">
        <v>1237</v>
      </c>
      <c r="S126" s="802"/>
      <c r="T126" s="802"/>
      <c r="U126" s="802"/>
      <c r="V126" s="802"/>
      <c r="W126" s="802"/>
      <c r="X126" s="365"/>
      <c r="Y126" s="365"/>
      <c r="AA126" s="365"/>
      <c r="AB126" s="365"/>
      <c r="AC126" s="365"/>
      <c r="AD126" s="365"/>
    </row>
    <row r="127" spans="1:53" s="369" customFormat="1" ht="9" customHeight="1" x14ac:dyDescent="0.15">
      <c r="A127" s="366"/>
      <c r="B127" s="367" t="s">
        <v>1239</v>
      </c>
      <c r="C127" s="368"/>
      <c r="D127" s="368"/>
      <c r="E127" s="368"/>
      <c r="F127" s="368"/>
      <c r="G127" s="367" t="s">
        <v>1238</v>
      </c>
      <c r="H127" s="368"/>
      <c r="I127" s="368"/>
      <c r="J127" s="368"/>
      <c r="K127" s="368"/>
      <c r="L127" s="368"/>
      <c r="M127" s="368"/>
      <c r="N127" s="368"/>
      <c r="R127" s="370" t="s">
        <v>1240</v>
      </c>
      <c r="S127" s="371"/>
      <c r="T127" s="372"/>
      <c r="U127" s="372"/>
      <c r="V127" s="372"/>
      <c r="W127" s="370" t="s">
        <v>1241</v>
      </c>
      <c r="X127" s="372"/>
      <c r="Y127" s="372"/>
      <c r="AA127" s="372"/>
      <c r="AB127" s="372"/>
      <c r="AC127" s="372"/>
      <c r="AD127" s="372"/>
    </row>
    <row r="128" spans="1:53" s="351" customFormat="1" ht="12" customHeight="1" x14ac:dyDescent="0.15">
      <c r="A128" s="373" t="s">
        <v>3</v>
      </c>
      <c r="B128" s="374" t="s">
        <v>8</v>
      </c>
      <c r="C128" s="374" t="s">
        <v>9</v>
      </c>
      <c r="D128" s="374" t="s">
        <v>10</v>
      </c>
      <c r="E128" s="375" t="s">
        <v>1215</v>
      </c>
      <c r="F128" s="374"/>
      <c r="G128" s="351" t="s">
        <v>3</v>
      </c>
      <c r="H128" s="803" t="s">
        <v>0</v>
      </c>
      <c r="I128" s="803"/>
      <c r="J128" s="803" t="s">
        <v>1</v>
      </c>
      <c r="K128" s="803"/>
      <c r="L128" s="803" t="s">
        <v>2</v>
      </c>
      <c r="M128" s="803"/>
      <c r="N128" s="804" t="s">
        <v>1215</v>
      </c>
      <c r="O128" s="804"/>
      <c r="P128" s="376"/>
      <c r="Q128" s="376"/>
      <c r="R128" s="377" t="s">
        <v>3</v>
      </c>
      <c r="S128" s="378" t="s">
        <v>136</v>
      </c>
      <c r="T128" s="376" t="s">
        <v>134</v>
      </c>
      <c r="U128" s="374" t="s">
        <v>135</v>
      </c>
      <c r="V128" s="376"/>
      <c r="W128" s="379" t="s">
        <v>26</v>
      </c>
    </row>
    <row r="129" spans="1:26" s="273" customFormat="1" x14ac:dyDescent="0.15">
      <c r="A129" s="273">
        <v>1959</v>
      </c>
      <c r="B129" s="274">
        <f>(K6*($E6/365))+(K7*($E7/365))</f>
        <v>43.75</v>
      </c>
      <c r="C129" s="274">
        <f>(L6*($E6/365))+(L7*($E7/365))</f>
        <v>0</v>
      </c>
      <c r="D129" s="274">
        <f>(M6*($E6/365))+(M7*($E7/365))</f>
        <v>56.25</v>
      </c>
      <c r="E129" s="261">
        <f>B129+C129+D129</f>
        <v>100</v>
      </c>
      <c r="G129" s="273">
        <v>1959</v>
      </c>
      <c r="H129" s="783">
        <f>(O6/$R6*100*($E6/365))+(O7/$R7*100*($E7/365))</f>
        <v>24.670433145009415</v>
      </c>
      <c r="I129" s="783"/>
      <c r="J129" s="783">
        <f>(P6/$R6*100*($E6/365))+(P7/$R7*100*($E7/365))</f>
        <v>0</v>
      </c>
      <c r="K129" s="783"/>
      <c r="L129" s="783">
        <f>(Q6/$R6*100*($E6/365))+(Q7/$R7*100*($E7/365))</f>
        <v>75.329566854990588</v>
      </c>
      <c r="M129" s="783"/>
      <c r="N129" s="839">
        <f>H129+J129+K129</f>
        <v>24.670433145009415</v>
      </c>
      <c r="O129" s="839"/>
      <c r="R129" s="273">
        <v>1959</v>
      </c>
      <c r="S129" s="274">
        <f>(O6*($E6/365))+(O7*($E7/365))</f>
        <v>13.1</v>
      </c>
      <c r="T129" s="274">
        <f>(P6*($E6/365))+(P7*($E7/365))</f>
        <v>0</v>
      </c>
      <c r="U129" s="274">
        <f>(Q6*($E6/365))+(Q7*($E7/365))</f>
        <v>40</v>
      </c>
      <c r="V129" s="275"/>
      <c r="W129" s="274">
        <f>S129+T129+U129</f>
        <v>53.1</v>
      </c>
      <c r="X129" s="262"/>
      <c r="Z129" s="262"/>
    </row>
    <row r="130" spans="1:26" x14ac:dyDescent="0.15">
      <c r="A130" s="1">
        <v>1960</v>
      </c>
      <c r="B130" s="7">
        <f>(K8*($E8/366))+(K9*($E9/366))+(K10*($E10/366))</f>
        <v>44.185886103075106</v>
      </c>
      <c r="C130" s="7">
        <f>(L8*($E8/366))+(L9*($E9/366))+(L10*($E10/366))</f>
        <v>0</v>
      </c>
      <c r="D130" s="7">
        <f>(M8*($E8/366))+(M9*($E9/366))+(M10*($E10/366))</f>
        <v>55.106945783777995</v>
      </c>
      <c r="E130" s="33">
        <f t="shared" ref="E130:E159" si="41">SUM(B130:D130)</f>
        <v>99.292831886853094</v>
      </c>
      <c r="G130" s="1">
        <v>1960</v>
      </c>
      <c r="H130" s="779">
        <f>(O8/$R8*100*($E8/366))+(O9/$R9*100*($E9/366))+(O10/$R10*100*($E10/366))</f>
        <v>23.228486206465224</v>
      </c>
      <c r="I130" s="779"/>
      <c r="J130" s="779">
        <f>(P8/$R8*100*($E8/366))+(P9/$R9*100*($E9/366))+(P10/$R10*100*($E10/366))</f>
        <v>0</v>
      </c>
      <c r="K130" s="779"/>
      <c r="L130" s="779">
        <f>(Q8/$R8*100*($E8/366))+(Q9/$R9*100*($E9/366))+(Q10/$R10*100*($E10/366))</f>
        <v>76.77151379353478</v>
      </c>
      <c r="M130" s="779"/>
      <c r="N130" s="781">
        <f t="shared" ref="N130:N170" si="42">SUM(H130:M130)</f>
        <v>100</v>
      </c>
      <c r="O130" s="781"/>
      <c r="R130" s="1">
        <v>1960</v>
      </c>
      <c r="S130" s="7">
        <f>(O8*($E8/366))+(O9*($E9/366))+(O10*($E10/366))</f>
        <v>12.282513661202184</v>
      </c>
      <c r="T130" s="7">
        <f>(P8*($E8/366))+(P9*($E9/366))+(P10*($E10/366))</f>
        <v>0</v>
      </c>
      <c r="U130" s="7">
        <f>(Q8*($E8/366))+(Q9*($E9/366))+(Q10*($E10/366))</f>
        <v>40.40874316939891</v>
      </c>
      <c r="V130" s="12"/>
      <c r="W130" s="7">
        <f>R8*(E8/366) + R9*(E9/366) + R10*(E10/366)</f>
        <v>52.691256830601098</v>
      </c>
      <c r="X130" s="5"/>
      <c r="Z130" s="5"/>
    </row>
    <row r="131" spans="1:26" x14ac:dyDescent="0.15">
      <c r="A131" s="1">
        <v>1961</v>
      </c>
      <c r="B131" s="7">
        <f>(K11*($E11/365))+(K12*($E12/365))</f>
        <v>29.411764705882355</v>
      </c>
      <c r="C131" s="7">
        <f>(L11*($E11/365))+(L12*($E12/365))</f>
        <v>0</v>
      </c>
      <c r="D131" s="7">
        <f>(M11*($E11/365))+(M12*($E12/365))</f>
        <v>64.705882352941174</v>
      </c>
      <c r="E131" s="33">
        <f t="shared" si="41"/>
        <v>94.117647058823536</v>
      </c>
      <c r="G131" s="1">
        <v>1961</v>
      </c>
      <c r="H131" s="779">
        <f>(O11/$R11*100*($E11/365))+(O12/$R12*100*($E12/365))</f>
        <v>12.676056338028168</v>
      </c>
      <c r="I131" s="779"/>
      <c r="J131" s="779">
        <f>(P11/$R11*100*($E11/365))+(P12/$R12*100*($E12/365))</f>
        <v>0</v>
      </c>
      <c r="K131" s="779"/>
      <c r="L131" s="779">
        <f>(Q11/$R11*100*($E11/365))+(Q12/$R12*100*($E12/365))</f>
        <v>87.323943661971839</v>
      </c>
      <c r="M131" s="779"/>
      <c r="N131" s="781">
        <f t="shared" si="42"/>
        <v>100</v>
      </c>
      <c r="O131" s="781"/>
      <c r="R131" s="1">
        <v>1961</v>
      </c>
      <c r="S131" s="7">
        <f>(O11*($E11/365))+(O12*($E12/365))</f>
        <v>6.3</v>
      </c>
      <c r="T131" s="7">
        <f>(P11*($E11/365))+(P12*($E12/365))</f>
        <v>0</v>
      </c>
      <c r="U131" s="7">
        <f>(Q11*($E11/365))+(Q12*($E12/365))</f>
        <v>43.4</v>
      </c>
      <c r="V131" s="12"/>
      <c r="W131" s="7">
        <f>R11*(E11/365) + R12*(E12/365)</f>
        <v>49.699999999999996</v>
      </c>
      <c r="X131" s="5"/>
      <c r="Z131" s="5"/>
    </row>
    <row r="132" spans="1:26" x14ac:dyDescent="0.15">
      <c r="A132" s="1">
        <v>1962</v>
      </c>
      <c r="B132" s="7">
        <f>(K13*($E13/365))+(K14*($E14/365))</f>
        <v>29.411764705882355</v>
      </c>
      <c r="C132" s="7">
        <f>(L13*($E13/365))+(L14*($E14/365))</f>
        <v>0</v>
      </c>
      <c r="D132" s="7">
        <f>(M13*($E13/365))+(M14*($E14/365))</f>
        <v>64.705882352941174</v>
      </c>
      <c r="E132" s="33">
        <f t="shared" si="41"/>
        <v>94.117647058823536</v>
      </c>
      <c r="G132" s="1">
        <v>1962</v>
      </c>
      <c r="H132" s="779">
        <f>(O13/$R13*100*($E13/365))+(O14/$R14*100*($E14/365))</f>
        <v>12.676056338028168</v>
      </c>
      <c r="I132" s="779"/>
      <c r="J132" s="779">
        <f>(P13/$R13*100*($E13/365))+(P14/$R14*100*($E14/365))</f>
        <v>0</v>
      </c>
      <c r="K132" s="779"/>
      <c r="L132" s="779">
        <f>(Q13/$R13*100*($E13/365))+(Q14/$R14*100*($E14/365))</f>
        <v>87.323943661971839</v>
      </c>
      <c r="M132" s="779"/>
      <c r="N132" s="781">
        <f t="shared" si="42"/>
        <v>100</v>
      </c>
      <c r="O132" s="781"/>
      <c r="R132" s="1">
        <v>1962</v>
      </c>
      <c r="S132" s="7">
        <f>(O13*($E13/365))+(O14*($E14/365))</f>
        <v>6.3000000000000007</v>
      </c>
      <c r="T132" s="7">
        <f>(P13*($E13/365))+(P14*($E14/365))</f>
        <v>0</v>
      </c>
      <c r="U132" s="7">
        <f>(Q13*($E13/365))+(Q14*($E14/365))</f>
        <v>43.4</v>
      </c>
      <c r="V132" s="12"/>
      <c r="W132" s="7">
        <f>R13*(E13/365) + R14*(E14/365)</f>
        <v>49.699999999999996</v>
      </c>
      <c r="X132" s="5"/>
      <c r="Z132" s="5"/>
    </row>
    <row r="133" spans="1:26" x14ac:dyDescent="0.15">
      <c r="A133" s="1">
        <v>1963</v>
      </c>
      <c r="B133" s="7">
        <f>(K15*($E15/365))+(K16*($E16/365))</f>
        <v>29.411764705882355</v>
      </c>
      <c r="C133" s="7">
        <f>(L15*($E15/365))+(L16*($E16/365))</f>
        <v>0</v>
      </c>
      <c r="D133" s="7">
        <f>(M15*($E15/365))+(M16*($E16/365))</f>
        <v>64.705882352941174</v>
      </c>
      <c r="E133" s="33">
        <f t="shared" si="41"/>
        <v>94.117647058823536</v>
      </c>
      <c r="G133" s="1">
        <v>1963</v>
      </c>
      <c r="H133" s="779">
        <f>(O15/$R15*100*($E15/365))+(O16/$R16*100*($E16/365))</f>
        <v>12.676056338028168</v>
      </c>
      <c r="I133" s="779"/>
      <c r="J133" s="779">
        <f>(P15/$R15*100*($E15/365))+(P16/$R16*100*($E16/365))</f>
        <v>0</v>
      </c>
      <c r="K133" s="779"/>
      <c r="L133" s="779">
        <f>(Q15/$R15*100*($E15/365))+(Q16/$R16*100*($E16/365))</f>
        <v>87.323943661971839</v>
      </c>
      <c r="M133" s="779"/>
      <c r="N133" s="781">
        <f t="shared" si="42"/>
        <v>100</v>
      </c>
      <c r="O133" s="781"/>
      <c r="R133" s="1">
        <v>1963</v>
      </c>
      <c r="S133" s="7">
        <f>(O15*($E15/365))+(O16*($E16/365))</f>
        <v>6.3</v>
      </c>
      <c r="T133" s="7">
        <f>(P15*($E15/365))+(P16*($E16/365))</f>
        <v>0</v>
      </c>
      <c r="U133" s="7">
        <f>(Q15*($E15/365))+(Q16*($E16/365))</f>
        <v>43.4</v>
      </c>
      <c r="V133" s="12"/>
      <c r="W133" s="7">
        <f>R15*(E15/365) + R16*(E16/365)</f>
        <v>49.699999999999996</v>
      </c>
      <c r="X133" s="5"/>
      <c r="Z133" s="5"/>
    </row>
    <row r="134" spans="1:26" x14ac:dyDescent="0.15">
      <c r="A134" s="1">
        <v>1964</v>
      </c>
      <c r="B134" s="7">
        <f>(K17*($E17/366))+(K18*($E18/366))</f>
        <v>21.616843458694955</v>
      </c>
      <c r="C134" s="7">
        <f>(L17*($E17/366))+(L18*($E18/366))</f>
        <v>0</v>
      </c>
      <c r="D134" s="7">
        <f>(M17*($E17/366))+(M18*($E18/366))</f>
        <v>74.05978784956605</v>
      </c>
      <c r="E134" s="33">
        <f t="shared" si="41"/>
        <v>95.676631308261008</v>
      </c>
      <c r="G134" s="1">
        <v>1964</v>
      </c>
      <c r="H134" s="779">
        <f>(O17/$R17*100*($E17/366))+(O18/$R18*100*($E18/366))</f>
        <v>9.3165550681135993</v>
      </c>
      <c r="I134" s="779"/>
      <c r="J134" s="779">
        <f>(P17/$R17*100*($E17/366))+(P18/$R18*100*($E18/366))</f>
        <v>0</v>
      </c>
      <c r="K134" s="779"/>
      <c r="L134" s="779">
        <f>(Q17/$R17*100*($E17/366))+(Q18/$R18*100*($E18/366))</f>
        <v>90.683444931886413</v>
      </c>
      <c r="M134" s="779"/>
      <c r="N134" s="781">
        <f t="shared" si="42"/>
        <v>100.00000000000001</v>
      </c>
      <c r="O134" s="781"/>
      <c r="R134" s="1">
        <v>1964</v>
      </c>
      <c r="S134" s="7">
        <f>(O17*($E17/366))+(O18*($E18/366))</f>
        <v>4.6303278688524587</v>
      </c>
      <c r="T134" s="7">
        <f>(P17*($E17/366))+(P18*($E18/366))</f>
        <v>0</v>
      </c>
      <c r="U134" s="7">
        <f>(Q17*($E17/366))+(Q18*($E18/366))</f>
        <v>43.400000000000006</v>
      </c>
      <c r="V134" s="12"/>
      <c r="W134" s="7">
        <f>R17*(E17/366) + R18*(E18/366)</f>
        <v>48.03032786885246</v>
      </c>
      <c r="X134" s="5"/>
      <c r="Z134" s="5"/>
    </row>
    <row r="135" spans="1:26" x14ac:dyDescent="0.15">
      <c r="A135" s="1">
        <v>1965</v>
      </c>
      <c r="B135" s="7">
        <f>(K19*($E19/365))+(K20*($E20/365))</f>
        <v>0</v>
      </c>
      <c r="C135" s="7">
        <f>(L19*($E19/365))+(L20*($E20/365))</f>
        <v>0</v>
      </c>
      <c r="D135" s="7">
        <f>(M19*($E19/365))+(M20*($E20/365))</f>
        <v>100</v>
      </c>
      <c r="E135" s="33">
        <f t="shared" si="41"/>
        <v>100</v>
      </c>
      <c r="G135" s="1">
        <v>1965</v>
      </c>
      <c r="H135" s="779">
        <f>(O19/$R19*100*($E19/365))+(O20/$R20*100*($E20/365))</f>
        <v>0</v>
      </c>
      <c r="I135" s="779"/>
      <c r="J135" s="779">
        <f>(P19/$R19*100*($E19/365))+(P20/$R20*100*($E20/365))</f>
        <v>0</v>
      </c>
      <c r="K135" s="779"/>
      <c r="L135" s="779">
        <f>(Q19/$R19*100*($E19/365))+(Q20/$R20*100*($E20/365))</f>
        <v>100</v>
      </c>
      <c r="M135" s="779"/>
      <c r="N135" s="781">
        <f t="shared" si="42"/>
        <v>100</v>
      </c>
      <c r="O135" s="781"/>
      <c r="R135" s="1">
        <v>1965</v>
      </c>
      <c r="S135" s="7">
        <f>(O19*($E19/365))+(O20*($E20/365))</f>
        <v>0</v>
      </c>
      <c r="T135" s="7">
        <f>(P19*($E19/365))+(P20*($E20/365))</f>
        <v>0</v>
      </c>
      <c r="U135" s="7">
        <f>(Q19*($E19/365))+(Q20*($E20/365))</f>
        <v>43.4</v>
      </c>
      <c r="V135" s="12"/>
      <c r="W135" s="7">
        <f>R19*(E19/365) + R20*(E20/365)</f>
        <v>43.4</v>
      </c>
      <c r="X135" s="5"/>
      <c r="Z135" s="5"/>
    </row>
    <row r="136" spans="1:26" x14ac:dyDescent="0.15">
      <c r="A136" s="1">
        <v>1966</v>
      </c>
      <c r="B136" s="7">
        <f>(K21*($E21/365))+(K22*($E22/365))</f>
        <v>0</v>
      </c>
      <c r="C136" s="7">
        <f>(L21*($E21/365))+(L22*($E22/365))</f>
        <v>0</v>
      </c>
      <c r="D136" s="7">
        <f>(M21*($E21/365))+(M22*($E22/365))</f>
        <v>100.00000000000001</v>
      </c>
      <c r="E136" s="33">
        <f t="shared" si="41"/>
        <v>100.00000000000001</v>
      </c>
      <c r="G136" s="1">
        <v>1966</v>
      </c>
      <c r="H136" s="779">
        <f>(O21/$R21*100*($E21/365))+(O22/$R22*100*($E22/365))</f>
        <v>0</v>
      </c>
      <c r="I136" s="779"/>
      <c r="J136" s="779">
        <f>(P21/$R21*100*($E21/365))+(P22/$R22*100*($E22/365))</f>
        <v>0</v>
      </c>
      <c r="K136" s="779"/>
      <c r="L136" s="779">
        <f>(Q21/$R21*100*($E21/365))+(Q22/$R22*100*($E22/365))</f>
        <v>100.00000000000001</v>
      </c>
      <c r="M136" s="779"/>
      <c r="N136" s="781">
        <f t="shared" si="42"/>
        <v>100.00000000000001</v>
      </c>
      <c r="O136" s="781"/>
      <c r="R136" s="1">
        <v>1966</v>
      </c>
      <c r="S136" s="7">
        <f>(O21*($E21/365))+(O22*($E22/365))</f>
        <v>0</v>
      </c>
      <c r="T136" s="7">
        <f>(P21*($E21/365))+(P22*($E22/365))</f>
        <v>0</v>
      </c>
      <c r="U136" s="7">
        <f>(Q21*($E21/365))+(Q22*($E22/365))</f>
        <v>43.027397260273979</v>
      </c>
      <c r="V136" s="12"/>
      <c r="W136" s="7">
        <f>R21*(E21/365) + R22*(E22/365)</f>
        <v>43.027397260273979</v>
      </c>
      <c r="X136" s="5"/>
      <c r="Z136" s="5"/>
    </row>
    <row r="137" spans="1:26" x14ac:dyDescent="0.15">
      <c r="A137" s="1">
        <v>1967</v>
      </c>
      <c r="B137" s="7">
        <f>(K23*($E23/365))+(K24*($E24/365))</f>
        <v>0</v>
      </c>
      <c r="C137" s="7">
        <f>(L23*($E23/365))+(L24*($E24/365))</f>
        <v>0</v>
      </c>
      <c r="D137" s="7">
        <f>(M23*($E23/365))+(M24*($E24/365))</f>
        <v>100</v>
      </c>
      <c r="E137" s="33">
        <f t="shared" si="41"/>
        <v>100</v>
      </c>
      <c r="G137" s="1">
        <v>1967</v>
      </c>
      <c r="H137" s="779">
        <f>(O23/$R23*100*($E23/365))+(O24/$R24*100*($E24/365))</f>
        <v>0</v>
      </c>
      <c r="I137" s="779"/>
      <c r="J137" s="779">
        <f>(P23/$R23*100*($E23/365))+(P24/$R24*100*($E24/365))</f>
        <v>0</v>
      </c>
      <c r="K137" s="779"/>
      <c r="L137" s="779">
        <f>(Q23/$R23*100*($E23/365))+(Q24/$R24*100*($E24/365))</f>
        <v>100</v>
      </c>
      <c r="M137" s="779"/>
      <c r="N137" s="781">
        <f t="shared" si="42"/>
        <v>100</v>
      </c>
      <c r="O137" s="781"/>
      <c r="R137" s="1">
        <v>1967</v>
      </c>
      <c r="S137" s="7">
        <f>(O23*($E23/365))+(O24*($E24/365))</f>
        <v>0</v>
      </c>
      <c r="T137" s="7">
        <f>(P23*($E23/365))+(P24*($E24/365))</f>
        <v>0</v>
      </c>
      <c r="U137" s="7">
        <f>(Q23*($E23/365))+(Q24*($E24/365))</f>
        <v>39.4</v>
      </c>
      <c r="V137" s="12"/>
      <c r="W137" s="7">
        <f>R23*(E23/365) + R24*(E24/365)</f>
        <v>39.4</v>
      </c>
      <c r="X137" s="5"/>
      <c r="Z137" s="5"/>
    </row>
    <row r="138" spans="1:26" x14ac:dyDescent="0.15">
      <c r="A138" s="1">
        <v>1968</v>
      </c>
      <c r="B138" s="7">
        <f>(K25*($E25/366))+(K26*($E26/366))</f>
        <v>91.530054644808743</v>
      </c>
      <c r="C138" s="7">
        <f>(L25*($E25/366))+(L26*($E26/366))</f>
        <v>0</v>
      </c>
      <c r="D138" s="7">
        <f>(M25*($E25/366))+(M26*($E26/366))</f>
        <v>8.4699453551912569</v>
      </c>
      <c r="E138" s="33">
        <f t="shared" si="41"/>
        <v>100</v>
      </c>
      <c r="G138" s="1">
        <v>1968</v>
      </c>
      <c r="H138" s="779">
        <f>(O25/$R25*100*($E25/366))+(O26/$R26*100*($E26/366))</f>
        <v>91.530054644808743</v>
      </c>
      <c r="I138" s="779"/>
      <c r="J138" s="779">
        <f>(P25/$R25*100*($E25/366))+(P26/$R26*100*($E26/366))</f>
        <v>0</v>
      </c>
      <c r="K138" s="779"/>
      <c r="L138" s="779">
        <f>(Q25/$R25*100*($E25/366))+(Q26/$R26*100*($E26/366))</f>
        <v>8.4699453551912569</v>
      </c>
      <c r="M138" s="779"/>
      <c r="N138" s="781">
        <f t="shared" si="42"/>
        <v>100</v>
      </c>
      <c r="O138" s="781"/>
      <c r="R138" s="1">
        <v>1968</v>
      </c>
      <c r="S138" s="7">
        <f>(O25*($E25/366))+(O26*($E26/366))</f>
        <v>51.165300546448087</v>
      </c>
      <c r="T138" s="7">
        <f>(P25*($E25/366))+(P26*($E26/366))</f>
        <v>0</v>
      </c>
      <c r="U138" s="7">
        <f>(Q25*($E25/366))+(Q26*($E26/366))</f>
        <v>3.3371584699453551</v>
      </c>
      <c r="V138" s="12"/>
      <c r="W138" s="7">
        <f>R25*(E25/366) + R26*(E26/366)</f>
        <v>54.502459016393445</v>
      </c>
      <c r="X138" s="5"/>
      <c r="Z138" s="5"/>
    </row>
    <row r="139" spans="1:26" x14ac:dyDescent="0.15">
      <c r="A139" s="1">
        <v>1969</v>
      </c>
      <c r="B139" s="7">
        <f>(K27*($E27/365))+(K28*($E28/365))</f>
        <v>100</v>
      </c>
      <c r="C139" s="7">
        <f>(L27*($E27/365))+(L28*($E28/365))</f>
        <v>0</v>
      </c>
      <c r="D139" s="7">
        <f>(M27*($E27/365))+(M28*($E28/365))</f>
        <v>0</v>
      </c>
      <c r="E139" s="33">
        <f t="shared" si="41"/>
        <v>100</v>
      </c>
      <c r="G139" s="1">
        <v>1969</v>
      </c>
      <c r="H139" s="779">
        <f>(O27/$R27*100*($E27/365))+(O28/$R28*100*($E28/365))</f>
        <v>100</v>
      </c>
      <c r="I139" s="779"/>
      <c r="J139" s="779">
        <f>(P27/$R27*100*($E27/365))+(P28/$R28*100*($E28/365))</f>
        <v>0</v>
      </c>
      <c r="K139" s="779"/>
      <c r="L139" s="779">
        <f>(Q27/$R27*100*($E27/365))+(Q28/$R28*100*($E28/365))</f>
        <v>0</v>
      </c>
      <c r="M139" s="779"/>
      <c r="N139" s="781">
        <f t="shared" si="42"/>
        <v>100</v>
      </c>
      <c r="O139" s="781"/>
      <c r="R139" s="1">
        <v>1969</v>
      </c>
      <c r="S139" s="7">
        <f>(O27*($E27/365))+(O28*($E28/365))</f>
        <v>55.9</v>
      </c>
      <c r="T139" s="7">
        <f>(P27*($E27/365))+(P28*($E28/365))</f>
        <v>0</v>
      </c>
      <c r="U139" s="7">
        <f>(Q27*($E27/365))+(Q28*($E28/365))</f>
        <v>0</v>
      </c>
      <c r="V139" s="12"/>
      <c r="W139" s="7">
        <f>R27*(E27/365) + R28*(E28/365)</f>
        <v>55.9</v>
      </c>
      <c r="X139" s="5"/>
      <c r="Z139" s="5"/>
    </row>
    <row r="140" spans="1:26" x14ac:dyDescent="0.15">
      <c r="A140" s="1">
        <v>1970</v>
      </c>
      <c r="B140" s="7">
        <f>(K29*($E29/365))+(K30*($E30/365))</f>
        <v>100</v>
      </c>
      <c r="C140" s="7">
        <f>(L29*($E29/365))+(L30*($E30/365))</f>
        <v>0</v>
      </c>
      <c r="D140" s="7">
        <f>(M29*($E29/365))+(M30*($E30/365))</f>
        <v>0</v>
      </c>
      <c r="E140" s="33">
        <f t="shared" si="41"/>
        <v>100</v>
      </c>
      <c r="G140" s="1">
        <v>1970</v>
      </c>
      <c r="H140" s="779">
        <f>(O29/$R29*100*($E29/365))+(O30/$R30*100*($E30/365))</f>
        <v>100</v>
      </c>
      <c r="I140" s="779"/>
      <c r="J140" s="779">
        <f>(P29/$R29*100*($E29/365))+(P30/$R30*100*($E30/365))</f>
        <v>0</v>
      </c>
      <c r="K140" s="779"/>
      <c r="L140" s="779">
        <f>(Q29/$R29*100*($E29/365))+(Q30/$R30*100*($E30/365))</f>
        <v>0</v>
      </c>
      <c r="M140" s="779"/>
      <c r="N140" s="781">
        <f t="shared" si="42"/>
        <v>100</v>
      </c>
      <c r="O140" s="781"/>
      <c r="R140" s="1">
        <v>1970</v>
      </c>
      <c r="S140" s="7">
        <f>(O29*($E29/365))+(O30*($E30/365))</f>
        <v>55.9</v>
      </c>
      <c r="T140" s="7">
        <f>(P29*($E29/365))+(P30*($E30/365))</f>
        <v>0</v>
      </c>
      <c r="U140" s="7">
        <f>(Q29*($E29/365))+(Q30*($E30/365))</f>
        <v>0</v>
      </c>
      <c r="V140" s="12"/>
      <c r="W140" s="7">
        <f>R29*(E29/365) + R30*(E30/365)</f>
        <v>55.9</v>
      </c>
      <c r="X140" s="5"/>
      <c r="Z140" s="5"/>
    </row>
    <row r="141" spans="1:26" x14ac:dyDescent="0.15">
      <c r="A141" s="1">
        <v>1971</v>
      </c>
      <c r="B141" s="7">
        <f>(K31*($E31/365))+(K32*($E32/365))</f>
        <v>77.534246575342465</v>
      </c>
      <c r="C141" s="7">
        <f>(L31*($E31/365))+(L32*($E32/365))</f>
        <v>0</v>
      </c>
      <c r="D141" s="7">
        <f>(M31*($E31/365))+(M32*($E32/365))</f>
        <v>21.217656012176558</v>
      </c>
      <c r="E141" s="33">
        <f t="shared" si="41"/>
        <v>98.751902587519027</v>
      </c>
      <c r="G141" s="1">
        <v>1971</v>
      </c>
      <c r="H141" s="779">
        <f>(O31/$R31*100*($E31/365))+(O32/$R32*100*($E32/365))</f>
        <v>77.534246575342465</v>
      </c>
      <c r="I141" s="779"/>
      <c r="J141" s="779">
        <f>(P31/$R31*100*($E31/365))+(P32/$R32*100*($E32/365))</f>
        <v>0</v>
      </c>
      <c r="K141" s="779"/>
      <c r="L141" s="779">
        <f>(Q31/$R31*100*($E31/365))+(Q32/$R32*100*($E32/365))</f>
        <v>22.465753424657535</v>
      </c>
      <c r="M141" s="779"/>
      <c r="N141" s="781">
        <f t="shared" si="42"/>
        <v>100</v>
      </c>
      <c r="O141" s="781"/>
      <c r="R141" s="1">
        <v>1971</v>
      </c>
      <c r="S141" s="7">
        <f>(O31*($E31/365))+(O32*($E32/365))</f>
        <v>43.341643835616438</v>
      </c>
      <c r="T141" s="7">
        <f>(P31*($E31/365))+(P32*($E32/365))</f>
        <v>0</v>
      </c>
      <c r="U141" s="7">
        <f>(Q31*($E31/365))+(Q32*($E32/365))</f>
        <v>8.9863013698630141</v>
      </c>
      <c r="V141" s="12"/>
      <c r="W141" s="7">
        <f>R31*(E31/365) + R32*(E32/365)</f>
        <v>52.327945205479452</v>
      </c>
      <c r="X141" s="5"/>
      <c r="Z141" s="5"/>
    </row>
    <row r="142" spans="1:26" x14ac:dyDescent="0.15">
      <c r="A142" s="1">
        <v>1972</v>
      </c>
      <c r="B142" s="7">
        <f>(K33*($E33/366))+(K34*($E34/366))</f>
        <v>0</v>
      </c>
      <c r="C142" s="7">
        <f>(L33*($E33/366))+(L34*($E34/366))</f>
        <v>0</v>
      </c>
      <c r="D142" s="7">
        <f>(M33*($E33/366))+(M34*($E34/366))</f>
        <v>94.444444444444429</v>
      </c>
      <c r="E142" s="33">
        <f t="shared" si="41"/>
        <v>94.444444444444429</v>
      </c>
      <c r="G142" s="1">
        <v>1972</v>
      </c>
      <c r="H142" s="779">
        <f>(O33/$R33*100*($E33/366))+(O34/$R34*100*($E34/366))</f>
        <v>0</v>
      </c>
      <c r="I142" s="779"/>
      <c r="J142" s="779">
        <f>(P33/$R33*100*($E33/366))+(P34/$R34*100*($E34/366))</f>
        <v>0</v>
      </c>
      <c r="K142" s="779"/>
      <c r="L142" s="779">
        <f>(Q33/$R33*100*($E33/366))+(Q34/$R34*100*($E34/366))</f>
        <v>99.999999999999986</v>
      </c>
      <c r="M142" s="779"/>
      <c r="N142" s="781">
        <f t="shared" si="42"/>
        <v>99.999999999999986</v>
      </c>
      <c r="O142" s="781"/>
      <c r="R142" s="1">
        <v>1972</v>
      </c>
      <c r="S142" s="7">
        <f>(O33*($E33/366))+(O34*($E34/366))</f>
        <v>0</v>
      </c>
      <c r="T142" s="7">
        <f>(P33*($E33/366))+(P34*($E34/366))</f>
        <v>0</v>
      </c>
      <c r="U142" s="7">
        <f>(Q33*($E33/366))+(Q34*($E34/366))</f>
        <v>40</v>
      </c>
      <c r="V142" s="12"/>
      <c r="W142" s="7">
        <f>R33*(E33/366) + R34*(E34/366)</f>
        <v>40</v>
      </c>
      <c r="X142" s="5"/>
      <c r="Z142" s="5"/>
    </row>
    <row r="143" spans="1:26" x14ac:dyDescent="0.15">
      <c r="A143" s="1">
        <v>1973</v>
      </c>
      <c r="B143" s="7">
        <f>(K35*($E35/365))+(K36*($E36/365))</f>
        <v>3.5616438356164384</v>
      </c>
      <c r="C143" s="7">
        <f>(L35*($E35/365))+(L36*($E36/365))</f>
        <v>0</v>
      </c>
      <c r="D143" s="7">
        <f>(M35*($E35/365))+(M36*($E36/365))</f>
        <v>91.080669710806703</v>
      </c>
      <c r="E143" s="33">
        <f t="shared" si="41"/>
        <v>94.642313546423139</v>
      </c>
      <c r="G143" s="1">
        <v>1973</v>
      </c>
      <c r="H143" s="779">
        <f>(O35/$R35*100*($E35/365))+(O36/$R36*100*($E36/365))</f>
        <v>3.5616438356164384</v>
      </c>
      <c r="I143" s="779"/>
      <c r="J143" s="779">
        <f>(P35/$R35*100*($E35/365))+(P36/$R36*100*($E36/365))</f>
        <v>0</v>
      </c>
      <c r="K143" s="779"/>
      <c r="L143" s="779">
        <f>(Q35/$R35*100*($E35/365))+(Q36/$R36*100*($E36/365))</f>
        <v>96.438356164383563</v>
      </c>
      <c r="M143" s="779"/>
      <c r="N143" s="781">
        <f t="shared" si="42"/>
        <v>100</v>
      </c>
      <c r="O143" s="781"/>
      <c r="R143" s="1">
        <v>1973</v>
      </c>
      <c r="S143" s="7">
        <f>(O35*($E35/365))+(O36*($E36/365))</f>
        <v>0.44876712328767121</v>
      </c>
      <c r="T143" s="7">
        <f>(P35*($E35/365))+(P36*($E36/365))</f>
        <v>0</v>
      </c>
      <c r="U143" s="7">
        <f>(Q35*($E35/365))+(Q36*($E36/365))</f>
        <v>38.575342465753423</v>
      </c>
      <c r="V143" s="12"/>
      <c r="W143" s="7">
        <f>R35*(E35/365) + R36*(E36/365)</f>
        <v>39.024109589041096</v>
      </c>
      <c r="X143" s="5"/>
      <c r="Z143" s="5"/>
    </row>
    <row r="144" spans="1:26" x14ac:dyDescent="0.15">
      <c r="A144" s="1">
        <v>1974</v>
      </c>
      <c r="B144" s="7">
        <f>(K37*($E37/365))+(K38*($E38/365))</f>
        <v>100</v>
      </c>
      <c r="C144" s="7">
        <f>(L37*($E37/365))+(L38*($E38/365))</f>
        <v>0</v>
      </c>
      <c r="D144" s="7">
        <f>(M37*($E37/365))+(M38*($E38/365))</f>
        <v>0</v>
      </c>
      <c r="E144" s="33">
        <f t="shared" si="41"/>
        <v>100</v>
      </c>
      <c r="G144" s="1">
        <v>1974</v>
      </c>
      <c r="H144" s="779">
        <f>(O37/$R37*100*($E37/365))+(O38/$R38*100*($E38/365))</f>
        <v>100</v>
      </c>
      <c r="I144" s="779"/>
      <c r="J144" s="779">
        <f>(P37/$R37*100*($E37/365))+(P38/$R38*100*($E38/365))</f>
        <v>0</v>
      </c>
      <c r="K144" s="779"/>
      <c r="L144" s="779">
        <f>(Q37/$R37*100*($E37/365))+(Q38/$R38*100*($E38/365))</f>
        <v>0</v>
      </c>
      <c r="M144" s="779"/>
      <c r="N144" s="781">
        <f t="shared" si="42"/>
        <v>100</v>
      </c>
      <c r="O144" s="781"/>
      <c r="R144" s="1">
        <v>1974</v>
      </c>
      <c r="S144" s="7">
        <f>(O37*($E37/365))+(O38*($E38/365))</f>
        <v>12.6</v>
      </c>
      <c r="T144" s="7">
        <f>(P37*($E37/365))+(P38*($E38/365))</f>
        <v>0</v>
      </c>
      <c r="U144" s="7">
        <f>(Q37*($E37/365))+(Q38*($E38/365))</f>
        <v>0</v>
      </c>
      <c r="V144" s="12"/>
      <c r="W144" s="7">
        <f>R37*(E37/365) + R38*(E38/365)</f>
        <v>12.6</v>
      </c>
      <c r="X144" s="5"/>
      <c r="Z144" s="5"/>
    </row>
    <row r="145" spans="1:26" x14ac:dyDescent="0.15">
      <c r="A145" s="1">
        <v>1975</v>
      </c>
      <c r="B145" s="7">
        <f>(K39*($E39/365))+(K40*($E40/365))</f>
        <v>11.78082191780822</v>
      </c>
      <c r="C145" s="7">
        <f>(L39*($E39/365))+(L40*($E40/365))</f>
        <v>0</v>
      </c>
      <c r="D145" s="7">
        <f>(M39*($E39/365))+(M40*($E40/365))</f>
        <v>88.219178082191789</v>
      </c>
      <c r="E145" s="33">
        <f t="shared" si="41"/>
        <v>100.00000000000001</v>
      </c>
      <c r="G145" s="1">
        <v>1975</v>
      </c>
      <c r="H145" s="779">
        <f>(O39/$R39*100*($E39/365))+(O40/$R40*100*($E40/365))</f>
        <v>11.78082191780822</v>
      </c>
      <c r="I145" s="779"/>
      <c r="J145" s="779">
        <f>(P39/$R39*100*($E39/365))+(P40/$R40*100*($E40/365))</f>
        <v>0</v>
      </c>
      <c r="K145" s="779"/>
      <c r="L145" s="779">
        <f>(Q39/$R39*100*($E39/365))+(Q40/$R40*100*($E40/365))</f>
        <v>88.219178082191789</v>
      </c>
      <c r="M145" s="779"/>
      <c r="N145" s="781">
        <f t="shared" si="42"/>
        <v>100.00000000000001</v>
      </c>
      <c r="O145" s="781"/>
      <c r="R145" s="1">
        <v>1975</v>
      </c>
      <c r="S145" s="7">
        <f>(O39*($E39/365))+(O40*($E40/365))</f>
        <v>1.4843835616438357</v>
      </c>
      <c r="T145" s="7">
        <f>(P39*($E39/365))+(P40*($E40/365))</f>
        <v>0</v>
      </c>
      <c r="U145" s="7">
        <f>(Q39*($E39/365))+(Q40*($E40/365))</f>
        <v>26.730410958904113</v>
      </c>
      <c r="V145" s="12"/>
      <c r="W145" s="7">
        <f>R39*(E39/365) + R40*(E40/365)</f>
        <v>28.214794520547947</v>
      </c>
      <c r="X145" s="5"/>
      <c r="Z145" s="5"/>
    </row>
    <row r="146" spans="1:26" x14ac:dyDescent="0.15">
      <c r="A146" s="1">
        <v>1976</v>
      </c>
      <c r="B146" s="7">
        <f>(K41*($E41/366))+(K42*($E42/366))</f>
        <v>0</v>
      </c>
      <c r="C146" s="7">
        <f>(L41*($E41/366))+(L42*($E42/366))</f>
        <v>0</v>
      </c>
      <c r="D146" s="7">
        <f>(M41*($E41/366))+(M42*($E42/366))</f>
        <v>100</v>
      </c>
      <c r="E146" s="33">
        <f t="shared" si="41"/>
        <v>100</v>
      </c>
      <c r="G146" s="1">
        <v>1976</v>
      </c>
      <c r="H146" s="779">
        <f>(O41/$R41*100*($E41/366))+(O42/$R42*100*($E42/366))</f>
        <v>0</v>
      </c>
      <c r="I146" s="779"/>
      <c r="J146" s="779">
        <f>(P41/$R41*100*($E41/366))+(P42/$R42*100*($E42/366))</f>
        <v>0</v>
      </c>
      <c r="K146" s="779"/>
      <c r="L146" s="779">
        <f>(Q41/$R41*100*($E41/366))+(Q42/$R42*100*($E42/366))</f>
        <v>100</v>
      </c>
      <c r="M146" s="779"/>
      <c r="N146" s="781">
        <f t="shared" si="42"/>
        <v>100</v>
      </c>
      <c r="O146" s="781"/>
      <c r="R146" s="1">
        <v>1976</v>
      </c>
      <c r="S146" s="7">
        <f>(O41*($E41/366))+(O42*($E42/366))</f>
        <v>0</v>
      </c>
      <c r="T146" s="7">
        <f>(P41*($E41/366))+(P42*($E42/366))</f>
        <v>0</v>
      </c>
      <c r="U146" s="7">
        <f>(Q41*($E41/366))+(Q42*($E42/366))</f>
        <v>30.3</v>
      </c>
      <c r="V146" s="12"/>
      <c r="W146" s="7">
        <f>R41*(E41/366) + R42*(E42/366)</f>
        <v>30.3</v>
      </c>
      <c r="X146" s="5"/>
      <c r="Z146" s="5"/>
    </row>
    <row r="147" spans="1:26" x14ac:dyDescent="0.15">
      <c r="A147" s="1">
        <v>1977</v>
      </c>
      <c r="B147" s="7">
        <f>(K43*($E43/365))+(K44*($E44/365))</f>
        <v>0</v>
      </c>
      <c r="C147" s="7">
        <f>(L43*($E43/365))+(L44*($E44/365))</f>
        <v>0</v>
      </c>
      <c r="D147" s="7">
        <f>(M43*($E43/365))+(M44*($E44/365))</f>
        <v>100</v>
      </c>
      <c r="E147" s="33">
        <f t="shared" si="41"/>
        <v>100</v>
      </c>
      <c r="G147" s="1">
        <v>1977</v>
      </c>
      <c r="H147" s="779">
        <f>(O43/$R43*100*($E43/365))+(O44/$R44*100*($E44/365))</f>
        <v>0</v>
      </c>
      <c r="I147" s="779"/>
      <c r="J147" s="779">
        <f>(P43/$R43*100*($E43/365))+(P44/$R44*100*($E44/365))</f>
        <v>0</v>
      </c>
      <c r="K147" s="779"/>
      <c r="L147" s="779">
        <f>(Q43/$R43*100*($E43/365))+(Q44/$R44*100*($E44/365))</f>
        <v>100</v>
      </c>
      <c r="M147" s="779"/>
      <c r="N147" s="781">
        <f t="shared" si="42"/>
        <v>100</v>
      </c>
      <c r="O147" s="781"/>
      <c r="R147" s="1">
        <v>1977</v>
      </c>
      <c r="S147" s="7">
        <f>(O43*($E43/365))+(O44*($E44/365))</f>
        <v>0</v>
      </c>
      <c r="T147" s="7">
        <f>(P43*($E43/365))+(P44*($E44/365))</f>
        <v>0</v>
      </c>
      <c r="U147" s="7">
        <f>(Q43*($E43/365))+(Q44*($E44/365))</f>
        <v>36.075342465753423</v>
      </c>
      <c r="V147" s="12"/>
      <c r="W147" s="7">
        <f>R43*(E43/365) + R44*(E44/365)</f>
        <v>36.075342465753423</v>
      </c>
      <c r="X147" s="5"/>
      <c r="Z147" s="5"/>
    </row>
    <row r="148" spans="1:26" x14ac:dyDescent="0.15">
      <c r="A148" s="1">
        <v>1978</v>
      </c>
      <c r="B148" s="7">
        <f>(K45*($E45/365))+(K46*($E46/365))</f>
        <v>11.324200913242008</v>
      </c>
      <c r="C148" s="7">
        <f>(L45*($E45/365))+(L46*($E46/365))</f>
        <v>0</v>
      </c>
      <c r="D148" s="7">
        <f>(M45*($E45/365))+(M46*($E46/365))</f>
        <v>88.675799086757991</v>
      </c>
      <c r="E148" s="33">
        <f t="shared" si="41"/>
        <v>100</v>
      </c>
      <c r="G148" s="1">
        <v>1978</v>
      </c>
      <c r="H148" s="779">
        <f>(O45/$R45*100*($E45/365))+(O46/$R46*100*($E46/365))</f>
        <v>8.302876433334264</v>
      </c>
      <c r="I148" s="779"/>
      <c r="J148" s="779">
        <f>(P45/$R45*100*($E45/365))+(P46/$R46*100*($E46/365))</f>
        <v>0</v>
      </c>
      <c r="K148" s="779"/>
      <c r="L148" s="779">
        <f>(Q45/$R45*100*($E45/365))+(Q46/$R46*100*($E46/365))</f>
        <v>91.697123566665738</v>
      </c>
      <c r="M148" s="779"/>
      <c r="N148" s="781">
        <f t="shared" si="42"/>
        <v>100</v>
      </c>
      <c r="O148" s="781"/>
      <c r="R148" s="1">
        <v>1978</v>
      </c>
      <c r="S148" s="7">
        <f>(O45*($E45/365))+(O46*($E46/365))</f>
        <v>4.0767123287671234</v>
      </c>
      <c r="T148" s="7">
        <f>(P45*($E45/365))+(P46*($E46/365))</f>
        <v>0</v>
      </c>
      <c r="U148" s="7">
        <f>(Q45*($E45/365))+(Q46*($E46/365))</f>
        <v>37.099999999999994</v>
      </c>
      <c r="V148" s="12"/>
      <c r="W148" s="7">
        <f>R45*(E45/365) + R46*(E46/365)</f>
        <v>41.176712328767124</v>
      </c>
      <c r="X148" s="5"/>
      <c r="Z148" s="5"/>
    </row>
    <row r="149" spans="1:26" x14ac:dyDescent="0.15">
      <c r="A149" s="1">
        <v>1979</v>
      </c>
      <c r="B149" s="7">
        <f>(K47*($E47/365))+(K48*($E48/365))</f>
        <v>27.214611872146115</v>
      </c>
      <c r="C149" s="7">
        <f>(L47*($E47/365))+(L48*($E48/365))</f>
        <v>0</v>
      </c>
      <c r="D149" s="7">
        <f>(M47*($E47/365))+(M48*($E48/365))</f>
        <v>72.785388127853878</v>
      </c>
      <c r="E149" s="33">
        <f t="shared" si="41"/>
        <v>100</v>
      </c>
      <c r="G149" s="1">
        <v>1979</v>
      </c>
      <c r="H149" s="779">
        <f>(O47/$R47*100*($E47/365))+(O48/$R48*100*($E48/365))</f>
        <v>19.953686912367825</v>
      </c>
      <c r="I149" s="779"/>
      <c r="J149" s="779">
        <f>(P47/$R47*100*($E47/365))+(P48/$R48*100*($E48/365))</f>
        <v>0</v>
      </c>
      <c r="K149" s="779"/>
      <c r="L149" s="779">
        <f>(Q47/$R47*100*($E47/365))+(Q48/$R48*100*($E48/365))</f>
        <v>80.046313087632171</v>
      </c>
      <c r="M149" s="779"/>
      <c r="N149" s="781">
        <f t="shared" si="42"/>
        <v>100</v>
      </c>
      <c r="O149" s="781"/>
      <c r="R149" s="1">
        <v>1979</v>
      </c>
      <c r="S149" s="7">
        <f>(O47*($E47/365))+(O48*($E48/365))</f>
        <v>9.7972602739726025</v>
      </c>
      <c r="T149" s="7">
        <f>(P47*($E47/365))+(P48*($E48/365))</f>
        <v>0</v>
      </c>
      <c r="U149" s="7">
        <f>(Q47*($E47/365))+(Q48*($E48/365))</f>
        <v>37.430410958904112</v>
      </c>
      <c r="V149" s="12"/>
      <c r="W149" s="7">
        <f>R47*(E47/365) + R48*(E48/365)</f>
        <v>47.227671232876709</v>
      </c>
      <c r="X149" s="5"/>
      <c r="Z149" s="5"/>
    </row>
    <row r="150" spans="1:26" x14ac:dyDescent="0.15">
      <c r="A150" s="1">
        <v>1980</v>
      </c>
      <c r="B150" s="7">
        <f>(K49*($E49/366))+(K50*($E50/366))</f>
        <v>0</v>
      </c>
      <c r="C150" s="7">
        <f>(L49*($E49/366))+(L50*($E50/366))</f>
        <v>0</v>
      </c>
      <c r="D150" s="7">
        <f>(M49*($E49/366))+(M50*($E50/366))</f>
        <v>100</v>
      </c>
      <c r="E150" s="33">
        <f t="shared" si="41"/>
        <v>100</v>
      </c>
      <c r="G150" s="1">
        <v>1980</v>
      </c>
      <c r="H150" s="779">
        <f>(O49/$R49*100*($E49/366))+(O50/$R50*100*($E50/366))</f>
        <v>0</v>
      </c>
      <c r="I150" s="779"/>
      <c r="J150" s="779">
        <f>(P49/$R49*100*($E49/366))+(P50/$R50*100*($E50/366))</f>
        <v>0</v>
      </c>
      <c r="K150" s="779"/>
      <c r="L150" s="779">
        <f>(Q49/$R49*100*($E49/366))+(Q50/$R50*100*($E50/366))</f>
        <v>100</v>
      </c>
      <c r="M150" s="779"/>
      <c r="N150" s="781">
        <f t="shared" si="42"/>
        <v>100</v>
      </c>
      <c r="O150" s="781"/>
      <c r="R150" s="1">
        <v>1980</v>
      </c>
      <c r="S150" s="7">
        <f>(O49*($E49/366))+(O50*($E50/366))</f>
        <v>0</v>
      </c>
      <c r="T150" s="7">
        <f>(P49*($E49/366))+(P50*($E50/366))</f>
        <v>0</v>
      </c>
      <c r="U150" s="7">
        <f>(Q49*($E49/366))+(Q50*($E50/366))</f>
        <v>38.9</v>
      </c>
      <c r="V150" s="12"/>
      <c r="W150" s="7">
        <f>R49*(E49/366) + R50*(E50/366)</f>
        <v>38.9</v>
      </c>
      <c r="X150" s="5"/>
      <c r="Z150" s="5"/>
    </row>
    <row r="151" spans="1:26" x14ac:dyDescent="0.15">
      <c r="A151" s="1">
        <v>1981</v>
      </c>
      <c r="B151" s="7">
        <f>(K51*($E51/365))+(K52*($E52/365))</f>
        <v>0</v>
      </c>
      <c r="C151" s="7">
        <f>(L51*($E51/365))+(L52*($E52/365))</f>
        <v>0</v>
      </c>
      <c r="D151" s="7">
        <f>(M51*($E51/365))+(M52*($E52/365))</f>
        <v>100.00000000000001</v>
      </c>
      <c r="E151" s="33">
        <f t="shared" si="41"/>
        <v>100.00000000000001</v>
      </c>
      <c r="G151" s="1">
        <v>1981</v>
      </c>
      <c r="H151" s="779">
        <f>(O51/$R51*100*($E51/365))+(O52/$R52*100*($E52/365))</f>
        <v>0</v>
      </c>
      <c r="I151" s="779"/>
      <c r="J151" s="779">
        <f>(P51/$R51*100*($E51/365))+(P52/$R52*100*($E52/365))</f>
        <v>0</v>
      </c>
      <c r="K151" s="779"/>
      <c r="L151" s="779">
        <f>(Q51/$R51*100*($E51/365))+(Q52/$R52*100*($E52/365))</f>
        <v>100.00000000000001</v>
      </c>
      <c r="M151" s="779"/>
      <c r="N151" s="781">
        <f t="shared" si="42"/>
        <v>100.00000000000001</v>
      </c>
      <c r="O151" s="781"/>
      <c r="R151" s="1">
        <v>1981</v>
      </c>
      <c r="S151" s="7">
        <f>(O51*($E51/365))+(O52*($E52/365))</f>
        <v>0</v>
      </c>
      <c r="T151" s="7">
        <f>(P51*($E51/365))+(P52*($E52/365))</f>
        <v>0</v>
      </c>
      <c r="U151" s="7">
        <f>(Q51*($E51/365))+(Q52*($E52/365))</f>
        <v>38.88575342465753</v>
      </c>
      <c r="V151" s="12"/>
      <c r="W151" s="7">
        <f>R51*(E51/365) + R52*(E52/365)</f>
        <v>38.88575342465753</v>
      </c>
      <c r="X151" s="5"/>
      <c r="Z151" s="5"/>
    </row>
    <row r="152" spans="1:26" x14ac:dyDescent="0.15">
      <c r="A152" s="1">
        <v>1982</v>
      </c>
      <c r="B152" s="7">
        <f>(K53*($E53/365))+(K54*($E54/365))</f>
        <v>23.587736464448792</v>
      </c>
      <c r="C152" s="7">
        <f>(L53*($E53/365))+(L54*($E54/365))</f>
        <v>7.3711676451402468</v>
      </c>
      <c r="D152" s="7">
        <f>(M53*($E53/365))+(M54*($E54/365))</f>
        <v>69.041095890410958</v>
      </c>
      <c r="E152" s="33">
        <f t="shared" si="41"/>
        <v>100</v>
      </c>
      <c r="G152" s="1">
        <v>1982</v>
      </c>
      <c r="H152" s="779">
        <f>(O53/$R53*100*($E53/365))+(O54/$R54*100*($E54/365))</f>
        <v>23.459000578815356</v>
      </c>
      <c r="I152" s="779"/>
      <c r="J152" s="779">
        <f>(P53/$R53*100*($E53/365))+(P54/$R54*100*($E54/365))</f>
        <v>7.4999035307736834</v>
      </c>
      <c r="K152" s="779"/>
      <c r="L152" s="779">
        <f>(Q53/$R53*100*($E53/365))+(Q54/$R54*100*($E54/365))</f>
        <v>69.041095890410958</v>
      </c>
      <c r="M152" s="779"/>
      <c r="N152" s="781">
        <f t="shared" si="42"/>
        <v>100</v>
      </c>
      <c r="O152" s="781"/>
      <c r="R152" s="1">
        <v>1982</v>
      </c>
      <c r="S152" s="7">
        <f>(O53*($E53/365))+(O54*($E54/365))</f>
        <v>8.3279452054794518</v>
      </c>
      <c r="T152" s="7">
        <f>(P53*($E53/365))+(P54*($E54/365))</f>
        <v>2.6624657534246574</v>
      </c>
      <c r="U152" s="7">
        <f>(Q53*($E53/365))+(Q54*($E54/365))</f>
        <v>23.266849315068498</v>
      </c>
      <c r="V152" s="12"/>
      <c r="W152" s="7">
        <f>R53*(E53/365) + R54*(E54/365)</f>
        <v>34.257260273972605</v>
      </c>
      <c r="X152" s="5"/>
      <c r="Z152" s="5"/>
    </row>
    <row r="153" spans="1:26" x14ac:dyDescent="0.15">
      <c r="A153" s="1">
        <v>1983</v>
      </c>
      <c r="B153" s="7">
        <f>(K55*($E55/365))+(K56*($E56/365))</f>
        <v>76.19047619047619</v>
      </c>
      <c r="C153" s="7">
        <f>(L55*($E55/365))+(L56*($E56/365))</f>
        <v>23.809523809523807</v>
      </c>
      <c r="D153" s="7">
        <f>(M55*($E55/365))+(M56*($E56/365))</f>
        <v>0</v>
      </c>
      <c r="E153" s="33">
        <f t="shared" si="41"/>
        <v>100</v>
      </c>
      <c r="G153" s="1">
        <v>1983</v>
      </c>
      <c r="H153" s="779">
        <f>(O55/$R55*100*($E55/365))+(O56/$R56*100*($E56/365))</f>
        <v>75.774647887323937</v>
      </c>
      <c r="I153" s="779"/>
      <c r="J153" s="779">
        <f>(P55/$R55*100*($E55/365))+(P56/$R56*100*($E56/365))</f>
        <v>24.225352112676056</v>
      </c>
      <c r="K153" s="779"/>
      <c r="L153" s="779">
        <f>(Q55/$R55*100*($E55/365))+(Q56/$R56*100*($E56/365))</f>
        <v>0</v>
      </c>
      <c r="M153" s="779"/>
      <c r="N153" s="781">
        <f t="shared" si="42"/>
        <v>100</v>
      </c>
      <c r="O153" s="781"/>
      <c r="R153" s="1">
        <v>1983</v>
      </c>
      <c r="S153" s="7">
        <f>(O55*($E55/365))+(O56*($E56/365))</f>
        <v>26.9</v>
      </c>
      <c r="T153" s="7">
        <f>(P55*($E55/365))+(P56*($E56/365))</f>
        <v>8.6</v>
      </c>
      <c r="U153" s="7">
        <f>(Q55*($E55/365))+(Q56*($E56/365))</f>
        <v>0</v>
      </c>
      <c r="V153" s="12"/>
      <c r="W153" s="7">
        <f>R55*(E55/365) + R56*(E56/365)</f>
        <v>35.5</v>
      </c>
      <c r="X153" s="5"/>
      <c r="Z153" s="5"/>
    </row>
    <row r="154" spans="1:26" x14ac:dyDescent="0.15">
      <c r="A154" s="1">
        <v>1984</v>
      </c>
      <c r="B154" s="7">
        <f>(K57*($E57/366))+(K58*($E58/366))</f>
        <v>76.19047619047619</v>
      </c>
      <c r="C154" s="7">
        <f>(L57*($E57/366))+(L58*($E58/366))</f>
        <v>23.80952380952381</v>
      </c>
      <c r="D154" s="7">
        <f>(M57*($E57/366))+(M58*($E58/366))</f>
        <v>0</v>
      </c>
      <c r="E154" s="33">
        <f t="shared" si="41"/>
        <v>100</v>
      </c>
      <c r="G154" s="1">
        <v>1984</v>
      </c>
      <c r="H154" s="779">
        <f>(O57/$R57*100*($E57/366))+(O58/$R58*100*($E58/366))</f>
        <v>88.121273665655679</v>
      </c>
      <c r="I154" s="779"/>
      <c r="J154" s="779">
        <f>(P57/$R57*100*($E57/366))+(P58/$R58*100*($E58/366))</f>
        <v>11.878726334344332</v>
      </c>
      <c r="K154" s="779"/>
      <c r="L154" s="779">
        <f>(Q57/$R57*100*($E57/366))+(Q58/$R58*100*($E58/366))</f>
        <v>0</v>
      </c>
      <c r="M154" s="779"/>
      <c r="N154" s="781">
        <f t="shared" si="42"/>
        <v>100.00000000000001</v>
      </c>
      <c r="O154" s="781"/>
      <c r="R154" s="1">
        <v>1984</v>
      </c>
      <c r="S154" s="7">
        <f>(O57*($E57/366))+(O58*($E58/366))</f>
        <v>36.069945355191258</v>
      </c>
      <c r="T154" s="7">
        <f>(P57*($E57/366))+(P58*($E58/366))</f>
        <v>4.8185792349726775</v>
      </c>
      <c r="U154" s="7">
        <f>(Q57*($E57/366))+(Q58*($E58/366))</f>
        <v>0</v>
      </c>
      <c r="V154" s="12"/>
      <c r="W154" s="7">
        <f>R57*(E57/366) + R58*(E58/366)</f>
        <v>40.888524590163939</v>
      </c>
      <c r="X154" s="5"/>
      <c r="Z154" s="5"/>
    </row>
    <row r="155" spans="1:26" x14ac:dyDescent="0.15">
      <c r="A155" s="1">
        <v>1985</v>
      </c>
      <c r="B155" s="7">
        <f>(K59*($E59/365))+(K60*($E60/365))</f>
        <v>76.19047619047619</v>
      </c>
      <c r="C155" s="7">
        <f>(L59*($E59/365))+(L60*($E60/365))</f>
        <v>23.809523809523807</v>
      </c>
      <c r="D155" s="7">
        <f>(M59*($E59/365))+(M60*($E60/365))</f>
        <v>0</v>
      </c>
      <c r="E155" s="33">
        <f t="shared" si="41"/>
        <v>100</v>
      </c>
      <c r="G155" s="1">
        <v>1985</v>
      </c>
      <c r="H155" s="779">
        <f>(O59/$R59*100*($E59/365))+(O60/$R60*100*($E60/365))</f>
        <v>88.834951456310677</v>
      </c>
      <c r="I155" s="779"/>
      <c r="J155" s="779">
        <f>(P59/$R59*100*($E59/365))+(P60/$R60*100*($E60/365))</f>
        <v>11.165048543689318</v>
      </c>
      <c r="K155" s="779"/>
      <c r="L155" s="779">
        <f>(Q59/$R59*100*($E59/365))+(Q60/$R60*100*($E60/365))</f>
        <v>0</v>
      </c>
      <c r="M155" s="779"/>
      <c r="N155" s="781">
        <f t="shared" si="42"/>
        <v>100</v>
      </c>
      <c r="O155" s="781"/>
      <c r="R155" s="1">
        <v>1985</v>
      </c>
      <c r="S155" s="7">
        <f>(O59*($E59/365))+(O60*($E60/365))</f>
        <v>36.6</v>
      </c>
      <c r="T155" s="7">
        <f>(P59*($E59/365))+(P60*($E60/365))</f>
        <v>4.5999999999999996</v>
      </c>
      <c r="U155" s="7">
        <f>(Q59*($E59/365))+(Q60*($E60/365))</f>
        <v>0</v>
      </c>
      <c r="V155" s="12"/>
      <c r="W155" s="7">
        <f>R59*(E59/365) + R60*(E60/365)</f>
        <v>41.2</v>
      </c>
      <c r="X155" s="5"/>
      <c r="Z155" s="5"/>
    </row>
    <row r="156" spans="1:26" x14ac:dyDescent="0.15">
      <c r="A156" s="1">
        <v>1986</v>
      </c>
      <c r="B156" s="7">
        <f>(K61*($E61/365))+(K62*($E62/365))</f>
        <v>76.19047619047619</v>
      </c>
      <c r="C156" s="7">
        <f>(L61*($E61/365))+(L62*($E62/365))</f>
        <v>23.809523809523807</v>
      </c>
      <c r="D156" s="7">
        <f>(M61*($E61/365))+(M62*($E62/365))</f>
        <v>0</v>
      </c>
      <c r="E156" s="33">
        <f t="shared" si="41"/>
        <v>100</v>
      </c>
      <c r="G156" s="1">
        <v>1986</v>
      </c>
      <c r="H156" s="779">
        <f>(O61/$R61*100*($E61/365))+(O62/$R62*100*($E62/365))</f>
        <v>88.834951456310677</v>
      </c>
      <c r="I156" s="779"/>
      <c r="J156" s="779">
        <f>(P61/$R61*100*($E61/365))+(P62/$R62*100*($E62/365))</f>
        <v>11.165048543689318</v>
      </c>
      <c r="K156" s="779"/>
      <c r="L156" s="779">
        <f>(Q61/$R61*100*($E61/365))+(Q62/$R62*100*($E62/365))</f>
        <v>0</v>
      </c>
      <c r="M156" s="779"/>
      <c r="N156" s="781">
        <f t="shared" si="42"/>
        <v>100</v>
      </c>
      <c r="O156" s="781"/>
      <c r="R156" s="1">
        <v>1986</v>
      </c>
      <c r="S156" s="7">
        <f>(O61*($E61/365))+(O62*($E62/365))</f>
        <v>36.6</v>
      </c>
      <c r="T156" s="7">
        <f>(P61*($E61/365))+(P62*($E62/365))</f>
        <v>4.5999999999999996</v>
      </c>
      <c r="U156" s="7">
        <f>(Q61*($E61/365))+(Q62*($E62/365))</f>
        <v>0</v>
      </c>
      <c r="V156" s="12"/>
      <c r="W156" s="7">
        <f>R61*(E61/365) + R62*(E62/365)</f>
        <v>41.2</v>
      </c>
      <c r="X156" s="5"/>
      <c r="Z156" s="5"/>
    </row>
    <row r="157" spans="1:26" ht="9" customHeight="1" x14ac:dyDescent="0.15">
      <c r="A157" s="1">
        <v>1987</v>
      </c>
      <c r="B157" s="7">
        <f>(K63*($E63/365))+(K64*($E64/365))</f>
        <v>77.932752179327537</v>
      </c>
      <c r="C157" s="7">
        <f>(L63*($E63/365))+(L64*($E64/365))</f>
        <v>22.067247820672478</v>
      </c>
      <c r="D157" s="7">
        <f>(M63*($E63/365))+(M64*($E64/365))</f>
        <v>0</v>
      </c>
      <c r="E157" s="33">
        <f t="shared" si="41"/>
        <v>100.00000000000001</v>
      </c>
      <c r="G157" s="2">
        <v>1987</v>
      </c>
      <c r="H157" s="779">
        <f>(O63/$R63*100*($E63/365))+(O64/$R64*100*($E64/365))</f>
        <v>86.50120940500193</v>
      </c>
      <c r="I157" s="779"/>
      <c r="J157" s="779">
        <f>(P63/$R63*100*($E63/365))+(P64/$R64*100*($E64/365))</f>
        <v>13.498790594998074</v>
      </c>
      <c r="K157" s="779"/>
      <c r="L157" s="779">
        <f>(Q63/$R63*100*($E63/365))+(Q64/$R64*100*($E64/365))</f>
        <v>0</v>
      </c>
      <c r="M157" s="779"/>
      <c r="N157" s="781">
        <f t="shared" si="42"/>
        <v>100</v>
      </c>
      <c r="O157" s="781"/>
      <c r="R157" s="1">
        <v>1987</v>
      </c>
      <c r="S157" s="7">
        <f>(O63*($E63/365))+(O64*($E64/365))</f>
        <v>35.361643835616441</v>
      </c>
      <c r="T157" s="7">
        <f>(P63*($E63/365))+(P64*($E64/365))</f>
        <v>5.4978082191780828</v>
      </c>
      <c r="U157" s="7">
        <f>(Q63*($E63/365))+(Q64*($E64/365))</f>
        <v>0</v>
      </c>
      <c r="V157" s="12"/>
      <c r="W157" s="7">
        <f>R63*(E63/365) + R64*(E64/365)</f>
        <v>40.859452054794524</v>
      </c>
      <c r="X157" s="5"/>
      <c r="Z157" s="5"/>
    </row>
    <row r="158" spans="1:26" ht="9" customHeight="1" x14ac:dyDescent="0.15">
      <c r="A158" s="1">
        <v>1988</v>
      </c>
      <c r="B158" s="7">
        <f>(K65*($E65/366))+(K66*($E66/366))</f>
        <v>92.349726775956285</v>
      </c>
      <c r="C158" s="7">
        <f>(L65*($E65/366))+(L66*($E66/366))</f>
        <v>7.6502732240437172</v>
      </c>
      <c r="D158" s="7">
        <f>(M65*($E65/366))+(M66*($E66/366))</f>
        <v>0</v>
      </c>
      <c r="E158" s="33">
        <f t="shared" si="41"/>
        <v>100</v>
      </c>
      <c r="G158" s="2">
        <v>1988</v>
      </c>
      <c r="H158" s="779">
        <f>(O65/$R65*100*($E65/366))+(O66/$R66*100*($E66/366))</f>
        <v>92.130329912922605</v>
      </c>
      <c r="I158" s="779"/>
      <c r="J158" s="779">
        <f>(P65/$R65*100*($E65/366))+(P66/$R66*100*($E66/366))</f>
        <v>7.8696700870773881</v>
      </c>
      <c r="K158" s="779"/>
      <c r="L158" s="779">
        <f>(Q65/$R65*100*($E65/366))+(Q66/$R66*100*($E66/366))</f>
        <v>0</v>
      </c>
      <c r="M158" s="779"/>
      <c r="N158" s="781">
        <f t="shared" si="42"/>
        <v>100</v>
      </c>
      <c r="O158" s="781"/>
      <c r="R158" s="1">
        <v>1988</v>
      </c>
      <c r="S158" s="7">
        <f>(O65*($E65/366))+(O66*($E66/366))</f>
        <v>35.901639344262293</v>
      </c>
      <c r="T158" s="7">
        <f>(P65*($E65/366))+(P66*($E66/366))</f>
        <v>3.1557377049180331</v>
      </c>
      <c r="U158" s="7">
        <f>(Q65*($E65/366))+(Q66*($E66/366))</f>
        <v>0</v>
      </c>
      <c r="V158" s="12"/>
      <c r="W158" s="7">
        <f>R65*(E65/366) + R66*(E66/366)</f>
        <v>39.057377049180332</v>
      </c>
      <c r="X158" s="5"/>
      <c r="Z158" s="5"/>
    </row>
    <row r="159" spans="1:26" s="4" customFormat="1" ht="9" customHeight="1" x14ac:dyDescent="0.15">
      <c r="A159" s="4">
        <v>1989</v>
      </c>
      <c r="B159" s="11">
        <f>(K67*($E67/365))+(K68*($E68/365))</f>
        <v>100</v>
      </c>
      <c r="C159" s="11">
        <f>(L67*($E67/365))+(L68*($E68/365))</f>
        <v>0</v>
      </c>
      <c r="D159" s="11">
        <f>(M67*($E67/365))+(M68*($E68/365))</f>
        <v>0</v>
      </c>
      <c r="E159" s="32">
        <f t="shared" si="41"/>
        <v>100</v>
      </c>
      <c r="G159" s="4">
        <v>1989</v>
      </c>
      <c r="H159" s="806">
        <f>(O67/$R67*100*($E67/365))+(O68/$R68*100*($E68/365))</f>
        <v>100</v>
      </c>
      <c r="I159" s="806"/>
      <c r="J159" s="806">
        <f>(P67/$R67*100*($E67/365))+(P68/$R68*100*($E68/365))</f>
        <v>0</v>
      </c>
      <c r="K159" s="806"/>
      <c r="L159" s="806">
        <f>(Q67/$R67*100*($E67/365))+(Q68/$R68*100*($E68/365))</f>
        <v>0</v>
      </c>
      <c r="M159" s="806"/>
      <c r="N159" s="808">
        <f t="shared" si="42"/>
        <v>100</v>
      </c>
      <c r="O159" s="808"/>
      <c r="R159" s="4">
        <v>1989</v>
      </c>
      <c r="S159" s="11">
        <f>(O67*($E67/365))+(O68*($E68/365))</f>
        <v>38.299999999999997</v>
      </c>
      <c r="T159" s="11">
        <f>(P67*($E67/365))+(P68*($E68/365))</f>
        <v>0</v>
      </c>
      <c r="U159" s="11">
        <f>(Q67*($E67/365))+(Q68*($E68/365))</f>
        <v>0</v>
      </c>
      <c r="V159" s="27"/>
      <c r="W159" s="11">
        <f>R67*(E67/365) + R68*(E68/365)</f>
        <v>38.299999999999997</v>
      </c>
      <c r="X159" s="19"/>
      <c r="Z159" s="19"/>
    </row>
    <row r="160" spans="1:26" ht="9" customHeight="1" x14ac:dyDescent="0.15">
      <c r="A160" s="1">
        <v>1990</v>
      </c>
      <c r="B160" s="8">
        <f>(K69*($E69/365))+(K70*($E70/365))</f>
        <v>100.00000000000001</v>
      </c>
      <c r="C160" s="8">
        <f>(L69*($E69/365))+(L70*($E70/365))</f>
        <v>0</v>
      </c>
      <c r="D160" s="8">
        <f>(M69*($E69/365))+(M70*($E70/365))</f>
        <v>0</v>
      </c>
      <c r="E160" s="33">
        <f>SUM(B160:D160)</f>
        <v>100.00000000000001</v>
      </c>
      <c r="G160" s="1">
        <v>1990</v>
      </c>
      <c r="H160" s="779">
        <f>(O69/$R69*100*($E69/365))+(O70/$R70*100*($E70/365))</f>
        <v>100.00000000000001</v>
      </c>
      <c r="I160" s="779"/>
      <c r="J160" s="779">
        <f>(P69/$R69*100*($E69/365))+(P70/$R70*100*($E70/365))</f>
        <v>0</v>
      </c>
      <c r="K160" s="779"/>
      <c r="L160" s="779">
        <f>(Q69/$R69*100*($E69/365))+(Q70/$R70*100*($E70/365))</f>
        <v>0</v>
      </c>
      <c r="M160" s="779"/>
      <c r="N160" s="781">
        <f t="shared" si="42"/>
        <v>100.00000000000001</v>
      </c>
      <c r="O160" s="781"/>
      <c r="R160" s="1">
        <v>1990</v>
      </c>
      <c r="S160" s="8">
        <f>(O69*($E69/365))+(O70*($E70/365))</f>
        <v>38.123561643835615</v>
      </c>
      <c r="T160" s="8">
        <f>(P69*($E69/365))+(P70*($E70/365))</f>
        <v>0</v>
      </c>
      <c r="U160" s="8">
        <f>(Q69*($E69/365))+(Q70*($E70/365))</f>
        <v>0</v>
      </c>
      <c r="V160" s="12"/>
      <c r="W160" s="7">
        <f>R69*(E69/365) + R70*(E70/365)</f>
        <v>38.123561643835615</v>
      </c>
      <c r="X160" s="5"/>
      <c r="Z160" s="5"/>
    </row>
    <row r="161" spans="1:26" ht="9" customHeight="1" x14ac:dyDescent="0.15">
      <c r="A161" s="1">
        <v>1991</v>
      </c>
      <c r="B161" s="8">
        <f>(K71*($E71/365))+(K72*($E72/365))</f>
        <v>100</v>
      </c>
      <c r="C161" s="8">
        <f>(L71*($E71/365))+(L72*($E72/365))</f>
        <v>0</v>
      </c>
      <c r="D161" s="8">
        <f>(M71*($E71/365))+(M72*($E72/365))</f>
        <v>0</v>
      </c>
      <c r="E161" s="33">
        <f t="shared" ref="E161:E182" si="43">SUM(B161:D161)</f>
        <v>100</v>
      </c>
      <c r="G161" s="1">
        <v>1991</v>
      </c>
      <c r="H161" s="779">
        <f>(O71/$R71*100*($E71/365))+(O72/$R72*100*($E72/365))</f>
        <v>100</v>
      </c>
      <c r="I161" s="779"/>
      <c r="J161" s="779">
        <f>(P71/$R71*100*($E71/365))+(P72/$R72*100*($E72/365))</f>
        <v>0</v>
      </c>
      <c r="K161" s="779"/>
      <c r="L161" s="779">
        <f>(Q71/$R71*100*($E71/365))+(Q72/$R72*100*($E72/365))</f>
        <v>0</v>
      </c>
      <c r="M161" s="779"/>
      <c r="N161" s="781">
        <f t="shared" si="42"/>
        <v>100</v>
      </c>
      <c r="O161" s="781"/>
      <c r="R161" s="1">
        <v>1991</v>
      </c>
      <c r="S161" s="8">
        <f>(O71*($E71/365))+(O72*($E72/365))</f>
        <v>33.700000000000003</v>
      </c>
      <c r="T161" s="8">
        <f>(P71*($E71/365))+(P72*($E72/365))</f>
        <v>0</v>
      </c>
      <c r="U161" s="8">
        <f>(Q71*($E71/365))+(Q72*($E72/365))</f>
        <v>0</v>
      </c>
      <c r="V161" s="12"/>
      <c r="W161" s="7">
        <f>R71*(E71/365) + R72*(E72/365)</f>
        <v>33.700000000000003</v>
      </c>
      <c r="X161" s="5"/>
      <c r="Z161" s="5"/>
    </row>
    <row r="162" spans="1:26" ht="9" customHeight="1" x14ac:dyDescent="0.15">
      <c r="A162" s="1">
        <v>1992</v>
      </c>
      <c r="B162" s="8">
        <f>(K73*($E73/366))+(K74*($E74/366))</f>
        <v>100</v>
      </c>
      <c r="C162" s="8">
        <f>(L73*($E73/366))+(L74*($E74/366))</f>
        <v>0</v>
      </c>
      <c r="D162" s="8">
        <f>(M73*($E73/366))+(M74*($E74/366))</f>
        <v>0</v>
      </c>
      <c r="E162" s="33">
        <f t="shared" si="43"/>
        <v>100</v>
      </c>
      <c r="G162" s="1">
        <v>1992</v>
      </c>
      <c r="H162" s="779">
        <f>(O73/$R73*100*($E73/366))+(O74/$R74*100*($E74/366))</f>
        <v>100</v>
      </c>
      <c r="I162" s="779"/>
      <c r="J162" s="779">
        <f>(P73/$R73*100*($E73/366))+(P74/$R74*100*($E74/366))</f>
        <v>0</v>
      </c>
      <c r="K162" s="779"/>
      <c r="L162" s="779">
        <f>(Q73/$R73*100*($E73/366))+(Q74/$R74*100*($E74/366))</f>
        <v>0</v>
      </c>
      <c r="M162" s="779"/>
      <c r="N162" s="781">
        <f t="shared" si="42"/>
        <v>100</v>
      </c>
      <c r="O162" s="781"/>
      <c r="R162" s="1">
        <v>1992</v>
      </c>
      <c r="S162" s="8">
        <f>(O73*($E73/366))+(O74*($E74/366))</f>
        <v>33.700000000000003</v>
      </c>
      <c r="T162" s="8">
        <f>(P73*($E73/366))+(P74*($E74/366))</f>
        <v>0</v>
      </c>
      <c r="U162" s="8">
        <f>(Q73*($E73/366))+(Q74*($E74/366))</f>
        <v>0</v>
      </c>
      <c r="V162" s="12"/>
      <c r="W162" s="7">
        <f>R73*(E73/366) + R74*(E74/366)</f>
        <v>33.700000000000003</v>
      </c>
      <c r="X162" s="5"/>
      <c r="Z162" s="5"/>
    </row>
    <row r="163" spans="1:26" ht="9" customHeight="1" x14ac:dyDescent="0.15">
      <c r="A163" s="1">
        <v>1993</v>
      </c>
      <c r="B163" s="8">
        <f>(K75*($E75/365))+(K76*($E76/365))</f>
        <v>18.253424657534246</v>
      </c>
      <c r="C163" s="8">
        <f>(L75*($E75/365))+(L76*($E76/365))</f>
        <v>23.356164383561644</v>
      </c>
      <c r="D163" s="8">
        <f>(M75*($E75/365))+(M76*($E76/365))</f>
        <v>58.390410958904113</v>
      </c>
      <c r="E163" s="33">
        <f t="shared" si="43"/>
        <v>100</v>
      </c>
      <c r="G163" s="1">
        <v>1993</v>
      </c>
      <c r="H163" s="779">
        <f>(O75/$R75*100*($E75/365))+(O76/$R76*100*($E76/365))</f>
        <v>13.931614712544494</v>
      </c>
      <c r="I163" s="779"/>
      <c r="J163" s="779">
        <f>(P75/$R75*100*($E75/365))+(P76/$R76*100*($E76/365))</f>
        <v>13.60910365656348</v>
      </c>
      <c r="K163" s="779"/>
      <c r="L163" s="779">
        <f>(Q75/$R75*100*($E75/365))+(Q76/$R76*100*($E76/365))</f>
        <v>72.459281630892036</v>
      </c>
      <c r="M163" s="779"/>
      <c r="N163" s="781">
        <f t="shared" si="42"/>
        <v>100.00000000000001</v>
      </c>
      <c r="O163" s="781"/>
      <c r="R163" s="1">
        <v>1993</v>
      </c>
      <c r="S163" s="8">
        <f>(O75*($E75/365))+(O76*($E76/365))</f>
        <v>5.9528767123287674</v>
      </c>
      <c r="T163" s="8">
        <f>(P75*($E75/365))+(P76*($E76/365))</f>
        <v>6.9134246575342475</v>
      </c>
      <c r="U163" s="8">
        <f>(Q75*($E75/365))+(Q76*($E76/365))</f>
        <v>36.809315068493149</v>
      </c>
      <c r="V163" s="12"/>
      <c r="W163" s="7">
        <f>R75*(E75/365) + R76*(E76/365)</f>
        <v>49.675616438356165</v>
      </c>
      <c r="X163" s="5"/>
      <c r="Z163" s="5"/>
    </row>
    <row r="164" spans="1:26" ht="9" customHeight="1" x14ac:dyDescent="0.15">
      <c r="A164" s="1">
        <v>1994</v>
      </c>
      <c r="B164" s="8">
        <f>(K77*($E77/365))+(K78*($E78/365))</f>
        <v>13.150684931506849</v>
      </c>
      <c r="C164" s="8">
        <f>(L77*($E77/365))+(L78*($E78/365))</f>
        <v>21.095890410958905</v>
      </c>
      <c r="D164" s="8">
        <f>(M77*($E77/365))+(M78*($E78/365))</f>
        <v>65.753424657534254</v>
      </c>
      <c r="E164" s="33">
        <f t="shared" si="43"/>
        <v>100</v>
      </c>
      <c r="G164" s="1">
        <v>1994</v>
      </c>
      <c r="H164" s="779">
        <f>(O77/$R77*100*($E77/365))+(O78/$R78*100*($E78/365))</f>
        <v>8.6154308784014297</v>
      </c>
      <c r="I164" s="779"/>
      <c r="J164" s="779">
        <f>(P77/$R77*100*($E77/365))+(P78/$R78*100*($E78/365))</f>
        <v>12.534964406391438</v>
      </c>
      <c r="K164" s="779"/>
      <c r="L164" s="779">
        <f>(Q77/$R77*100*($E77/365))+(Q78/$R78*100*($E78/365))</f>
        <v>78.849604715207121</v>
      </c>
      <c r="M164" s="779"/>
      <c r="N164" s="781">
        <f t="shared" si="42"/>
        <v>99.999999999999986</v>
      </c>
      <c r="O164" s="781"/>
      <c r="R164" s="1">
        <v>1994</v>
      </c>
      <c r="S164" s="8">
        <f>(O77*($E77/365))+(O78*($E78/365))</f>
        <v>4.1561643835616433</v>
      </c>
      <c r="T164" s="8">
        <f>(P77*($E77/365))+(P78*($E78/365))</f>
        <v>6.2287671232876711</v>
      </c>
      <c r="U164" s="8">
        <f>(Q77*($E77/365))+(Q78*($E78/365))</f>
        <v>38.358904109589034</v>
      </c>
      <c r="V164" s="12"/>
      <c r="W164" s="7">
        <f>R77*(E77/365) + R78*(E78/365)</f>
        <v>48.743835616438346</v>
      </c>
      <c r="X164" s="5"/>
      <c r="Z164" s="5"/>
    </row>
    <row r="165" spans="1:26" ht="9" customHeight="1" x14ac:dyDescent="0.15">
      <c r="A165" s="1">
        <v>1995</v>
      </c>
      <c r="B165" s="8">
        <f>(K79*($E79/365))+(K80*($E80/365))</f>
        <v>15</v>
      </c>
      <c r="C165" s="8">
        <f>(L79*($E79/365))+(L80*($E80/365))</f>
        <v>10</v>
      </c>
      <c r="D165" s="8">
        <f>(M79*($E79/365))+(M80*($E80/365))</f>
        <v>75</v>
      </c>
      <c r="E165" s="33">
        <f t="shared" si="43"/>
        <v>100</v>
      </c>
      <c r="G165" s="1">
        <v>1995</v>
      </c>
      <c r="H165" s="779">
        <f>(O79/$R79*100*($E79/365))+(O80/$R80*100*($E80/365))</f>
        <v>10.722610722610721</v>
      </c>
      <c r="I165" s="779"/>
      <c r="J165" s="779">
        <f>(P79/$R79*100*($E79/365))+(P80/$R80*100*($E80/365))</f>
        <v>6.7599067599067597</v>
      </c>
      <c r="K165" s="779"/>
      <c r="L165" s="779">
        <f>(Q79/$R79*100*($E79/365))+(Q80/$R80*100*($E80/365))</f>
        <v>82.51748251748252</v>
      </c>
      <c r="M165" s="779"/>
      <c r="N165" s="781">
        <f t="shared" si="42"/>
        <v>100</v>
      </c>
      <c r="O165" s="781"/>
      <c r="R165" s="1">
        <v>1995</v>
      </c>
      <c r="S165" s="8">
        <f>(O79*($E79/365))+(O80*($E80/365))</f>
        <v>4.5999999999999996</v>
      </c>
      <c r="T165" s="8">
        <f>(P79*($E79/365))+(P80*($E80/365))</f>
        <v>2.9</v>
      </c>
      <c r="U165" s="8">
        <f>(Q79*($E79/365))+(Q80*($E80/365))</f>
        <v>35.4</v>
      </c>
      <c r="V165" s="12"/>
      <c r="W165" s="7">
        <f>R79*(E79/365) + R80*(E80/365)</f>
        <v>42.9</v>
      </c>
      <c r="X165" s="5"/>
      <c r="Z165" s="5"/>
    </row>
    <row r="166" spans="1:26" ht="9" customHeight="1" x14ac:dyDescent="0.15">
      <c r="A166" s="1">
        <v>1996</v>
      </c>
      <c r="B166" s="8">
        <f>(K81*($E81/366))+(K82*($E82/366))</f>
        <v>15.033074489502443</v>
      </c>
      <c r="C166" s="8">
        <f>(L81*($E81/366))+(L82*($E82/366))</f>
        <v>9.9453551912568301</v>
      </c>
      <c r="D166" s="8">
        <f>(M81*($E81/366))+(M82*($E82/366))</f>
        <v>75.021570319240723</v>
      </c>
      <c r="E166" s="33">
        <f t="shared" si="43"/>
        <v>100</v>
      </c>
      <c r="G166" s="1">
        <v>1996</v>
      </c>
      <c r="H166" s="779">
        <f>(O81/$R81*100*($E81/366))+(O82/$R82*100*($E82/366))</f>
        <v>10.726858751448914</v>
      </c>
      <c r="I166" s="779"/>
      <c r="J166" s="779">
        <f>(P81/$R81*100*($E81/366))+(P82/$R82*100*($E82/366))</f>
        <v>6.722967378705083</v>
      </c>
      <c r="K166" s="779"/>
      <c r="L166" s="779">
        <f>(Q81/$R81*100*($E81/366))+(Q82/$R82*100*($E82/366))</f>
        <v>82.550173869845992</v>
      </c>
      <c r="M166" s="779"/>
      <c r="N166" s="781">
        <f t="shared" si="42"/>
        <v>99.999999999999986</v>
      </c>
      <c r="O166" s="781"/>
      <c r="R166" s="1">
        <v>1996</v>
      </c>
      <c r="S166" s="8">
        <f>(O81*($E81/366))+(O82*($E82/366))</f>
        <v>4.5999999999999996</v>
      </c>
      <c r="T166" s="8">
        <f>(P81*($E81/366))+(P82*($E82/366))</f>
        <v>2.8841530054644808</v>
      </c>
      <c r="U166" s="8">
        <f>(Q81*($E81/366))+(Q82*($E82/366))</f>
        <v>35.4</v>
      </c>
      <c r="V166" s="12"/>
      <c r="W166" s="7">
        <f>R81*(E81/366) + R82*(E82/366)</f>
        <v>42.884153005464483</v>
      </c>
      <c r="X166" s="5"/>
      <c r="Z166" s="5"/>
    </row>
    <row r="167" spans="1:26" ht="9" customHeight="1" x14ac:dyDescent="0.15">
      <c r="A167" s="1">
        <v>1997</v>
      </c>
      <c r="B167" s="8">
        <f>(K83*($E83/365))+(K84*($E84/365))</f>
        <v>20.842105263157894</v>
      </c>
      <c r="C167" s="8">
        <f>(L83*($E83/365))+(L84*($E84/365))</f>
        <v>0</v>
      </c>
      <c r="D167" s="8">
        <f>(M83*($E83/365))+(M84*($E84/365))</f>
        <v>79.15789473684211</v>
      </c>
      <c r="E167" s="33">
        <f t="shared" si="43"/>
        <v>100</v>
      </c>
      <c r="G167" s="1">
        <v>1997</v>
      </c>
      <c r="H167" s="779">
        <f>(O83/$R83*100*($E83/365))+(O84/$R84*100*($E84/365))</f>
        <v>11.500000000000002</v>
      </c>
      <c r="I167" s="779"/>
      <c r="J167" s="779">
        <f>(P83/$R83*100*($E83/365))+(P84/$R84*100*($E84/365))</f>
        <v>0</v>
      </c>
      <c r="K167" s="779"/>
      <c r="L167" s="779">
        <f>(Q83/$R83*100*($E83/365))+(Q84/$R84*100*($E84/365))</f>
        <v>88.5</v>
      </c>
      <c r="M167" s="779"/>
      <c r="N167" s="781">
        <f t="shared" si="42"/>
        <v>100</v>
      </c>
      <c r="O167" s="781"/>
      <c r="R167" s="1">
        <v>1997</v>
      </c>
      <c r="S167" s="8">
        <f>(O83*($E83/365))+(O84*($E84/365))</f>
        <v>4.5999999999999996</v>
      </c>
      <c r="T167" s="8">
        <f>(P83*($E83/365))+(P84*($E84/365))</f>
        <v>0</v>
      </c>
      <c r="U167" s="8">
        <f>(Q83*($E83/365))+(Q84*($E84/365))</f>
        <v>35.4</v>
      </c>
      <c r="V167" s="12"/>
      <c r="W167" s="7">
        <f>R83*(E83/365) + R84*(E84/365)</f>
        <v>40</v>
      </c>
      <c r="X167" s="5"/>
      <c r="Z167" s="5"/>
    </row>
    <row r="168" spans="1:26" ht="9" customHeight="1" x14ac:dyDescent="0.15">
      <c r="A168" s="1">
        <v>1998</v>
      </c>
      <c r="B168" s="8">
        <f>(K85*($E85/365))+(K86*($E86/365))</f>
        <v>20</v>
      </c>
      <c r="C168" s="8">
        <f>(L85*($E85/365))+(L86*($E86/365))</f>
        <v>0</v>
      </c>
      <c r="D168" s="8">
        <f>(M85*($E85/365))+(M86*($E86/365))</f>
        <v>80</v>
      </c>
      <c r="E168" s="33">
        <f t="shared" si="43"/>
        <v>100</v>
      </c>
      <c r="G168" s="1">
        <v>1998</v>
      </c>
      <c r="H168" s="779">
        <f>(O85/$R85*100*($E85/365))+(O86/$R86*100*($E86/365))</f>
        <v>10.332876712328767</v>
      </c>
      <c r="I168" s="779"/>
      <c r="J168" s="779">
        <f>(P85/$R85*100*($E85/365))+(P86/$R86*100*($E86/365))</f>
        <v>0</v>
      </c>
      <c r="K168" s="779"/>
      <c r="L168" s="779">
        <f>(Q85/$R85*100*($E85/365))+(Q86/$R86*100*($E86/365))</f>
        <v>89.667123287671231</v>
      </c>
      <c r="M168" s="779"/>
      <c r="N168" s="781">
        <f t="shared" si="42"/>
        <v>100</v>
      </c>
      <c r="O168" s="781"/>
      <c r="R168" s="1">
        <v>1998</v>
      </c>
      <c r="S168" s="8">
        <f>(O85*($E85/365))+(O86*($E86/365))</f>
        <v>4.1331506849315067</v>
      </c>
      <c r="T168" s="8">
        <f>(P85*($E85/365))+(P86*($E86/365))</f>
        <v>0</v>
      </c>
      <c r="U168" s="8">
        <f>(Q85*($E85/365))+(Q86*($E86/365))</f>
        <v>35.866849315068492</v>
      </c>
      <c r="V168" s="12"/>
      <c r="W168" s="7">
        <f>R85*(E85/365) + R86*(E86/365)</f>
        <v>40</v>
      </c>
      <c r="X168" s="5"/>
      <c r="Z168" s="5"/>
    </row>
    <row r="169" spans="1:26" ht="9" customHeight="1" x14ac:dyDescent="0.15">
      <c r="A169" s="1">
        <v>1999</v>
      </c>
      <c r="B169" s="8">
        <f>(K87*($E87/365))+(K88*($E88/365))</f>
        <v>20</v>
      </c>
      <c r="C169" s="8">
        <f>(L87*($E87/365))+(L88*($E88/365))</f>
        <v>0</v>
      </c>
      <c r="D169" s="8">
        <f>(M87*($E87/365))+(M88*($E88/365))</f>
        <v>80</v>
      </c>
      <c r="E169" s="33">
        <f t="shared" si="43"/>
        <v>100</v>
      </c>
      <c r="G169" s="1">
        <v>1999</v>
      </c>
      <c r="H169" s="779">
        <f>(O87/$R87*100*($E87/365))+(O88/$R88*100*($E88/365))</f>
        <v>10</v>
      </c>
      <c r="I169" s="779"/>
      <c r="J169" s="779">
        <f>(P87/$R87*100*($E87/365))+(P88/$R88*100*($E88/365))</f>
        <v>0</v>
      </c>
      <c r="K169" s="779"/>
      <c r="L169" s="779">
        <f>(Q87/$R87*100*($E87/365))+(Q88/$R88*100*($E88/365))</f>
        <v>90</v>
      </c>
      <c r="M169" s="779"/>
      <c r="N169" s="781">
        <f t="shared" si="42"/>
        <v>100</v>
      </c>
      <c r="O169" s="781"/>
      <c r="R169" s="1">
        <v>1999</v>
      </c>
      <c r="S169" s="8">
        <f>(O87*($E87/365))+(O88*($E88/365))</f>
        <v>4</v>
      </c>
      <c r="T169" s="8">
        <f>(P87*($E87/365))+(P88*($E88/365))</f>
        <v>0</v>
      </c>
      <c r="U169" s="8">
        <f>(Q87*($E87/365))+(Q88*($E88/365))</f>
        <v>36</v>
      </c>
      <c r="V169" s="12"/>
      <c r="W169" s="7">
        <f>R87*(E87/365) + R88*(E88/365)</f>
        <v>40</v>
      </c>
      <c r="X169" s="5"/>
      <c r="Z169" s="5"/>
    </row>
    <row r="170" spans="1:26" ht="9" customHeight="1" x14ac:dyDescent="0.15">
      <c r="A170" s="1">
        <v>2000</v>
      </c>
      <c r="B170" s="8">
        <f>(K89*($E89/366))+(K90*($E90/366))</f>
        <v>20</v>
      </c>
      <c r="C170" s="8">
        <f>(L89*($E89/366))+(L90*($E90/366))</f>
        <v>0</v>
      </c>
      <c r="D170" s="8">
        <f>(M89*($E89/366))+(M90*($E90/366))</f>
        <v>80</v>
      </c>
      <c r="E170" s="33">
        <f t="shared" si="43"/>
        <v>100</v>
      </c>
      <c r="G170" s="1">
        <v>2000</v>
      </c>
      <c r="H170" s="779">
        <f>(O89/$R89*100*($E89/366))+(O90/$R90*100*($E90/366))</f>
        <v>10</v>
      </c>
      <c r="I170" s="779"/>
      <c r="J170" s="779">
        <f>(P89/$R89*100*($E89/366))+(P90/$R90*100*($E90/366))</f>
        <v>0</v>
      </c>
      <c r="K170" s="779"/>
      <c r="L170" s="779">
        <f>(Q89/$R89*100*($E89/366))+(Q90/$R90*100*($E90/366))</f>
        <v>90</v>
      </c>
      <c r="M170" s="779"/>
      <c r="N170" s="781">
        <f t="shared" si="42"/>
        <v>100</v>
      </c>
      <c r="O170" s="781"/>
      <c r="R170" s="1">
        <v>2000</v>
      </c>
      <c r="S170" s="8">
        <f>(O89*($E89/366))+(O90*($E90/366))</f>
        <v>4</v>
      </c>
      <c r="T170" s="8">
        <f>(P89*($E89/366))+(P90*($E90/366))</f>
        <v>0</v>
      </c>
      <c r="U170" s="8">
        <f>(Q89*($E89/366))+(Q90*($E90/366))</f>
        <v>36</v>
      </c>
      <c r="V170" s="12"/>
      <c r="W170" s="7">
        <f>R89*(E89/366) + R90*(E90/366)</f>
        <v>40</v>
      </c>
      <c r="X170" s="5"/>
      <c r="Z170" s="5"/>
    </row>
    <row r="171" spans="1:26" ht="9" customHeight="1" x14ac:dyDescent="0.15">
      <c r="A171" s="1">
        <v>2001</v>
      </c>
      <c r="B171" s="8">
        <f>(K91*($E91/365))+(K92*($E92/365))</f>
        <v>27.671232876712324</v>
      </c>
      <c r="C171" s="8">
        <f>(L91*($E91/365))+(L92*($E92/365))</f>
        <v>0</v>
      </c>
      <c r="D171" s="8">
        <f>(M91*($E91/365))+(M92*($E92/365))</f>
        <v>72.328767123287662</v>
      </c>
      <c r="E171" s="33">
        <f t="shared" si="43"/>
        <v>99.999999999999986</v>
      </c>
      <c r="G171" s="1">
        <v>2001</v>
      </c>
      <c r="H171" s="779">
        <f>(O91/$R91*100*($E91/365))+(O92/$R92*100*($E92/365))</f>
        <v>18.630136986301366</v>
      </c>
      <c r="I171" s="779"/>
      <c r="J171" s="779">
        <f>(P91/$R91*100*($E91/365))+(P92/$R92*100*($E92/365))</f>
        <v>0</v>
      </c>
      <c r="K171" s="779"/>
      <c r="L171" s="779">
        <f>(Q91/$R91*100*($E91/365))+(Q92/$R92*100*($E92/365))</f>
        <v>81.36986301369862</v>
      </c>
      <c r="M171" s="779"/>
      <c r="N171" s="781">
        <f>SUM(H171:M171)</f>
        <v>99.999999999999986</v>
      </c>
      <c r="O171" s="781"/>
      <c r="R171" s="1">
        <v>2001</v>
      </c>
      <c r="S171" s="8">
        <f>(O91*($E91/365))+(O92*($E92/365))</f>
        <v>7.5575342465753419</v>
      </c>
      <c r="T171" s="8">
        <f>(P91*($E91/365))+(P92*($E92/365))</f>
        <v>0</v>
      </c>
      <c r="U171" s="8">
        <f>(Q91*($E91/365))+(Q92*($E92/365))</f>
        <v>32.547945205479451</v>
      </c>
      <c r="V171" s="12"/>
      <c r="W171" s="7">
        <f>R91*(E91/365) + R92*(E92/365)</f>
        <v>40.105479452054787</v>
      </c>
      <c r="X171" s="5"/>
      <c r="Z171" s="5"/>
    </row>
    <row r="172" spans="1:26" ht="9" customHeight="1" x14ac:dyDescent="0.15">
      <c r="A172" s="1">
        <v>2002</v>
      </c>
      <c r="B172" s="8">
        <f>(K93*($E93/365))+(K94*($E94/365))</f>
        <v>100</v>
      </c>
      <c r="C172" s="8">
        <f>(L93*($E93/365))+(L94*($E94/365))</f>
        <v>0</v>
      </c>
      <c r="D172" s="8">
        <f>(M93*($E93/365))+(M94*($E94/365))</f>
        <v>0</v>
      </c>
      <c r="E172" s="33">
        <f t="shared" si="43"/>
        <v>100</v>
      </c>
      <c r="G172" s="1">
        <v>2002</v>
      </c>
      <c r="H172" s="779">
        <f>(O93/$R93*100*($E93/365))+(O94/$R94*100*($E94/365))</f>
        <v>100</v>
      </c>
      <c r="I172" s="779"/>
      <c r="J172" s="779">
        <f>(P93/$R93*100*($E93/365))+(P94/$R94*100*($E94/365))</f>
        <v>0</v>
      </c>
      <c r="K172" s="779"/>
      <c r="L172" s="779">
        <f>(Q93/$R93*100*($E93/365))+(Q94/$R94*100*($E94/365))</f>
        <v>0</v>
      </c>
      <c r="M172" s="779"/>
      <c r="N172" s="781">
        <f t="shared" ref="N172:N182" si="44">SUM(H172:M172)</f>
        <v>100</v>
      </c>
      <c r="O172" s="781"/>
      <c r="R172" s="1">
        <v>2002</v>
      </c>
      <c r="S172" s="8">
        <f>(O93*($E93/365))+(O94*($E94/365))</f>
        <v>41.1</v>
      </c>
      <c r="T172" s="8">
        <f>(P93*($E93/365))+(P94*($E94/365))</f>
        <v>0</v>
      </c>
      <c r="U172" s="8">
        <f>(Q93*($E93/365))+(Q94*($E94/365))</f>
        <v>0</v>
      </c>
      <c r="V172" s="12"/>
      <c r="W172" s="7">
        <f>R93*(E93/365) + R94*(E94/365)</f>
        <v>41.1</v>
      </c>
      <c r="X172" s="5"/>
      <c r="Z172" s="5"/>
    </row>
    <row r="173" spans="1:26" ht="9" customHeight="1" x14ac:dyDescent="0.15">
      <c r="A173" s="1">
        <v>2003</v>
      </c>
      <c r="B173" s="8">
        <f>(K95*($E95/365))+(K96*($E96/365))</f>
        <v>100</v>
      </c>
      <c r="C173" s="8">
        <f>(L95*($E95/365))+(L96*($E96/365))</f>
        <v>0</v>
      </c>
      <c r="D173" s="8">
        <f>(M95*($E95/365))+(M96*($E96/365))</f>
        <v>0</v>
      </c>
      <c r="E173" s="33">
        <f t="shared" si="43"/>
        <v>100</v>
      </c>
      <c r="G173" s="1">
        <v>2003</v>
      </c>
      <c r="H173" s="779">
        <f>(O95/$R95*100*($E95/365))+(O96/$R96*100*($E96/365))</f>
        <v>100</v>
      </c>
      <c r="I173" s="779"/>
      <c r="J173" s="779">
        <f>(P95/$R95*100*($E95/365))+(P96/$R96*100*($E96/365))</f>
        <v>0</v>
      </c>
      <c r="K173" s="779"/>
      <c r="L173" s="779">
        <f>(Q95/$R95*100*($E95/365))+(Q96/$R96*100*($E96/365))</f>
        <v>0</v>
      </c>
      <c r="M173" s="779"/>
      <c r="N173" s="781">
        <f t="shared" si="44"/>
        <v>100</v>
      </c>
      <c r="O173" s="781"/>
      <c r="R173" s="1">
        <v>2003</v>
      </c>
      <c r="S173" s="8">
        <f>(O95*($E95/365))+(O96*($E96/365))</f>
        <v>41.1</v>
      </c>
      <c r="T173" s="8">
        <f>(P95*($E95/365))+(P96*($E96/365))</f>
        <v>0</v>
      </c>
      <c r="U173" s="8">
        <f>(Q95*($E95/365))+(Q96*($E96/365))</f>
        <v>0</v>
      </c>
      <c r="V173" s="12"/>
      <c r="W173" s="7">
        <f>R95*(E95/365) + R96*(E96/365)</f>
        <v>41.1</v>
      </c>
      <c r="X173" s="5"/>
      <c r="Z173" s="5"/>
    </row>
    <row r="174" spans="1:26" ht="9" customHeight="1" x14ac:dyDescent="0.15">
      <c r="A174" s="1">
        <v>2004</v>
      </c>
      <c r="B174" s="8">
        <f>(K97*($E97/366))+(K98*($E98/366))</f>
        <v>100</v>
      </c>
      <c r="C174" s="8">
        <f>(L97*($E97/366))+(L98*($E98/366))</f>
        <v>0</v>
      </c>
      <c r="D174" s="8">
        <f>(M97*($E97/366))+(M98*($E98/366))</f>
        <v>0</v>
      </c>
      <c r="E174" s="33">
        <f t="shared" si="43"/>
        <v>100</v>
      </c>
      <c r="G174" s="1">
        <v>2004</v>
      </c>
      <c r="H174" s="779">
        <f>(O97/$R97*100*($E97/366))+(O98/$R98*100*($E98/366))</f>
        <v>100</v>
      </c>
      <c r="I174" s="779"/>
      <c r="J174" s="779">
        <f>(P97/$R97*100*($E97/366))+(P98/$R98*100*($E98/366))</f>
        <v>0</v>
      </c>
      <c r="K174" s="779"/>
      <c r="L174" s="779">
        <f>(Q97/$R97*100*($E97/366))+(Q98/$R98*100*($E98/366))</f>
        <v>0</v>
      </c>
      <c r="M174" s="779"/>
      <c r="N174" s="781">
        <f t="shared" si="44"/>
        <v>100</v>
      </c>
      <c r="O174" s="781"/>
      <c r="R174" s="1">
        <v>2004</v>
      </c>
      <c r="S174" s="8">
        <f>(O97*($E97/366))+(O98*($E98/366))</f>
        <v>41.1</v>
      </c>
      <c r="T174" s="8">
        <f>(P97*($E97/366))+(P98*($E98/366))</f>
        <v>0</v>
      </c>
      <c r="U174" s="8">
        <f>(Q97*($E97/366))+(Q98*($E98/366))</f>
        <v>0</v>
      </c>
      <c r="V174" s="12"/>
      <c r="W174" s="7">
        <f>R97*(E97/366) + R98*(E98/366)</f>
        <v>41.1</v>
      </c>
      <c r="X174" s="5"/>
      <c r="Z174" s="5"/>
    </row>
    <row r="175" spans="1:26" ht="9" customHeight="1" x14ac:dyDescent="0.15">
      <c r="A175" s="1">
        <v>2005</v>
      </c>
      <c r="B175" s="8">
        <f>(K99*($E99/365))+(K100*($E100/365))</f>
        <v>100</v>
      </c>
      <c r="C175" s="8">
        <f>(L99*($E99/365))+(L100*($E100/365))</f>
        <v>0</v>
      </c>
      <c r="D175" s="8">
        <f>(M99*($E99/365))+(M100*($E100/365))</f>
        <v>0</v>
      </c>
      <c r="E175" s="33">
        <f t="shared" si="43"/>
        <v>100</v>
      </c>
      <c r="G175" s="1">
        <v>2005</v>
      </c>
      <c r="H175" s="779">
        <f>(O99/$R99*100*($E99/365))+(O100/$R100*100*($E100/365))</f>
        <v>100</v>
      </c>
      <c r="I175" s="779"/>
      <c r="J175" s="779">
        <f>(P99/$R99*100*($E99/365))+(P100/$R100*100*($E100/365))</f>
        <v>0</v>
      </c>
      <c r="K175" s="779"/>
      <c r="L175" s="779">
        <f>(Q99/$R99*100*($E99/365))+(Q100/$R100*100*($E100/365))</f>
        <v>0</v>
      </c>
      <c r="M175" s="779"/>
      <c r="N175" s="781">
        <f t="shared" si="44"/>
        <v>100</v>
      </c>
      <c r="O175" s="781"/>
      <c r="R175" s="1">
        <v>2005</v>
      </c>
      <c r="S175" s="8">
        <f>(O99*($E99/365))+(O100*($E100/365))</f>
        <v>40.144657534246576</v>
      </c>
      <c r="T175" s="8">
        <f>(P99*($E99/365))+(P100*($E100/365))</f>
        <v>0</v>
      </c>
      <c r="U175" s="8">
        <f>(Q99*($E99/365))+(Q100*($E100/365))</f>
        <v>0</v>
      </c>
      <c r="V175" s="12"/>
      <c r="W175" s="7">
        <f>R99*(E99/365) + R100*(E100/365)</f>
        <v>40.144657534246576</v>
      </c>
      <c r="X175" s="5"/>
      <c r="Z175" s="5"/>
    </row>
    <row r="176" spans="1:26" ht="9" customHeight="1" x14ac:dyDescent="0.15">
      <c r="A176" s="1">
        <v>2006</v>
      </c>
      <c r="B176" s="8">
        <f>(K101*($E101/365))+(K102*($E102/365))</f>
        <v>100</v>
      </c>
      <c r="C176" s="8">
        <f>(L101*($E101/365))+(L102*($E102/365))</f>
        <v>0</v>
      </c>
      <c r="D176" s="8">
        <f>(M101*($E101/365))+(M102*($E102/365))</f>
        <v>0</v>
      </c>
      <c r="E176" s="33">
        <f t="shared" si="43"/>
        <v>100</v>
      </c>
      <c r="G176" s="1">
        <v>2006</v>
      </c>
      <c r="H176" s="779">
        <f>(O101/$R101*100*($E101/365))+(O102/$R102*100*($E102/365))</f>
        <v>100</v>
      </c>
      <c r="I176" s="779"/>
      <c r="J176" s="779">
        <f>(P101/$R101*100*($E101/365))+(P102/$R102*100*($E102/365))</f>
        <v>0</v>
      </c>
      <c r="K176" s="779"/>
      <c r="L176" s="779">
        <f>(Q101/$R101*100*($E101/365))+(Q102/$R102*100*($E102/365))</f>
        <v>0</v>
      </c>
      <c r="M176" s="779"/>
      <c r="N176" s="781">
        <f t="shared" si="44"/>
        <v>100</v>
      </c>
      <c r="O176" s="781"/>
      <c r="R176" s="1">
        <v>2006</v>
      </c>
      <c r="S176" s="8">
        <f>(O101*($E101/365))+(O102*($E102/365))</f>
        <v>40</v>
      </c>
      <c r="T176" s="8">
        <f>(P101*($E101/365))+(P102*($E102/365))</f>
        <v>0</v>
      </c>
      <c r="U176" s="8">
        <f>(Q101*($E101/365))+(Q102*($E102/365))</f>
        <v>0</v>
      </c>
      <c r="V176" s="12"/>
      <c r="W176" s="7">
        <f>R101*(E101/365) + R102*(E102/365)</f>
        <v>40</v>
      </c>
      <c r="X176" s="5"/>
      <c r="Z176" s="5"/>
    </row>
    <row r="177" spans="1:26" ht="9" customHeight="1" x14ac:dyDescent="0.15">
      <c r="A177" s="1">
        <v>2007</v>
      </c>
      <c r="B177" s="8">
        <f>(K103*($E103/365))+(K104*($E104/365))</f>
        <v>100</v>
      </c>
      <c r="C177" s="8">
        <f>(L103*($E103/365))+(L104*($E104/365))</f>
        <v>0</v>
      </c>
      <c r="D177" s="8">
        <f>(M103*($E103/365))+(M104*($E104/365))</f>
        <v>0</v>
      </c>
      <c r="E177" s="33">
        <f t="shared" si="43"/>
        <v>100</v>
      </c>
      <c r="G177" s="1">
        <v>2007</v>
      </c>
      <c r="H177" s="779">
        <f>(O103/$R103*100*($E103/365))+(O104/$R104*100*($E104/365))</f>
        <v>100</v>
      </c>
      <c r="I177" s="779"/>
      <c r="J177" s="779">
        <f>(P103/$R103*100*($E103/365))+(P104/$R104*100*($E104/365))</f>
        <v>0</v>
      </c>
      <c r="K177" s="779"/>
      <c r="L177" s="779">
        <f>(Q103/$R103*100*($E103/365))+(Q104/$R104*100*($E104/365))</f>
        <v>0</v>
      </c>
      <c r="M177" s="779"/>
      <c r="N177" s="781">
        <f t="shared" si="44"/>
        <v>100</v>
      </c>
      <c r="O177" s="781"/>
      <c r="R177" s="1">
        <v>2007</v>
      </c>
      <c r="S177" s="8">
        <f>(O103*($E103/365))+(O104*($E104/365))</f>
        <v>39.636712328767125</v>
      </c>
      <c r="T177" s="8">
        <f>(P103*($E103/365))+(P104*($E104/365))</f>
        <v>0</v>
      </c>
      <c r="U177" s="8">
        <f>(Q103*($E103/365))+(Q104*($E104/365))</f>
        <v>0</v>
      </c>
      <c r="V177" s="12"/>
      <c r="W177" s="7">
        <f>R103*(E103/365) + R104*(E104/365)</f>
        <v>39.636712328767125</v>
      </c>
      <c r="X177" s="5"/>
      <c r="Z177" s="5"/>
    </row>
    <row r="178" spans="1:26" ht="9" customHeight="1" x14ac:dyDescent="0.15">
      <c r="A178" s="1">
        <v>2008</v>
      </c>
      <c r="B178" s="7">
        <f>(K105*($E105/366))+(K106*($E106/366))</f>
        <v>100</v>
      </c>
      <c r="C178" s="7">
        <f>(L105*($E105/366))+(L106*($E106/366))</f>
        <v>0</v>
      </c>
      <c r="D178" s="7">
        <f>(M105*($E105/366))+(M106*($E106/366))</f>
        <v>0</v>
      </c>
      <c r="E178" s="33">
        <f t="shared" si="43"/>
        <v>100</v>
      </c>
      <c r="G178" s="1">
        <v>2008</v>
      </c>
      <c r="H178" s="779">
        <f>(O105/$R105*100*($E105/366))+(O106/$R106*100*($E106/366))</f>
        <v>100</v>
      </c>
      <c r="I178" s="779"/>
      <c r="J178" s="779">
        <f>(P105/$R105*100*($E105/366))+(P106/$R106*100*($E106/366))</f>
        <v>0</v>
      </c>
      <c r="K178" s="779"/>
      <c r="L178" s="779">
        <f>(Q105/$R105*100*($E105/366))+(Q106/$R106*100*($E106/366))</f>
        <v>0</v>
      </c>
      <c r="M178" s="779"/>
      <c r="N178" s="781">
        <f t="shared" si="44"/>
        <v>100</v>
      </c>
      <c r="O178" s="781"/>
      <c r="R178" s="1">
        <v>2008</v>
      </c>
      <c r="S178" s="7">
        <f>(O105*($E105/366))+(O106*($E106/366))</f>
        <v>36.6</v>
      </c>
      <c r="T178" s="7">
        <f>(P105*($E105/366))+(P106*($E106/366))</f>
        <v>0</v>
      </c>
      <c r="U178" s="7">
        <f>(Q105*($E105/366))+(Q106*($E106/366))</f>
        <v>0</v>
      </c>
      <c r="V178" s="12"/>
      <c r="W178" s="7">
        <f>R105*(E105/366) + R106*(E106/366)</f>
        <v>36.6</v>
      </c>
      <c r="X178" s="5"/>
      <c r="Z178" s="5"/>
    </row>
    <row r="179" spans="1:26" ht="9" customHeight="1" x14ac:dyDescent="0.15">
      <c r="A179" s="1">
        <v>2009</v>
      </c>
      <c r="B179" s="7">
        <f>(K107*($E107/365))+(K108*($E108/365))</f>
        <v>100</v>
      </c>
      <c r="C179" s="7">
        <f>(L107*($E107/365))+(L108*($E108/365))</f>
        <v>0</v>
      </c>
      <c r="D179" s="7">
        <f>(M107*($E107/365))+(M108*($E108/365))</f>
        <v>0</v>
      </c>
      <c r="E179" s="33">
        <f t="shared" si="43"/>
        <v>100</v>
      </c>
      <c r="G179" s="1">
        <v>2009</v>
      </c>
      <c r="H179" s="779">
        <f>(O107/$R107*100*($E107/365))+(O108/$R108*100*($E108/365))</f>
        <v>100</v>
      </c>
      <c r="I179" s="779"/>
      <c r="J179" s="779">
        <f>(P107/$R107*100*($E107/365))+(P108/$R108*100*($E108/365))</f>
        <v>0</v>
      </c>
      <c r="K179" s="779"/>
      <c r="L179" s="779">
        <f>(Q107/$R107*100*($E107/365))+(Q108/$R108*100*($E108/365))</f>
        <v>0</v>
      </c>
      <c r="M179" s="779"/>
      <c r="N179" s="781">
        <f t="shared" si="44"/>
        <v>100</v>
      </c>
      <c r="O179" s="781"/>
      <c r="R179" s="1">
        <v>2009</v>
      </c>
      <c r="S179" s="7">
        <f>(O107*($E107/365))+(O108*($E108/365))</f>
        <v>36.6</v>
      </c>
      <c r="T179" s="7">
        <f>(P107*($E107/365))+(P108*($E108/365))</f>
        <v>0</v>
      </c>
      <c r="U179" s="7">
        <f>(Q107*($E107/365))+(Q108*($E108/365))</f>
        <v>0</v>
      </c>
      <c r="V179" s="12"/>
      <c r="W179" s="7">
        <f>R107*(E107/365) + R108*(E108/365)</f>
        <v>36.6</v>
      </c>
      <c r="X179" s="5"/>
      <c r="Z179" s="5"/>
    </row>
    <row r="180" spans="1:26" ht="9" customHeight="1" x14ac:dyDescent="0.15">
      <c r="A180" s="1">
        <v>2010</v>
      </c>
      <c r="B180" s="7">
        <f>(K109*($E109/365))+(K110*($E110/365))</f>
        <v>100</v>
      </c>
      <c r="C180" s="7">
        <f>(L109*($E109/365))+(L110*($E110/365))</f>
        <v>0</v>
      </c>
      <c r="D180" s="7">
        <f>(M109*($E109/365))+(M110*($E110/365))</f>
        <v>0</v>
      </c>
      <c r="E180" s="33">
        <f t="shared" si="43"/>
        <v>100</v>
      </c>
      <c r="G180" s="1">
        <v>2010</v>
      </c>
      <c r="H180" s="779">
        <f>(O109/$R109*100*($E109/365))+(O110/$R110*100*($E110/365))</f>
        <v>100</v>
      </c>
      <c r="I180" s="779"/>
      <c r="J180" s="779">
        <f>(P109/$R109*100*($E109/365))+(P110/$R110*100*($E110/365))</f>
        <v>0</v>
      </c>
      <c r="K180" s="779"/>
      <c r="L180" s="779">
        <f>(Q109/$R109*100*($E109/365))+(Q110/$R110*100*($E110/365))</f>
        <v>0</v>
      </c>
      <c r="M180" s="779"/>
      <c r="N180" s="781">
        <f t="shared" si="44"/>
        <v>100</v>
      </c>
      <c r="O180" s="781"/>
      <c r="R180" s="1">
        <v>2010</v>
      </c>
      <c r="S180" s="7">
        <f>(O109*($E109/365))+(O110*($E110/365))</f>
        <v>36.6</v>
      </c>
      <c r="T180" s="7">
        <f>(P109*($E109/365))+(P110*($E110/365))</f>
        <v>0</v>
      </c>
      <c r="U180" s="7">
        <f>(Q109*($E109/365))+(Q110*($E110/365))</f>
        <v>0</v>
      </c>
      <c r="V180" s="12"/>
      <c r="W180" s="7">
        <f>R109*(E109/365) + R110*(E110/365)</f>
        <v>36.6</v>
      </c>
      <c r="X180" s="5"/>
      <c r="Z180" s="5"/>
    </row>
    <row r="181" spans="1:26" ht="9" customHeight="1" x14ac:dyDescent="0.15">
      <c r="A181" s="1">
        <v>2011</v>
      </c>
      <c r="B181" s="7">
        <f>(K111*($E111/365))+(K112*($E112/365))</f>
        <v>81.774865991661713</v>
      </c>
      <c r="C181" s="7">
        <f>(L111*($E111/365))+(L112*($E112/365))</f>
        <v>0</v>
      </c>
      <c r="D181" s="7">
        <f>(M111*($E111/365))+(M112*($E112/365))</f>
        <v>18.225134008338294</v>
      </c>
      <c r="E181" s="33">
        <f t="shared" si="43"/>
        <v>100</v>
      </c>
      <c r="G181" s="1">
        <v>2011</v>
      </c>
      <c r="H181" s="779">
        <f>(O111/$R111*100*($E111/365))+(O112/$R112*100*($E112/365))</f>
        <v>80.790713639342215</v>
      </c>
      <c r="I181" s="779"/>
      <c r="J181" s="779">
        <f>(P111/$R111*100*($E111/365))+(P112/$R112*100*($E112/365))</f>
        <v>0</v>
      </c>
      <c r="K181" s="779"/>
      <c r="L181" s="779">
        <f>(Q111/$R111*100*($E111/365))+(Q112/$R112*100*($E112/365))</f>
        <v>19.209286360657785</v>
      </c>
      <c r="M181" s="779"/>
      <c r="N181" s="781">
        <f t="shared" si="44"/>
        <v>100</v>
      </c>
      <c r="O181" s="781"/>
      <c r="R181" s="1">
        <v>2011</v>
      </c>
      <c r="S181" s="7">
        <f>(O111*($E111/365))+(O112*($E112/365))</f>
        <v>29.967123287671235</v>
      </c>
      <c r="T181" s="7">
        <f>(P111*($E111/365))+(P112*($E112/365))</f>
        <v>0</v>
      </c>
      <c r="U181" s="7">
        <f>(Q111*($E111/365))+(Q112*($E112/365))</f>
        <v>8.4328767123287669</v>
      </c>
      <c r="V181" s="12"/>
      <c r="W181" s="7">
        <f>R111*(E111/365) + R112*(E112/365)</f>
        <v>38.400000000000006</v>
      </c>
      <c r="X181" s="5"/>
      <c r="Z181" s="5"/>
    </row>
    <row r="182" spans="1:26" ht="9" customHeight="1" x14ac:dyDescent="0.15">
      <c r="A182" s="1">
        <v>2012</v>
      </c>
      <c r="B182" s="7">
        <f>(K113*($E113/366))+(K114*($E114/366))</f>
        <v>26.086956521739129</v>
      </c>
      <c r="C182" s="7">
        <f>(L113*($E113/366))+(L114*($E114/366))</f>
        <v>0</v>
      </c>
      <c r="D182" s="7">
        <f>(M113*($E113/366))+(M114*($E114/366))</f>
        <v>73.91304347826086</v>
      </c>
      <c r="E182" s="33">
        <f t="shared" si="43"/>
        <v>99.999999999999986</v>
      </c>
      <c r="G182" s="1">
        <v>2012</v>
      </c>
      <c r="H182" s="779">
        <f>(O113/$R113*100*($E113/366))+(O114/$R114*100*($E114/366))</f>
        <v>22.095671981776761</v>
      </c>
      <c r="I182" s="779"/>
      <c r="J182" s="779">
        <f>(P113/$R113*100*($E113/366))+(P114/$R114*100*($E114/366))</f>
        <v>0</v>
      </c>
      <c r="K182" s="779"/>
      <c r="L182" s="779">
        <f>(Q113/$R113*100*($E113/366))+(Q114/$R114*100*($E114/366))</f>
        <v>77.904328018223239</v>
      </c>
      <c r="M182" s="779"/>
      <c r="N182" s="781">
        <f t="shared" si="44"/>
        <v>100</v>
      </c>
      <c r="O182" s="781"/>
      <c r="R182" s="1">
        <v>2012</v>
      </c>
      <c r="S182" s="7">
        <f>(O113*($E113/366))+(O114*($E114/366))</f>
        <v>9.6999999999999993</v>
      </c>
      <c r="T182" s="7">
        <f>(P113*($E113/366))+(P114*($E114/366))</f>
        <v>0</v>
      </c>
      <c r="U182" s="7">
        <f>(Q113*($E113/366))+(Q114*($E114/366))</f>
        <v>34.200000000000003</v>
      </c>
      <c r="V182" s="12"/>
      <c r="W182" s="7">
        <f>R113*(E113/366) + R114*(E114/366)</f>
        <v>43.900000000000006</v>
      </c>
      <c r="X182" s="5"/>
      <c r="Z182" s="5"/>
    </row>
    <row r="183" spans="1:26" x14ac:dyDescent="0.15">
      <c r="A183" s="1">
        <v>2013</v>
      </c>
      <c r="B183" s="7">
        <f>(K115*($E115/365))+(K116*($E116/365))</f>
        <v>26.558016135145376</v>
      </c>
      <c r="C183" s="7">
        <f>(L115*($E115/365))+(L116*($E116/365))</f>
        <v>0</v>
      </c>
      <c r="D183" s="7">
        <f>(M115*($E115/365))+(M116*($E116/365))</f>
        <v>73.44198386485462</v>
      </c>
      <c r="E183" s="296">
        <f>SUM(B183:D183)</f>
        <v>100</v>
      </c>
      <c r="G183" s="1">
        <v>2013</v>
      </c>
      <c r="H183" s="779">
        <f>(O115/$R115*100*($E115/365))+(O116/$R116*100*($E116/365))</f>
        <v>22.095671981776761</v>
      </c>
      <c r="I183" s="779"/>
      <c r="J183" s="779">
        <f>(P115/$R115*100*($E115/365))+(P116/$R116*100*($E116/365))</f>
        <v>0</v>
      </c>
      <c r="K183" s="779"/>
      <c r="L183" s="779">
        <f>(Q115/$R115*100*($E115/365))+(Q116/$R116*100*($E116/365))</f>
        <v>77.904328018223239</v>
      </c>
      <c r="M183" s="779"/>
      <c r="N183" s="781">
        <f>SUM(H183:M183)</f>
        <v>100</v>
      </c>
      <c r="O183" s="781"/>
      <c r="R183" s="1">
        <v>2013</v>
      </c>
      <c r="S183" s="7">
        <f>(O115*($E115/365))+(O116*($E116/365))</f>
        <v>9.6999999999999993</v>
      </c>
      <c r="T183" s="7">
        <f>(P115*($E115/365))+(P116*($E116/365))</f>
        <v>0</v>
      </c>
      <c r="U183" s="7">
        <f>(Q115*($E115/365))+(Q116*($E116/365))</f>
        <v>34.200000000000003</v>
      </c>
      <c r="W183" s="7">
        <f>R115*(E115/365) + R116*(E116/365)</f>
        <v>43.900000000000006</v>
      </c>
    </row>
    <row r="184" spans="1:26" x14ac:dyDescent="0.15">
      <c r="A184" s="1">
        <v>2014</v>
      </c>
      <c r="B184" s="7">
        <f>(K117*($E117/365))+(K118*($E118/365))+(K119*($E119/365))</f>
        <v>32.643835616438352</v>
      </c>
      <c r="C184" s="7">
        <f>(L117*($E117/365))+(L118*($E118/365))+(L119*($E119/365))</f>
        <v>0</v>
      </c>
      <c r="D184" s="7">
        <f>(M117*($E117/365))+(M118*($E118/365))+(M119*($E119/365))</f>
        <v>67.356164383561634</v>
      </c>
      <c r="E184" s="530">
        <f>SUM(B184:D184)</f>
        <v>99.999999999999986</v>
      </c>
      <c r="G184" s="1">
        <v>2014</v>
      </c>
      <c r="H184" s="779">
        <f>(O117/$R117*100*($E117/365))+(O118/$R118*100*($E118/365))+(O119/$R119*100*($E119/365))</f>
        <v>24.990080541426998</v>
      </c>
      <c r="I184" s="779"/>
      <c r="J184" s="779">
        <f>(P117/$R117*100*($E117/365))+(P118/$R118*100*($E118/365))+(P119/$R119*100*($E119/365))</f>
        <v>0</v>
      </c>
      <c r="K184" s="779"/>
      <c r="L184" s="779">
        <f>(Q117/$R117*100*($E117/365))+(Q118/$R118*100*($E118/365))+(Q119/$R119*100*($E119/365))</f>
        <v>75.009919458573009</v>
      </c>
      <c r="M184" s="779"/>
      <c r="N184" s="781">
        <f>SUM(H184:M184)</f>
        <v>100</v>
      </c>
      <c r="O184" s="781"/>
      <c r="R184" s="1">
        <v>2014</v>
      </c>
      <c r="S184" s="7">
        <f>(O117*($E117/365))+(O118*($E118/365))+(O119*($E119/365))</f>
        <v>9.1542465753424658</v>
      </c>
      <c r="T184" s="7">
        <f>(P117*($E117/365))+(P118*($E118/365))+(P119*($E119/365))</f>
        <v>0</v>
      </c>
      <c r="U184" s="7">
        <f>(Q117*($E117/365))+(Q118*($E118/365))+(Q119*($E119/365))</f>
        <v>27.56</v>
      </c>
      <c r="W184" s="7">
        <f>R117*(E117/365) + R118*(E118/365) + R119*(E119/365)</f>
        <v>36.714246575342464</v>
      </c>
    </row>
    <row r="185" spans="1:26" s="713" customFormat="1" x14ac:dyDescent="0.15">
      <c r="A185" s="713">
        <v>2015</v>
      </c>
      <c r="B185" s="711">
        <f>(K120*($E120/365))+(K121*($E121/365))</f>
        <v>65.863013698630141</v>
      </c>
      <c r="C185" s="711">
        <f>(L120*($E120/365))+(L121*($E121/365))</f>
        <v>0</v>
      </c>
      <c r="D185" s="711">
        <f>(M120*($E120/365))+(M121*($E121/365))</f>
        <v>34.136986301369859</v>
      </c>
      <c r="E185" s="708">
        <f>SUM(B185:D185)</f>
        <v>100</v>
      </c>
      <c r="G185" s="713">
        <v>2015</v>
      </c>
      <c r="H185" s="779">
        <f>(O120/$R120*100*($E120/365))+(O121/$R121*100*($E121/365))</f>
        <v>63.560121765601217</v>
      </c>
      <c r="I185" s="779"/>
      <c r="J185" s="779">
        <f>(P120/$R120*100*($E120/365))+(P121/$R121*100*($E121/365))</f>
        <v>0</v>
      </c>
      <c r="K185" s="779"/>
      <c r="L185" s="779">
        <f>(Q120/$R120*100*($E120/365))+(Q121/$R121*100*($E121/365))</f>
        <v>36.439878234398783</v>
      </c>
      <c r="M185" s="779"/>
      <c r="N185" s="781">
        <f>SUM(H185:M185)</f>
        <v>100</v>
      </c>
      <c r="O185" s="781"/>
      <c r="R185" s="713">
        <v>2015</v>
      </c>
      <c r="S185" s="711">
        <f>(O120*($E120/365))+(O121*($E121/365))</f>
        <v>14.376986301369863</v>
      </c>
      <c r="T185" s="711">
        <f>(P120*($E120/365))+(P121*($E121/365))</f>
        <v>0</v>
      </c>
      <c r="U185" s="711">
        <f>(Q120*($E120/365))+(Q121*($E121/365))</f>
        <v>13.118356164383561</v>
      </c>
      <c r="W185" s="711">
        <f xml:space="preserve"> R120*(E120/365) + R121*(E121/365)</f>
        <v>27.495342465753424</v>
      </c>
    </row>
    <row r="186" spans="1:26" s="713" customFormat="1" x14ac:dyDescent="0.15"/>
  </sheetData>
  <mergeCells count="370">
    <mergeCell ref="C120:D120"/>
    <mergeCell ref="C121:D121"/>
    <mergeCell ref="H185:I185"/>
    <mergeCell ref="J185:K185"/>
    <mergeCell ref="L185:M185"/>
    <mergeCell ref="N185:O185"/>
    <mergeCell ref="AT4:AW4"/>
    <mergeCell ref="AX4:BA4"/>
    <mergeCell ref="C7:D7"/>
    <mergeCell ref="C6:D6"/>
    <mergeCell ref="N179:O179"/>
    <mergeCell ref="N180:O180"/>
    <mergeCell ref="N167:O167"/>
    <mergeCell ref="N168:O168"/>
    <mergeCell ref="N169:O169"/>
    <mergeCell ref="N170:O170"/>
    <mergeCell ref="N165:O165"/>
    <mergeCell ref="N166:O166"/>
    <mergeCell ref="N151:O151"/>
    <mergeCell ref="N152:O152"/>
    <mergeCell ref="N153:O153"/>
    <mergeCell ref="N154:O154"/>
    <mergeCell ref="N155:O155"/>
    <mergeCell ref="N156:O156"/>
    <mergeCell ref="N177:O177"/>
    <mergeCell ref="N178:O178"/>
    <mergeCell ref="N157:O157"/>
    <mergeCell ref="N158:O158"/>
    <mergeCell ref="N159:O159"/>
    <mergeCell ref="N160:O160"/>
    <mergeCell ref="N171:O171"/>
    <mergeCell ref="N172:O172"/>
    <mergeCell ref="N161:O161"/>
    <mergeCell ref="N162:O162"/>
    <mergeCell ref="N163:O163"/>
    <mergeCell ref="N164:O164"/>
    <mergeCell ref="L181:M181"/>
    <mergeCell ref="L182:M182"/>
    <mergeCell ref="N130:O130"/>
    <mergeCell ref="N132:O132"/>
    <mergeCell ref="N133:O133"/>
    <mergeCell ref="N134:O134"/>
    <mergeCell ref="N135:O135"/>
    <mergeCell ref="N136:O136"/>
    <mergeCell ref="N137:O137"/>
    <mergeCell ref="N138:O138"/>
    <mergeCell ref="L175:M175"/>
    <mergeCell ref="L176:M176"/>
    <mergeCell ref="L177:M177"/>
    <mergeCell ref="L178:M178"/>
    <mergeCell ref="L179:M179"/>
    <mergeCell ref="L180:M180"/>
    <mergeCell ref="L169:M169"/>
    <mergeCell ref="L170:M170"/>
    <mergeCell ref="N181:O181"/>
    <mergeCell ref="N182:O182"/>
    <mergeCell ref="N173:O173"/>
    <mergeCell ref="N174:O174"/>
    <mergeCell ref="N175:O175"/>
    <mergeCell ref="N176:O176"/>
    <mergeCell ref="L174:M174"/>
    <mergeCell ref="L163:M163"/>
    <mergeCell ref="L164:M164"/>
    <mergeCell ref="L165:M165"/>
    <mergeCell ref="L166:M166"/>
    <mergeCell ref="L167:M167"/>
    <mergeCell ref="L168:M168"/>
    <mergeCell ref="N139:O139"/>
    <mergeCell ref="N140:O140"/>
    <mergeCell ref="N141:O141"/>
    <mergeCell ref="N142:O142"/>
    <mergeCell ref="N143:O143"/>
    <mergeCell ref="N144:O144"/>
    <mergeCell ref="N145:O145"/>
    <mergeCell ref="N146:O146"/>
    <mergeCell ref="N147:O147"/>
    <mergeCell ref="N148:O148"/>
    <mergeCell ref="N149:O149"/>
    <mergeCell ref="N150:O150"/>
    <mergeCell ref="J174:K174"/>
    <mergeCell ref="J163:K163"/>
    <mergeCell ref="J164:K164"/>
    <mergeCell ref="L145:M145"/>
    <mergeCell ref="L146:M146"/>
    <mergeCell ref="L147:M147"/>
    <mergeCell ref="L148:M148"/>
    <mergeCell ref="L149:M149"/>
    <mergeCell ref="L150:M150"/>
    <mergeCell ref="L157:M157"/>
    <mergeCell ref="L158:M158"/>
    <mergeCell ref="L159:M159"/>
    <mergeCell ref="L160:M160"/>
    <mergeCell ref="L161:M161"/>
    <mergeCell ref="L162:M162"/>
    <mergeCell ref="L151:M151"/>
    <mergeCell ref="L152:M152"/>
    <mergeCell ref="L153:M153"/>
    <mergeCell ref="L154:M154"/>
    <mergeCell ref="L155:M155"/>
    <mergeCell ref="L156:M156"/>
    <mergeCell ref="L171:M171"/>
    <mergeCell ref="L172:M172"/>
    <mergeCell ref="L173:M173"/>
    <mergeCell ref="J160:K160"/>
    <mergeCell ref="J161:K161"/>
    <mergeCell ref="J162:K162"/>
    <mergeCell ref="J181:K181"/>
    <mergeCell ref="J182:K182"/>
    <mergeCell ref="L130:M130"/>
    <mergeCell ref="L132:M132"/>
    <mergeCell ref="L133:M133"/>
    <mergeCell ref="L134:M134"/>
    <mergeCell ref="L135:M135"/>
    <mergeCell ref="L136:M136"/>
    <mergeCell ref="L137:M137"/>
    <mergeCell ref="L138:M138"/>
    <mergeCell ref="J175:K175"/>
    <mergeCell ref="J176:K176"/>
    <mergeCell ref="J177:K177"/>
    <mergeCell ref="J178:K178"/>
    <mergeCell ref="J179:K179"/>
    <mergeCell ref="J180:K180"/>
    <mergeCell ref="J169:K169"/>
    <mergeCell ref="J170:K170"/>
    <mergeCell ref="J171:K171"/>
    <mergeCell ref="J172:K172"/>
    <mergeCell ref="J173:K173"/>
    <mergeCell ref="H181:I181"/>
    <mergeCell ref="H182:I182"/>
    <mergeCell ref="J130:K130"/>
    <mergeCell ref="J132:K132"/>
    <mergeCell ref="J133:K133"/>
    <mergeCell ref="J134:K134"/>
    <mergeCell ref="J135:K135"/>
    <mergeCell ref="J136:K136"/>
    <mergeCell ref="J137:K137"/>
    <mergeCell ref="J138:K138"/>
    <mergeCell ref="H175:I175"/>
    <mergeCell ref="H176:I176"/>
    <mergeCell ref="H177:I177"/>
    <mergeCell ref="H178:I178"/>
    <mergeCell ref="H179:I179"/>
    <mergeCell ref="H180:I180"/>
    <mergeCell ref="H169:I169"/>
    <mergeCell ref="H170:I170"/>
    <mergeCell ref="J151:K151"/>
    <mergeCell ref="J152:K152"/>
    <mergeCell ref="J153:K153"/>
    <mergeCell ref="J154:K154"/>
    <mergeCell ref="J155:K155"/>
    <mergeCell ref="J156:K156"/>
    <mergeCell ref="H164:I164"/>
    <mergeCell ref="H165:I165"/>
    <mergeCell ref="H166:I166"/>
    <mergeCell ref="H167:I167"/>
    <mergeCell ref="H168:I168"/>
    <mergeCell ref="J139:K139"/>
    <mergeCell ref="J140:K140"/>
    <mergeCell ref="J141:K141"/>
    <mergeCell ref="J142:K142"/>
    <mergeCell ref="J143:K143"/>
    <mergeCell ref="J144:K144"/>
    <mergeCell ref="J145:K145"/>
    <mergeCell ref="J146:K146"/>
    <mergeCell ref="J147:K147"/>
    <mergeCell ref="J148:K148"/>
    <mergeCell ref="J149:K149"/>
    <mergeCell ref="J150:K150"/>
    <mergeCell ref="J165:K165"/>
    <mergeCell ref="J166:K166"/>
    <mergeCell ref="J167:K167"/>
    <mergeCell ref="J168:K168"/>
    <mergeCell ref="J157:K157"/>
    <mergeCell ref="J158:K158"/>
    <mergeCell ref="J159:K159"/>
    <mergeCell ref="R126:W126"/>
    <mergeCell ref="H128:I128"/>
    <mergeCell ref="J128:K128"/>
    <mergeCell ref="L128:M128"/>
    <mergeCell ref="N128:O128"/>
    <mergeCell ref="H130:I130"/>
    <mergeCell ref="H129:I129"/>
    <mergeCell ref="H145:I145"/>
    <mergeCell ref="H146:I146"/>
    <mergeCell ref="H139:I139"/>
    <mergeCell ref="H140:I140"/>
    <mergeCell ref="H141:I141"/>
    <mergeCell ref="H142:I142"/>
    <mergeCell ref="H143:I143"/>
    <mergeCell ref="H144:I144"/>
    <mergeCell ref="L139:M139"/>
    <mergeCell ref="L140:M140"/>
    <mergeCell ref="L141:M141"/>
    <mergeCell ref="L142:M142"/>
    <mergeCell ref="L143:M143"/>
    <mergeCell ref="L144:M144"/>
    <mergeCell ref="G3:M3"/>
    <mergeCell ref="O3:Q3"/>
    <mergeCell ref="C9:D9"/>
    <mergeCell ref="C10:D10"/>
    <mergeCell ref="A4:A5"/>
    <mergeCell ref="B4:B5"/>
    <mergeCell ref="C4:D5"/>
    <mergeCell ref="E4:E5"/>
    <mergeCell ref="F4:F5"/>
    <mergeCell ref="G4:J4"/>
    <mergeCell ref="Z4:AC4"/>
    <mergeCell ref="AD4:AG4"/>
    <mergeCell ref="AH4:AK4"/>
    <mergeCell ref="AL4:AO4"/>
    <mergeCell ref="U4:U5"/>
    <mergeCell ref="V4:Y4"/>
    <mergeCell ref="C19:D19"/>
    <mergeCell ref="C20:D20"/>
    <mergeCell ref="AP4:AS4"/>
    <mergeCell ref="C8:D8"/>
    <mergeCell ref="K4:N4"/>
    <mergeCell ref="O4:R4"/>
    <mergeCell ref="S4:S5"/>
    <mergeCell ref="T4:T5"/>
    <mergeCell ref="C11:D11"/>
    <mergeCell ref="C12:D12"/>
    <mergeCell ref="C13:D13"/>
    <mergeCell ref="C14:D14"/>
    <mergeCell ref="C15:D15"/>
    <mergeCell ref="C16:D16"/>
    <mergeCell ref="C17:D17"/>
    <mergeCell ref="C18:D18"/>
    <mergeCell ref="C21:D21"/>
    <mergeCell ref="C22:D22"/>
    <mergeCell ref="C23:D23"/>
    <mergeCell ref="C24:D24"/>
    <mergeCell ref="C27:D27"/>
    <mergeCell ref="C28:D28"/>
    <mergeCell ref="C25:D25"/>
    <mergeCell ref="C26:D26"/>
    <mergeCell ref="C29:D29"/>
    <mergeCell ref="C30:D30"/>
    <mergeCell ref="C33:D33"/>
    <mergeCell ref="C34:D34"/>
    <mergeCell ref="C31:D31"/>
    <mergeCell ref="C32:D32"/>
    <mergeCell ref="C35:D35"/>
    <mergeCell ref="C36:D36"/>
    <mergeCell ref="C39:D39"/>
    <mergeCell ref="C40:D40"/>
    <mergeCell ref="C37:D37"/>
    <mergeCell ref="C38:D38"/>
    <mergeCell ref="C41:D41"/>
    <mergeCell ref="C42:D42"/>
    <mergeCell ref="C45:D45"/>
    <mergeCell ref="C46:D46"/>
    <mergeCell ref="C43:D43"/>
    <mergeCell ref="C44:D44"/>
    <mergeCell ref="C47:D47"/>
    <mergeCell ref="C48:D48"/>
    <mergeCell ref="C51:D51"/>
    <mergeCell ref="C52:D52"/>
    <mergeCell ref="C49:D49"/>
    <mergeCell ref="C50:D50"/>
    <mergeCell ref="C53:D53"/>
    <mergeCell ref="C54:D54"/>
    <mergeCell ref="C57:D57"/>
    <mergeCell ref="C58:D58"/>
    <mergeCell ref="C55:D55"/>
    <mergeCell ref="C56:D56"/>
    <mergeCell ref="C59:D59"/>
    <mergeCell ref="C60:D60"/>
    <mergeCell ref="C63:D63"/>
    <mergeCell ref="C64:D64"/>
    <mergeCell ref="C61:D61"/>
    <mergeCell ref="C62:D62"/>
    <mergeCell ref="C65:D65"/>
    <mergeCell ref="C66:D66"/>
    <mergeCell ref="C69:D69"/>
    <mergeCell ref="C70:D70"/>
    <mergeCell ref="C67:D67"/>
    <mergeCell ref="C68:D68"/>
    <mergeCell ref="C71:D71"/>
    <mergeCell ref="C72:D72"/>
    <mergeCell ref="C75:D75"/>
    <mergeCell ref="C76:D76"/>
    <mergeCell ref="C73:D73"/>
    <mergeCell ref="C74:D74"/>
    <mergeCell ref="C77:D77"/>
    <mergeCell ref="C78:D78"/>
    <mergeCell ref="C81:D81"/>
    <mergeCell ref="C82:D82"/>
    <mergeCell ref="C79:D79"/>
    <mergeCell ref="C80:D80"/>
    <mergeCell ref="C83:D83"/>
    <mergeCell ref="C84:D84"/>
    <mergeCell ref="C87:D87"/>
    <mergeCell ref="C88:D88"/>
    <mergeCell ref="C85:D85"/>
    <mergeCell ref="C86:D86"/>
    <mergeCell ref="C89:D89"/>
    <mergeCell ref="C90:D90"/>
    <mergeCell ref="C93:D93"/>
    <mergeCell ref="C94:D94"/>
    <mergeCell ref="C91:D91"/>
    <mergeCell ref="C92:D92"/>
    <mergeCell ref="C95:D95"/>
    <mergeCell ref="C96:D96"/>
    <mergeCell ref="C99:D99"/>
    <mergeCell ref="C100:D100"/>
    <mergeCell ref="C97:D97"/>
    <mergeCell ref="C98:D98"/>
    <mergeCell ref="C101:D101"/>
    <mergeCell ref="C102:D102"/>
    <mergeCell ref="C111:D111"/>
    <mergeCell ref="C112:D112"/>
    <mergeCell ref="C103:D103"/>
    <mergeCell ref="C104:D104"/>
    <mergeCell ref="C113:D113"/>
    <mergeCell ref="C114:D114"/>
    <mergeCell ref="C105:D105"/>
    <mergeCell ref="C106:D106"/>
    <mergeCell ref="C107:D107"/>
    <mergeCell ref="C108:D108"/>
    <mergeCell ref="C109:D109"/>
    <mergeCell ref="C110:D110"/>
    <mergeCell ref="C117:D117"/>
    <mergeCell ref="C115:D115"/>
    <mergeCell ref="C116:D116"/>
    <mergeCell ref="H183:I183"/>
    <mergeCell ref="J129:K129"/>
    <mergeCell ref="L129:M129"/>
    <mergeCell ref="J131:K131"/>
    <mergeCell ref="L131:M131"/>
    <mergeCell ref="H132:I132"/>
    <mergeCell ref="H133:I133"/>
    <mergeCell ref="H134:I134"/>
    <mergeCell ref="H135:I135"/>
    <mergeCell ref="H136:I136"/>
    <mergeCell ref="H131:I131"/>
    <mergeCell ref="H137:I137"/>
    <mergeCell ref="H138:I138"/>
    <mergeCell ref="H147:I147"/>
    <mergeCell ref="H148:I148"/>
    <mergeCell ref="H149:I149"/>
    <mergeCell ref="H150:I150"/>
    <mergeCell ref="H157:I157"/>
    <mergeCell ref="H158:I158"/>
    <mergeCell ref="H159:I159"/>
    <mergeCell ref="H160:I160"/>
    <mergeCell ref="H184:I184"/>
    <mergeCell ref="J184:K184"/>
    <mergeCell ref="L184:M184"/>
    <mergeCell ref="N184:O184"/>
    <mergeCell ref="C118:D118"/>
    <mergeCell ref="C119:D119"/>
    <mergeCell ref="J183:K183"/>
    <mergeCell ref="L183:M183"/>
    <mergeCell ref="N183:O183"/>
    <mergeCell ref="N129:O129"/>
    <mergeCell ref="N131:O131"/>
    <mergeCell ref="H161:I161"/>
    <mergeCell ref="H162:I162"/>
    <mergeCell ref="H151:I151"/>
    <mergeCell ref="H152:I152"/>
    <mergeCell ref="H153:I153"/>
    <mergeCell ref="H154:I154"/>
    <mergeCell ref="H155:I155"/>
    <mergeCell ref="H156:I156"/>
    <mergeCell ref="H171:I171"/>
    <mergeCell ref="H172:I172"/>
    <mergeCell ref="H173:I173"/>
    <mergeCell ref="H174:I174"/>
    <mergeCell ref="H163:I163"/>
  </mergeCells>
  <phoneticPr fontId="0" type="noConversion"/>
  <pageMargins left="0.78740157499999996" right="0.78740157499999996" top="0.984251969" bottom="0.984251969" header="0.4921259845" footer="0.4921259845"/>
  <pageSetup paperSize="9" orientation="portrait" r:id="rId1"/>
  <headerFooter alignWithMargins="0"/>
  <ignoredErrors>
    <ignoredError sqref="N69" formulaRange="1"/>
  </ignoredErrors>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36</vt:i4>
      </vt:variant>
    </vt:vector>
  </HeadingPairs>
  <TitlesOfParts>
    <vt:vector size="36" baseType="lpstr">
      <vt:lpstr>Australia</vt:lpstr>
      <vt:lpstr>Austria</vt:lpstr>
      <vt:lpstr>Belgium</vt:lpstr>
      <vt:lpstr>Bulgaria</vt:lpstr>
      <vt:lpstr>Canada</vt:lpstr>
      <vt:lpstr>Croatia</vt:lpstr>
      <vt:lpstr>Cyprus</vt:lpstr>
      <vt:lpstr>Czech Republic</vt:lpstr>
      <vt:lpstr>Denmark</vt:lpstr>
      <vt:lpstr>Estonia</vt:lpstr>
      <vt:lpstr>Finland</vt:lpstr>
      <vt:lpstr>France</vt:lpstr>
      <vt:lpstr>Germany</vt:lpstr>
      <vt:lpstr>Greece</vt:lpstr>
      <vt:lpstr>Hungary</vt:lpstr>
      <vt:lpstr>Iceland</vt:lpstr>
      <vt:lpstr>Ireland</vt:lpstr>
      <vt:lpstr>Italy</vt:lpstr>
      <vt:lpstr>Japan</vt:lpstr>
      <vt:lpstr>Latvia</vt:lpstr>
      <vt:lpstr>Lithuania</vt:lpstr>
      <vt:lpstr>Luxembourg</vt:lpstr>
      <vt:lpstr>Malta</vt:lpstr>
      <vt:lpstr>Netherlands</vt:lpstr>
      <vt:lpstr>New Zealand</vt:lpstr>
      <vt:lpstr>Norway</vt:lpstr>
      <vt:lpstr>Poland</vt:lpstr>
      <vt:lpstr>Portugal</vt:lpstr>
      <vt:lpstr>Romania</vt:lpstr>
      <vt:lpstr>Slovakia</vt:lpstr>
      <vt:lpstr>Slovenia</vt:lpstr>
      <vt:lpstr>Spain</vt:lpstr>
      <vt:lpstr>Sweden</vt:lpstr>
      <vt:lpstr>Switzerland</vt:lpstr>
      <vt:lpstr>United Kingdom</vt:lpstr>
      <vt:lpstr>United States</vt:lpstr>
    </vt:vector>
  </TitlesOfParts>
  <Company>Universität Bern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Isler, Christian (IPW)</dc:creator>
  <cp:lastModifiedBy>Wiedemeier, Fiona Leandra (IPW)</cp:lastModifiedBy>
  <cp:lastPrinted>2014-09-26T08:25:19Z</cp:lastPrinted>
  <dcterms:created xsi:type="dcterms:W3CDTF">2005-12-13T12:13:00Z</dcterms:created>
  <dcterms:modified xsi:type="dcterms:W3CDTF">2017-08-23T15:41:14Z</dcterms:modified>
</cp:coreProperties>
</file>